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razy\Desktop\Genshin Maffs\"/>
    </mc:Choice>
  </mc:AlternateContent>
  <xr:revisionPtr revIDLastSave="0" documentId="8_{98AC98D9-1A38-4706-AE8F-41A05938480F}" xr6:coauthVersionLast="47" xr6:coauthVersionMax="47" xr10:uidLastSave="{00000000-0000-0000-0000-000000000000}"/>
  <bookViews>
    <workbookView xWindow="2805" yWindow="2265" windowWidth="20910" windowHeight="11295" tabRatio="602" firstSheet="3" activeTab="6" xr2:uid="{F678DB37-6EDB-4804-894A-C2C654A31A58}"/>
  </bookViews>
  <sheets>
    <sheet name="Front Page" sheetId="5" r:id="rId1"/>
    <sheet name="Char 1" sheetId="1" r:id="rId2"/>
    <sheet name="Char 2" sheetId="16" r:id="rId3"/>
    <sheet name="Char 3" sheetId="17" r:id="rId4"/>
    <sheet name="Char 4" sheetId="18" r:id="rId5"/>
    <sheet name="Data Val" sheetId="11" r:id="rId6"/>
    <sheet name="Rotation Assembler" sheetId="6" r:id="rId7"/>
    <sheet name="Calcs" sheetId="7" r:id="rId8"/>
    <sheet name="Results (Team)" sheetId="19" r:id="rId9"/>
    <sheet name="Results (Personal)" sheetId="21" r:id="rId10"/>
    <sheet name="MVs" sheetId="3" r:id="rId11"/>
    <sheet name="Char Stats" sheetId="13" r:id="rId12"/>
    <sheet name="weapons" sheetId="14" r:id="rId13"/>
    <sheet name="Sheet1" sheetId="22" r:id="rId14"/>
    <sheet name="artisDB" sheetId="15" state="hidden" r:id="rId15"/>
    <sheet name="Artifact Database" sheetId="12" state="hidden" r:id="rId16"/>
  </sheets>
  <definedNames>
    <definedName name="_xlnm._FilterDatabase" localSheetId="1" hidden="1">'Results (Personal)'!$I$3:$J$21</definedName>
    <definedName name="_xlnm._FilterDatabase" localSheetId="9" hidden="1">'Results (Personal)'!$A$105:$C$117</definedName>
    <definedName name="albedoBaseStats">'Char Stats'!$A$1:$G$15</definedName>
    <definedName name="albedoTalentScalings">MVs!$B$23:$T$46</definedName>
    <definedName name="aloyBaseStats">'Char Stats'!$A$16:$G$30</definedName>
    <definedName name="amberBaseStats">'Char Stats'!$A$31:$G$45</definedName>
    <definedName name="amberTalentScalings">MVs!$B$47:$T$69</definedName>
    <definedName name="amcBaseStats">'Char Stats'!$A$616:$G$630</definedName>
    <definedName name="amcTalentScalings">MVs!$B$70:$T$99</definedName>
    <definedName name="artifactSubstatValues">'Artifact Database'!$A$1:$D$11</definedName>
    <definedName name="ayakaBaseStats">'Char Stats'!$A$46:$F$60</definedName>
    <definedName name="ayakaTalentScalings">MVs!$B$1:$T$22</definedName>
    <definedName name="barbaraBaseStats">'Char Stats'!$A$61:$G$75</definedName>
    <definedName name="beidouBaseStats">'Char Stats'!$A$76:$G$90</definedName>
    <definedName name="beidouTalentScalings">MVs!$B$125:$T$149</definedName>
    <definedName name="bennettBaseStats">'Char Stats'!$A$91:$G$105</definedName>
    <definedName name="bennettTalentScalings">MVs!$B$150:$T$179</definedName>
    <definedName name="char1ArtiSetStats">artisDB!$A$1:$AP$53</definedName>
    <definedName name="char1ArtiStacks">'Char 1'!$L$16</definedName>
    <definedName name="char1ArtiToggle">'Char 1'!$L$17</definedName>
    <definedName name="char1BaseATK">Calcs!$Q$25</definedName>
    <definedName name="char1BaseDEF">Calcs!$Q$26</definedName>
    <definedName name="char1BaseHP">Calcs!$Q$27</definedName>
    <definedName name="char1BurstEchoDMGType">Calcs!$Q$34</definedName>
    <definedName name="char1BurstEchoElement">'Char 1'!$E$22</definedName>
    <definedName name="char1BurstElement">'Char 1'!$E$21</definedName>
    <definedName name="char1BurstTalentLevel">'Char 1'!$E$9</definedName>
    <definedName name="char1CAElement">'Char 1'!$E$16</definedName>
    <definedName name="char1FinalAnemoDMG">Calcs!$K$18</definedName>
    <definedName name="char1FinalAnemoRes">Calcs!$K$42</definedName>
    <definedName name="char1FinalATK">Calcs!$Q$48</definedName>
    <definedName name="char1FinalATKPercent">Calcs!$K$10</definedName>
    <definedName name="char1FinalBurstCDMG">Calcs!$K$50</definedName>
    <definedName name="char1FinalBurstCR">Calcs!$K$48</definedName>
    <definedName name="char1FinalBurstDMG">Calcs!$K$28</definedName>
    <definedName name="char1FinalCDMG">Calcs!$K$14</definedName>
    <definedName name="char1FinalChargedDMG">Calcs!$K$25</definedName>
    <definedName name="char1FinalCR">Calcs!$K$13</definedName>
    <definedName name="char1FinalCryoDMG">Calcs!$K$21</definedName>
    <definedName name="char1FinalCryoRes">Calcs!$K$45</definedName>
    <definedName name="char1FinalCrystallizeBonus">Calcs!$K$31</definedName>
    <definedName name="char1FinalDEF">Calcs!$Q$47</definedName>
    <definedName name="char1FinalDefMult">Calcs!$Q$40</definedName>
    <definedName name="char1FinalDEFPercent">Calcs!$K$11</definedName>
    <definedName name="char1FinalDEFShred">Calcs!$K$37</definedName>
    <definedName name="char1FinalDMGPercent">Calcs!$K$16</definedName>
    <definedName name="char1FinalElectrochargedBonus">Calcs!$K$32</definedName>
    <definedName name="char1FinalElectroDMG">Calcs!$K$23</definedName>
    <definedName name="char1FinalElectroRes">Calcs!$K$47</definedName>
    <definedName name="char1FinalEM">Calcs!$K$9</definedName>
    <definedName name="char1FinalER">Calcs!$K$15</definedName>
    <definedName name="char1FinalFlatATK">Calcs!$K$6</definedName>
    <definedName name="char1FinalFlatDEF">Calcs!$K$7</definedName>
    <definedName name="char1FinalFlatHP">Calcs!$K$8</definedName>
    <definedName name="char1FinalGeoDMG">Calcs!$K$19</definedName>
    <definedName name="char1FinalGeoRes">Calcs!$K$43</definedName>
    <definedName name="char1FinalHealingBonus">Calcs!$K$40</definedName>
    <definedName name="char1FinalHealingReceived">Calcs!$K$41</definedName>
    <definedName name="char1FinalHP">Calcs!$Q$46</definedName>
    <definedName name="char1FinalHPPercent">Calcs!$K$12</definedName>
    <definedName name="char1FinalHydroDMG">Calcs!$K$22</definedName>
    <definedName name="char1FinalHydroRes">Calcs!$K$46</definedName>
    <definedName name="char1FinalMeltBonus">Calcs!$K$35</definedName>
    <definedName name="char1FinalNormalDMG">Calcs!$K$24</definedName>
    <definedName name="char1FinalOverloadBonus">Calcs!$K$30</definedName>
    <definedName name="char1FinalPhysDMG">Calcs!$K$17</definedName>
    <definedName name="char1FinalPhysRes">Calcs!$K$39</definedName>
    <definedName name="char1FinalPlungingDMG">Calcs!$K$26</definedName>
    <definedName name="char1FinalPyroDMG">Calcs!$K$20</definedName>
    <definedName name="char1FinalPyroRes">Calcs!$K$44</definedName>
    <definedName name="char1FinalShatterBonus">Calcs!$K$34</definedName>
    <definedName name="char1FinalShieldStrength">Calcs!$K$38</definedName>
    <definedName name="char1FinalSkillCDMG">Calcs!$K$51</definedName>
    <definedName name="char1FinalSkillCR">Calcs!$K$49</definedName>
    <definedName name="char1FinalSkillDMG">Calcs!$K$27</definedName>
    <definedName name="char1FinalSuperconductBonus">Calcs!$K$33</definedName>
    <definedName name="char1FinalSwirlBonus">Calcs!$K$29</definedName>
    <definedName name="char1FinalVaporizeBonus">Calcs!$K$36</definedName>
    <definedName name="char1Level">'Char 1'!$E$6</definedName>
    <definedName name="char1LevelNum">Calcs!$Q$16</definedName>
    <definedName name="char1NAElement">'Char 1'!$E$15</definedName>
    <definedName name="char1Name">'Char 1'!$E$5</definedName>
    <definedName name="char1NATalentLevel">'Char 1'!$E$7</definedName>
    <definedName name="char1PlungeElement">'Char 1'!$E$17</definedName>
    <definedName name="char1Refine">'Char 1'!$L$6</definedName>
    <definedName name="char1SkillEchoDMGType">Calcs!$Q$33</definedName>
    <definedName name="char1SkillEchoElement">'Char 1'!$E$19</definedName>
    <definedName name="char1SkillElement">'Char 1'!$E$18</definedName>
    <definedName name="char1SkillTalentLevel">'Char 1'!$E$8</definedName>
    <definedName name="char1Stats">Calcs!$C$5:$K$51</definedName>
    <definedName name="char1TransformativeMult">Calcs!$Q$18</definedName>
    <definedName name="char1WeaponBaseATK">Calcs!$Q$24</definedName>
    <definedName name="char1WeaponName">'Char 1'!$L$5</definedName>
    <definedName name="char1WeaponProcTable">'Data Val'!$I$13:$M$16</definedName>
    <definedName name="char1Weapons">weapons!$A$1:$CV$65</definedName>
    <definedName name="char1WeapStacks">'Char 1'!$L$7</definedName>
    <definedName name="char1WeapToggle">'Char 1'!$L$8</definedName>
    <definedName name="char2ArtiSetStats">artisDB!$A$55:$AP$107</definedName>
    <definedName name="char2ArtiStacks">'Char 2'!$L$16</definedName>
    <definedName name="char2ArtiToggle">'Char 2'!$L$17</definedName>
    <definedName name="char2BaseATK">Calcs!$Q$77</definedName>
    <definedName name="char2BaseDEF">Calcs!$Q$78</definedName>
    <definedName name="char2BaseHP">Calcs!$Q$79</definedName>
    <definedName name="char2BurstEchoDamageType">Calcs!$Q$86</definedName>
    <definedName name="char2BurstEchoDMGType">'Char 2'!$E$23</definedName>
    <definedName name="char2BurstEchoElement">'Char 2'!$E$22</definedName>
    <definedName name="char2BurstElement">'Char 2'!$E$21</definedName>
    <definedName name="char2BurstTalentLevel">'Char 2'!$E$9</definedName>
    <definedName name="char2CAElement">'Char 2'!$E$16</definedName>
    <definedName name="char2FinalAnemoDMG">Calcs!$K$70</definedName>
    <definedName name="char2FinalAnemoRes">Calcs!$K$94</definedName>
    <definedName name="char2FinalATK">Calcs!$Q$100</definedName>
    <definedName name="char2FinalATKPercent">Calcs!$K$62</definedName>
    <definedName name="char2FinalBurstCDMG">Calcs!$K$102</definedName>
    <definedName name="char2FinalBurstCR">Calcs!$K$100</definedName>
    <definedName name="char2FinalBurstDMG">Calcs!$K$80</definedName>
    <definedName name="char2FinalCDMG">Calcs!$K$66</definedName>
    <definedName name="char2FinalChargedDMG">Calcs!$K$77</definedName>
    <definedName name="char2FinalCR">Calcs!$K$65</definedName>
    <definedName name="char2FinalCryoDMG">Calcs!$K$73</definedName>
    <definedName name="char2FinalCryoRes">Calcs!$K$97</definedName>
    <definedName name="char2FinalCrystallizeBonus">Calcs!$K$83</definedName>
    <definedName name="char2FinalDEF">Calcs!$Q$99</definedName>
    <definedName name="char2FinalDefMult">Calcs!$Q$92</definedName>
    <definedName name="char2FinalDEFPercent">Calcs!$K$63</definedName>
    <definedName name="char2FinalDEFShred">Calcs!$K$89</definedName>
    <definedName name="char2FinalDMGPercent">Calcs!$K$68</definedName>
    <definedName name="char2FinalElectrochargedBonus">Calcs!$K$84</definedName>
    <definedName name="char2FinalElectroDMG">Calcs!$K$75</definedName>
    <definedName name="char2FinalElectroRes">Calcs!$K$99</definedName>
    <definedName name="char2FinalEM">Calcs!$K$61</definedName>
    <definedName name="char2FinalER">Calcs!$K$67</definedName>
    <definedName name="char2FinalFlatATK">Calcs!$K$58</definedName>
    <definedName name="char2FinalFlatDEF">Calcs!$K$59</definedName>
    <definedName name="char2FinalFlatHP">Calcs!$K$60</definedName>
    <definedName name="char2FinalGeoDMG">Calcs!$K$71</definedName>
    <definedName name="char2FinalGeoRes">Calcs!$K$95</definedName>
    <definedName name="char2FinalHealingBonus">Calcs!$K$92</definedName>
    <definedName name="char2FinalHealingReceived">Calcs!$K$93</definedName>
    <definedName name="char2FinalHP">Calcs!$Q$98</definedName>
    <definedName name="char2FinalHPPercent">Calcs!$K$64</definedName>
    <definedName name="char2FinalHydroDMG">Calcs!$K$74</definedName>
    <definedName name="char2FinalHydroRes">Calcs!$K$98</definedName>
    <definedName name="char2FinalMeltBonus">Calcs!$K$87</definedName>
    <definedName name="char2FinalNormalDMG">Calcs!$K$76</definedName>
    <definedName name="char2FinalOverloadBonus">Calcs!$K$82</definedName>
    <definedName name="char2FinalPhysDMG">Calcs!$K$69</definedName>
    <definedName name="char2FinalPhysRes">Calcs!$K$91</definedName>
    <definedName name="char2FinalPlungingDMG">Calcs!$K$78</definedName>
    <definedName name="char2FinalPyroDMG">Calcs!$K$72</definedName>
    <definedName name="char2FinalPyroRes">Calcs!$K$96</definedName>
    <definedName name="char2FinalShatterBonus">Calcs!$K$86</definedName>
    <definedName name="char2FinalShieldStrength">Calcs!$K$90</definedName>
    <definedName name="char2FinalSkillCDMG">Calcs!$K$103</definedName>
    <definedName name="char2FinalSkillCR">Calcs!$K$101</definedName>
    <definedName name="char2FinalSkillDMG">Calcs!$K$79</definedName>
    <definedName name="char2FinalSuperconductBonus">Calcs!$K$85</definedName>
    <definedName name="char2FinalSwirlBonus">Calcs!$K$81</definedName>
    <definedName name="char2FinalVapeBonus">Calcs!$K$88</definedName>
    <definedName name="char2Level">'Char 2'!$E$6</definedName>
    <definedName name="char2LevelNum">Calcs!$Q$68</definedName>
    <definedName name="char2NAElement">'Char 2'!$E$15</definedName>
    <definedName name="char2Name">'Char 2'!$E$5</definedName>
    <definedName name="char2NATalentLevel">'Char 2'!$E$7</definedName>
    <definedName name="char2PlungeElement">'Char 2'!$E$17</definedName>
    <definedName name="char2Refine">'Char 2'!$L$6</definedName>
    <definedName name="char2SkillEchoDamageType">Calcs!$Q$85</definedName>
    <definedName name="char2SkillEchoElement">'Char 2'!$E$19</definedName>
    <definedName name="char2SkillElement">'Char 2'!$E$18</definedName>
    <definedName name="char2SkillTalentLevel">'Char 2'!$E$8</definedName>
    <definedName name="char2Stats">Calcs!$C$57:$K$103</definedName>
    <definedName name="char2TransformativeMult">Calcs!$Q$70</definedName>
    <definedName name="char2WeaponBaseATK">Calcs!$Q$76</definedName>
    <definedName name="char2WeaponName">'Char 2'!$L$5</definedName>
    <definedName name="char2WeaponProcTable">'Data Val'!$I$17:$M$20</definedName>
    <definedName name="char2Weapons">weapons!$A$67:$CV$131</definedName>
    <definedName name="char2WeapStacks">'Char 2'!$L$7</definedName>
    <definedName name="char2WeapToggle">'Char 2'!$L$8</definedName>
    <definedName name="char3ArtiSetStats">artisDB!$A$109:$AP$161</definedName>
    <definedName name="char3ArtiStacks">'Char 3'!$L$16</definedName>
    <definedName name="char3ArtiToggle">'Char 3'!$L$17</definedName>
    <definedName name="char3BaseATK">Calcs!$Q$129</definedName>
    <definedName name="char3BaseDEF">Calcs!$Q$130</definedName>
    <definedName name="char3BaseHP">Calcs!$Q$131</definedName>
    <definedName name="char3BurstEchoDamageType">Calcs!$Q$138</definedName>
    <definedName name="char3BurstEchoDMGType">'Char 3'!$E$23</definedName>
    <definedName name="char3BurstEchoElement">'Char 3'!$E$22</definedName>
    <definedName name="char3BurstElement">'Char 3'!$E$21</definedName>
    <definedName name="char3BurstTalentLevel">'Char 3'!$E$9</definedName>
    <definedName name="char3CAElement">'Char 3'!$E$16</definedName>
    <definedName name="char3FinalATK">Calcs!$Q$152</definedName>
    <definedName name="char3FinalATKPercent">Calcs!$K$114</definedName>
    <definedName name="char3FinalDEF">Calcs!$Q$151</definedName>
    <definedName name="char3FinalDefMult">Calcs!$Q$144</definedName>
    <definedName name="char3FinalDEFPercent">Calcs!$K$115</definedName>
    <definedName name="char3FinalEM">Calcs!$K$113</definedName>
    <definedName name="char3FinalER">Calcs!$K$119</definedName>
    <definedName name="char3FinalFlatATK">Calcs!$K$110</definedName>
    <definedName name="char3FinalFlatDEF">Calcs!$K$111</definedName>
    <definedName name="char3FinalFlatHP">Calcs!$K$112</definedName>
    <definedName name="char3FinalHealingBonus">Calcs!$K$144</definedName>
    <definedName name="char3FinalHealingReceived">Calcs!$K$145</definedName>
    <definedName name="char3FinalHP">Calcs!$Q$150</definedName>
    <definedName name="char3FinalHPPercent">Calcs!$K$116</definedName>
    <definedName name="char3Level">'Char 3'!$E$6</definedName>
    <definedName name="char3LevelNum">Calcs!$Q$120</definedName>
    <definedName name="char3NAElement">'Char 3'!$E$15</definedName>
    <definedName name="char3Name">'Char 3'!$E$5</definedName>
    <definedName name="char3NATalentLevel">'Char 3'!$E$7</definedName>
    <definedName name="char3PlungeElement">'Char 3'!$E$17</definedName>
    <definedName name="char3Refine">'Char 3'!$L$6</definedName>
    <definedName name="char3SkillEchoDamageType">Calcs!$Q$137</definedName>
    <definedName name="char3SkillEchoElement">'Char 3'!$E$19</definedName>
    <definedName name="char3SkillElement">'Char 3'!$E$18</definedName>
    <definedName name="char3SkillTalentLevel">'Char 3'!$E$8</definedName>
    <definedName name="char3Stats">Calcs!$C$109:$K$155</definedName>
    <definedName name="char3TransformativeMult">Calcs!$Q$122</definedName>
    <definedName name="char3WeaponBaseATK">Calcs!$Q$128</definedName>
    <definedName name="char3WeaponName">'Char 3'!$L$5</definedName>
    <definedName name="char3WeaponProcTable">'Data Val'!$I$21:$M$24</definedName>
    <definedName name="char3Weapons">weapons!$A$133:$CV$197</definedName>
    <definedName name="char3WeapStacks">'Char 3'!$L$7</definedName>
    <definedName name="char3WeapToggle">'Char 3'!$L$8</definedName>
    <definedName name="char4ArtiSetStats">artisDB!$A$163:$AP$215</definedName>
    <definedName name="char4ArtiStacks">'Char 4'!$L$16</definedName>
    <definedName name="char4ArtiToggle">'Char 4'!$L$17</definedName>
    <definedName name="char4BaseATK">Calcs!$Q$181</definedName>
    <definedName name="char4BaseDEF">Calcs!$Q$182</definedName>
    <definedName name="char4BaseHP">Calcs!$Q$183</definedName>
    <definedName name="char4BurstEchoDamageType">Calcs!$Q$190</definedName>
    <definedName name="char4BurstEchoDMGType">'Char 4'!$E$23</definedName>
    <definedName name="char4BurstEchoElement">'Char 4'!$E$22</definedName>
    <definedName name="char4BurstElement">'Char 4'!$E$21</definedName>
    <definedName name="char4BurstTalentLevel">'Char 4'!$E$9</definedName>
    <definedName name="char4CAElement">'Char 4'!$E$16</definedName>
    <definedName name="char4FinalATK">Calcs!$Q$204</definedName>
    <definedName name="char4FinalATKPercent">Calcs!$K$166</definedName>
    <definedName name="char4FinalDEF">Calcs!$Q$203</definedName>
    <definedName name="char4FinalDefMult">Calcs!$Q$196</definedName>
    <definedName name="char4FinalDEFPercent">Calcs!$K$167</definedName>
    <definedName name="char4FinalEM">Calcs!$K$165</definedName>
    <definedName name="char4FinalER">Calcs!$K$171</definedName>
    <definedName name="char4FinalFlatATK">Calcs!$K$162</definedName>
    <definedName name="char4FinalFlatDEF">Calcs!$K$163</definedName>
    <definedName name="char4FinalFlatHP">Calcs!$K$164</definedName>
    <definedName name="char4FinalHealingBonus">Calcs!$K$196</definedName>
    <definedName name="char4FinalHealingReceived">Calcs!$K$197</definedName>
    <definedName name="char4FinalHP">Calcs!$Q$202</definedName>
    <definedName name="char4FinalHPPercent">Calcs!$K$168</definedName>
    <definedName name="char4Level">'Char 4'!$E$6</definedName>
    <definedName name="char4LevelNum">Calcs!$Q$172</definedName>
    <definedName name="char4NAElement">'Char 4'!$E$15</definedName>
    <definedName name="char4Name">'Char 4'!$E$5</definedName>
    <definedName name="char4NATalentLevel">'Char 4'!$E$7</definedName>
    <definedName name="char4PlungeElement">'Char 4'!$E$17</definedName>
    <definedName name="char4Refine">'Char 4'!$L$6</definedName>
    <definedName name="char4SkillEchoDamageType">Calcs!$Q$189</definedName>
    <definedName name="char4SkillEchoElement">'Char 4'!$E$19</definedName>
    <definedName name="char4SkillElement">'Char 4'!$E$18</definedName>
    <definedName name="char4SkillTalentLevel">'Char 4'!$E$8</definedName>
    <definedName name="char4Stats">Calcs!$C$161:$K$207</definedName>
    <definedName name="char4TransformativeMult">Calcs!$Q$174</definedName>
    <definedName name="char4WeaponBaseATK">Calcs!$Q$180</definedName>
    <definedName name="char4WeaponName">'Char 4'!$L$5</definedName>
    <definedName name="char4WeaponProcTable">'Data Val'!$I$25:$M$28</definedName>
    <definedName name="char4Weapons">weapons!$A$199:$CV$263</definedName>
    <definedName name="char4WeapStacks">'Char 4'!$L$7</definedName>
    <definedName name="char4WeapToggle">'Char 4'!$L$8</definedName>
    <definedName name="childeBaseStats">'Char Stats'!$A$106:$G$120</definedName>
    <definedName name="childeTalentScalings">MVs!$B$909:$T$945</definedName>
    <definedName name="chongyunBaseStats">'Char Stats'!$A$121:$G$135</definedName>
    <definedName name="chongyunTalentScalings">MVs!$B$180:$T$200</definedName>
    <definedName name="dilucBaseStats">'Char Stats'!$A$136:$G$150</definedName>
    <definedName name="dilucTalentScalings">MVs!$B$201:$T$225</definedName>
    <definedName name="dionaBaseStats">'Char Stats'!$A$151:$G$165</definedName>
    <definedName name="dionaTalentScalings">MVs!$B$226:$T$250</definedName>
    <definedName name="emcBaseStats">'Char Stats'!$A$631:$G$645</definedName>
    <definedName name="emcTalentScalings">MVs!$B$251:$T$273</definedName>
    <definedName name="enemyAnemoRes">'Char 1'!$E$34</definedName>
    <definedName name="enemyCryoRes">'Char 1'!$E$32</definedName>
    <definedName name="enemyDendroRes">'Char 1'!$E$37</definedName>
    <definedName name="enemyElectroRes">'Char 1'!$E$33</definedName>
    <definedName name="enemyGeoRes">'Char 1'!$E$35</definedName>
    <definedName name="enemyHydroRes">'Char 1'!$E$31</definedName>
    <definedName name="enemyLevel">'Char 1'!$E$29</definedName>
    <definedName name="enemyPhysRes">'Char 1'!$E$36</definedName>
    <definedName name="enemyPyroRes">'Char 1'!$E$30</definedName>
    <definedName name="eulaBaseStats">'Char Stats'!$A$166:$F$180</definedName>
    <definedName name="eulaTalentScalings">MVs!$B$274:$T$300</definedName>
    <definedName name="fischlBaseStats">'Char Stats'!$A$181:$G$195</definedName>
    <definedName name="fischlTalentScalings">MVs!$B$301:$T$330</definedName>
    <definedName name="fiveStarArtiLevels">'Artifact Database'!$Y$16:$Y$36</definedName>
    <definedName name="fiveStarArtiStats">'Artifact Database'!$F$1:$W$22</definedName>
    <definedName name="fourStarArtiLevels">'Artifact Database'!$Z$16:$Z$32</definedName>
    <definedName name="fourStarArtiStats">'Artifact Database'!$F$23:$W$40</definedName>
    <definedName name="ganyuBaseStats">'Char Stats'!$A$196:$G$210</definedName>
    <definedName name="ganyuTalentScalings">MVs!$B$331:$T$355</definedName>
    <definedName name="gmcBaseStats">'Char Stats'!$A$601:$G$615</definedName>
    <definedName name="gmcTalentScalings">MVs!$B$356:$T$378</definedName>
    <definedName name="gorouBaseStats">'Char Stats'!$A$211:$G$225</definedName>
    <definedName name="gorouTalentscalings">MVs!$B$379:$T$403</definedName>
    <definedName name="hutaoBaseStats">'Char Stats'!$A$226:$G$240</definedName>
    <definedName name="hutaoTalentScalings">MVs!$B$404:$T$430</definedName>
    <definedName name="ittoBaseStats">'Char Stats'!$A$241:$F$255</definedName>
    <definedName name="ittoTalentScalings">MVs!$B$431:$T$452</definedName>
    <definedName name="jeanBaseStats">'Char Stats'!$A$256:$G$270</definedName>
    <definedName name="jeanTalentScalings">MVs!$B$453:$T$478</definedName>
    <definedName name="kaeyaBaseStats">'Char Stats'!$A$271:$G$285</definedName>
    <definedName name="kaeyaTalentScalings">MVs!$B$479:$T$501</definedName>
    <definedName name="kazuhaBaseStats">'Char Stats'!$A$721:$G$735</definedName>
    <definedName name="kazuhaTalentScalings">MVs!$B$502:$T$528</definedName>
    <definedName name="keqingBaseStats">'Char Stats'!$A$286:$G$300</definedName>
    <definedName name="keqingTalentScalings">MVs!$B$529:$T$556</definedName>
    <definedName name="kleeBaseStats">'Char Stats'!$A$301:$G$315</definedName>
    <definedName name="kleeTalentScalings">MVs!$B$557:$T$578</definedName>
    <definedName name="kokomiBaseStats">'Char Stats'!$A$316:$G$330</definedName>
    <definedName name="kokomiTalentScalings">MVs!$B$579:$T$607</definedName>
    <definedName name="lisaBaseStats">'Char Stats'!$A$331:$G$345</definedName>
    <definedName name="lisaTalentScalings">MVs!$B$608:$T$632</definedName>
    <definedName name="monaBaseStats">'Char Stats'!$A$346:$G$360</definedName>
    <definedName name="monaTalentScalings">MVs!$B$633:$T$653</definedName>
    <definedName name="mvLookupTable">MVs!$V$2:$Z$4</definedName>
    <definedName name="ningguangBaseStats">'Char Stats'!$A$361:$G$375</definedName>
    <definedName name="ningguangTalentScalings">MVs!$B$654:$T$671</definedName>
    <definedName name="noelleBaseStats">'Char Stats'!$A$376:$G$390</definedName>
    <definedName name="noelleTalentScalings">MVs!$B$672:$T$696</definedName>
    <definedName name="oneStarArtiLevels">'Artifact Database'!$AC$16:$AC$20</definedName>
    <definedName name="oneStarArtiStats">'Artifact Database'!$F$61:$W$66</definedName>
    <definedName name="qiqiBaseStats">'Char Stats'!$A$391:$G$405</definedName>
    <definedName name="qiqiTalentScalings">MVs!$B$697:$T$724</definedName>
    <definedName name="raidenBaseStats">'Char Stats'!$A$406:$G$420</definedName>
    <definedName name="raidenTalentScalings">MVs!$B$748:$T$782</definedName>
    <definedName name="razorBaseStats">'Char Stats'!$A$421:$G$435</definedName>
    <definedName name="razorTalentScalings">MVs!$B$725:$T$747</definedName>
    <definedName name="rosariaBaseStats">'Char Stats'!$A$436:$G$450</definedName>
    <definedName name="rosariaTalentScalings">MVs!$B$783:$T$807</definedName>
    <definedName name="saraBaseStats">'Char Stats'!$A$676:$G$690</definedName>
    <definedName name="saraTalentScalings">MVs!$B$808:$T$831</definedName>
    <definedName name="sayuBaseStats">'Char Stats'!$A$451:$G$465</definedName>
    <definedName name="sayuTalentScalings">MVs!$B$832:$T$863</definedName>
    <definedName name="shenheBaseStats">'Char Stats'!$A$661:$G$675</definedName>
    <definedName name="shenheTalentScalings">MVs!$B$864:$T$887</definedName>
    <definedName name="solver_adj" localSheetId="1" hidden="1">'Char 1'!$Z$26:$Z$35</definedName>
    <definedName name="solver_adj" localSheetId="2" hidden="1">'Char 2'!$Z$26:$Z$35</definedName>
    <definedName name="solver_adj" localSheetId="3" hidden="1">'Char 3'!$Z$26:$Z$35</definedName>
    <definedName name="solver_adj" localSheetId="4" hidden="1">'Char 4'!$Z$26:$Z$35</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2</definedName>
    <definedName name="solver_drv" localSheetId="2" hidden="1">1</definedName>
    <definedName name="solver_drv" localSheetId="3" hidden="1">1</definedName>
    <definedName name="solver_drv" localSheetId="4" hidden="1">2</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1" hidden="1">'Char 1'!$AF$14</definedName>
    <definedName name="solver_lhs1" localSheetId="2" hidden="1">'Char 2'!$AF$14</definedName>
    <definedName name="solver_lhs1" localSheetId="3" hidden="1">'Char 3'!$AF$14</definedName>
    <definedName name="solver_lhs1" localSheetId="4" hidden="1">'Char 4'!$AF$14</definedName>
    <definedName name="solver_lhs10" localSheetId="1" hidden="1">'Char 1'!$Z$28</definedName>
    <definedName name="solver_lhs10" localSheetId="2" hidden="1">'Char 2'!$Z$28</definedName>
    <definedName name="solver_lhs10" localSheetId="3" hidden="1">'Char 3'!$Z$28</definedName>
    <definedName name="solver_lhs10" localSheetId="4" hidden="1">'Char 4'!$Z$28</definedName>
    <definedName name="solver_lhs11" localSheetId="1" hidden="1">'Char 1'!$Z$28</definedName>
    <definedName name="solver_lhs11" localSheetId="2" hidden="1">'Char 2'!$Z$28</definedName>
    <definedName name="solver_lhs11" localSheetId="3" hidden="1">'Char 3'!$Z$28</definedName>
    <definedName name="solver_lhs11" localSheetId="4" hidden="1">'Char 4'!$Z$28</definedName>
    <definedName name="solver_lhs12" localSheetId="1" hidden="1">'Char 1'!$Z$29</definedName>
    <definedName name="solver_lhs12" localSheetId="2" hidden="1">'Char 2'!$Z$29</definedName>
    <definedName name="solver_lhs12" localSheetId="3" hidden="1">'Char 3'!$Z$29</definedName>
    <definedName name="solver_lhs12" localSheetId="4" hidden="1">'Char 4'!$Z$29</definedName>
    <definedName name="solver_lhs13" localSheetId="1" hidden="1">'Char 1'!$Z$29</definedName>
    <definedName name="solver_lhs13" localSheetId="2" hidden="1">'Char 2'!$Z$29</definedName>
    <definedName name="solver_lhs13" localSheetId="3" hidden="1">'Char 3'!$Z$29</definedName>
    <definedName name="solver_lhs13" localSheetId="4" hidden="1">'Char 4'!$Z$29</definedName>
    <definedName name="solver_lhs14" localSheetId="1" hidden="1">'Char 1'!$Z$29</definedName>
    <definedName name="solver_lhs14" localSheetId="2" hidden="1">'Char 2'!$Z$29</definedName>
    <definedName name="solver_lhs14" localSheetId="3" hidden="1">'Char 3'!$Z$29</definedName>
    <definedName name="solver_lhs14" localSheetId="4" hidden="1">'Char 4'!$Z$29</definedName>
    <definedName name="solver_lhs15" localSheetId="1" hidden="1">'Char 1'!$Z$30</definedName>
    <definedName name="solver_lhs15" localSheetId="2" hidden="1">'Char 2'!$Z$30</definedName>
    <definedName name="solver_lhs15" localSheetId="3" hidden="1">'Char 3'!$Z$30</definedName>
    <definedName name="solver_lhs15" localSheetId="4" hidden="1">'Char 4'!$Z$30</definedName>
    <definedName name="solver_lhs16" localSheetId="1" hidden="1">'Char 1'!$Z$30</definedName>
    <definedName name="solver_lhs16" localSheetId="2" hidden="1">'Char 2'!$Z$30</definedName>
    <definedName name="solver_lhs16" localSheetId="3" hidden="1">'Char 3'!$Z$30</definedName>
    <definedName name="solver_lhs16" localSheetId="4" hidden="1">'Char 4'!$Z$30</definedName>
    <definedName name="solver_lhs17" localSheetId="1" hidden="1">'Char 1'!$Z$30</definedName>
    <definedName name="solver_lhs17" localSheetId="2" hidden="1">'Char 2'!$Z$30</definedName>
    <definedName name="solver_lhs17" localSheetId="3" hidden="1">'Char 3'!$Z$30</definedName>
    <definedName name="solver_lhs17" localSheetId="4" hidden="1">'Char 4'!$Z$30</definedName>
    <definedName name="solver_lhs18" localSheetId="1" hidden="1">'Char 1'!$Z$31</definedName>
    <definedName name="solver_lhs18" localSheetId="2" hidden="1">'Char 2'!$Z$31</definedName>
    <definedName name="solver_lhs18" localSheetId="3" hidden="1">'Char 3'!$Z$31</definedName>
    <definedName name="solver_lhs18" localSheetId="4" hidden="1">'Char 4'!$Z$31</definedName>
    <definedName name="solver_lhs19" localSheetId="1" hidden="1">'Char 1'!$Z$31</definedName>
    <definedName name="solver_lhs19" localSheetId="2" hidden="1">'Char 2'!$Z$31</definedName>
    <definedName name="solver_lhs19" localSheetId="3" hidden="1">'Char 3'!$Z$31</definedName>
    <definedName name="solver_lhs19" localSheetId="4" hidden="1">'Char 4'!$Z$31</definedName>
    <definedName name="solver_lhs2" localSheetId="1" hidden="1">'Char 1'!$Z$25</definedName>
    <definedName name="solver_lhs2" localSheetId="2" hidden="1">'Char 2'!$Z$25</definedName>
    <definedName name="solver_lhs2" localSheetId="3" hidden="1">'Char 3'!$Z$25</definedName>
    <definedName name="solver_lhs2" localSheetId="4" hidden="1">'Char 4'!$Z$25</definedName>
    <definedName name="solver_lhs20" localSheetId="1" hidden="1">'Char 1'!$Z$31</definedName>
    <definedName name="solver_lhs20" localSheetId="2" hidden="1">'Char 2'!$Z$31</definedName>
    <definedName name="solver_lhs20" localSheetId="3" hidden="1">'Char 3'!$Z$31</definedName>
    <definedName name="solver_lhs20" localSheetId="4" hidden="1">'Char 4'!$Z$31</definedName>
    <definedName name="solver_lhs21" localSheetId="1" hidden="1">'Char 1'!$Z$32</definedName>
    <definedName name="solver_lhs21" localSheetId="2" hidden="1">'Char 2'!$Z$32</definedName>
    <definedName name="solver_lhs21" localSheetId="3" hidden="1">'Char 3'!$Z$32</definedName>
    <definedName name="solver_lhs21" localSheetId="4" hidden="1">'Char 4'!$Z$32</definedName>
    <definedName name="solver_lhs22" localSheetId="1" hidden="1">'Char 1'!$Z$32</definedName>
    <definedName name="solver_lhs22" localSheetId="2" hidden="1">'Char 2'!$Z$32</definedName>
    <definedName name="solver_lhs22" localSheetId="3" hidden="1">'Char 3'!$Z$32</definedName>
    <definedName name="solver_lhs22" localSheetId="4" hidden="1">'Char 4'!$Z$32</definedName>
    <definedName name="solver_lhs23" localSheetId="1" hidden="1">'Char 1'!$Z$32</definedName>
    <definedName name="solver_lhs23" localSheetId="2" hidden="1">'Char 2'!$Z$32</definedName>
    <definedName name="solver_lhs23" localSheetId="3" hidden="1">'Char 3'!$Z$32</definedName>
    <definedName name="solver_lhs23" localSheetId="4" hidden="1">'Char 4'!$Z$32</definedName>
    <definedName name="solver_lhs24" localSheetId="1" hidden="1">'Char 1'!$Z$33</definedName>
    <definedName name="solver_lhs24" localSheetId="2" hidden="1">'Char 2'!$Z$33</definedName>
    <definedName name="solver_lhs24" localSheetId="3" hidden="1">'Char 3'!$Z$33</definedName>
    <definedName name="solver_lhs24" localSheetId="4" hidden="1">'Char 4'!$Z$33</definedName>
    <definedName name="solver_lhs25" localSheetId="1" hidden="1">'Char 1'!$Z$33</definedName>
    <definedName name="solver_lhs25" localSheetId="2" hidden="1">'Char 2'!$Z$33</definedName>
    <definedName name="solver_lhs25" localSheetId="3" hidden="1">'Char 3'!$Z$33</definedName>
    <definedName name="solver_lhs25" localSheetId="4" hidden="1">'Char 4'!$Z$33</definedName>
    <definedName name="solver_lhs26" localSheetId="1" hidden="1">'Char 1'!$Z$33</definedName>
    <definedName name="solver_lhs26" localSheetId="2" hidden="1">'Char 2'!$Z$33</definedName>
    <definedName name="solver_lhs26" localSheetId="3" hidden="1">'Char 3'!$Z$33</definedName>
    <definedName name="solver_lhs26" localSheetId="4" hidden="1">'Char 4'!$Z$33</definedName>
    <definedName name="solver_lhs27" localSheetId="1" hidden="1">'Char 1'!$Z$34</definedName>
    <definedName name="solver_lhs27" localSheetId="2" hidden="1">'Char 2'!$Z$34</definedName>
    <definedName name="solver_lhs27" localSheetId="3" hidden="1">'Char 3'!$Z$34</definedName>
    <definedName name="solver_lhs27" localSheetId="4" hidden="1">'Char 4'!$Z$34</definedName>
    <definedName name="solver_lhs28" localSheetId="1" hidden="1">'Char 1'!$Z$34</definedName>
    <definedName name="solver_lhs28" localSheetId="2" hidden="1">'Char 2'!$Z$34</definedName>
    <definedName name="solver_lhs28" localSheetId="3" hidden="1">'Char 3'!$Z$34</definedName>
    <definedName name="solver_lhs28" localSheetId="4" hidden="1">'Char 4'!$Z$34</definedName>
    <definedName name="solver_lhs29" localSheetId="1" hidden="1">'Char 1'!$Z$34</definedName>
    <definedName name="solver_lhs29" localSheetId="2" hidden="1">'Char 2'!$Z$34</definedName>
    <definedName name="solver_lhs29" localSheetId="3" hidden="1">'Char 3'!$Z$34</definedName>
    <definedName name="solver_lhs29" localSheetId="4" hidden="1">'Char 4'!$Z$34</definedName>
    <definedName name="solver_lhs3" localSheetId="1" hidden="1">'Char 1'!$Z$26</definedName>
    <definedName name="solver_lhs3" localSheetId="2" hidden="1">'Char 2'!$Z$26</definedName>
    <definedName name="solver_lhs3" localSheetId="3" hidden="1">'Char 3'!$Z$26</definedName>
    <definedName name="solver_lhs3" localSheetId="4" hidden="1">'Char 4'!$Z$26</definedName>
    <definedName name="solver_lhs30" localSheetId="1" hidden="1">'Char 1'!$Z$35</definedName>
    <definedName name="solver_lhs30" localSheetId="2" hidden="1">'Char 2'!$Z$35</definedName>
    <definedName name="solver_lhs30" localSheetId="3" hidden="1">'Char 3'!$Z$35</definedName>
    <definedName name="solver_lhs30" localSheetId="4" hidden="1">'Char 4'!$Z$35</definedName>
    <definedName name="solver_lhs31" localSheetId="1" hidden="1">'Char 1'!$Z$35</definedName>
    <definedName name="solver_lhs31" localSheetId="2" hidden="1">'Char 2'!$Z$35</definedName>
    <definedName name="solver_lhs31" localSheetId="3" hidden="1">'Char 3'!$Z$35</definedName>
    <definedName name="solver_lhs31" localSheetId="4" hidden="1">'Char 4'!$Z$35</definedName>
    <definedName name="solver_lhs32" localSheetId="1" hidden="1">'Char 1'!$Z$35</definedName>
    <definedName name="solver_lhs32" localSheetId="2" hidden="1">'Char 2'!$Z$35</definedName>
    <definedName name="solver_lhs32" localSheetId="3" hidden="1">'Char 3'!$Z$35</definedName>
    <definedName name="solver_lhs32" localSheetId="4" hidden="1">'Char 4'!$Z$35</definedName>
    <definedName name="solver_lhs33" localSheetId="3" hidden="1">'Char 3'!$Z$35</definedName>
    <definedName name="solver_lhs4" localSheetId="1" hidden="1">'Char 1'!$Z$26</definedName>
    <definedName name="solver_lhs4" localSheetId="2" hidden="1">'Char 2'!$Z$26</definedName>
    <definedName name="solver_lhs4" localSheetId="3" hidden="1">'Char 3'!$Z$26</definedName>
    <definedName name="solver_lhs4" localSheetId="4" hidden="1">'Char 4'!$Z$26</definedName>
    <definedName name="solver_lhs5" localSheetId="1" hidden="1">'Char 1'!$Z$26</definedName>
    <definedName name="solver_lhs5" localSheetId="2" hidden="1">'Char 2'!$Z$26</definedName>
    <definedName name="solver_lhs5" localSheetId="3" hidden="1">'Char 3'!$Z$26</definedName>
    <definedName name="solver_lhs5" localSheetId="4" hidden="1">'Char 4'!$Z$26</definedName>
    <definedName name="solver_lhs6" localSheetId="1" hidden="1">'Char 1'!$Z$27</definedName>
    <definedName name="solver_lhs6" localSheetId="2" hidden="1">'Char 2'!$Z$27</definedName>
    <definedName name="solver_lhs6" localSheetId="3" hidden="1">'Char 3'!$Z$27</definedName>
    <definedName name="solver_lhs6" localSheetId="4" hidden="1">'Char 4'!$Z$27</definedName>
    <definedName name="solver_lhs7" localSheetId="1" hidden="1">'Char 1'!$Z$27</definedName>
    <definedName name="solver_lhs7" localSheetId="2" hidden="1">'Char 2'!$Z$27</definedName>
    <definedName name="solver_lhs7" localSheetId="3" hidden="1">'Char 3'!$Z$27</definedName>
    <definedName name="solver_lhs7" localSheetId="4" hidden="1">'Char 4'!$Z$27</definedName>
    <definedName name="solver_lhs8" localSheetId="1" hidden="1">'Char 1'!$Z$27</definedName>
    <definedName name="solver_lhs8" localSheetId="2" hidden="1">'Char 2'!$Z$27</definedName>
    <definedName name="solver_lhs8" localSheetId="3" hidden="1">'Char 3'!$Z$27</definedName>
    <definedName name="solver_lhs8" localSheetId="4" hidden="1">'Char 4'!$Z$27</definedName>
    <definedName name="solver_lhs9" localSheetId="1" hidden="1">'Char 1'!$Z$28</definedName>
    <definedName name="solver_lhs9" localSheetId="2" hidden="1">'Char 2'!$Z$28</definedName>
    <definedName name="solver_lhs9" localSheetId="3" hidden="1">'Char 3'!$Z$28</definedName>
    <definedName name="solver_lhs9" localSheetId="4" hidden="1">'Char 4'!$Z$28</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1" hidden="1">32</definedName>
    <definedName name="solver_num" localSheetId="2" hidden="1">32</definedName>
    <definedName name="solver_num" localSheetId="3" hidden="1">32</definedName>
    <definedName name="solver_num" localSheetId="4" hidden="1">32</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1" hidden="1">'Char 1'!$AF$5</definedName>
    <definedName name="solver_opt" localSheetId="2" hidden="1">'Char 2'!$AF$5</definedName>
    <definedName name="solver_opt" localSheetId="3" hidden="1">'Char 3'!$AF$5</definedName>
    <definedName name="solver_opt" localSheetId="4" hidden="1">'Char 4'!$AF$5</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1" hidden="1">2</definedName>
    <definedName name="solver_rbv" localSheetId="2" hidden="1">1</definedName>
    <definedName name="solver_rbv" localSheetId="3" hidden="1">1</definedName>
    <definedName name="solver_rbv" localSheetId="4" hidden="1">2</definedName>
    <definedName name="solver_rel1" localSheetId="1" hidden="1">3</definedName>
    <definedName name="solver_rel1" localSheetId="2" hidden="1">3</definedName>
    <definedName name="solver_rel1" localSheetId="3" hidden="1">3</definedName>
    <definedName name="solver_rel1" localSheetId="4" hidden="1">3</definedName>
    <definedName name="solver_rel10" localSheetId="1" hidden="1">4</definedName>
    <definedName name="solver_rel10" localSheetId="2" hidden="1">4</definedName>
    <definedName name="solver_rel10" localSheetId="3" hidden="1">4</definedName>
    <definedName name="solver_rel10" localSheetId="4" hidden="1">4</definedName>
    <definedName name="solver_rel11" localSheetId="1" hidden="1">3</definedName>
    <definedName name="solver_rel11" localSheetId="2" hidden="1">3</definedName>
    <definedName name="solver_rel11" localSheetId="3" hidden="1">3</definedName>
    <definedName name="solver_rel11" localSheetId="4" hidden="1">3</definedName>
    <definedName name="solver_rel12" localSheetId="1" hidden="1">1</definedName>
    <definedName name="solver_rel12" localSheetId="2" hidden="1">1</definedName>
    <definedName name="solver_rel12" localSheetId="3" hidden="1">1</definedName>
    <definedName name="solver_rel12" localSheetId="4" hidden="1">1</definedName>
    <definedName name="solver_rel13" localSheetId="1" hidden="1">4</definedName>
    <definedName name="solver_rel13" localSheetId="2" hidden="1">4</definedName>
    <definedName name="solver_rel13" localSheetId="3" hidden="1">4</definedName>
    <definedName name="solver_rel13" localSheetId="4" hidden="1">4</definedName>
    <definedName name="solver_rel14" localSheetId="1" hidden="1">3</definedName>
    <definedName name="solver_rel14" localSheetId="2" hidden="1">3</definedName>
    <definedName name="solver_rel14" localSheetId="3" hidden="1">3</definedName>
    <definedName name="solver_rel14" localSheetId="4" hidden="1">3</definedName>
    <definedName name="solver_rel15" localSheetId="1" hidden="1">1</definedName>
    <definedName name="solver_rel15" localSheetId="2" hidden="1">1</definedName>
    <definedName name="solver_rel15" localSheetId="3" hidden="1">1</definedName>
    <definedName name="solver_rel15" localSheetId="4" hidden="1">1</definedName>
    <definedName name="solver_rel16" localSheetId="1" hidden="1">4</definedName>
    <definedName name="solver_rel16" localSheetId="2" hidden="1">4</definedName>
    <definedName name="solver_rel16" localSheetId="3" hidden="1">4</definedName>
    <definedName name="solver_rel16" localSheetId="4" hidden="1">4</definedName>
    <definedName name="solver_rel17" localSheetId="1" hidden="1">3</definedName>
    <definedName name="solver_rel17" localSheetId="2" hidden="1">3</definedName>
    <definedName name="solver_rel17" localSheetId="3" hidden="1">3</definedName>
    <definedName name="solver_rel17" localSheetId="4" hidden="1">3</definedName>
    <definedName name="solver_rel18" localSheetId="1" hidden="1">1</definedName>
    <definedName name="solver_rel18" localSheetId="2" hidden="1">1</definedName>
    <definedName name="solver_rel18" localSheetId="3" hidden="1">1</definedName>
    <definedName name="solver_rel18" localSheetId="4" hidden="1">1</definedName>
    <definedName name="solver_rel19" localSheetId="1" hidden="1">4</definedName>
    <definedName name="solver_rel19" localSheetId="2" hidden="1">4</definedName>
    <definedName name="solver_rel19" localSheetId="3" hidden="1">4</definedName>
    <definedName name="solver_rel19" localSheetId="4" hidden="1">4</definedName>
    <definedName name="solver_rel2" localSheetId="1" hidden="1">1</definedName>
    <definedName name="solver_rel2" localSheetId="2" hidden="1">1</definedName>
    <definedName name="solver_rel2" localSheetId="3" hidden="1">1</definedName>
    <definedName name="solver_rel2" localSheetId="4" hidden="1">1</definedName>
    <definedName name="solver_rel20" localSheetId="1" hidden="1">3</definedName>
    <definedName name="solver_rel20" localSheetId="2" hidden="1">3</definedName>
    <definedName name="solver_rel20" localSheetId="3" hidden="1">3</definedName>
    <definedName name="solver_rel20" localSheetId="4" hidden="1">3</definedName>
    <definedName name="solver_rel21" localSheetId="1" hidden="1">1</definedName>
    <definedName name="solver_rel21" localSheetId="2" hidden="1">1</definedName>
    <definedName name="solver_rel21" localSheetId="3" hidden="1">1</definedName>
    <definedName name="solver_rel21" localSheetId="4" hidden="1">1</definedName>
    <definedName name="solver_rel22" localSheetId="1" hidden="1">4</definedName>
    <definedName name="solver_rel22" localSheetId="2" hidden="1">4</definedName>
    <definedName name="solver_rel22" localSheetId="3" hidden="1">4</definedName>
    <definedName name="solver_rel22" localSheetId="4" hidden="1">4</definedName>
    <definedName name="solver_rel23" localSheetId="1" hidden="1">3</definedName>
    <definedName name="solver_rel23" localSheetId="2" hidden="1">3</definedName>
    <definedName name="solver_rel23" localSheetId="3" hidden="1">3</definedName>
    <definedName name="solver_rel23" localSheetId="4" hidden="1">3</definedName>
    <definedName name="solver_rel24" localSheetId="1" hidden="1">1</definedName>
    <definedName name="solver_rel24" localSheetId="2" hidden="1">1</definedName>
    <definedName name="solver_rel24" localSheetId="3" hidden="1">1</definedName>
    <definedName name="solver_rel24" localSheetId="4" hidden="1">1</definedName>
    <definedName name="solver_rel25" localSheetId="1" hidden="1">4</definedName>
    <definedName name="solver_rel25" localSheetId="2" hidden="1">4</definedName>
    <definedName name="solver_rel25" localSheetId="3" hidden="1">4</definedName>
    <definedName name="solver_rel25" localSheetId="4" hidden="1">4</definedName>
    <definedName name="solver_rel26" localSheetId="1" hidden="1">3</definedName>
    <definedName name="solver_rel26" localSheetId="2" hidden="1">3</definedName>
    <definedName name="solver_rel26" localSheetId="3" hidden="1">3</definedName>
    <definedName name="solver_rel26" localSheetId="4" hidden="1">3</definedName>
    <definedName name="solver_rel27" localSheetId="1" hidden="1">1</definedName>
    <definedName name="solver_rel27" localSheetId="2" hidden="1">1</definedName>
    <definedName name="solver_rel27" localSheetId="3" hidden="1">1</definedName>
    <definedName name="solver_rel27" localSheetId="4" hidden="1">1</definedName>
    <definedName name="solver_rel28" localSheetId="1" hidden="1">4</definedName>
    <definedName name="solver_rel28" localSheetId="2" hidden="1">4</definedName>
    <definedName name="solver_rel28" localSheetId="3" hidden="1">4</definedName>
    <definedName name="solver_rel28" localSheetId="4" hidden="1">4</definedName>
    <definedName name="solver_rel29" localSheetId="1" hidden="1">3</definedName>
    <definedName name="solver_rel29" localSheetId="2" hidden="1">3</definedName>
    <definedName name="solver_rel29" localSheetId="3" hidden="1">3</definedName>
    <definedName name="solver_rel29" localSheetId="4" hidden="1">3</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0" localSheetId="1" hidden="1">1</definedName>
    <definedName name="solver_rel30" localSheetId="2" hidden="1">1</definedName>
    <definedName name="solver_rel30" localSheetId="3" hidden="1">1</definedName>
    <definedName name="solver_rel30" localSheetId="4" hidden="1">1</definedName>
    <definedName name="solver_rel31" localSheetId="1" hidden="1">4</definedName>
    <definedName name="solver_rel31" localSheetId="2" hidden="1">4</definedName>
    <definedName name="solver_rel31" localSheetId="3" hidden="1">4</definedName>
    <definedName name="solver_rel31" localSheetId="4" hidden="1">4</definedName>
    <definedName name="solver_rel32" localSheetId="1" hidden="1">3</definedName>
    <definedName name="solver_rel32" localSheetId="2" hidden="1">3</definedName>
    <definedName name="solver_rel32" localSheetId="3" hidden="1">3</definedName>
    <definedName name="solver_rel32" localSheetId="4" hidden="1">3</definedName>
    <definedName name="solver_rel33" localSheetId="3" hidden="1">3</definedName>
    <definedName name="solver_rel4" localSheetId="1" hidden="1">4</definedName>
    <definedName name="solver_rel4" localSheetId="2" hidden="1">4</definedName>
    <definedName name="solver_rel4" localSheetId="3" hidden="1">4</definedName>
    <definedName name="solver_rel4" localSheetId="4" hidden="1">4</definedName>
    <definedName name="solver_rel5" localSheetId="1" hidden="1">3</definedName>
    <definedName name="solver_rel5" localSheetId="2" hidden="1">3</definedName>
    <definedName name="solver_rel5" localSheetId="3" hidden="1">3</definedName>
    <definedName name="solver_rel5" localSheetId="4" hidden="1">3</definedName>
    <definedName name="solver_rel6" localSheetId="1" hidden="1">1</definedName>
    <definedName name="solver_rel6" localSheetId="2" hidden="1">1</definedName>
    <definedName name="solver_rel6" localSheetId="3" hidden="1">1</definedName>
    <definedName name="solver_rel6" localSheetId="4" hidden="1">1</definedName>
    <definedName name="solver_rel7" localSheetId="1" hidden="1">4</definedName>
    <definedName name="solver_rel7" localSheetId="2" hidden="1">4</definedName>
    <definedName name="solver_rel7" localSheetId="3" hidden="1">4</definedName>
    <definedName name="solver_rel7" localSheetId="4" hidden="1">4</definedName>
    <definedName name="solver_rel8" localSheetId="1" hidden="1">3</definedName>
    <definedName name="solver_rel8" localSheetId="2" hidden="1">3</definedName>
    <definedName name="solver_rel8" localSheetId="3" hidden="1">3</definedName>
    <definedName name="solver_rel8" localSheetId="4" hidden="1">3</definedName>
    <definedName name="solver_rel9" localSheetId="1" hidden="1">1</definedName>
    <definedName name="solver_rel9" localSheetId="2" hidden="1">1</definedName>
    <definedName name="solver_rel9" localSheetId="3" hidden="1">1</definedName>
    <definedName name="solver_rel9" localSheetId="4" hidden="1">1</definedName>
    <definedName name="solver_rhs1" localSheetId="1" hidden="1">'Char 1'!$Z$8</definedName>
    <definedName name="solver_rhs1" localSheetId="2" hidden="1">'Char 2'!$Z$8</definedName>
    <definedName name="solver_rhs1" localSheetId="3" hidden="1">'Char 3'!$Z$8</definedName>
    <definedName name="solver_rhs1" localSheetId="4" hidden="1">'Char 4'!$Z$8</definedName>
    <definedName name="solver_rhs10" localSheetId="1" hidden="1">"integer"</definedName>
    <definedName name="solver_rhs10" localSheetId="2" hidden="1">"integer"</definedName>
    <definedName name="solver_rhs10" localSheetId="3" hidden="1">"integer"</definedName>
    <definedName name="solver_rhs10" localSheetId="4" hidden="1">"integer"</definedName>
    <definedName name="solver_rhs11" localSheetId="1" hidden="1">'Char 1'!$Z$9</definedName>
    <definedName name="solver_rhs11" localSheetId="2" hidden="1">'Char 2'!$Z$9</definedName>
    <definedName name="solver_rhs11" localSheetId="3" hidden="1">'Char 3'!$Z$9</definedName>
    <definedName name="solver_rhs11" localSheetId="4" hidden="1">'Char 4'!$Z$9</definedName>
    <definedName name="solver_rhs12" localSheetId="1" hidden="1">'Char 1'!$Z$13</definedName>
    <definedName name="solver_rhs12" localSheetId="2" hidden="1">'Char 2'!$Z$13</definedName>
    <definedName name="solver_rhs12" localSheetId="3" hidden="1">'Char 3'!$Z$13</definedName>
    <definedName name="solver_rhs12" localSheetId="4" hidden="1">'Char 4'!$Z$13</definedName>
    <definedName name="solver_rhs13" localSheetId="1" hidden="1">"integer"</definedName>
    <definedName name="solver_rhs13" localSheetId="2" hidden="1">"integer"</definedName>
    <definedName name="solver_rhs13" localSheetId="3" hidden="1">"integer"</definedName>
    <definedName name="solver_rhs13" localSheetId="4" hidden="1">"integer"</definedName>
    <definedName name="solver_rhs14" localSheetId="1" hidden="1">'Char 1'!$Z$9</definedName>
    <definedName name="solver_rhs14" localSheetId="2" hidden="1">'Char 2'!$Z$9</definedName>
    <definedName name="solver_rhs14" localSheetId="3" hidden="1">'Char 3'!$Z$9</definedName>
    <definedName name="solver_rhs14" localSheetId="4" hidden="1">'Char 4'!$Z$9</definedName>
    <definedName name="solver_rhs15" localSheetId="1" hidden="1">'Char 1'!$Z$14</definedName>
    <definedName name="solver_rhs15" localSheetId="2" hidden="1">'Char 2'!$Z$14</definedName>
    <definedName name="solver_rhs15" localSheetId="3" hidden="1">'Char 3'!$Z$14</definedName>
    <definedName name="solver_rhs15" localSheetId="4" hidden="1">'Char 4'!$Z$14</definedName>
    <definedName name="solver_rhs16" localSheetId="1" hidden="1">"integer"</definedName>
    <definedName name="solver_rhs16" localSheetId="2" hidden="1">"integer"</definedName>
    <definedName name="solver_rhs16" localSheetId="3" hidden="1">"integer"</definedName>
    <definedName name="solver_rhs16" localSheetId="4" hidden="1">"integer"</definedName>
    <definedName name="solver_rhs17" localSheetId="1" hidden="1">'Char 1'!$Z$9</definedName>
    <definedName name="solver_rhs17" localSheetId="2" hidden="1">'Char 2'!$Z$9</definedName>
    <definedName name="solver_rhs17" localSheetId="3" hidden="1">'Char 3'!$Z$9</definedName>
    <definedName name="solver_rhs17" localSheetId="4" hidden="1">'Char 4'!$Z$9</definedName>
    <definedName name="solver_rhs18" localSheetId="1" hidden="1">'Char 1'!$Z$15</definedName>
    <definedName name="solver_rhs18" localSheetId="2" hidden="1">'Char 2'!$Z$15</definedName>
    <definedName name="solver_rhs18" localSheetId="3" hidden="1">'Char 3'!$Z$15</definedName>
    <definedName name="solver_rhs18" localSheetId="4" hidden="1">'Char 4'!$Z$15</definedName>
    <definedName name="solver_rhs19" localSheetId="1" hidden="1">"integer"</definedName>
    <definedName name="solver_rhs19" localSheetId="2" hidden="1">"integer"</definedName>
    <definedName name="solver_rhs19" localSheetId="3" hidden="1">"integer"</definedName>
    <definedName name="solver_rhs19" localSheetId="4" hidden="1">"integer"</definedName>
    <definedName name="solver_rhs2" localSheetId="1" hidden="1">'Char 1'!$Z$5</definedName>
    <definedName name="solver_rhs2" localSheetId="2" hidden="1">'Char 2'!$Z$5</definedName>
    <definedName name="solver_rhs2" localSheetId="3" hidden="1">'Char 3'!$Z$5</definedName>
    <definedName name="solver_rhs2" localSheetId="4" hidden="1">'Char 4'!$Z$5</definedName>
    <definedName name="solver_rhs20" localSheetId="1" hidden="1">'Char 1'!$Z$9</definedName>
    <definedName name="solver_rhs20" localSheetId="2" hidden="1">'Char 2'!$Z$9</definedName>
    <definedName name="solver_rhs20" localSheetId="3" hidden="1">'Char 3'!$Z$9</definedName>
    <definedName name="solver_rhs20" localSheetId="4" hidden="1">'Char 4'!$Z$9</definedName>
    <definedName name="solver_rhs21" localSheetId="1" hidden="1">'Char 1'!$Z$16</definedName>
    <definedName name="solver_rhs21" localSheetId="2" hidden="1">'Char 2'!$Z$16</definedName>
    <definedName name="solver_rhs21" localSheetId="3" hidden="1">'Char 3'!$Z$16</definedName>
    <definedName name="solver_rhs21" localSheetId="4" hidden="1">'Char 4'!$Z$16</definedName>
    <definedName name="solver_rhs22" localSheetId="1" hidden="1">"integer"</definedName>
    <definedName name="solver_rhs22" localSheetId="2" hidden="1">"integer"</definedName>
    <definedName name="solver_rhs22" localSheetId="3" hidden="1">"integer"</definedName>
    <definedName name="solver_rhs22" localSheetId="4" hidden="1">"integer"</definedName>
    <definedName name="solver_rhs23" localSheetId="1" hidden="1">'Char 1'!$Z$9</definedName>
    <definedName name="solver_rhs23" localSheetId="2" hidden="1">'Char 2'!$Z$9</definedName>
    <definedName name="solver_rhs23" localSheetId="3" hidden="1">'Char 3'!$Z$9</definedName>
    <definedName name="solver_rhs23" localSheetId="4" hidden="1">'Char 4'!$Z$9</definedName>
    <definedName name="solver_rhs24" localSheetId="1" hidden="1">'Char 1'!$Z$17</definedName>
    <definedName name="solver_rhs24" localSheetId="2" hidden="1">'Char 2'!$Z$17</definedName>
    <definedName name="solver_rhs24" localSheetId="3" hidden="1">'Char 3'!$Z$17</definedName>
    <definedName name="solver_rhs24" localSheetId="4" hidden="1">'Char 4'!$Z$17</definedName>
    <definedName name="solver_rhs25" localSheetId="1" hidden="1">"integer"</definedName>
    <definedName name="solver_rhs25" localSheetId="2" hidden="1">"integer"</definedName>
    <definedName name="solver_rhs25" localSheetId="3" hidden="1">"integer"</definedName>
    <definedName name="solver_rhs25" localSheetId="4" hidden="1">"integer"</definedName>
    <definedName name="solver_rhs26" localSheetId="1" hidden="1">'Char 1'!$Z$9</definedName>
    <definedName name="solver_rhs26" localSheetId="2" hidden="1">'Char 2'!$Z$9</definedName>
    <definedName name="solver_rhs26" localSheetId="3" hidden="1">'Char 3'!$Z$9</definedName>
    <definedName name="solver_rhs26" localSheetId="4" hidden="1">'Char 4'!$Z$9</definedName>
    <definedName name="solver_rhs27" localSheetId="1" hidden="1">'Char 1'!$Z$18</definedName>
    <definedName name="solver_rhs27" localSheetId="2" hidden="1">'Char 2'!$Z$18</definedName>
    <definedName name="solver_rhs27" localSheetId="3" hidden="1">'Char 3'!$Z$18</definedName>
    <definedName name="solver_rhs27" localSheetId="4" hidden="1">'Char 4'!$Z$18</definedName>
    <definedName name="solver_rhs28" localSheetId="1" hidden="1">"integer"</definedName>
    <definedName name="solver_rhs28" localSheetId="2" hidden="1">"integer"</definedName>
    <definedName name="solver_rhs28" localSheetId="3" hidden="1">"integer"</definedName>
    <definedName name="solver_rhs28" localSheetId="4" hidden="1">"integer"</definedName>
    <definedName name="solver_rhs29" localSheetId="1" hidden="1">'Char 1'!$Z$9</definedName>
    <definedName name="solver_rhs29" localSheetId="2" hidden="1">'Char 2'!$Z$9</definedName>
    <definedName name="solver_rhs29" localSheetId="3" hidden="1">'Char 3'!$Z$9</definedName>
    <definedName name="solver_rhs29" localSheetId="4" hidden="1">'Char 4'!$Z$9</definedName>
    <definedName name="solver_rhs3" localSheetId="1" hidden="1">'Char 1'!$Z$10</definedName>
    <definedName name="solver_rhs3" localSheetId="2" hidden="1">'Char 2'!$Z$10</definedName>
    <definedName name="solver_rhs3" localSheetId="3" hidden="1">'Char 3'!$Z$10</definedName>
    <definedName name="solver_rhs3" localSheetId="4" hidden="1">'Char 4'!$Z$10</definedName>
    <definedName name="solver_rhs30" localSheetId="1" hidden="1">'Char 1'!$Z$19</definedName>
    <definedName name="solver_rhs30" localSheetId="2" hidden="1">'Char 2'!$Z$19</definedName>
    <definedName name="solver_rhs30" localSheetId="3" hidden="1">'Char 3'!$Z$19</definedName>
    <definedName name="solver_rhs30" localSheetId="4" hidden="1">'Char 4'!$Z$19</definedName>
    <definedName name="solver_rhs31" localSheetId="1" hidden="1">"integer"</definedName>
    <definedName name="solver_rhs31" localSheetId="2" hidden="1">"integer"</definedName>
    <definedName name="solver_rhs31" localSheetId="3" hidden="1">"integer"</definedName>
    <definedName name="solver_rhs31" localSheetId="4" hidden="1">"integer"</definedName>
    <definedName name="solver_rhs32" localSheetId="1" hidden="1">'Char 1'!$Z$9</definedName>
    <definedName name="solver_rhs32" localSheetId="2" hidden="1">'Char 2'!$Z$9</definedName>
    <definedName name="solver_rhs32" localSheetId="3" hidden="1">'Char 3'!$Z$9</definedName>
    <definedName name="solver_rhs32" localSheetId="4" hidden="1">'Char 4'!$Z$9</definedName>
    <definedName name="solver_rhs33" localSheetId="3" hidden="1">'Char 3'!$Z$9</definedName>
    <definedName name="solver_rhs4" localSheetId="1" hidden="1">"integer"</definedName>
    <definedName name="solver_rhs4" localSheetId="2" hidden="1">"integer"</definedName>
    <definedName name="solver_rhs4" localSheetId="3" hidden="1">"integer"</definedName>
    <definedName name="solver_rhs4" localSheetId="4" hidden="1">"integer"</definedName>
    <definedName name="solver_rhs5" localSheetId="1" hidden="1">'Char 1'!$Z$9</definedName>
    <definedName name="solver_rhs5" localSheetId="2" hidden="1">'Char 2'!$Z$9</definedName>
    <definedName name="solver_rhs5" localSheetId="3" hidden="1">'Char 3'!$Z$9</definedName>
    <definedName name="solver_rhs5" localSheetId="4" hidden="1">'Char 4'!$Z$9</definedName>
    <definedName name="solver_rhs6" localSheetId="1" hidden="1">'Char 1'!$Z$11</definedName>
    <definedName name="solver_rhs6" localSheetId="2" hidden="1">'Char 2'!$Z$11</definedName>
    <definedName name="solver_rhs6" localSheetId="3" hidden="1">'Char 3'!$Z$11</definedName>
    <definedName name="solver_rhs6" localSheetId="4" hidden="1">'Char 4'!$Z$11</definedName>
    <definedName name="solver_rhs7" localSheetId="1" hidden="1">"integer"</definedName>
    <definedName name="solver_rhs7" localSheetId="2" hidden="1">"integer"</definedName>
    <definedName name="solver_rhs7" localSheetId="3" hidden="1">"integer"</definedName>
    <definedName name="solver_rhs7" localSheetId="4" hidden="1">"integer"</definedName>
    <definedName name="solver_rhs8" localSheetId="1" hidden="1">'Char 1'!$Z$9</definedName>
    <definedName name="solver_rhs8" localSheetId="2" hidden="1">'Char 2'!$Z$9</definedName>
    <definedName name="solver_rhs8" localSheetId="3" hidden="1">'Char 3'!$Z$9</definedName>
    <definedName name="solver_rhs8" localSheetId="4" hidden="1">'Char 4'!$Z$9</definedName>
    <definedName name="solver_rhs9" localSheetId="1" hidden="1">'Char 1'!$Z$12</definedName>
    <definedName name="solver_rhs9" localSheetId="2" hidden="1">'Char 2'!$Z$12</definedName>
    <definedName name="solver_rhs9" localSheetId="3" hidden="1">'Char 3'!$Z$12</definedName>
    <definedName name="solver_rhs9" localSheetId="4" hidden="1">'Char 4'!$Z$12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1" hidden="1">2</definedName>
    <definedName name="solver_scl" localSheetId="2" hidden="1">1</definedName>
    <definedName name="solver_scl" localSheetId="3" hidden="1">1</definedName>
    <definedName name="solver_scl" localSheetId="4"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1" hidden="1">3</definedName>
    <definedName name="solver_ver" localSheetId="2" hidden="1">3</definedName>
    <definedName name="solver_ver" localSheetId="3" hidden="1">3</definedName>
    <definedName name="solver_ver" localSheetId="4" hidden="1">3</definedName>
    <definedName name="sucroseBaseStats">'Char Stats'!$A$466:$G$480</definedName>
    <definedName name="sucroseTalentScalings">MVs!$B$888:$T$908</definedName>
    <definedName name="thomaBaseStats">'Char Stats'!$A$646:$G$660</definedName>
    <definedName name="thomaTalentScalings">MVs!$B$946:$T$967</definedName>
    <definedName name="threeStarArtiLevels">'Artifact Database'!$AA$16:$AA$28</definedName>
    <definedName name="threeStarArtiStats">'Artifact Database'!$F$41:$W$54</definedName>
    <definedName name="twoStarArtiLevels">'Artifact Database'!$AB$16:$AB$20</definedName>
    <definedName name="twoStarArtiStats">'Artifact Database'!$F$55:$W$60</definedName>
    <definedName name="ventiBaseStats">'Char Stats'!$A$481:$G$495</definedName>
    <definedName name="ventiTalentScalings">MVs!$B$968:$T$994</definedName>
    <definedName name="weapProcTable">'Data Val'!$I$7:$M$10</definedName>
    <definedName name="xianglingBaseStats">'Char Stats'!$A$496:$G$510</definedName>
    <definedName name="xianglingTalentScalings">MVs!$B$995:$T$1019</definedName>
    <definedName name="xiaoBaseStats">'Char Stats'!$A$511:$G$525</definedName>
    <definedName name="xiaoTalentScalings">MVs!$B$1020:$T$1040</definedName>
    <definedName name="xingqiuBaseStats">'Char Stats'!$A$526:$G$540</definedName>
    <definedName name="xingqiuTalentScalings">MVs!$B$1041:$T$1066</definedName>
    <definedName name="xinyanBaseStats">'Char Stats'!$A$541:$G$555</definedName>
    <definedName name="xinyanTalentScalings">MVs!$B$1067:$T$1090</definedName>
    <definedName name="yaeBaseStats">'Char Stats'!$A$706:$F$720</definedName>
    <definedName name="yaeTalentScalings">MVs!$B$1091:$T$1113</definedName>
    <definedName name="yanfeiBaseStats">'Char Stats'!$A$556:$G$570</definedName>
    <definedName name="yanfeiTalentScalings">MVs!$B$1114:$T$1137</definedName>
    <definedName name="yoimiyaBaseStats">'Char Stats'!$A$571:$G$585</definedName>
    <definedName name="yoimiyaTalentScalings">MVs!$B$1138:$T$1165</definedName>
    <definedName name="yunjinBaseStats">'Char Stats'!$A$691:$G$705</definedName>
    <definedName name="yunjinTalentScalings">MVs!$B$1166:$T$1190</definedName>
    <definedName name="zhongliBaseStats">'Char Stats'!$A$586:$G$600</definedName>
    <definedName name="zhongliTalentScalings">MVs!$B$1191:$T$1219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17" i="6" l="1"/>
  <c r="E316" i="6"/>
  <c r="E315" i="6"/>
  <c r="C320" i="6"/>
  <c r="C2" i="22"/>
  <c r="AI279" i="6"/>
  <c r="AI278" i="6"/>
  <c r="AI280" i="6" s="1"/>
  <c r="AI271" i="6"/>
  <c r="AI272" i="6" s="1"/>
  <c r="AI266" i="6"/>
  <c r="AI258" i="6"/>
  <c r="AI252" i="6"/>
  <c r="AI251" i="6"/>
  <c r="AI196" i="6"/>
  <c r="AI204" i="6" s="1"/>
  <c r="AI195" i="6"/>
  <c r="AI203" i="6" s="1"/>
  <c r="AI194" i="6"/>
  <c r="AI202" i="6" s="1"/>
  <c r="AI85" i="6"/>
  <c r="AI84" i="6"/>
  <c r="AI83" i="6"/>
  <c r="AI82" i="6"/>
  <c r="AI193" i="6" s="1"/>
  <c r="AI201" i="6" s="1"/>
  <c r="AI81" i="6"/>
  <c r="AI192" i="6" s="1"/>
  <c r="AI200" i="6" s="1"/>
  <c r="AI80" i="6"/>
  <c r="AI191" i="6" s="1"/>
  <c r="AI199" i="6" s="1"/>
  <c r="AI79" i="6"/>
  <c r="AI190" i="6" s="1"/>
  <c r="AI198" i="6" s="1"/>
  <c r="AI288" i="6" s="1"/>
  <c r="AI290" i="6" s="1"/>
  <c r="AI32" i="6"/>
  <c r="AI220" i="6" s="1"/>
  <c r="AH279" i="6"/>
  <c r="AH278" i="6"/>
  <c r="AH280" i="6" s="1"/>
  <c r="AH271" i="6"/>
  <c r="AH272" i="6" s="1"/>
  <c r="AH266" i="6"/>
  <c r="AH258" i="6"/>
  <c r="AH252" i="6"/>
  <c r="AH251" i="6"/>
  <c r="AH221" i="6"/>
  <c r="AH191" i="6"/>
  <c r="AH199" i="6" s="1"/>
  <c r="AH85" i="6"/>
  <c r="AH196" i="6" s="1"/>
  <c r="AH204" i="6" s="1"/>
  <c r="AH84" i="6"/>
  <c r="AH195" i="6" s="1"/>
  <c r="AH203" i="6" s="1"/>
  <c r="AH83" i="6"/>
  <c r="AH194" i="6" s="1"/>
  <c r="AH202" i="6" s="1"/>
  <c r="AH82" i="6"/>
  <c r="AH193" i="6" s="1"/>
  <c r="AH201" i="6" s="1"/>
  <c r="AH81" i="6"/>
  <c r="AH192" i="6" s="1"/>
  <c r="AH200" i="6" s="1"/>
  <c r="AH80" i="6"/>
  <c r="AH79" i="6"/>
  <c r="AH190" i="6" s="1"/>
  <c r="AH198" i="6" s="1"/>
  <c r="AH288" i="6" s="1"/>
  <c r="AH290" i="6" s="1"/>
  <c r="AH32" i="6"/>
  <c r="AH220" i="6" s="1"/>
  <c r="AH3" i="6"/>
  <c r="AG279" i="6"/>
  <c r="AG278" i="6"/>
  <c r="AG280" i="6" s="1"/>
  <c r="AG271" i="6"/>
  <c r="AG272" i="6" s="1"/>
  <c r="AG266" i="6"/>
  <c r="AG258" i="6"/>
  <c r="AG252" i="6"/>
  <c r="AG251" i="6"/>
  <c r="AG196" i="6"/>
  <c r="AG204" i="6" s="1"/>
  <c r="AG195" i="6"/>
  <c r="AG203" i="6" s="1"/>
  <c r="AG194" i="6"/>
  <c r="AG202" i="6" s="1"/>
  <c r="AG85" i="6"/>
  <c r="AG84" i="6"/>
  <c r="AG83" i="6"/>
  <c r="AG82" i="6"/>
  <c r="AG193" i="6" s="1"/>
  <c r="AG201" i="6" s="1"/>
  <c r="AG81" i="6"/>
  <c r="AG192" i="6" s="1"/>
  <c r="AG200" i="6" s="1"/>
  <c r="AG80" i="6"/>
  <c r="AG191" i="6" s="1"/>
  <c r="AG199" i="6" s="1"/>
  <c r="AG79" i="6"/>
  <c r="AG190" i="6" s="1"/>
  <c r="AG198" i="6" s="1"/>
  <c r="AG288" i="6" s="1"/>
  <c r="AG290" i="6" s="1"/>
  <c r="AG32" i="6"/>
  <c r="AG220" i="6" s="1"/>
  <c r="AA279" i="6"/>
  <c r="AA278" i="6"/>
  <c r="AA280" i="6" s="1"/>
  <c r="AA271" i="6"/>
  <c r="AA272" i="6" s="1"/>
  <c r="AA266" i="6"/>
  <c r="AA258" i="6"/>
  <c r="AA252" i="6"/>
  <c r="AA251" i="6"/>
  <c r="AA196" i="6"/>
  <c r="AA204" i="6" s="1"/>
  <c r="AA195" i="6"/>
  <c r="AA203" i="6" s="1"/>
  <c r="AA194" i="6"/>
  <c r="AA202" i="6" s="1"/>
  <c r="AA193" i="6"/>
  <c r="AA201" i="6" s="1"/>
  <c r="AA85" i="6"/>
  <c r="AA84" i="6"/>
  <c r="AA83" i="6"/>
  <c r="AA82" i="6"/>
  <c r="AA81" i="6"/>
  <c r="AA192" i="6" s="1"/>
  <c r="AA200" i="6" s="1"/>
  <c r="AA80" i="6"/>
  <c r="AA191" i="6" s="1"/>
  <c r="AA199" i="6" s="1"/>
  <c r="AA79" i="6"/>
  <c r="AA190" i="6" s="1"/>
  <c r="AA198" i="6" s="1"/>
  <c r="AA288" i="6" s="1"/>
  <c r="AA290" i="6" s="1"/>
  <c r="AA32" i="6"/>
  <c r="AA220" i="6" s="1"/>
  <c r="Z279" i="6"/>
  <c r="Z278" i="6"/>
  <c r="Z280" i="6" s="1"/>
  <c r="Z271" i="6"/>
  <c r="Z272" i="6" s="1"/>
  <c r="Z266" i="6"/>
  <c r="Z258" i="6"/>
  <c r="Z252" i="6"/>
  <c r="Z251" i="6"/>
  <c r="Z196" i="6"/>
  <c r="Z204" i="6" s="1"/>
  <c r="Z195" i="6"/>
  <c r="Z203" i="6" s="1"/>
  <c r="Z194" i="6"/>
  <c r="Z202" i="6" s="1"/>
  <c r="Z193" i="6"/>
  <c r="Z201" i="6" s="1"/>
  <c r="Z85" i="6"/>
  <c r="Z84" i="6"/>
  <c r="Z83" i="6"/>
  <c r="Z82" i="6"/>
  <c r="Z81" i="6"/>
  <c r="Z192" i="6" s="1"/>
  <c r="Z200" i="6" s="1"/>
  <c r="Z80" i="6"/>
  <c r="Z191" i="6" s="1"/>
  <c r="Z199" i="6" s="1"/>
  <c r="Z79" i="6"/>
  <c r="Z190" i="6" s="1"/>
  <c r="Z198" i="6" s="1"/>
  <c r="Z288" i="6" s="1"/>
  <c r="Z290" i="6" s="1"/>
  <c r="Z32" i="6"/>
  <c r="Z220" i="6" s="1"/>
  <c r="Y279" i="6"/>
  <c r="Y278" i="6"/>
  <c r="Y280" i="6" s="1"/>
  <c r="Y271" i="6"/>
  <c r="Y258" i="6"/>
  <c r="Y252" i="6"/>
  <c r="Y251" i="6"/>
  <c r="Y196" i="6"/>
  <c r="Y204" i="6" s="1"/>
  <c r="Y195" i="6"/>
  <c r="Y203" i="6" s="1"/>
  <c r="Y194" i="6"/>
  <c r="Y202" i="6" s="1"/>
  <c r="Y85" i="6"/>
  <c r="Y84" i="6"/>
  <c r="Y83" i="6"/>
  <c r="Y82" i="6"/>
  <c r="Y193" i="6" s="1"/>
  <c r="Y201" i="6" s="1"/>
  <c r="Y81" i="6"/>
  <c r="Y192" i="6" s="1"/>
  <c r="Y200" i="6" s="1"/>
  <c r="Y80" i="6"/>
  <c r="Y191" i="6" s="1"/>
  <c r="Y199" i="6" s="1"/>
  <c r="Y79" i="6"/>
  <c r="Y190" i="6" s="1"/>
  <c r="Y198" i="6" s="1"/>
  <c r="Y288" i="6" s="1"/>
  <c r="Y290" i="6" s="1"/>
  <c r="Y32" i="6"/>
  <c r="Y220" i="6" s="1"/>
  <c r="X279" i="6"/>
  <c r="X278" i="6"/>
  <c r="X280" i="6" s="1"/>
  <c r="X271" i="6"/>
  <c r="X272" i="6" s="1"/>
  <c r="X266" i="6"/>
  <c r="X258" i="6"/>
  <c r="X252" i="6"/>
  <c r="X251" i="6"/>
  <c r="X195" i="6"/>
  <c r="X203" i="6" s="1"/>
  <c r="X194" i="6"/>
  <c r="X202" i="6" s="1"/>
  <c r="X85" i="6"/>
  <c r="X196" i="6" s="1"/>
  <c r="X204" i="6" s="1"/>
  <c r="X84" i="6"/>
  <c r="X83" i="6"/>
  <c r="X82" i="6"/>
  <c r="X193" i="6" s="1"/>
  <c r="X201" i="6" s="1"/>
  <c r="X81" i="6"/>
  <c r="X192" i="6" s="1"/>
  <c r="X200" i="6" s="1"/>
  <c r="X80" i="6"/>
  <c r="X191" i="6" s="1"/>
  <c r="X199" i="6" s="1"/>
  <c r="X79" i="6"/>
  <c r="X190" i="6" s="1"/>
  <c r="X198" i="6" s="1"/>
  <c r="X288" i="6" s="1"/>
  <c r="X290" i="6" s="1"/>
  <c r="X32" i="6"/>
  <c r="X220" i="6" s="1"/>
  <c r="W279" i="6"/>
  <c r="W278" i="6"/>
  <c r="W280" i="6" s="1"/>
  <c r="W271" i="6"/>
  <c r="W272" i="6" s="1"/>
  <c r="W266" i="6"/>
  <c r="W258" i="6"/>
  <c r="W252" i="6"/>
  <c r="W251" i="6"/>
  <c r="W196" i="6"/>
  <c r="W204" i="6" s="1"/>
  <c r="W195" i="6"/>
  <c r="W203" i="6" s="1"/>
  <c r="W194" i="6"/>
  <c r="W202" i="6" s="1"/>
  <c r="W85" i="6"/>
  <c r="W84" i="6"/>
  <c r="W83" i="6"/>
  <c r="W82" i="6"/>
  <c r="W193" i="6" s="1"/>
  <c r="W201" i="6" s="1"/>
  <c r="W81" i="6"/>
  <c r="W192" i="6" s="1"/>
  <c r="W200" i="6" s="1"/>
  <c r="W80" i="6"/>
  <c r="W191" i="6" s="1"/>
  <c r="W199" i="6" s="1"/>
  <c r="W79" i="6"/>
  <c r="W190" i="6" s="1"/>
  <c r="W198" i="6" s="1"/>
  <c r="W288" i="6" s="1"/>
  <c r="W290" i="6" s="1"/>
  <c r="W32" i="6"/>
  <c r="W220" i="6" s="1"/>
  <c r="V279" i="6"/>
  <c r="V278" i="6"/>
  <c r="V280" i="6" s="1"/>
  <c r="V271" i="6"/>
  <c r="V272" i="6" s="1"/>
  <c r="V266" i="6"/>
  <c r="V258" i="6"/>
  <c r="V252" i="6"/>
  <c r="V251" i="6"/>
  <c r="V196" i="6"/>
  <c r="V204" i="6" s="1"/>
  <c r="V195" i="6"/>
  <c r="V203" i="6" s="1"/>
  <c r="V194" i="6"/>
  <c r="V202" i="6" s="1"/>
  <c r="V85" i="6"/>
  <c r="V84" i="6"/>
  <c r="V83" i="6"/>
  <c r="V82" i="6"/>
  <c r="V193" i="6" s="1"/>
  <c r="V201" i="6" s="1"/>
  <c r="V81" i="6"/>
  <c r="V192" i="6" s="1"/>
  <c r="V200" i="6" s="1"/>
  <c r="V80" i="6"/>
  <c r="V191" i="6" s="1"/>
  <c r="V199" i="6" s="1"/>
  <c r="V79" i="6"/>
  <c r="V190" i="6" s="1"/>
  <c r="V198" i="6" s="1"/>
  <c r="V288" i="6" s="1"/>
  <c r="V290" i="6" s="1"/>
  <c r="V32" i="6"/>
  <c r="V220" i="6" s="1"/>
  <c r="Q279" i="6"/>
  <c r="Q278" i="6"/>
  <c r="Q280" i="6" s="1"/>
  <c r="Q271" i="6"/>
  <c r="Q272" i="6" s="1"/>
  <c r="Q266" i="6"/>
  <c r="Q258" i="6"/>
  <c r="Q252" i="6"/>
  <c r="Q251" i="6"/>
  <c r="Q196" i="6"/>
  <c r="Q204" i="6" s="1"/>
  <c r="Q195" i="6"/>
  <c r="Q203" i="6" s="1"/>
  <c r="Q194" i="6"/>
  <c r="Q202" i="6" s="1"/>
  <c r="Q85" i="6"/>
  <c r="Q84" i="6"/>
  <c r="Q83" i="6"/>
  <c r="Q82" i="6"/>
  <c r="Q193" i="6" s="1"/>
  <c r="Q201" i="6" s="1"/>
  <c r="Q81" i="6"/>
  <c r="Q192" i="6" s="1"/>
  <c r="Q200" i="6" s="1"/>
  <c r="Q80" i="6"/>
  <c r="Q191" i="6" s="1"/>
  <c r="Q199" i="6" s="1"/>
  <c r="Q79" i="6"/>
  <c r="Q190" i="6" s="1"/>
  <c r="Q198" i="6" s="1"/>
  <c r="Q288" i="6" s="1"/>
  <c r="Q290" i="6" s="1"/>
  <c r="Q32" i="6"/>
  <c r="Q220" i="6" s="1"/>
  <c r="P279" i="6"/>
  <c r="P278" i="6"/>
  <c r="P280" i="6" s="1"/>
  <c r="P271" i="6"/>
  <c r="P258" i="6"/>
  <c r="P252" i="6"/>
  <c r="P251" i="6"/>
  <c r="P195" i="6"/>
  <c r="P203" i="6" s="1"/>
  <c r="P194" i="6"/>
  <c r="P202" i="6" s="1"/>
  <c r="P85" i="6"/>
  <c r="P196" i="6" s="1"/>
  <c r="P204" i="6" s="1"/>
  <c r="P84" i="6"/>
  <c r="P83" i="6"/>
  <c r="P82" i="6"/>
  <c r="P193" i="6" s="1"/>
  <c r="P201" i="6" s="1"/>
  <c r="P81" i="6"/>
  <c r="P192" i="6" s="1"/>
  <c r="P200" i="6" s="1"/>
  <c r="P80" i="6"/>
  <c r="P191" i="6" s="1"/>
  <c r="P199" i="6" s="1"/>
  <c r="P79" i="6"/>
  <c r="P190" i="6" s="1"/>
  <c r="P198" i="6" s="1"/>
  <c r="P288" i="6" s="1"/>
  <c r="P290" i="6" s="1"/>
  <c r="P32" i="6"/>
  <c r="P220" i="6" s="1"/>
  <c r="L279" i="6"/>
  <c r="L278" i="6"/>
  <c r="L280" i="6" s="1"/>
  <c r="L271" i="6"/>
  <c r="L272" i="6" s="1"/>
  <c r="L266" i="6"/>
  <c r="L258" i="6"/>
  <c r="L251" i="6"/>
  <c r="L252" i="6" s="1"/>
  <c r="L221" i="6"/>
  <c r="L196" i="6"/>
  <c r="L204" i="6" s="1"/>
  <c r="L194" i="6"/>
  <c r="L202" i="6" s="1"/>
  <c r="L191" i="6"/>
  <c r="L199" i="6" s="1"/>
  <c r="L85" i="6"/>
  <c r="L84" i="6"/>
  <c r="L195" i="6" s="1"/>
  <c r="L203" i="6" s="1"/>
  <c r="L83" i="6"/>
  <c r="L82" i="6"/>
  <c r="L193" i="6" s="1"/>
  <c r="L201" i="6" s="1"/>
  <c r="L81" i="6"/>
  <c r="L192" i="6" s="1"/>
  <c r="L200" i="6" s="1"/>
  <c r="L80" i="6"/>
  <c r="L79" i="6"/>
  <c r="L190" i="6" s="1"/>
  <c r="L198" i="6" s="1"/>
  <c r="L288" i="6" s="1"/>
  <c r="L290" i="6" s="1"/>
  <c r="L32" i="6"/>
  <c r="L220" i="6" s="1"/>
  <c r="L5" i="6"/>
  <c r="L4" i="6"/>
  <c r="L3" i="6"/>
  <c r="F315" i="6" l="1"/>
  <c r="F316" i="6"/>
  <c r="F317" i="6"/>
  <c r="E314" i="6"/>
  <c r="F314" i="6" s="1"/>
  <c r="AI228" i="6"/>
  <c r="AI4" i="6"/>
  <c r="AI7" i="6" s="1"/>
  <c r="AI30" i="6" s="1" a="1"/>
  <c r="AI30" i="6" s="1"/>
  <c r="AI281" i="6" s="1"/>
  <c r="AI221" i="6"/>
  <c r="AI5" i="6"/>
  <c r="AI222" i="6"/>
  <c r="AI3" i="6"/>
  <c r="AI216" i="6"/>
  <c r="AI217" i="6"/>
  <c r="AI218" i="6"/>
  <c r="AI206" i="6"/>
  <c r="AI219" i="6"/>
  <c r="AH228" i="6"/>
  <c r="AH222" i="6"/>
  <c r="AH4" i="6"/>
  <c r="AH7" i="6" s="1"/>
  <c r="AH30" i="6" s="1" a="1"/>
  <c r="AH30" i="6" s="1"/>
  <c r="AH281" i="6" s="1"/>
  <c r="AH5" i="6"/>
  <c r="AH216" i="6"/>
  <c r="AH229" i="6"/>
  <c r="AH217" i="6"/>
  <c r="AH218" i="6"/>
  <c r="AH206" i="6"/>
  <c r="AH219" i="6"/>
  <c r="AG228" i="6"/>
  <c r="AG3" i="6"/>
  <c r="AG5" i="6"/>
  <c r="AG222" i="6"/>
  <c r="AG221" i="6"/>
  <c r="AG216" i="6"/>
  <c r="AG217" i="6"/>
  <c r="AG218" i="6"/>
  <c r="AG206" i="6"/>
  <c r="AG219" i="6"/>
  <c r="AG4" i="6"/>
  <c r="AG7" i="6" s="1"/>
  <c r="AG30" i="6" s="1" a="1"/>
  <c r="AG30" i="6" s="1"/>
  <c r="AG281" i="6" s="1"/>
  <c r="AA228" i="6"/>
  <c r="AA5" i="6"/>
  <c r="AA3" i="6"/>
  <c r="AA222" i="6"/>
  <c r="AA4" i="6"/>
  <c r="AA7" i="6" s="1"/>
  <c r="AA30" i="6" s="1" a="1"/>
  <c r="AA30" i="6" s="1"/>
  <c r="AA281" i="6" s="1"/>
  <c r="AA216" i="6"/>
  <c r="AA221" i="6"/>
  <c r="AA217" i="6"/>
  <c r="AA218" i="6"/>
  <c r="AA206" i="6"/>
  <c r="AA219" i="6"/>
  <c r="Z228" i="6"/>
  <c r="Z221" i="6"/>
  <c r="Z5" i="6"/>
  <c r="Z3" i="6"/>
  <c r="Z222" i="6"/>
  <c r="Z4" i="6"/>
  <c r="Z7" i="6" s="1"/>
  <c r="Z30" i="6" s="1" a="1"/>
  <c r="Z30" i="6" s="1"/>
  <c r="Z281" i="6" s="1"/>
  <c r="Z216" i="6"/>
  <c r="Z217" i="6"/>
  <c r="Z218" i="6"/>
  <c r="Z206" i="6"/>
  <c r="Z219" i="6"/>
  <c r="Y228" i="6"/>
  <c r="Y3" i="6"/>
  <c r="Y5" i="6"/>
  <c r="Y222" i="6"/>
  <c r="Y4" i="6"/>
  <c r="Y7" i="6" s="1"/>
  <c r="Y30" i="6" s="1" a="1"/>
  <c r="Y30" i="6" s="1"/>
  <c r="Y281" i="6" s="1"/>
  <c r="Y216" i="6"/>
  <c r="Y217" i="6"/>
  <c r="Y221" i="6"/>
  <c r="Y218" i="6"/>
  <c r="Y206" i="6"/>
  <c r="Y219" i="6"/>
  <c r="X228" i="6"/>
  <c r="X222" i="6"/>
  <c r="X4" i="6"/>
  <c r="X7" i="6" s="1"/>
  <c r="X30" i="6" s="1" a="1"/>
  <c r="X30" i="6" s="1"/>
  <c r="X281" i="6" s="1"/>
  <c r="X5" i="6"/>
  <c r="X216" i="6"/>
  <c r="X221" i="6"/>
  <c r="X3" i="6"/>
  <c r="X217" i="6"/>
  <c r="X218" i="6"/>
  <c r="X206" i="6"/>
  <c r="X219" i="6"/>
  <c r="W228" i="6"/>
  <c r="W4" i="6"/>
  <c r="W7" i="6" s="1"/>
  <c r="W30" i="6" s="1" a="1"/>
  <c r="W30" i="6" s="1"/>
  <c r="W281" i="6" s="1"/>
  <c r="W5" i="6"/>
  <c r="W3" i="6"/>
  <c r="W216" i="6"/>
  <c r="W217" i="6"/>
  <c r="W221" i="6"/>
  <c r="W218" i="6"/>
  <c r="W222" i="6"/>
  <c r="W206" i="6"/>
  <c r="W219" i="6"/>
  <c r="V228" i="6"/>
  <c r="V3" i="6"/>
  <c r="V4" i="6"/>
  <c r="V7" i="6" s="1"/>
  <c r="V30" i="6" s="1" a="1"/>
  <c r="V30" i="6" s="1"/>
  <c r="V281" i="6" s="1"/>
  <c r="V221" i="6"/>
  <c r="V222" i="6"/>
  <c r="V216" i="6"/>
  <c r="V5" i="6"/>
  <c r="V217" i="6"/>
  <c r="V218" i="6"/>
  <c r="V206" i="6"/>
  <c r="V219" i="6"/>
  <c r="Q228" i="6"/>
  <c r="Q3" i="6"/>
  <c r="Q222" i="6"/>
  <c r="Q221" i="6"/>
  <c r="Q5" i="6"/>
  <c r="Q216" i="6"/>
  <c r="Q4" i="6"/>
  <c r="Q7" i="6" s="1"/>
  <c r="Q30" i="6" s="1" a="1"/>
  <c r="Q30" i="6" s="1"/>
  <c r="Q281" i="6" s="1"/>
  <c r="Q217" i="6"/>
  <c r="Q206" i="6"/>
  <c r="Q219" i="6"/>
  <c r="Q218" i="6"/>
  <c r="P228" i="6"/>
  <c r="P222" i="6"/>
  <c r="P4" i="6"/>
  <c r="P7" i="6" s="1"/>
  <c r="P30" i="6" s="1" a="1"/>
  <c r="P30" i="6" s="1"/>
  <c r="P281" i="6" s="1"/>
  <c r="P5" i="6"/>
  <c r="P221" i="6"/>
  <c r="P216" i="6"/>
  <c r="P217" i="6"/>
  <c r="P3" i="6"/>
  <c r="P218" i="6"/>
  <c r="P206" i="6"/>
  <c r="P219" i="6"/>
  <c r="L228" i="6"/>
  <c r="L222" i="6"/>
  <c r="L216" i="6"/>
  <c r="L229" i="6"/>
  <c r="L277" i="6" s="1"/>
  <c r="L217" i="6"/>
  <c r="L218" i="6"/>
  <c r="L206" i="6"/>
  <c r="L219" i="6"/>
  <c r="L7" i="6"/>
  <c r="L30" i="6" a="1"/>
  <c r="L30" i="6" s="1"/>
  <c r="L281" i="6" s="1"/>
  <c r="AI229" i="6" l="1"/>
  <c r="AI224" i="6"/>
  <c r="AI226" i="6"/>
  <c r="AI230" i="6"/>
  <c r="AI225" i="6"/>
  <c r="AI277" i="6" s="1"/>
  <c r="AI227" i="6"/>
  <c r="AH224" i="6"/>
  <c r="AH226" i="6"/>
  <c r="AH230" i="6"/>
  <c r="AH225" i="6"/>
  <c r="AH277" i="6" s="1"/>
  <c r="AH227" i="6"/>
  <c r="AG225" i="6"/>
  <c r="AG277" i="6" s="1"/>
  <c r="AG226" i="6"/>
  <c r="AG230" i="6"/>
  <c r="AG229" i="6"/>
  <c r="AG227" i="6"/>
  <c r="AG224" i="6"/>
  <c r="AA227" i="6"/>
  <c r="AA225" i="6"/>
  <c r="AA230" i="6"/>
  <c r="AA229" i="6"/>
  <c r="AA277" i="6" s="1"/>
  <c r="AA226" i="6"/>
  <c r="AA224" i="6"/>
  <c r="Z227" i="6"/>
  <c r="Z225" i="6"/>
  <c r="Z224" i="6"/>
  <c r="Z230" i="6"/>
  <c r="Z229" i="6"/>
  <c r="Z277" i="6" s="1"/>
  <c r="Z226" i="6"/>
  <c r="Y227" i="6"/>
  <c r="Y230" i="6"/>
  <c r="Y226" i="6"/>
  <c r="Y229" i="6"/>
  <c r="Y277" i="6" s="1"/>
  <c r="Y224" i="6"/>
  <c r="Y225" i="6"/>
  <c r="X226" i="6"/>
  <c r="X227" i="6"/>
  <c r="X229" i="6"/>
  <c r="X277" i="6" s="1"/>
  <c r="X225" i="6"/>
  <c r="X224" i="6"/>
  <c r="X230" i="6"/>
  <c r="W230" i="6"/>
  <c r="W226" i="6"/>
  <c r="W227" i="6"/>
  <c r="W229" i="6"/>
  <c r="W277" i="6" s="1"/>
  <c r="W224" i="6"/>
  <c r="W225" i="6"/>
  <c r="V230" i="6"/>
  <c r="V226" i="6"/>
  <c r="V227" i="6"/>
  <c r="V229" i="6"/>
  <c r="V277" i="6" s="1"/>
  <c r="V225" i="6"/>
  <c r="V224" i="6"/>
  <c r="Q224" i="6"/>
  <c r="Q230" i="6"/>
  <c r="Q229" i="6"/>
  <c r="Q277" i="6" s="1"/>
  <c r="Q226" i="6"/>
  <c r="Q227" i="6"/>
  <c r="Q225" i="6"/>
  <c r="P226" i="6"/>
  <c r="P229" i="6"/>
  <c r="P277" i="6" s="1"/>
  <c r="P225" i="6"/>
  <c r="P224" i="6"/>
  <c r="P230" i="6"/>
  <c r="P227" i="6"/>
  <c r="L230" i="6"/>
  <c r="L227" i="6"/>
  <c r="L225" i="6"/>
  <c r="L224" i="6"/>
  <c r="L226" i="6"/>
  <c r="F41" i="22" l="1"/>
  <c r="E41" i="22"/>
  <c r="E73" i="22" s="1"/>
  <c r="E78" i="22" s="1"/>
  <c r="D41" i="22"/>
  <c r="D73" i="22" s="1"/>
  <c r="D78" i="22" s="1"/>
  <c r="C41" i="22"/>
  <c r="C73" i="22" s="1"/>
  <c r="C78" i="22" s="1"/>
  <c r="F40" i="22"/>
  <c r="E40" i="22"/>
  <c r="D40" i="22"/>
  <c r="D74" i="22" s="1"/>
  <c r="C40" i="22"/>
  <c r="C72" i="22" s="1"/>
  <c r="C77" i="22" s="1"/>
  <c r="F37" i="22"/>
  <c r="E37" i="22"/>
  <c r="D37" i="22"/>
  <c r="C37" i="22"/>
  <c r="F36" i="22"/>
  <c r="F65" i="22" s="1"/>
  <c r="E36" i="22"/>
  <c r="E65" i="22" s="1"/>
  <c r="D36" i="22"/>
  <c r="D65" i="22" s="1"/>
  <c r="C36" i="22"/>
  <c r="F34" i="22"/>
  <c r="E34" i="22"/>
  <c r="D34" i="22"/>
  <c r="C34" i="22"/>
  <c r="F33" i="22"/>
  <c r="E33" i="22"/>
  <c r="D33" i="22"/>
  <c r="C33" i="22"/>
  <c r="F32" i="22"/>
  <c r="E32" i="22"/>
  <c r="D32" i="22"/>
  <c r="C32" i="22"/>
  <c r="F31" i="22"/>
  <c r="E31" i="22"/>
  <c r="D31" i="22"/>
  <c r="C31" i="22"/>
  <c r="F30" i="22"/>
  <c r="F64" i="22" s="1"/>
  <c r="E30" i="22"/>
  <c r="D30" i="22"/>
  <c r="D64" i="22" s="1"/>
  <c r="C30" i="22"/>
  <c r="C64" i="22"/>
  <c r="E74" i="22"/>
  <c r="E67" i="22"/>
  <c r="E70" i="22" s="1"/>
  <c r="D67" i="22"/>
  <c r="D70" i="22" s="1"/>
  <c r="F73" i="22"/>
  <c r="F78" i="22" s="1"/>
  <c r="F72" i="22"/>
  <c r="F77" i="22" s="1"/>
  <c r="E72" i="22"/>
  <c r="E77" i="22" s="1"/>
  <c r="C65" i="22"/>
  <c r="F67" i="22"/>
  <c r="F68" i="22" s="1"/>
  <c r="F69" i="22" s="1"/>
  <c r="C67" i="22"/>
  <c r="C68" i="22" s="1"/>
  <c r="C69" i="22" s="1"/>
  <c r="E64" i="22"/>
  <c r="D72" i="22" l="1"/>
  <c r="D77" i="22" s="1"/>
  <c r="D80" i="22" s="1"/>
  <c r="C10" i="22" s="1"/>
  <c r="D68" i="22"/>
  <c r="D69" i="22" s="1"/>
  <c r="E68" i="22"/>
  <c r="E69" i="22" s="1"/>
  <c r="C70" i="22"/>
  <c r="E80" i="22"/>
  <c r="C16" i="22" s="1"/>
  <c r="F80" i="22"/>
  <c r="C22" i="22" s="1"/>
  <c r="F70" i="22"/>
  <c r="C20" i="22" s="1"/>
  <c r="C3" i="22"/>
  <c r="C8" i="22"/>
  <c r="C9" i="22"/>
  <c r="C15" i="22"/>
  <c r="C14" i="22"/>
  <c r="C21" i="22"/>
  <c r="C74" i="22"/>
  <c r="F74" i="22"/>
  <c r="F81" i="22" s="1"/>
  <c r="C23" i="22" s="1"/>
  <c r="C75" i="22"/>
  <c r="D75" i="22"/>
  <c r="E75" i="22"/>
  <c r="E81" i="22" s="1"/>
  <c r="C17" i="22" s="1"/>
  <c r="F75" i="22"/>
  <c r="D81" i="22" l="1"/>
  <c r="C11" i="22" s="1"/>
  <c r="C81" i="22"/>
  <c r="C5" i="22" s="1"/>
  <c r="C80" i="22"/>
  <c r="C4" i="22" s="1"/>
  <c r="M66" i="11"/>
  <c r="M64" i="11"/>
  <c r="L66" i="11"/>
  <c r="L64" i="11"/>
  <c r="J44" i="11"/>
  <c r="O37" i="11"/>
  <c r="K32" i="11" a="1"/>
  <c r="K32" i="11" s="1"/>
  <c r="T31" i="11"/>
  <c r="S31" i="11"/>
  <c r="R31" i="11"/>
  <c r="Q31" i="11"/>
  <c r="P31" i="11"/>
  <c r="K31" i="11"/>
  <c r="M20" i="11"/>
  <c r="L20" i="11"/>
  <c r="K20" i="11"/>
  <c r="J20" i="11"/>
  <c r="I20" i="11"/>
  <c r="M19" i="11"/>
  <c r="L19" i="11"/>
  <c r="K19" i="11"/>
  <c r="J19" i="11"/>
  <c r="I19" i="11"/>
  <c r="M18" i="11"/>
  <c r="L18" i="11"/>
  <c r="K18" i="11"/>
  <c r="J18" i="11"/>
  <c r="I18" i="11"/>
  <c r="P15" i="11"/>
  <c r="K10" i="11"/>
  <c r="K9" i="11"/>
  <c r="K8" i="11"/>
  <c r="V3" i="11"/>
  <c r="U3" i="11"/>
  <c r="T3" i="11"/>
  <c r="S3" i="11"/>
  <c r="R3" i="11"/>
  <c r="Q3" i="11"/>
  <c r="P3" i="11"/>
  <c r="R79" i="6"/>
  <c r="S79" i="6"/>
  <c r="S190" i="6" s="1"/>
  <c r="S198" i="6" s="1"/>
  <c r="S288" i="6" s="1"/>
  <c r="S290" i="6" s="1"/>
  <c r="T79" i="6"/>
  <c r="T190" i="6" s="1"/>
  <c r="T198" i="6" s="1"/>
  <c r="T288" i="6" s="1"/>
  <c r="T290" i="6" s="1"/>
  <c r="U79" i="6"/>
  <c r="U190" i="6" s="1"/>
  <c r="U198" i="6" s="1"/>
  <c r="U288" i="6" s="1"/>
  <c r="U290" i="6" s="1"/>
  <c r="AB79" i="6"/>
  <c r="AB190" i="6" s="1"/>
  <c r="AB198" i="6" s="1"/>
  <c r="AB288" i="6" s="1"/>
  <c r="AB290" i="6" s="1"/>
  <c r="AC79" i="6"/>
  <c r="AC190" i="6" s="1"/>
  <c r="AC198" i="6" s="1"/>
  <c r="AC288" i="6" s="1"/>
  <c r="AC290" i="6" s="1"/>
  <c r="AD79" i="6"/>
  <c r="AD190" i="6" s="1"/>
  <c r="AD198" i="6" s="1"/>
  <c r="AE79" i="6"/>
  <c r="AE190" i="6" s="1"/>
  <c r="AE198" i="6" s="1"/>
  <c r="AE288" i="6" s="1"/>
  <c r="AE290" i="6" s="1"/>
  <c r="AF79" i="6"/>
  <c r="AF190" i="6" s="1"/>
  <c r="AF198" i="6" s="1"/>
  <c r="AF288" i="6" s="1"/>
  <c r="AF290" i="6" s="1"/>
  <c r="AJ79" i="6"/>
  <c r="AJ190" i="6" s="1"/>
  <c r="AJ198" i="6" s="1"/>
  <c r="AJ288" i="6" s="1"/>
  <c r="AJ290" i="6" s="1"/>
  <c r="AK79" i="6"/>
  <c r="AK190" i="6" s="1"/>
  <c r="AK198" i="6" s="1"/>
  <c r="AK288" i="6" s="1"/>
  <c r="AK290" i="6" s="1"/>
  <c r="AL79" i="6"/>
  <c r="AL190" i="6" s="1"/>
  <c r="AL198" i="6" s="1"/>
  <c r="AM79" i="6"/>
  <c r="AM190" i="6" s="1"/>
  <c r="AM198" i="6" s="1"/>
  <c r="AM288" i="6" s="1"/>
  <c r="AM290" i="6" s="1"/>
  <c r="AN79" i="6"/>
  <c r="AN190" i="6" s="1"/>
  <c r="AN198" i="6" s="1"/>
  <c r="AN288" i="6" s="1"/>
  <c r="AN290" i="6" s="1"/>
  <c r="AO79" i="6"/>
  <c r="AO190" i="6" s="1"/>
  <c r="AO198" i="6" s="1"/>
  <c r="AO288" i="6" s="1"/>
  <c r="AO290" i="6" s="1"/>
  <c r="AP79" i="6"/>
  <c r="AQ79" i="6"/>
  <c r="AQ190" i="6" s="1"/>
  <c r="AQ198" i="6" s="1"/>
  <c r="AQ288" i="6" s="1"/>
  <c r="AQ290" i="6" s="1"/>
  <c r="AR79" i="6"/>
  <c r="AS79" i="6"/>
  <c r="AS190" i="6" s="1"/>
  <c r="AS198" i="6" s="1"/>
  <c r="AS288" i="6" s="1"/>
  <c r="AS290" i="6" s="1"/>
  <c r="AT79" i="6"/>
  <c r="AT190" i="6" s="1"/>
  <c r="AT198" i="6" s="1"/>
  <c r="AT288" i="6" s="1"/>
  <c r="AT290" i="6" s="1"/>
  <c r="AU79" i="6"/>
  <c r="AU190" i="6" s="1"/>
  <c r="AU198" i="6" s="1"/>
  <c r="AU288" i="6" s="1"/>
  <c r="AU290" i="6" s="1"/>
  <c r="AV79" i="6"/>
  <c r="AV190" i="6" s="1"/>
  <c r="AV198" i="6" s="1"/>
  <c r="AV288" i="6" s="1"/>
  <c r="AV290" i="6" s="1"/>
  <c r="AW79" i="6"/>
  <c r="AW190" i="6" s="1"/>
  <c r="AW198" i="6" s="1"/>
  <c r="AW288" i="6" s="1"/>
  <c r="AW290" i="6" s="1"/>
  <c r="AX79" i="6"/>
  <c r="AY79" i="6"/>
  <c r="AY190" i="6" s="1"/>
  <c r="AY198" i="6" s="1"/>
  <c r="AY288" i="6" s="1"/>
  <c r="AY290" i="6" s="1"/>
  <c r="AZ79" i="6"/>
  <c r="AZ190" i="6" s="1"/>
  <c r="AZ198" i="6" s="1"/>
  <c r="AZ288" i="6" s="1"/>
  <c r="AZ290" i="6" s="1"/>
  <c r="R80" i="6"/>
  <c r="R191" i="6" s="1"/>
  <c r="R199" i="6" s="1"/>
  <c r="S80" i="6"/>
  <c r="S191" i="6" s="1"/>
  <c r="S199" i="6" s="1"/>
  <c r="T80" i="6"/>
  <c r="T191" i="6" s="1"/>
  <c r="T199" i="6" s="1"/>
  <c r="U80" i="6"/>
  <c r="AB80" i="6"/>
  <c r="AB191" i="6" s="1"/>
  <c r="AB199" i="6" s="1"/>
  <c r="AC80" i="6"/>
  <c r="AD80" i="6"/>
  <c r="AD191" i="6" s="1"/>
  <c r="AD199" i="6" s="1"/>
  <c r="AE80" i="6"/>
  <c r="AE191" i="6" s="1"/>
  <c r="AE199" i="6" s="1"/>
  <c r="AF80" i="6"/>
  <c r="AF191" i="6" s="1"/>
  <c r="AF199" i="6" s="1"/>
  <c r="AJ80" i="6"/>
  <c r="AK80" i="6"/>
  <c r="AL80" i="6"/>
  <c r="AL191" i="6" s="1"/>
  <c r="AL199" i="6" s="1"/>
  <c r="AM80" i="6"/>
  <c r="AM191" i="6" s="1"/>
  <c r="AM199" i="6" s="1"/>
  <c r="AN80" i="6"/>
  <c r="AN191" i="6" s="1"/>
  <c r="AN199" i="6" s="1"/>
  <c r="AO80" i="6"/>
  <c r="AO191" i="6" s="1"/>
  <c r="AO199" i="6" s="1"/>
  <c r="AP80" i="6"/>
  <c r="AP191" i="6" s="1"/>
  <c r="AP199" i="6" s="1"/>
  <c r="AQ80" i="6"/>
  <c r="AQ191" i="6" s="1"/>
  <c r="AQ199" i="6" s="1"/>
  <c r="AR80" i="6"/>
  <c r="AR191" i="6" s="1"/>
  <c r="AR199" i="6" s="1"/>
  <c r="AS80" i="6"/>
  <c r="AT80" i="6"/>
  <c r="AT191" i="6" s="1"/>
  <c r="AT199" i="6" s="1"/>
  <c r="AU80" i="6"/>
  <c r="AV80" i="6"/>
  <c r="AV191" i="6" s="1"/>
  <c r="AV199" i="6" s="1"/>
  <c r="AW80" i="6"/>
  <c r="AW191" i="6" s="1"/>
  <c r="AW199" i="6" s="1"/>
  <c r="AX80" i="6"/>
  <c r="AX191" i="6" s="1"/>
  <c r="AX199" i="6" s="1"/>
  <c r="AY80" i="6"/>
  <c r="AZ80" i="6"/>
  <c r="R81" i="6"/>
  <c r="R192" i="6" s="1"/>
  <c r="R200" i="6" s="1"/>
  <c r="S81" i="6"/>
  <c r="S192" i="6" s="1"/>
  <c r="S200" i="6" s="1"/>
  <c r="T81" i="6"/>
  <c r="T192" i="6" s="1"/>
  <c r="T200" i="6" s="1"/>
  <c r="U81" i="6"/>
  <c r="U192" i="6" s="1"/>
  <c r="U200" i="6" s="1"/>
  <c r="AB81" i="6"/>
  <c r="AB192" i="6" s="1"/>
  <c r="AB200" i="6" s="1"/>
  <c r="AC81" i="6"/>
  <c r="AC192" i="6" s="1"/>
  <c r="AC200" i="6" s="1"/>
  <c r="AD81" i="6"/>
  <c r="AD192" i="6" s="1"/>
  <c r="AD200" i="6" s="1"/>
  <c r="AE81" i="6"/>
  <c r="AE192" i="6" s="1"/>
  <c r="AE200" i="6" s="1"/>
  <c r="AF81" i="6"/>
  <c r="AJ81" i="6"/>
  <c r="AJ192" i="6" s="1"/>
  <c r="AJ200" i="6" s="1"/>
  <c r="AK81" i="6"/>
  <c r="AK192" i="6" s="1"/>
  <c r="AK200" i="6" s="1"/>
  <c r="AL81" i="6"/>
  <c r="AL192" i="6" s="1"/>
  <c r="AL200" i="6" s="1"/>
  <c r="AM81" i="6"/>
  <c r="AM192" i="6" s="1"/>
  <c r="AM200" i="6" s="1"/>
  <c r="AN81" i="6"/>
  <c r="AN192" i="6" s="1"/>
  <c r="AN200" i="6" s="1"/>
  <c r="AO81" i="6"/>
  <c r="AO192" i="6" s="1"/>
  <c r="AO200" i="6" s="1"/>
  <c r="AP81" i="6"/>
  <c r="AP192" i="6" s="1"/>
  <c r="AP200" i="6" s="1"/>
  <c r="AQ81" i="6"/>
  <c r="AQ192" i="6" s="1"/>
  <c r="AQ200" i="6" s="1"/>
  <c r="AR81" i="6"/>
  <c r="AR192" i="6" s="1"/>
  <c r="AR200" i="6" s="1"/>
  <c r="AS81" i="6"/>
  <c r="AS192" i="6" s="1"/>
  <c r="AS200" i="6" s="1"/>
  <c r="AT81" i="6"/>
  <c r="AT192" i="6" s="1"/>
  <c r="AT200" i="6" s="1"/>
  <c r="AU81" i="6"/>
  <c r="AU192" i="6" s="1"/>
  <c r="AU200" i="6" s="1"/>
  <c r="AV81" i="6"/>
  <c r="AW81" i="6"/>
  <c r="AW192" i="6" s="1"/>
  <c r="AW200" i="6" s="1"/>
  <c r="AX81" i="6"/>
  <c r="AX192" i="6" s="1"/>
  <c r="AX200" i="6" s="1"/>
  <c r="AY81" i="6"/>
  <c r="AY192" i="6" s="1"/>
  <c r="AY200" i="6" s="1"/>
  <c r="AZ81" i="6"/>
  <c r="AZ192" i="6" s="1"/>
  <c r="AZ200" i="6" s="1"/>
  <c r="R82" i="6"/>
  <c r="R193" i="6" s="1"/>
  <c r="R201" i="6" s="1"/>
  <c r="S82" i="6"/>
  <c r="S193" i="6" s="1"/>
  <c r="S201" i="6" s="1"/>
  <c r="T82" i="6"/>
  <c r="T193" i="6" s="1"/>
  <c r="T201" i="6" s="1"/>
  <c r="U82" i="6"/>
  <c r="AB82" i="6"/>
  <c r="AB193" i="6" s="1"/>
  <c r="AB201" i="6" s="1"/>
  <c r="AC82" i="6"/>
  <c r="AC193" i="6" s="1"/>
  <c r="AC201" i="6" s="1"/>
  <c r="AD82" i="6"/>
  <c r="AD193" i="6" s="1"/>
  <c r="AD201" i="6" s="1"/>
  <c r="AE82" i="6"/>
  <c r="AE193" i="6" s="1"/>
  <c r="AE201" i="6" s="1"/>
  <c r="AF82" i="6"/>
  <c r="AF193" i="6" s="1"/>
  <c r="AF201" i="6" s="1"/>
  <c r="AJ82" i="6"/>
  <c r="AJ193" i="6" s="1"/>
  <c r="AJ201" i="6" s="1"/>
  <c r="AK82" i="6"/>
  <c r="AK193" i="6" s="1"/>
  <c r="AK201" i="6" s="1"/>
  <c r="AL82" i="6"/>
  <c r="AL193" i="6" s="1"/>
  <c r="AL201" i="6" s="1"/>
  <c r="AM82" i="6"/>
  <c r="AM193" i="6" s="1"/>
  <c r="AM201" i="6" s="1"/>
  <c r="AN82" i="6"/>
  <c r="AN193" i="6" s="1"/>
  <c r="AN201" i="6" s="1"/>
  <c r="AO82" i="6"/>
  <c r="AO193" i="6" s="1"/>
  <c r="AO201" i="6" s="1"/>
  <c r="AP82" i="6"/>
  <c r="AP193" i="6" s="1"/>
  <c r="AP201" i="6" s="1"/>
  <c r="AQ82" i="6"/>
  <c r="AQ193" i="6" s="1"/>
  <c r="AQ201" i="6" s="1"/>
  <c r="AR82" i="6"/>
  <c r="AR193" i="6" s="1"/>
  <c r="AR201" i="6" s="1"/>
  <c r="AS82" i="6"/>
  <c r="AT82" i="6"/>
  <c r="AT193" i="6" s="1"/>
  <c r="AT201" i="6" s="1"/>
  <c r="AU82" i="6"/>
  <c r="AU193" i="6" s="1"/>
  <c r="AU201" i="6" s="1"/>
  <c r="AV82" i="6"/>
  <c r="AV193" i="6" s="1"/>
  <c r="AV201" i="6" s="1"/>
  <c r="AW82" i="6"/>
  <c r="AW193" i="6" s="1"/>
  <c r="AW201" i="6" s="1"/>
  <c r="AX82" i="6"/>
  <c r="AX193" i="6" s="1"/>
  <c r="AX201" i="6" s="1"/>
  <c r="AY82" i="6"/>
  <c r="AZ82" i="6"/>
  <c r="AZ193" i="6" s="1"/>
  <c r="AZ201" i="6" s="1"/>
  <c r="R83" i="6"/>
  <c r="R194" i="6" s="1"/>
  <c r="R202" i="6" s="1"/>
  <c r="S83" i="6"/>
  <c r="S194" i="6" s="1"/>
  <c r="S202" i="6" s="1"/>
  <c r="T83" i="6"/>
  <c r="T194" i="6" s="1"/>
  <c r="T202" i="6" s="1"/>
  <c r="U83" i="6"/>
  <c r="AB83" i="6"/>
  <c r="AB194" i="6" s="1"/>
  <c r="AB202" i="6" s="1"/>
  <c r="AC83" i="6"/>
  <c r="AC194" i="6" s="1"/>
  <c r="AC202" i="6" s="1"/>
  <c r="AD83" i="6"/>
  <c r="AE83" i="6"/>
  <c r="AE194" i="6" s="1"/>
  <c r="AE202" i="6" s="1"/>
  <c r="AF83" i="6"/>
  <c r="AJ83" i="6"/>
  <c r="AJ194" i="6" s="1"/>
  <c r="AJ202" i="6" s="1"/>
  <c r="AK83" i="6"/>
  <c r="AK194" i="6" s="1"/>
  <c r="AK202" i="6" s="1"/>
  <c r="AL83" i="6"/>
  <c r="AL194" i="6" s="1"/>
  <c r="AL202" i="6" s="1"/>
  <c r="AM83" i="6"/>
  <c r="AM194" i="6" s="1"/>
  <c r="AM202" i="6" s="1"/>
  <c r="AN83" i="6"/>
  <c r="AN194" i="6" s="1"/>
  <c r="AN202" i="6" s="1"/>
  <c r="AO83" i="6"/>
  <c r="AO194" i="6" s="1"/>
  <c r="AO202" i="6" s="1"/>
  <c r="AP83" i="6"/>
  <c r="AP194" i="6" s="1"/>
  <c r="AP202" i="6" s="1"/>
  <c r="AQ83" i="6"/>
  <c r="AQ194" i="6" s="1"/>
  <c r="AQ202" i="6" s="1"/>
  <c r="AR83" i="6"/>
  <c r="AR194" i="6" s="1"/>
  <c r="AR202" i="6" s="1"/>
  <c r="AS83" i="6"/>
  <c r="AT83" i="6"/>
  <c r="AU83" i="6"/>
  <c r="AU194" i="6" s="1"/>
  <c r="AU202" i="6" s="1"/>
  <c r="AV83" i="6"/>
  <c r="AV194" i="6" s="1"/>
  <c r="AV202" i="6" s="1"/>
  <c r="AW83" i="6"/>
  <c r="AW194" i="6" s="1"/>
  <c r="AW202" i="6" s="1"/>
  <c r="AX83" i="6"/>
  <c r="AX194" i="6" s="1"/>
  <c r="AX202" i="6" s="1"/>
  <c r="AY83" i="6"/>
  <c r="AY194" i="6" s="1"/>
  <c r="AY202" i="6" s="1"/>
  <c r="AZ83" i="6"/>
  <c r="AZ194" i="6" s="1"/>
  <c r="AZ202" i="6" s="1"/>
  <c r="R84" i="6"/>
  <c r="R195" i="6" s="1"/>
  <c r="R203" i="6" s="1"/>
  <c r="S84" i="6"/>
  <c r="S195" i="6" s="1"/>
  <c r="S203" i="6" s="1"/>
  <c r="T84" i="6"/>
  <c r="T195" i="6" s="1"/>
  <c r="T203" i="6" s="1"/>
  <c r="U84" i="6"/>
  <c r="U195" i="6" s="1"/>
  <c r="U203" i="6" s="1"/>
  <c r="AB84" i="6"/>
  <c r="AB195" i="6" s="1"/>
  <c r="AB203" i="6" s="1"/>
  <c r="AC84" i="6"/>
  <c r="AC195" i="6" s="1"/>
  <c r="AC203" i="6" s="1"/>
  <c r="AD84" i="6"/>
  <c r="AD195" i="6" s="1"/>
  <c r="AD203" i="6" s="1"/>
  <c r="AE84" i="6"/>
  <c r="AE195" i="6" s="1"/>
  <c r="AE203" i="6" s="1"/>
  <c r="AF84" i="6"/>
  <c r="AF195" i="6" s="1"/>
  <c r="AF203" i="6" s="1"/>
  <c r="AJ84" i="6"/>
  <c r="AJ195" i="6" s="1"/>
  <c r="AJ203" i="6" s="1"/>
  <c r="AK84" i="6"/>
  <c r="AK195" i="6" s="1"/>
  <c r="AK203" i="6" s="1"/>
  <c r="AL84" i="6"/>
  <c r="AL195" i="6" s="1"/>
  <c r="AL203" i="6" s="1"/>
  <c r="AM84" i="6"/>
  <c r="AM195" i="6" s="1"/>
  <c r="AM203" i="6" s="1"/>
  <c r="AN84" i="6"/>
  <c r="AN195" i="6" s="1"/>
  <c r="AN203" i="6" s="1"/>
  <c r="AO84" i="6"/>
  <c r="AP84" i="6"/>
  <c r="AP195" i="6" s="1"/>
  <c r="AP203" i="6" s="1"/>
  <c r="AQ84" i="6"/>
  <c r="AR84" i="6"/>
  <c r="AR195" i="6" s="1"/>
  <c r="AR203" i="6" s="1"/>
  <c r="AS84" i="6"/>
  <c r="AS195" i="6" s="1"/>
  <c r="AS203" i="6" s="1"/>
  <c r="AT84" i="6"/>
  <c r="AT195" i="6" s="1"/>
  <c r="AT203" i="6" s="1"/>
  <c r="AU84" i="6"/>
  <c r="AU195" i="6" s="1"/>
  <c r="AU203" i="6" s="1"/>
  <c r="AV84" i="6"/>
  <c r="AV195" i="6" s="1"/>
  <c r="AV203" i="6" s="1"/>
  <c r="AW84" i="6"/>
  <c r="AX84" i="6"/>
  <c r="AX195" i="6" s="1"/>
  <c r="AX203" i="6" s="1"/>
  <c r="AY84" i="6"/>
  <c r="AZ84" i="6"/>
  <c r="AZ195" i="6" s="1"/>
  <c r="AZ203" i="6" s="1"/>
  <c r="R85" i="6"/>
  <c r="R196" i="6" s="1"/>
  <c r="R204" i="6" s="1"/>
  <c r="S85" i="6"/>
  <c r="S196" i="6" s="1"/>
  <c r="S204" i="6" s="1"/>
  <c r="T85" i="6"/>
  <c r="U85" i="6"/>
  <c r="U196" i="6" s="1"/>
  <c r="U204" i="6" s="1"/>
  <c r="AB85" i="6"/>
  <c r="AC85" i="6"/>
  <c r="AC196" i="6" s="1"/>
  <c r="AC204" i="6" s="1"/>
  <c r="AD85" i="6"/>
  <c r="AD196" i="6" s="1"/>
  <c r="AD204" i="6" s="1"/>
  <c r="AE85" i="6"/>
  <c r="AE196" i="6" s="1"/>
  <c r="AE204" i="6" s="1"/>
  <c r="AF85" i="6"/>
  <c r="AF196" i="6" s="1"/>
  <c r="AF204" i="6" s="1"/>
  <c r="AJ85" i="6"/>
  <c r="AJ196" i="6" s="1"/>
  <c r="AJ204" i="6" s="1"/>
  <c r="AK85" i="6"/>
  <c r="AK196" i="6" s="1"/>
  <c r="AK204" i="6" s="1"/>
  <c r="AL85" i="6"/>
  <c r="AL196" i="6" s="1"/>
  <c r="AL204" i="6" s="1"/>
  <c r="AM85" i="6"/>
  <c r="AM196" i="6" s="1"/>
  <c r="AM204" i="6" s="1"/>
  <c r="AN85" i="6"/>
  <c r="AN196" i="6" s="1"/>
  <c r="AN204" i="6" s="1"/>
  <c r="AO85" i="6"/>
  <c r="AO196" i="6" s="1"/>
  <c r="AO204" i="6" s="1"/>
  <c r="AP85" i="6"/>
  <c r="AP196" i="6" s="1"/>
  <c r="AP204" i="6" s="1"/>
  <c r="AQ85" i="6"/>
  <c r="AQ196" i="6" s="1"/>
  <c r="AQ204" i="6" s="1"/>
  <c r="AR85" i="6"/>
  <c r="AS85" i="6"/>
  <c r="AS196" i="6" s="1"/>
  <c r="AS204" i="6" s="1"/>
  <c r="AT85" i="6"/>
  <c r="AU85" i="6"/>
  <c r="AU196" i="6" s="1"/>
  <c r="AU204" i="6" s="1"/>
  <c r="AV85" i="6"/>
  <c r="AV196" i="6" s="1"/>
  <c r="AV204" i="6" s="1"/>
  <c r="AW85" i="6"/>
  <c r="AW196" i="6" s="1"/>
  <c r="AW204" i="6" s="1"/>
  <c r="AX85" i="6"/>
  <c r="AX196" i="6" s="1"/>
  <c r="AX204" i="6" s="1"/>
  <c r="AY85" i="6"/>
  <c r="AY196" i="6" s="1"/>
  <c r="AY204" i="6" s="1"/>
  <c r="AZ85" i="6"/>
  <c r="R190" i="6"/>
  <c r="R198" i="6" s="1"/>
  <c r="R288" i="6" s="1"/>
  <c r="R290" i="6" s="1"/>
  <c r="AP190" i="6"/>
  <c r="AP198" i="6" s="1"/>
  <c r="AP288" i="6" s="1"/>
  <c r="AP290" i="6" s="1"/>
  <c r="AR190" i="6"/>
  <c r="AR198" i="6" s="1"/>
  <c r="AR288" i="6" s="1"/>
  <c r="AR290" i="6" s="1"/>
  <c r="AX190" i="6"/>
  <c r="AX198" i="6" s="1"/>
  <c r="AX288" i="6" s="1"/>
  <c r="AX290" i="6" s="1"/>
  <c r="U191" i="6"/>
  <c r="U199" i="6" s="1"/>
  <c r="AC191" i="6"/>
  <c r="AC199" i="6" s="1"/>
  <c r="AJ191" i="6"/>
  <c r="AJ199" i="6" s="1"/>
  <c r="AK191" i="6"/>
  <c r="AK199" i="6" s="1"/>
  <c r="AS191" i="6"/>
  <c r="AS199" i="6" s="1"/>
  <c r="AU191" i="6"/>
  <c r="AU199" i="6" s="1"/>
  <c r="AY191" i="6"/>
  <c r="AY199" i="6" s="1"/>
  <c r="AZ191" i="6"/>
  <c r="AZ199" i="6" s="1"/>
  <c r="AF192" i="6"/>
  <c r="AF200" i="6" s="1"/>
  <c r="AV192" i="6"/>
  <c r="AV200" i="6" s="1"/>
  <c r="U193" i="6"/>
  <c r="U201" i="6" s="1"/>
  <c r="AS193" i="6"/>
  <c r="AS201" i="6" s="1"/>
  <c r="AY193" i="6"/>
  <c r="AY201" i="6" s="1"/>
  <c r="U194" i="6"/>
  <c r="U202" i="6" s="1"/>
  <c r="AD194" i="6"/>
  <c r="AD202" i="6" s="1"/>
  <c r="AF194" i="6"/>
  <c r="AF202" i="6" s="1"/>
  <c r="AS194" i="6"/>
  <c r="AS202" i="6" s="1"/>
  <c r="AT194" i="6"/>
  <c r="AT202" i="6" s="1"/>
  <c r="AO195" i="6"/>
  <c r="AO203" i="6" s="1"/>
  <c r="AQ195" i="6"/>
  <c r="AQ203" i="6" s="1"/>
  <c r="AW195" i="6"/>
  <c r="AW203" i="6" s="1"/>
  <c r="AY195" i="6"/>
  <c r="AY203" i="6" s="1"/>
  <c r="T196" i="6"/>
  <c r="T204" i="6" s="1"/>
  <c r="AB196" i="6"/>
  <c r="AB204" i="6" s="1"/>
  <c r="AR196" i="6"/>
  <c r="AR204" i="6" s="1"/>
  <c r="AT196" i="6"/>
  <c r="AT204" i="6" s="1"/>
  <c r="AZ196" i="6"/>
  <c r="AZ204" i="6" s="1"/>
  <c r="R251" i="6"/>
  <c r="R252" i="6" s="1"/>
  <c r="S251" i="6"/>
  <c r="S252" i="6" s="1"/>
  <c r="T251" i="6"/>
  <c r="T252" i="6" s="1"/>
  <c r="U251" i="6"/>
  <c r="U252" i="6" s="1"/>
  <c r="AB251" i="6"/>
  <c r="AB252" i="6" s="1"/>
  <c r="AC251" i="6"/>
  <c r="AC252" i="6" s="1"/>
  <c r="AD251" i="6"/>
  <c r="AD252" i="6" s="1"/>
  <c r="AE251" i="6"/>
  <c r="AE252" i="6" s="1"/>
  <c r="AF251" i="6"/>
  <c r="AF252" i="6" s="1"/>
  <c r="AJ251" i="6"/>
  <c r="AJ252" i="6" s="1"/>
  <c r="AK251" i="6"/>
  <c r="AK252" i="6" s="1"/>
  <c r="AL251" i="6"/>
  <c r="AL252" i="6" s="1"/>
  <c r="AM251" i="6"/>
  <c r="AM252" i="6" s="1"/>
  <c r="AN251" i="6"/>
  <c r="AN252" i="6" s="1"/>
  <c r="AO251" i="6"/>
  <c r="AO252" i="6" s="1"/>
  <c r="AP251" i="6"/>
  <c r="AP252" i="6" s="1"/>
  <c r="AQ251" i="6"/>
  <c r="AQ252" i="6" s="1"/>
  <c r="AR251" i="6"/>
  <c r="AR252" i="6" s="1"/>
  <c r="AS251" i="6"/>
  <c r="AS252" i="6" s="1"/>
  <c r="AT251" i="6"/>
  <c r="AT252" i="6" s="1"/>
  <c r="AU251" i="6"/>
  <c r="AU252" i="6" s="1"/>
  <c r="AV251" i="6"/>
  <c r="AV252" i="6" s="1"/>
  <c r="AW251" i="6"/>
  <c r="AW252" i="6" s="1"/>
  <c r="AX251" i="6"/>
  <c r="AX252" i="6" s="1"/>
  <c r="AY251" i="6"/>
  <c r="AY252" i="6" s="1"/>
  <c r="AZ251" i="6"/>
  <c r="AZ252" i="6" s="1"/>
  <c r="R278" i="6"/>
  <c r="S278" i="6"/>
  <c r="S280" i="6" s="1"/>
  <c r="T278" i="6"/>
  <c r="T280" i="6" s="1"/>
  <c r="U278" i="6"/>
  <c r="U280" i="6" s="1"/>
  <c r="AB278" i="6"/>
  <c r="AB280" i="6" s="1"/>
  <c r="AC278" i="6"/>
  <c r="AC280" i="6" s="1"/>
  <c r="AD278" i="6"/>
  <c r="AD280" i="6" s="1"/>
  <c r="AE278" i="6"/>
  <c r="AE280" i="6" s="1"/>
  <c r="AF278" i="6"/>
  <c r="AF280" i="6" s="1"/>
  <c r="AJ278" i="6"/>
  <c r="AJ280" i="6" s="1"/>
  <c r="AK278" i="6"/>
  <c r="AK280" i="6" s="1"/>
  <c r="AL278" i="6"/>
  <c r="AL280" i="6" s="1"/>
  <c r="AM278" i="6"/>
  <c r="AM280" i="6" s="1"/>
  <c r="AN278" i="6"/>
  <c r="AN280" i="6" s="1"/>
  <c r="AO278" i="6"/>
  <c r="AO280" i="6" s="1"/>
  <c r="AP278" i="6"/>
  <c r="AP280" i="6" s="1"/>
  <c r="AQ278" i="6"/>
  <c r="AQ280" i="6" s="1"/>
  <c r="AR278" i="6"/>
  <c r="AR280" i="6" s="1"/>
  <c r="AS278" i="6"/>
  <c r="AS280" i="6" s="1"/>
  <c r="AT278" i="6"/>
  <c r="AT280" i="6" s="1"/>
  <c r="AU278" i="6"/>
  <c r="AU280" i="6" s="1"/>
  <c r="AV278" i="6"/>
  <c r="AV280" i="6" s="1"/>
  <c r="AW278" i="6"/>
  <c r="AW280" i="6" s="1"/>
  <c r="AX278" i="6"/>
  <c r="AX280" i="6" s="1"/>
  <c r="AY278" i="6"/>
  <c r="AY280" i="6" s="1"/>
  <c r="AZ278" i="6"/>
  <c r="AZ280" i="6" s="1"/>
  <c r="R279" i="6"/>
  <c r="S279" i="6"/>
  <c r="T279" i="6"/>
  <c r="U279" i="6"/>
  <c r="AB279" i="6"/>
  <c r="AC279" i="6"/>
  <c r="AD279" i="6"/>
  <c r="AE279" i="6"/>
  <c r="AF279" i="6"/>
  <c r="AJ279" i="6"/>
  <c r="AK279" i="6"/>
  <c r="AL279" i="6"/>
  <c r="AM279" i="6"/>
  <c r="AN279" i="6"/>
  <c r="AO279" i="6"/>
  <c r="AP279" i="6"/>
  <c r="AQ279" i="6"/>
  <c r="AR279" i="6"/>
  <c r="AS279" i="6"/>
  <c r="AT279" i="6"/>
  <c r="AU279" i="6"/>
  <c r="AV279" i="6"/>
  <c r="AW279" i="6"/>
  <c r="AX279" i="6"/>
  <c r="AY279" i="6"/>
  <c r="AZ279" i="6"/>
  <c r="R280" i="6"/>
  <c r="E79" i="6"/>
  <c r="E190" i="6" s="1"/>
  <c r="E198" i="6" s="1"/>
  <c r="E288" i="6" s="1"/>
  <c r="E290" i="6" s="1"/>
  <c r="E80" i="6"/>
  <c r="E191" i="6" s="1"/>
  <c r="E199" i="6" s="1"/>
  <c r="E81" i="6"/>
  <c r="E192" i="6" s="1"/>
  <c r="E200" i="6" s="1"/>
  <c r="E82" i="6"/>
  <c r="E193" i="6" s="1"/>
  <c r="E201" i="6" s="1"/>
  <c r="E83" i="6"/>
  <c r="E194" i="6" s="1"/>
  <c r="E202" i="6" s="1"/>
  <c r="E84" i="6"/>
  <c r="E195" i="6" s="1"/>
  <c r="E203" i="6" s="1"/>
  <c r="E85" i="6"/>
  <c r="E196" i="6" s="1"/>
  <c r="E204" i="6" s="1"/>
  <c r="E251" i="6"/>
  <c r="E252" i="6" s="1"/>
  <c r="E278" i="6"/>
  <c r="E280" i="6" s="1"/>
  <c r="E279" i="6"/>
  <c r="BK222" i="14"/>
  <c r="BK156" i="14"/>
  <c r="BK90" i="14"/>
  <c r="BK24" i="14"/>
  <c r="AP143" i="14"/>
  <c r="AP144" i="14"/>
  <c r="AP145" i="14"/>
  <c r="AP146" i="14"/>
  <c r="AP147" i="14"/>
  <c r="AP142" i="14"/>
  <c r="M79" i="6"/>
  <c r="M190" i="6" s="1"/>
  <c r="M198" i="6" s="1"/>
  <c r="M288" i="6" s="1"/>
  <c r="M290" i="6" s="1"/>
  <c r="M80" i="6"/>
  <c r="M191" i="6" s="1"/>
  <c r="M199" i="6" s="1"/>
  <c r="M81" i="6"/>
  <c r="M192" i="6" s="1"/>
  <c r="M200" i="6" s="1"/>
  <c r="M82" i="6"/>
  <c r="M193" i="6" s="1"/>
  <c r="M201" i="6" s="1"/>
  <c r="M83" i="6"/>
  <c r="M194" i="6" s="1"/>
  <c r="M202" i="6" s="1"/>
  <c r="M84" i="6"/>
  <c r="M195" i="6" s="1"/>
  <c r="M203" i="6" s="1"/>
  <c r="M85" i="6"/>
  <c r="M196" i="6" s="1"/>
  <c r="M204" i="6" s="1"/>
  <c r="M251" i="6"/>
  <c r="M252" i="6" s="1"/>
  <c r="M278" i="6"/>
  <c r="M280" i="6" s="1"/>
  <c r="M279" i="6"/>
  <c r="AH15" i="6" l="1"/>
  <c r="AH250" i="6" s="1"/>
  <c r="AA16" i="6"/>
  <c r="AA253" i="6" s="1"/>
  <c r="W16" i="6"/>
  <c r="W253" i="6" s="1"/>
  <c r="V15" i="6"/>
  <c r="V250" i="6" s="1"/>
  <c r="V14" i="6"/>
  <c r="V246" i="6" s="1"/>
  <c r="AI16" i="6"/>
  <c r="AI253" i="6" s="1"/>
  <c r="Z14" i="6"/>
  <c r="Z246" i="6" s="1"/>
  <c r="Y14" i="6"/>
  <c r="Y246" i="6" s="1"/>
  <c r="AH13" i="6"/>
  <c r="Z13" i="6"/>
  <c r="Z16" i="6"/>
  <c r="Z253" i="6" s="1"/>
  <c r="V13" i="6"/>
  <c r="V16" i="6"/>
  <c r="V253" i="6" s="1"/>
  <c r="Y16" i="6"/>
  <c r="Y253" i="6" s="1"/>
  <c r="AG14" i="6"/>
  <c r="AG246" i="6" s="1"/>
  <c r="AG16" i="6"/>
  <c r="AG253" i="6" s="1"/>
  <c r="AA14" i="6"/>
  <c r="AA246" i="6" s="1"/>
  <c r="AI14" i="6"/>
  <c r="AI246" i="6" s="1"/>
  <c r="Y13" i="6"/>
  <c r="X15" i="6"/>
  <c r="X250" i="6" s="1"/>
  <c r="W15" i="6"/>
  <c r="W250" i="6" s="1"/>
  <c r="AH16" i="6"/>
  <c r="AH253" i="6" s="1"/>
  <c r="AA13" i="6"/>
  <c r="AI15" i="6"/>
  <c r="AI250" i="6" s="1"/>
  <c r="AG13" i="6"/>
  <c r="W14" i="6"/>
  <c r="W246" i="6" s="1"/>
  <c r="AG15" i="6"/>
  <c r="AG250" i="6" s="1"/>
  <c r="AA15" i="6"/>
  <c r="AA250" i="6" s="1"/>
  <c r="X14" i="6"/>
  <c r="X246" i="6" s="1"/>
  <c r="AH14" i="6"/>
  <c r="AH246" i="6" s="1"/>
  <c r="W13" i="6"/>
  <c r="AI13" i="6"/>
  <c r="Z15" i="6"/>
  <c r="Z250" i="6" s="1"/>
  <c r="X13" i="6"/>
  <c r="X16" i="6"/>
  <c r="X253" i="6" s="1"/>
  <c r="Y15" i="6"/>
  <c r="Y250" i="6" s="1"/>
  <c r="AD288" i="6"/>
  <c r="AD290" i="6" s="1"/>
  <c r="AL288" i="6"/>
  <c r="AL290" i="6" s="1"/>
  <c r="B39" i="19"/>
  <c r="E35" i="19" s="1"/>
  <c r="D34" i="19"/>
  <c r="E34" i="19" s="1"/>
  <c r="D35" i="19"/>
  <c r="D36" i="19"/>
  <c r="E36" i="19" s="1"/>
  <c r="D33" i="19"/>
  <c r="Z15" i="1"/>
  <c r="J79" i="6"/>
  <c r="J190" i="6" s="1"/>
  <c r="J198" i="6" s="1"/>
  <c r="J288" i="6" s="1"/>
  <c r="J290" i="6" s="1"/>
  <c r="K79" i="6"/>
  <c r="K190" i="6" s="1"/>
  <c r="K198" i="6" s="1"/>
  <c r="N79" i="6"/>
  <c r="N190" i="6" s="1"/>
  <c r="N198" i="6" s="1"/>
  <c r="O79" i="6"/>
  <c r="O190" i="6" s="1"/>
  <c r="O198" i="6" s="1"/>
  <c r="J80" i="6"/>
  <c r="J191" i="6" s="1"/>
  <c r="J199" i="6" s="1"/>
  <c r="K80" i="6"/>
  <c r="K191" i="6" s="1"/>
  <c r="K199" i="6" s="1"/>
  <c r="N80" i="6"/>
  <c r="N191" i="6" s="1"/>
  <c r="N199" i="6" s="1"/>
  <c r="O80" i="6"/>
  <c r="O191" i="6" s="1"/>
  <c r="O199" i="6" s="1"/>
  <c r="J81" i="6"/>
  <c r="J192" i="6" s="1"/>
  <c r="J200" i="6" s="1"/>
  <c r="K81" i="6"/>
  <c r="K192" i="6" s="1"/>
  <c r="K200" i="6" s="1"/>
  <c r="N81" i="6"/>
  <c r="N192" i="6" s="1"/>
  <c r="N200" i="6" s="1"/>
  <c r="O81" i="6"/>
  <c r="O192" i="6" s="1"/>
  <c r="O200" i="6" s="1"/>
  <c r="J82" i="6"/>
  <c r="J193" i="6" s="1"/>
  <c r="J201" i="6" s="1"/>
  <c r="K82" i="6"/>
  <c r="K193" i="6" s="1"/>
  <c r="K201" i="6" s="1"/>
  <c r="N82" i="6"/>
  <c r="N193" i="6" s="1"/>
  <c r="N201" i="6" s="1"/>
  <c r="O82" i="6"/>
  <c r="O193" i="6" s="1"/>
  <c r="O201" i="6" s="1"/>
  <c r="J83" i="6"/>
  <c r="J194" i="6" s="1"/>
  <c r="J202" i="6" s="1"/>
  <c r="K83" i="6"/>
  <c r="K194" i="6" s="1"/>
  <c r="K202" i="6" s="1"/>
  <c r="N83" i="6"/>
  <c r="N194" i="6" s="1"/>
  <c r="N202" i="6" s="1"/>
  <c r="O83" i="6"/>
  <c r="O194" i="6" s="1"/>
  <c r="O202" i="6" s="1"/>
  <c r="J84" i="6"/>
  <c r="J195" i="6" s="1"/>
  <c r="J203" i="6" s="1"/>
  <c r="K84" i="6"/>
  <c r="K195" i="6" s="1"/>
  <c r="K203" i="6" s="1"/>
  <c r="N84" i="6"/>
  <c r="N195" i="6" s="1"/>
  <c r="N203" i="6" s="1"/>
  <c r="O84" i="6"/>
  <c r="O195" i="6" s="1"/>
  <c r="O203" i="6" s="1"/>
  <c r="J85" i="6"/>
  <c r="J196" i="6" s="1"/>
  <c r="J204" i="6" s="1"/>
  <c r="K85" i="6"/>
  <c r="K196" i="6" s="1"/>
  <c r="K204" i="6" s="1"/>
  <c r="N85" i="6"/>
  <c r="N196" i="6" s="1"/>
  <c r="N204" i="6" s="1"/>
  <c r="O85" i="6"/>
  <c r="O196" i="6" s="1"/>
  <c r="O204" i="6" s="1"/>
  <c r="J251" i="6"/>
  <c r="J252" i="6" s="1"/>
  <c r="K251" i="6"/>
  <c r="K252" i="6" s="1"/>
  <c r="N251" i="6"/>
  <c r="N252" i="6" s="1"/>
  <c r="O251" i="6"/>
  <c r="O252" i="6" s="1"/>
  <c r="J278" i="6"/>
  <c r="J280" i="6" s="1"/>
  <c r="K278" i="6"/>
  <c r="K280" i="6" s="1"/>
  <c r="N278" i="6"/>
  <c r="N280" i="6" s="1"/>
  <c r="O278" i="6"/>
  <c r="O280" i="6" s="1"/>
  <c r="J279" i="6"/>
  <c r="K279" i="6"/>
  <c r="N279" i="6"/>
  <c r="O279" i="6"/>
  <c r="D25" i="19"/>
  <c r="E25" i="19" s="1"/>
  <c r="D24" i="19"/>
  <c r="E24" i="19" s="1"/>
  <c r="D23" i="19"/>
  <c r="E23" i="19" s="1"/>
  <c r="D22" i="19"/>
  <c r="D15" i="19"/>
  <c r="E15" i="19" s="1"/>
  <c r="D14" i="19"/>
  <c r="E14" i="19" s="1"/>
  <c r="D13" i="19"/>
  <c r="E13" i="19" s="1"/>
  <c r="D12" i="19"/>
  <c r="D5" i="19"/>
  <c r="D4" i="19"/>
  <c r="D3" i="19"/>
  <c r="D2" i="19"/>
  <c r="BH79" i="6"/>
  <c r="BH190" i="6" s="1"/>
  <c r="BH198" i="6" s="1"/>
  <c r="BH288" i="6" s="1"/>
  <c r="BH290" i="6" s="1"/>
  <c r="BH80" i="6"/>
  <c r="BH191" i="6" s="1"/>
  <c r="BH199" i="6" s="1"/>
  <c r="BH81" i="6"/>
  <c r="BH192" i="6" s="1"/>
  <c r="BH200" i="6" s="1"/>
  <c r="BH82" i="6"/>
  <c r="BH193" i="6" s="1"/>
  <c r="BH201" i="6" s="1"/>
  <c r="BH83" i="6"/>
  <c r="BH194" i="6" s="1"/>
  <c r="BH202" i="6" s="1"/>
  <c r="BH84" i="6"/>
  <c r="BH195" i="6" s="1"/>
  <c r="BH203" i="6" s="1"/>
  <c r="BH85" i="6"/>
  <c r="BH196" i="6" s="1"/>
  <c r="BH204" i="6" s="1"/>
  <c r="BH251" i="6"/>
  <c r="BH252" i="6" s="1"/>
  <c r="BH278" i="6"/>
  <c r="BH280" i="6" s="1"/>
  <c r="BH279" i="6"/>
  <c r="BG79" i="6"/>
  <c r="BG80" i="6"/>
  <c r="BG81" i="6"/>
  <c r="BG82" i="6"/>
  <c r="BG83" i="6"/>
  <c r="BG84" i="6"/>
  <c r="BG85" i="6"/>
  <c r="V247" i="6" l="1"/>
  <c r="V9" i="6"/>
  <c r="AA247" i="6"/>
  <c r="AA9" i="6"/>
  <c r="X247" i="6"/>
  <c r="X9" i="6"/>
  <c r="Z247" i="6"/>
  <c r="Z9" i="6"/>
  <c r="AH247" i="6"/>
  <c r="AH9" i="6"/>
  <c r="AI247" i="6"/>
  <c r="AI9" i="6"/>
  <c r="W247" i="6"/>
  <c r="W9" i="6"/>
  <c r="Y247" i="6"/>
  <c r="Y9" i="6"/>
  <c r="AG247" i="6"/>
  <c r="AG9" i="6"/>
  <c r="E33" i="19"/>
  <c r="K288" i="6"/>
  <c r="K290" i="6" s="1"/>
  <c r="O288" i="6"/>
  <c r="O290" i="6" s="1"/>
  <c r="N288" i="6"/>
  <c r="N290" i="6" s="1"/>
  <c r="B29" i="19"/>
  <c r="E22" i="19"/>
  <c r="B19" i="19"/>
  <c r="E12" i="19"/>
  <c r="B9" i="19"/>
  <c r="E3" i="19" s="1"/>
  <c r="BG190" i="6"/>
  <c r="BG198" i="6" s="1"/>
  <c r="BG288" i="6" s="1"/>
  <c r="BG290" i="6" s="1"/>
  <c r="BG191" i="6"/>
  <c r="BG199" i="6" s="1"/>
  <c r="BG192" i="6"/>
  <c r="BG200" i="6" s="1"/>
  <c r="BG193" i="6"/>
  <c r="BG201" i="6" s="1"/>
  <c r="BG194" i="6"/>
  <c r="BG202" i="6" s="1"/>
  <c r="BG195" i="6"/>
  <c r="BG203" i="6" s="1"/>
  <c r="BG196" i="6"/>
  <c r="BG204" i="6" s="1"/>
  <c r="BG251" i="6"/>
  <c r="BG252" i="6" s="1"/>
  <c r="BG278" i="6"/>
  <c r="BG280" i="6" s="1"/>
  <c r="BG279" i="6"/>
  <c r="BB79" i="6"/>
  <c r="BB190" i="6" s="1"/>
  <c r="BB198" i="6" s="1"/>
  <c r="BB288" i="6" s="1"/>
  <c r="BB290" i="6" s="1"/>
  <c r="BB80" i="6"/>
  <c r="BB191" i="6" s="1"/>
  <c r="BB199" i="6" s="1"/>
  <c r="BB81" i="6"/>
  <c r="BB192" i="6" s="1"/>
  <c r="BB200" i="6" s="1"/>
  <c r="BB82" i="6"/>
  <c r="BB193" i="6" s="1"/>
  <c r="BB201" i="6" s="1"/>
  <c r="BB83" i="6"/>
  <c r="BB194" i="6" s="1"/>
  <c r="BB202" i="6" s="1"/>
  <c r="BB84" i="6"/>
  <c r="BB195" i="6" s="1"/>
  <c r="BB203" i="6" s="1"/>
  <c r="BB85" i="6"/>
  <c r="BB196" i="6" s="1"/>
  <c r="BB204" i="6" s="1"/>
  <c r="BB251" i="6"/>
  <c r="BB252" i="6" s="1"/>
  <c r="BB278" i="6"/>
  <c r="BB280" i="6" s="1"/>
  <c r="BB279" i="6"/>
  <c r="BA79" i="6"/>
  <c r="BA80" i="6"/>
  <c r="BA81" i="6"/>
  <c r="BA82" i="6"/>
  <c r="BA83" i="6"/>
  <c r="BA84" i="6"/>
  <c r="BA85" i="6"/>
  <c r="AH256" i="6" l="1"/>
  <c r="AH10" i="6"/>
  <c r="Z256" i="6"/>
  <c r="Z10" i="6"/>
  <c r="AI256" i="6"/>
  <c r="AI10" i="6"/>
  <c r="X256" i="6"/>
  <c r="X10" i="6"/>
  <c r="AG10" i="6"/>
  <c r="AG256" i="6"/>
  <c r="AA10" i="6"/>
  <c r="AA256" i="6"/>
  <c r="Y10" i="6"/>
  <c r="Y256" i="6"/>
  <c r="V256" i="6"/>
  <c r="V10" i="6"/>
  <c r="W256" i="6"/>
  <c r="W10" i="6"/>
  <c r="E2" i="19"/>
  <c r="E4" i="19"/>
  <c r="E5" i="19"/>
  <c r="BA190" i="6"/>
  <c r="BA198" i="6" s="1"/>
  <c r="BA191" i="6"/>
  <c r="BA199" i="6" s="1"/>
  <c r="BA192" i="6"/>
  <c r="BA200" i="6" s="1"/>
  <c r="BA193" i="6"/>
  <c r="BA201" i="6" s="1"/>
  <c r="BA194" i="6"/>
  <c r="BA202" i="6" s="1"/>
  <c r="BA195" i="6"/>
  <c r="BA203" i="6" s="1"/>
  <c r="BA196" i="6"/>
  <c r="BA204" i="6" s="1"/>
  <c r="BA251" i="6"/>
  <c r="BA252" i="6" s="1"/>
  <c r="BA278" i="6"/>
  <c r="BA280" i="6" s="1"/>
  <c r="BA279" i="6"/>
  <c r="BF79" i="6"/>
  <c r="BF190" i="6" s="1"/>
  <c r="BF198" i="6" s="1"/>
  <c r="BF288" i="6" s="1"/>
  <c r="BF290" i="6" s="1"/>
  <c r="BF80" i="6"/>
  <c r="BF191" i="6" s="1"/>
  <c r="BF199" i="6" s="1"/>
  <c r="BF81" i="6"/>
  <c r="BF192" i="6" s="1"/>
  <c r="BF200" i="6" s="1"/>
  <c r="BF82" i="6"/>
  <c r="BF193" i="6" s="1"/>
  <c r="BF201" i="6" s="1"/>
  <c r="BF83" i="6"/>
  <c r="BF194" i="6" s="1"/>
  <c r="BF202" i="6" s="1"/>
  <c r="BF84" i="6"/>
  <c r="BF195" i="6" s="1"/>
  <c r="BF203" i="6" s="1"/>
  <c r="BF85" i="6"/>
  <c r="BF196" i="6" s="1"/>
  <c r="BF204" i="6" s="1"/>
  <c r="BF251" i="6"/>
  <c r="BF252" i="6" s="1"/>
  <c r="BF278" i="6"/>
  <c r="BF280" i="6" s="1"/>
  <c r="BF279" i="6"/>
  <c r="BD79" i="6"/>
  <c r="BD190" i="6" s="1"/>
  <c r="BD198" i="6" s="1"/>
  <c r="BE79" i="6"/>
  <c r="BE190" i="6" s="1"/>
  <c r="BE198" i="6" s="1"/>
  <c r="BD80" i="6"/>
  <c r="BD191" i="6" s="1"/>
  <c r="BD199" i="6" s="1"/>
  <c r="BE80" i="6"/>
  <c r="BE191" i="6" s="1"/>
  <c r="BE199" i="6" s="1"/>
  <c r="BD81" i="6"/>
  <c r="BD192" i="6" s="1"/>
  <c r="BD200" i="6" s="1"/>
  <c r="BE81" i="6"/>
  <c r="BE192" i="6" s="1"/>
  <c r="BE200" i="6" s="1"/>
  <c r="BD82" i="6"/>
  <c r="BD193" i="6" s="1"/>
  <c r="BD201" i="6" s="1"/>
  <c r="BE82" i="6"/>
  <c r="BE193" i="6" s="1"/>
  <c r="BE201" i="6" s="1"/>
  <c r="BD83" i="6"/>
  <c r="BD194" i="6" s="1"/>
  <c r="BD202" i="6" s="1"/>
  <c r="BE83" i="6"/>
  <c r="BE194" i="6" s="1"/>
  <c r="BE202" i="6" s="1"/>
  <c r="BD84" i="6"/>
  <c r="BD195" i="6" s="1"/>
  <c r="BD203" i="6" s="1"/>
  <c r="BE84" i="6"/>
  <c r="BE195" i="6" s="1"/>
  <c r="BE203" i="6" s="1"/>
  <c r="BD85" i="6"/>
  <c r="BD196" i="6" s="1"/>
  <c r="BD204" i="6" s="1"/>
  <c r="BE85" i="6"/>
  <c r="BE196" i="6" s="1"/>
  <c r="BE204" i="6" s="1"/>
  <c r="BD251" i="6"/>
  <c r="BD252" i="6" s="1"/>
  <c r="BE251" i="6"/>
  <c r="BE252" i="6" s="1"/>
  <c r="BD278" i="6"/>
  <c r="BD280" i="6" s="1"/>
  <c r="BE278" i="6"/>
  <c r="BE280" i="6" s="1"/>
  <c r="BD279" i="6"/>
  <c r="BE279" i="6"/>
  <c r="BC79" i="6"/>
  <c r="BC190" i="6" s="1"/>
  <c r="BC198" i="6" s="1"/>
  <c r="BC80" i="6"/>
  <c r="BC191" i="6" s="1"/>
  <c r="BC199" i="6" s="1"/>
  <c r="BC81" i="6"/>
  <c r="BC192" i="6" s="1"/>
  <c r="BC200" i="6" s="1"/>
  <c r="BC82" i="6"/>
  <c r="BC193" i="6" s="1"/>
  <c r="BC201" i="6" s="1"/>
  <c r="BC83" i="6"/>
  <c r="BC194" i="6" s="1"/>
  <c r="BC202" i="6" s="1"/>
  <c r="BC84" i="6"/>
  <c r="BC195" i="6" s="1"/>
  <c r="BC203" i="6" s="1"/>
  <c r="BC85" i="6"/>
  <c r="BC196" i="6" s="1"/>
  <c r="BC204" i="6" s="1"/>
  <c r="BC251" i="6"/>
  <c r="BC252" i="6" s="1"/>
  <c r="BC278" i="6"/>
  <c r="BC280" i="6" s="1"/>
  <c r="BC279" i="6"/>
  <c r="I79" i="6"/>
  <c r="I190" i="6" s="1"/>
  <c r="I198" i="6" s="1"/>
  <c r="I288" i="6" s="1"/>
  <c r="I290" i="6" s="1"/>
  <c r="I80" i="6"/>
  <c r="I191" i="6" s="1"/>
  <c r="I199" i="6" s="1"/>
  <c r="I81" i="6"/>
  <c r="I192" i="6" s="1"/>
  <c r="I200" i="6" s="1"/>
  <c r="I82" i="6"/>
  <c r="I193" i="6" s="1"/>
  <c r="I201" i="6" s="1"/>
  <c r="I83" i="6"/>
  <c r="I194" i="6" s="1"/>
  <c r="I202" i="6" s="1"/>
  <c r="I84" i="6"/>
  <c r="I195" i="6" s="1"/>
  <c r="I203" i="6" s="1"/>
  <c r="I85" i="6"/>
  <c r="I196" i="6" s="1"/>
  <c r="I204" i="6" s="1"/>
  <c r="I251" i="6"/>
  <c r="I252" i="6" s="1"/>
  <c r="I278" i="6"/>
  <c r="I280" i="6" s="1"/>
  <c r="I279" i="6"/>
  <c r="C17" i="21"/>
  <c r="G23" i="21"/>
  <c r="G7" i="21"/>
  <c r="G6" i="21"/>
  <c r="Z213" i="14"/>
  <c r="Z212" i="14"/>
  <c r="Z211" i="14"/>
  <c r="Z210" i="14"/>
  <c r="Z209" i="14"/>
  <c r="Z208" i="14"/>
  <c r="Z201" i="14"/>
  <c r="Z147" i="14"/>
  <c r="Z146" i="14"/>
  <c r="Z145" i="14"/>
  <c r="Z144" i="14"/>
  <c r="Z143" i="14"/>
  <c r="Z142" i="14"/>
  <c r="Z135" i="14"/>
  <c r="Z81" i="14"/>
  <c r="Z80" i="14"/>
  <c r="Z79" i="14"/>
  <c r="Z78" i="14"/>
  <c r="Z77" i="14"/>
  <c r="Z76" i="14"/>
  <c r="Z69" i="14"/>
  <c r="Z11" i="14"/>
  <c r="Z12" i="14"/>
  <c r="Z13" i="14"/>
  <c r="Z14" i="14"/>
  <c r="Z15" i="14"/>
  <c r="Z10" i="14"/>
  <c r="Z3" i="14"/>
  <c r="Z19" i="18"/>
  <c r="Z18" i="18"/>
  <c r="Z17" i="18"/>
  <c r="Z16" i="18"/>
  <c r="Z15" i="18"/>
  <c r="Z14" i="18"/>
  <c r="Z13" i="18"/>
  <c r="Z12" i="18"/>
  <c r="Z11" i="18"/>
  <c r="Z10" i="18"/>
  <c r="Z19" i="17"/>
  <c r="Z18" i="17"/>
  <c r="Z17" i="17"/>
  <c r="Z16" i="17"/>
  <c r="Z15" i="17"/>
  <c r="Z14" i="17"/>
  <c r="Z13" i="17"/>
  <c r="Z12" i="17"/>
  <c r="Z11" i="17"/>
  <c r="Z10" i="17"/>
  <c r="Z19" i="16"/>
  <c r="Z18" i="16"/>
  <c r="Z17" i="16"/>
  <c r="Z16" i="16"/>
  <c r="Z15" i="16"/>
  <c r="Z14" i="16"/>
  <c r="Z13" i="16"/>
  <c r="Z12" i="16"/>
  <c r="Z11" i="16"/>
  <c r="Z10" i="16"/>
  <c r="S32" i="11"/>
  <c r="Q15" i="11"/>
  <c r="Q16" i="11"/>
  <c r="Q17" i="11"/>
  <c r="Q14" i="11"/>
  <c r="P17" i="11"/>
  <c r="P16" i="11"/>
  <c r="BV54" i="14"/>
  <c r="BV120" i="14"/>
  <c r="BV186" i="14"/>
  <c r="BV252" i="14"/>
  <c r="H79" i="6"/>
  <c r="H190" i="6" s="1"/>
  <c r="H198" i="6" s="1"/>
  <c r="H288" i="6" s="1"/>
  <c r="H290" i="6" s="1"/>
  <c r="H80" i="6"/>
  <c r="H191" i="6" s="1"/>
  <c r="H199" i="6" s="1"/>
  <c r="H81" i="6"/>
  <c r="H192" i="6" s="1"/>
  <c r="H200" i="6" s="1"/>
  <c r="H82" i="6"/>
  <c r="H193" i="6" s="1"/>
  <c r="H201" i="6" s="1"/>
  <c r="H83" i="6"/>
  <c r="H194" i="6" s="1"/>
  <c r="H202" i="6" s="1"/>
  <c r="H84" i="6"/>
  <c r="H195" i="6" s="1"/>
  <c r="H203" i="6" s="1"/>
  <c r="H85" i="6"/>
  <c r="H196" i="6" s="1"/>
  <c r="H204" i="6" s="1"/>
  <c r="H251" i="6"/>
  <c r="H252" i="6" s="1"/>
  <c r="H278" i="6"/>
  <c r="H280" i="6" s="1"/>
  <c r="H279" i="6"/>
  <c r="G24" i="21"/>
  <c r="G14" i="21"/>
  <c r="C18" i="21"/>
  <c r="C25" i="21"/>
  <c r="K5" i="21"/>
  <c r="K6" i="21"/>
  <c r="K7" i="21"/>
  <c r="K8" i="21"/>
  <c r="K9" i="21"/>
  <c r="K10" i="21"/>
  <c r="K11" i="21"/>
  <c r="K12" i="21"/>
  <c r="K13" i="21"/>
  <c r="K14" i="21"/>
  <c r="K15" i="21"/>
  <c r="K16" i="21"/>
  <c r="K17" i="21"/>
  <c r="K18" i="21"/>
  <c r="K19" i="21"/>
  <c r="K20" i="21"/>
  <c r="K21" i="21"/>
  <c r="K4" i="21"/>
  <c r="C3" i="21"/>
  <c r="G3" i="21"/>
  <c r="C4" i="21"/>
  <c r="G4" i="21"/>
  <c r="C5" i="21"/>
  <c r="G5" i="21"/>
  <c r="C6" i="21"/>
  <c r="C7" i="21"/>
  <c r="C8" i="21"/>
  <c r="G8" i="21"/>
  <c r="C9" i="21"/>
  <c r="G9" i="21"/>
  <c r="C10" i="21"/>
  <c r="G10" i="21"/>
  <c r="C11" i="21"/>
  <c r="G11" i="21"/>
  <c r="C12" i="21"/>
  <c r="G12" i="21"/>
  <c r="C13" i="21"/>
  <c r="G13" i="21"/>
  <c r="C14" i="21"/>
  <c r="G15" i="21"/>
  <c r="C15" i="21"/>
  <c r="G16" i="21"/>
  <c r="C16" i="21"/>
  <c r="G17" i="21"/>
  <c r="C19" i="21"/>
  <c r="G18" i="21"/>
  <c r="C20" i="21"/>
  <c r="G19" i="21"/>
  <c r="C21" i="21"/>
  <c r="G20" i="21"/>
  <c r="C22" i="21"/>
  <c r="G21" i="21"/>
  <c r="C23" i="21"/>
  <c r="G22" i="21"/>
  <c r="C24" i="21"/>
  <c r="G25" i="21"/>
  <c r="C26" i="21"/>
  <c r="G26" i="21"/>
  <c r="G79" i="6"/>
  <c r="G80" i="6"/>
  <c r="G81" i="6"/>
  <c r="G82" i="6"/>
  <c r="G83" i="6"/>
  <c r="G84" i="6"/>
  <c r="G85" i="6"/>
  <c r="AA261" i="6" l="1"/>
  <c r="AA257" i="6"/>
  <c r="AA259" i="6" s="1"/>
  <c r="AA260" i="6"/>
  <c r="AA262" i="6" s="1"/>
  <c r="AA284" i="6" s="1"/>
  <c r="AG260" i="6"/>
  <c r="AG262" i="6" s="1"/>
  <c r="AG284" i="6" s="1"/>
  <c r="AG257" i="6"/>
  <c r="AG259" i="6" s="1"/>
  <c r="AG261" i="6"/>
  <c r="X260" i="6"/>
  <c r="X262" i="6" s="1"/>
  <c r="X284" i="6" s="1"/>
  <c r="X261" i="6"/>
  <c r="X257" i="6"/>
  <c r="X259" i="6" s="1"/>
  <c r="W260" i="6"/>
  <c r="W262" i="6" s="1"/>
  <c r="W284" i="6" s="1"/>
  <c r="W257" i="6"/>
  <c r="W259" i="6" s="1"/>
  <c r="W261" i="6"/>
  <c r="AI260" i="6"/>
  <c r="AI262" i="6" s="1"/>
  <c r="AI284" i="6" s="1"/>
  <c r="AI257" i="6"/>
  <c r="AI259" i="6" s="1"/>
  <c r="AI261" i="6"/>
  <c r="V260" i="6"/>
  <c r="V262" i="6" s="1"/>
  <c r="V284" i="6" s="1"/>
  <c r="V261" i="6"/>
  <c r="V257" i="6"/>
  <c r="V259" i="6" s="1"/>
  <c r="Z260" i="6"/>
  <c r="Z262" i="6" s="1"/>
  <c r="Z284" i="6" s="1"/>
  <c r="Z257" i="6"/>
  <c r="Z259" i="6" s="1"/>
  <c r="Z261" i="6"/>
  <c r="Y257" i="6"/>
  <c r="Y259" i="6" s="1"/>
  <c r="Y260" i="6"/>
  <c r="Y262" i="6" s="1"/>
  <c r="Y284" i="6" s="1"/>
  <c r="Y261" i="6"/>
  <c r="AH257" i="6"/>
  <c r="AH259" i="6" s="1"/>
  <c r="AH260" i="6"/>
  <c r="AH262" i="6" s="1"/>
  <c r="AH284" i="6" s="1"/>
  <c r="AH261" i="6"/>
  <c r="BA288" i="6"/>
  <c r="BA290" i="6" s="1"/>
  <c r="BC288" i="6"/>
  <c r="BC290" i="6" s="1"/>
  <c r="BE288" i="6"/>
  <c r="BE290" i="6" s="1"/>
  <c r="BD288" i="6"/>
  <c r="BD290" i="6" s="1"/>
  <c r="G190" i="6"/>
  <c r="G198" i="6" s="1"/>
  <c r="G288" i="6" s="1"/>
  <c r="G290" i="6" s="1"/>
  <c r="G191" i="6"/>
  <c r="G199" i="6" s="1"/>
  <c r="G192" i="6"/>
  <c r="G200" i="6" s="1"/>
  <c r="G193" i="6"/>
  <c r="G201" i="6" s="1"/>
  <c r="G194" i="6"/>
  <c r="G202" i="6" s="1"/>
  <c r="G195" i="6"/>
  <c r="G203" i="6" s="1"/>
  <c r="G196" i="6"/>
  <c r="G204" i="6" s="1"/>
  <c r="G251" i="6"/>
  <c r="G278" i="6"/>
  <c r="G279" i="6"/>
  <c r="Z19" i="1"/>
  <c r="Z18" i="1"/>
  <c r="Z17" i="1"/>
  <c r="Z16" i="1"/>
  <c r="Z14" i="1"/>
  <c r="Z13" i="1"/>
  <c r="Z11" i="1"/>
  <c r="Z12" i="1"/>
  <c r="Z10" i="1"/>
  <c r="D202" i="14"/>
  <c r="D136" i="14"/>
  <c r="D70" i="14"/>
  <c r="D4" i="14"/>
  <c r="F7" i="7" l="1"/>
  <c r="F8" i="7"/>
  <c r="F9" i="7"/>
  <c r="F14" i="7"/>
  <c r="F17" i="7"/>
  <c r="F26" i="7"/>
  <c r="F29" i="7"/>
  <c r="F30" i="7"/>
  <c r="F31" i="7"/>
  <c r="F32" i="7"/>
  <c r="F33" i="7"/>
  <c r="F34" i="7"/>
  <c r="F35" i="7"/>
  <c r="F36" i="7"/>
  <c r="F37" i="7"/>
  <c r="F39" i="7"/>
  <c r="F40" i="7"/>
  <c r="F41" i="7"/>
  <c r="F42" i="7"/>
  <c r="F43" i="7"/>
  <c r="F44" i="7"/>
  <c r="F45" i="7"/>
  <c r="F46" i="7"/>
  <c r="F47" i="7"/>
  <c r="F49" i="7"/>
  <c r="F50" i="7"/>
  <c r="F51" i="7"/>
  <c r="F79" i="6" l="1"/>
  <c r="F190" i="6" s="1"/>
  <c r="F198" i="6" s="1"/>
  <c r="F288" i="6" s="1"/>
  <c r="F290" i="6" s="1"/>
  <c r="F80" i="6"/>
  <c r="F191" i="6" s="1"/>
  <c r="F199" i="6" s="1"/>
  <c r="F81" i="6"/>
  <c r="F192" i="6" s="1"/>
  <c r="F200" i="6" s="1"/>
  <c r="F82" i="6"/>
  <c r="F193" i="6" s="1"/>
  <c r="F201" i="6" s="1"/>
  <c r="F83" i="6"/>
  <c r="F194" i="6" s="1"/>
  <c r="F202" i="6" s="1"/>
  <c r="F84" i="6"/>
  <c r="F195" i="6" s="1"/>
  <c r="F203" i="6" s="1"/>
  <c r="F85" i="6"/>
  <c r="F196" i="6" s="1"/>
  <c r="F204" i="6" s="1"/>
  <c r="F251" i="6"/>
  <c r="F278" i="6"/>
  <c r="AH221" i="14" l="1"/>
  <c r="AH155" i="14"/>
  <c r="AH89" i="14"/>
  <c r="AH23" i="14"/>
  <c r="D87" i="3" l="1"/>
  <c r="E87" i="3"/>
  <c r="F87" i="3"/>
  <c r="G87" i="3"/>
  <c r="H87" i="3"/>
  <c r="I87" i="3"/>
  <c r="J87" i="3"/>
  <c r="K87" i="3"/>
  <c r="L87" i="3"/>
  <c r="M87" i="3"/>
  <c r="N87" i="3"/>
  <c r="O87" i="3"/>
  <c r="P87" i="3"/>
  <c r="Q87" i="3"/>
  <c r="D88" i="3"/>
  <c r="E88" i="3"/>
  <c r="F88" i="3"/>
  <c r="G88" i="3"/>
  <c r="H88" i="3"/>
  <c r="I88" i="3"/>
  <c r="J88" i="3"/>
  <c r="K88" i="3"/>
  <c r="L88" i="3"/>
  <c r="M88" i="3"/>
  <c r="N88" i="3"/>
  <c r="O88" i="3"/>
  <c r="P88" i="3"/>
  <c r="Q88" i="3"/>
  <c r="C88" i="3"/>
  <c r="C87" i="3"/>
  <c r="D84" i="3"/>
  <c r="E84" i="3"/>
  <c r="F84" i="3"/>
  <c r="G84" i="3"/>
  <c r="H84" i="3"/>
  <c r="I84" i="3"/>
  <c r="J84" i="3"/>
  <c r="K84" i="3"/>
  <c r="L84" i="3"/>
  <c r="M84" i="3"/>
  <c r="N84" i="3"/>
  <c r="O84" i="3"/>
  <c r="P84" i="3"/>
  <c r="Q84" i="3"/>
  <c r="C84" i="3"/>
  <c r="D83" i="3"/>
  <c r="E83" i="3"/>
  <c r="F83" i="3"/>
  <c r="G83" i="3"/>
  <c r="H83" i="3"/>
  <c r="I83" i="3"/>
  <c r="J83" i="3"/>
  <c r="K83" i="3"/>
  <c r="L83" i="3"/>
  <c r="M83" i="3"/>
  <c r="N83" i="3"/>
  <c r="O83" i="3"/>
  <c r="P83" i="3"/>
  <c r="Q83" i="3"/>
  <c r="C83" i="3"/>
  <c r="H163" i="7"/>
  <c r="F45" i="22" s="1"/>
  <c r="F84" i="22" s="1"/>
  <c r="H164" i="7"/>
  <c r="F46" i="22" s="1"/>
  <c r="F85" i="22" s="1"/>
  <c r="H165" i="7"/>
  <c r="F47" i="22" s="1"/>
  <c r="F86" i="22" s="1"/>
  <c r="H166" i="7"/>
  <c r="F48" i="22" s="1"/>
  <c r="F87" i="22" s="1"/>
  <c r="H167" i="7"/>
  <c r="F49" i="22" s="1"/>
  <c r="F88" i="22" s="1"/>
  <c r="H168" i="7"/>
  <c r="F50" i="22" s="1"/>
  <c r="F89" i="22" s="1"/>
  <c r="H169" i="7"/>
  <c r="F51" i="22" s="1"/>
  <c r="F90" i="22" s="1"/>
  <c r="H170" i="7"/>
  <c r="F52" i="22" s="1"/>
  <c r="F91" i="22" s="1"/>
  <c r="H171" i="7"/>
  <c r="F53" i="22" s="1"/>
  <c r="F92" i="22" s="1"/>
  <c r="H172" i="7"/>
  <c r="F54" i="22" s="1"/>
  <c r="F93" i="22" s="1"/>
  <c r="H173" i="7"/>
  <c r="F55" i="22" s="1"/>
  <c r="F94" i="22" s="1"/>
  <c r="H174" i="7"/>
  <c r="F56" i="22" s="1"/>
  <c r="F95" i="22" s="1"/>
  <c r="H175" i="7"/>
  <c r="F57" i="22" s="1"/>
  <c r="F96" i="22" s="1"/>
  <c r="H176" i="7"/>
  <c r="F58" i="22" s="1"/>
  <c r="F97" i="22" s="1"/>
  <c r="H177" i="7"/>
  <c r="F59" i="22" s="1"/>
  <c r="F98" i="22" s="1"/>
  <c r="H178" i="7"/>
  <c r="F60" i="22" s="1"/>
  <c r="F99" i="22" s="1"/>
  <c r="H179" i="7"/>
  <c r="F61" i="22" s="1"/>
  <c r="F100" i="22" s="1"/>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162" i="7"/>
  <c r="F44" i="22" s="1"/>
  <c r="F83" i="22" s="1"/>
  <c r="H111" i="7"/>
  <c r="E45" i="22" s="1"/>
  <c r="E84" i="22" s="1"/>
  <c r="H112" i="7"/>
  <c r="E46" i="22" s="1"/>
  <c r="E85" i="22" s="1"/>
  <c r="H113" i="7"/>
  <c r="E47" i="22" s="1"/>
  <c r="E86" i="22" s="1"/>
  <c r="H114" i="7"/>
  <c r="E48" i="22" s="1"/>
  <c r="E87" i="22" s="1"/>
  <c r="H115" i="7"/>
  <c r="E49" i="22" s="1"/>
  <c r="E88" i="22" s="1"/>
  <c r="H116" i="7"/>
  <c r="E50" i="22" s="1"/>
  <c r="E89" i="22" s="1"/>
  <c r="H117" i="7"/>
  <c r="E51" i="22" s="1"/>
  <c r="E90" i="22" s="1"/>
  <c r="H118" i="7"/>
  <c r="E52" i="22" s="1"/>
  <c r="E91" i="22" s="1"/>
  <c r="H119" i="7"/>
  <c r="E53" i="22" s="1"/>
  <c r="E92" i="22" s="1"/>
  <c r="H120" i="7"/>
  <c r="E54" i="22" s="1"/>
  <c r="E93" i="22" s="1"/>
  <c r="H121" i="7"/>
  <c r="E55" i="22" s="1"/>
  <c r="E94" i="22" s="1"/>
  <c r="H122" i="7"/>
  <c r="E56" i="22" s="1"/>
  <c r="E95" i="22" s="1"/>
  <c r="H123" i="7"/>
  <c r="E57" i="22" s="1"/>
  <c r="E96" i="22" s="1"/>
  <c r="H124" i="7"/>
  <c r="E58" i="22" s="1"/>
  <c r="E97" i="22" s="1"/>
  <c r="H125" i="7"/>
  <c r="E59" i="22" s="1"/>
  <c r="E98" i="22" s="1"/>
  <c r="H126" i="7"/>
  <c r="E60" i="22" s="1"/>
  <c r="E99" i="22" s="1"/>
  <c r="H127" i="7"/>
  <c r="E61" i="22" s="1"/>
  <c r="E100" i="22" s="1"/>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10" i="7"/>
  <c r="E44" i="22" s="1"/>
  <c r="E83" i="22" s="1"/>
  <c r="H59" i="7"/>
  <c r="D45" i="22" s="1"/>
  <c r="D84" i="22" s="1"/>
  <c r="H60" i="7"/>
  <c r="D46" i="22" s="1"/>
  <c r="D85" i="22" s="1"/>
  <c r="H61" i="7"/>
  <c r="D47" i="22" s="1"/>
  <c r="D86" i="22" s="1"/>
  <c r="H62" i="7"/>
  <c r="D48" i="22" s="1"/>
  <c r="D87" i="22" s="1"/>
  <c r="H63" i="7"/>
  <c r="D49" i="22" s="1"/>
  <c r="D88" i="22" s="1"/>
  <c r="H64" i="7"/>
  <c r="D50" i="22" s="1"/>
  <c r="D89" i="22" s="1"/>
  <c r="H65" i="7"/>
  <c r="D51" i="22" s="1"/>
  <c r="D90" i="22" s="1"/>
  <c r="H66" i="7"/>
  <c r="D52" i="22" s="1"/>
  <c r="D91" i="22" s="1"/>
  <c r="H67" i="7"/>
  <c r="D53" i="22" s="1"/>
  <c r="D92" i="22" s="1"/>
  <c r="H68" i="7"/>
  <c r="D54" i="22" s="1"/>
  <c r="D93" i="22" s="1"/>
  <c r="H69" i="7"/>
  <c r="D55" i="22" s="1"/>
  <c r="D94" i="22" s="1"/>
  <c r="H70" i="7"/>
  <c r="D56" i="22" s="1"/>
  <c r="D95" i="22" s="1"/>
  <c r="H71" i="7"/>
  <c r="D57" i="22" s="1"/>
  <c r="D96" i="22" s="1"/>
  <c r="H72" i="7"/>
  <c r="D58" i="22" s="1"/>
  <c r="D97" i="22" s="1"/>
  <c r="H73" i="7"/>
  <c r="D59" i="22" s="1"/>
  <c r="D98" i="22" s="1"/>
  <c r="H74" i="7"/>
  <c r="D60" i="22" s="1"/>
  <c r="D99" i="22" s="1"/>
  <c r="H75" i="7"/>
  <c r="D61" i="22" s="1"/>
  <c r="D100" i="22" s="1"/>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58" i="7"/>
  <c r="D44" i="22" s="1"/>
  <c r="D83" i="22" s="1"/>
  <c r="Z25" i="18"/>
  <c r="Z25" i="17"/>
  <c r="Z25" i="16"/>
  <c r="BR288" i="6"/>
  <c r="BR290" i="6" s="1"/>
  <c r="BP288" i="6"/>
  <c r="BP290" i="6" s="1"/>
  <c r="BQ288" i="6"/>
  <c r="BQ290" i="6" s="1"/>
  <c r="BS288" i="6"/>
  <c r="BS290" i="6" s="1"/>
  <c r="BT288" i="6"/>
  <c r="BT290" i="6" s="1"/>
  <c r="BU288" i="6"/>
  <c r="BU290" i="6" s="1"/>
  <c r="BV288" i="6"/>
  <c r="BV290" i="6" s="1"/>
  <c r="BW288" i="6"/>
  <c r="BW290" i="6" s="1"/>
  <c r="BX288" i="6"/>
  <c r="BX290" i="6" s="1"/>
  <c r="BY288" i="6"/>
  <c r="BY290" i="6" s="1"/>
  <c r="BZ288" i="6"/>
  <c r="BZ290" i="6" s="1"/>
  <c r="CA288" i="6"/>
  <c r="CA290" i="6" s="1"/>
  <c r="CB288" i="6"/>
  <c r="CB290" i="6" s="1"/>
  <c r="CC288" i="6"/>
  <c r="CC290" i="6" s="1"/>
  <c r="CD288" i="6"/>
  <c r="CD290" i="6" s="1"/>
  <c r="CE288" i="6"/>
  <c r="CE290" i="6" s="1"/>
  <c r="CF288" i="6"/>
  <c r="CF290" i="6" s="1"/>
  <c r="CG288" i="6"/>
  <c r="CG290" i="6" s="1"/>
  <c r="CH288" i="6"/>
  <c r="CH290" i="6" s="1"/>
  <c r="CI288" i="6"/>
  <c r="CI290" i="6" s="1"/>
  <c r="C24" i="22" l="1"/>
  <c r="C18" i="22"/>
  <c r="C12" i="22"/>
  <c r="Z25" i="1"/>
  <c r="C79" i="6"/>
  <c r="C190" i="6" s="1"/>
  <c r="C198" i="6" s="1"/>
  <c r="C288" i="6" s="1"/>
  <c r="C290" i="6" s="1"/>
  <c r="C80" i="6"/>
  <c r="C191" i="6" s="1"/>
  <c r="C199" i="6" s="1"/>
  <c r="C81" i="6"/>
  <c r="C192" i="6" s="1"/>
  <c r="C200" i="6" s="1"/>
  <c r="C82" i="6"/>
  <c r="C193" i="6" s="1"/>
  <c r="C201" i="6" s="1"/>
  <c r="C83" i="6"/>
  <c r="C194" i="6" s="1"/>
  <c r="C202" i="6" s="1"/>
  <c r="C84" i="6"/>
  <c r="C195" i="6" s="1"/>
  <c r="C203" i="6" s="1"/>
  <c r="C85" i="6"/>
  <c r="C196" i="6" s="1"/>
  <c r="C204" i="6" s="1"/>
  <c r="C251" i="6"/>
  <c r="C278" i="6"/>
  <c r="BN288" i="6"/>
  <c r="BN290" i="6" s="1"/>
  <c r="BM288" i="6"/>
  <c r="BM290" i="6" s="1"/>
  <c r="BL288" i="6" l="1"/>
  <c r="BL290" i="6" s="1"/>
  <c r="BI288" i="6"/>
  <c r="BI290" i="6" s="1"/>
  <c r="BJ288" i="6"/>
  <c r="BJ290" i="6" s="1"/>
  <c r="BK288" i="6"/>
  <c r="BK290" i="6" s="1"/>
  <c r="D79" i="6"/>
  <c r="D190" i="6" s="1"/>
  <c r="D198" i="6" s="1"/>
  <c r="D288" i="6" s="1"/>
  <c r="D290" i="6" s="1"/>
  <c r="D80" i="6"/>
  <c r="D191" i="6" s="1"/>
  <c r="D199" i="6" s="1"/>
  <c r="D81" i="6"/>
  <c r="D192" i="6" s="1"/>
  <c r="D200" i="6" s="1"/>
  <c r="D82" i="6"/>
  <c r="D193" i="6" s="1"/>
  <c r="D201" i="6" s="1"/>
  <c r="D83" i="6"/>
  <c r="D194" i="6" s="1"/>
  <c r="D202" i="6" s="1"/>
  <c r="D84" i="6"/>
  <c r="D195" i="6" s="1"/>
  <c r="D203" i="6" s="1"/>
  <c r="D85" i="6"/>
  <c r="D196" i="6" s="1"/>
  <c r="D204" i="6" s="1"/>
  <c r="D251" i="6"/>
  <c r="D278" i="6"/>
  <c r="O39" i="11"/>
  <c r="O38" i="11"/>
  <c r="O36" i="11"/>
  <c r="BO288" i="6"/>
  <c r="BO290" i="6" s="1"/>
  <c r="CE201" i="14"/>
  <c r="CE135" i="14"/>
  <c r="CE69" i="14"/>
  <c r="CE3" i="14"/>
  <c r="CV217" i="14"/>
  <c r="CV151" i="14"/>
  <c r="CV85" i="14"/>
  <c r="D60" i="14"/>
  <c r="BO59" i="14"/>
  <c r="AC59" i="14"/>
  <c r="L59" i="14"/>
  <c r="D59" i="14"/>
  <c r="BN55" i="14"/>
  <c r="BF55" i="14"/>
  <c r="D55" i="14"/>
  <c r="CI54" i="14"/>
  <c r="BP54" i="14"/>
  <c r="BO54" i="14"/>
  <c r="BN54" i="14"/>
  <c r="BL54" i="14"/>
  <c r="BF54" i="14"/>
  <c r="AU54" i="14"/>
  <c r="AS54" i="14"/>
  <c r="AR54" i="14"/>
  <c r="AJ54" i="14"/>
  <c r="AC54" i="14"/>
  <c r="U54" i="14"/>
  <c r="P54" i="14"/>
  <c r="O54" i="14"/>
  <c r="L54" i="14"/>
  <c r="D54" i="14"/>
  <c r="B54" i="14"/>
  <c r="AA42" i="14"/>
  <c r="F48" i="7" s="1"/>
  <c r="AT41" i="14"/>
  <c r="BJ25" i="14"/>
  <c r="AQ25" i="14"/>
  <c r="X25" i="14"/>
  <c r="F38" i="7" s="1"/>
  <c r="C25" i="14"/>
  <c r="CO24" i="14"/>
  <c r="CB24" i="14"/>
  <c r="BZ24" i="14"/>
  <c r="BB24" i="14"/>
  <c r="BA24" i="14"/>
  <c r="AW24" i="14"/>
  <c r="AO24" i="14"/>
  <c r="AM24" i="14"/>
  <c r="AG24" i="14"/>
  <c r="W24" i="14"/>
  <c r="M24" i="14"/>
  <c r="H24" i="14"/>
  <c r="G24" i="14"/>
  <c r="F16" i="7" s="1"/>
  <c r="B24" i="14"/>
  <c r="CR23" i="14"/>
  <c r="CE23" i="14"/>
  <c r="BS23" i="14"/>
  <c r="AA23" i="14"/>
  <c r="S23" i="14"/>
  <c r="P23" i="14"/>
  <c r="CT22" i="14"/>
  <c r="CR22" i="14"/>
  <c r="CE22" i="14"/>
  <c r="BS22" i="14"/>
  <c r="AT22" i="14"/>
  <c r="AB22" i="14"/>
  <c r="F27" i="7" s="1"/>
  <c r="AO21" i="14"/>
  <c r="CU20" i="14"/>
  <c r="CQ20" i="14"/>
  <c r="CG20" i="14"/>
  <c r="BY20" i="14"/>
  <c r="AV20" i="14"/>
  <c r="AO20" i="14"/>
  <c r="AE20" i="14"/>
  <c r="F25" i="7" s="1"/>
  <c r="CV19" i="14"/>
  <c r="CU19" i="14"/>
  <c r="CT19" i="14"/>
  <c r="CQ19" i="14"/>
  <c r="CH19" i="14"/>
  <c r="CG19" i="14"/>
  <c r="BS19" i="14"/>
  <c r="AV19" i="14"/>
  <c r="AO19" i="14"/>
  <c r="AL19" i="14"/>
  <c r="AE19" i="14"/>
  <c r="F24" i="7" s="1"/>
  <c r="BN18" i="14"/>
  <c r="CD16" i="14"/>
  <c r="BR16" i="14"/>
  <c r="BW15" i="14"/>
  <c r="BR15" i="14"/>
  <c r="BM15" i="14"/>
  <c r="BL15" i="14"/>
  <c r="BW14" i="14"/>
  <c r="BR14" i="14"/>
  <c r="BM14" i="14"/>
  <c r="BL14" i="14"/>
  <c r="BW13" i="14"/>
  <c r="BR13" i="14"/>
  <c r="BM13" i="14"/>
  <c r="BL13" i="14"/>
  <c r="BW12" i="14"/>
  <c r="BR12" i="14"/>
  <c r="BM12" i="14"/>
  <c r="BL12" i="14"/>
  <c r="BW11" i="14"/>
  <c r="BR11" i="14"/>
  <c r="BM11" i="14"/>
  <c r="BL11" i="14"/>
  <c r="BW10" i="14"/>
  <c r="BR10" i="14"/>
  <c r="BM10" i="14"/>
  <c r="BL10" i="14"/>
  <c r="V8" i="14"/>
  <c r="F15" i="7" s="1"/>
  <c r="CF7" i="14"/>
  <c r="CS6" i="14"/>
  <c r="BU6" i="14"/>
  <c r="BI6" i="14"/>
  <c r="AY6" i="14"/>
  <c r="AR6" i="14"/>
  <c r="AF6" i="14"/>
  <c r="U6" i="14"/>
  <c r="N6" i="14"/>
  <c r="I6" i="14"/>
  <c r="AN5" i="14"/>
  <c r="Y5" i="14"/>
  <c r="F12" i="7" s="1"/>
  <c r="AZ4" i="14"/>
  <c r="AI4" i="14"/>
  <c r="F11" i="7" s="1"/>
  <c r="J4" i="14"/>
  <c r="CV3" i="14"/>
  <c r="CN3" i="14"/>
  <c r="CL3" i="14"/>
  <c r="CK3" i="14"/>
  <c r="CJ3" i="14"/>
  <c r="CD3" i="14"/>
  <c r="CA3" i="14"/>
  <c r="BY3" i="14"/>
  <c r="BR3" i="14"/>
  <c r="BQ3" i="14"/>
  <c r="BJ3" i="14"/>
  <c r="BH3" i="14"/>
  <c r="BG3" i="14"/>
  <c r="BD3" i="14"/>
  <c r="AZ3" i="14"/>
  <c r="AS3" i="14"/>
  <c r="AQ3" i="14"/>
  <c r="AO3" i="14"/>
  <c r="AK3" i="14"/>
  <c r="AI3" i="14"/>
  <c r="AF3" i="14"/>
  <c r="X3" i="14"/>
  <c r="W3" i="14"/>
  <c r="T3" i="14"/>
  <c r="N3" i="14"/>
  <c r="J3" i="14"/>
  <c r="F3" i="14"/>
  <c r="E3" i="14"/>
  <c r="C3" i="14"/>
  <c r="Z4" i="3"/>
  <c r="Z3" i="3"/>
  <c r="Y4" i="3"/>
  <c r="Y3" i="3"/>
  <c r="X4" i="3"/>
  <c r="X3" i="3"/>
  <c r="W4" i="3"/>
  <c r="W3" i="3"/>
  <c r="F13" i="7" l="1"/>
  <c r="F28" i="7"/>
  <c r="A302" i="6"/>
  <c r="A301" i="6"/>
  <c r="A300" i="6"/>
  <c r="A299" i="6"/>
  <c r="B79" i="6" l="1"/>
  <c r="B190" i="6" s="1"/>
  <c r="B198" i="6" s="1"/>
  <c r="B288" i="6" s="1"/>
  <c r="B290" i="6" s="1"/>
  <c r="B80" i="6"/>
  <c r="B191" i="6" s="1"/>
  <c r="B199" i="6" s="1"/>
  <c r="B81" i="6"/>
  <c r="B192" i="6" s="1"/>
  <c r="B200" i="6" s="1"/>
  <c r="B82" i="6"/>
  <c r="B193" i="6" s="1"/>
  <c r="B201" i="6" s="1"/>
  <c r="B83" i="6"/>
  <c r="B194" i="6" s="1"/>
  <c r="B202" i="6" s="1"/>
  <c r="B84" i="6"/>
  <c r="B195" i="6" s="1"/>
  <c r="B203" i="6" s="1"/>
  <c r="B85" i="6"/>
  <c r="B196" i="6" s="1"/>
  <c r="B204" i="6" s="1"/>
  <c r="B251" i="6"/>
  <c r="B278" i="6"/>
  <c r="Q33" i="11" l="1"/>
  <c r="R33" i="11"/>
  <c r="Q32" i="11"/>
  <c r="R32" i="11"/>
  <c r="Q30" i="11"/>
  <c r="R30" i="11"/>
  <c r="P30" i="11"/>
  <c r="T33" i="11"/>
  <c r="T32" i="11"/>
  <c r="S33" i="11"/>
  <c r="T30" i="11"/>
  <c r="S30" i="11"/>
  <c r="P33" i="11"/>
  <c r="P32" i="11"/>
  <c r="M32" i="11" a="1"/>
  <c r="M32" i="11" s="1"/>
  <c r="L32" i="11" a="1"/>
  <c r="L32" i="11" s="1"/>
  <c r="K39" i="11"/>
  <c r="L31" i="11"/>
  <c r="M28" i="11"/>
  <c r="L28" i="11"/>
  <c r="K28" i="11"/>
  <c r="J28" i="11"/>
  <c r="M27" i="11"/>
  <c r="L27" i="11"/>
  <c r="K27" i="11"/>
  <c r="J27" i="11"/>
  <c r="M26" i="11"/>
  <c r="L26" i="11"/>
  <c r="K26" i="11"/>
  <c r="J26" i="11"/>
  <c r="M24" i="11"/>
  <c r="L24" i="11"/>
  <c r="K24" i="11"/>
  <c r="J24" i="11"/>
  <c r="M23" i="11"/>
  <c r="L23" i="11"/>
  <c r="K23" i="11"/>
  <c r="J23" i="11"/>
  <c r="L22" i="11"/>
  <c r="J22" i="11"/>
  <c r="M16" i="11"/>
  <c r="L16" i="11"/>
  <c r="K16" i="11"/>
  <c r="J16" i="11"/>
  <c r="M15" i="11"/>
  <c r="L15" i="11"/>
  <c r="K15" i="11"/>
  <c r="J15" i="11"/>
  <c r="M14" i="11"/>
  <c r="L14" i="11"/>
  <c r="K14" i="11"/>
  <c r="J14" i="11"/>
  <c r="AD64" i="12"/>
  <c r="AC64" i="12"/>
  <c r="AB64" i="12"/>
  <c r="AA64" i="12"/>
  <c r="AD63" i="12"/>
  <c r="AC63" i="12"/>
  <c r="AB63" i="12"/>
  <c r="AA63" i="12"/>
  <c r="AD62" i="12"/>
  <c r="AC62" i="12"/>
  <c r="AB62" i="12"/>
  <c r="AA62" i="12"/>
  <c r="Z64" i="12"/>
  <c r="Z63" i="12"/>
  <c r="Z62" i="12"/>
  <c r="AD61" i="12"/>
  <c r="AC61" i="12"/>
  <c r="AB61" i="12"/>
  <c r="AA61" i="12"/>
  <c r="Z61" i="12"/>
  <c r="V5" i="11"/>
  <c r="U5" i="11"/>
  <c r="T5" i="11"/>
  <c r="S5" i="11"/>
  <c r="R5" i="11"/>
  <c r="Q5" i="11"/>
  <c r="P5" i="11"/>
  <c r="V4" i="11"/>
  <c r="U4" i="11"/>
  <c r="T4" i="11"/>
  <c r="S4" i="11"/>
  <c r="R4" i="11"/>
  <c r="Q4" i="11"/>
  <c r="P4" i="11"/>
  <c r="V2" i="11"/>
  <c r="U2" i="11"/>
  <c r="T2" i="11"/>
  <c r="S2" i="11"/>
  <c r="R2" i="11"/>
  <c r="Q2" i="11"/>
  <c r="P2" i="11"/>
  <c r="AA240" i="14"/>
  <c r="AA174" i="14"/>
  <c r="AA108" i="14"/>
  <c r="U165" i="7"/>
  <c r="T171" i="7" s="1" a="1"/>
  <c r="T171" i="7" s="1"/>
  <c r="U113" i="7"/>
  <c r="T119" i="7" s="1" a="1"/>
  <c r="T119" i="7" s="1"/>
  <c r="U61" i="7"/>
  <c r="T67" i="7" s="1" a="1"/>
  <c r="T67" i="7" s="1"/>
  <c r="U9" i="7"/>
  <c r="T15" i="7" s="1" a="1"/>
  <c r="T15" i="7" s="1"/>
  <c r="W163" i="7"/>
  <c r="W162" i="7"/>
  <c r="W161" i="7"/>
  <c r="W160" i="7"/>
  <c r="X160" i="7" s="1" a="1"/>
  <c r="X160" i="7" s="1"/>
  <c r="D162" i="7" s="1"/>
  <c r="W159" i="7"/>
  <c r="X159" i="7" s="1" a="1"/>
  <c r="X159" i="7" s="1"/>
  <c r="D164" i="7" s="1"/>
  <c r="V163" i="7"/>
  <c r="V162" i="7"/>
  <c r="V161" i="7"/>
  <c r="V160" i="7"/>
  <c r="V159" i="7"/>
  <c r="U163" i="7"/>
  <c r="U162" i="7"/>
  <c r="U161" i="7"/>
  <c r="W111" i="7"/>
  <c r="W110" i="7"/>
  <c r="W109" i="7"/>
  <c r="W108" i="7"/>
  <c r="X108" i="7" s="1" a="1"/>
  <c r="X108" i="7" s="1"/>
  <c r="D110" i="7" s="1"/>
  <c r="W107" i="7"/>
  <c r="V111" i="7"/>
  <c r="V110" i="7"/>
  <c r="V109" i="7"/>
  <c r="V108" i="7"/>
  <c r="V107" i="7"/>
  <c r="U109" i="7"/>
  <c r="U110" i="7"/>
  <c r="U111" i="7"/>
  <c r="W59" i="7"/>
  <c r="W58" i="7"/>
  <c r="W57" i="7"/>
  <c r="W56" i="7"/>
  <c r="X56" i="7" s="1" a="1"/>
  <c r="X56" i="7" s="1"/>
  <c r="D58" i="7" s="1"/>
  <c r="W55" i="7"/>
  <c r="W7" i="7"/>
  <c r="W6" i="7"/>
  <c r="W5" i="7"/>
  <c r="W4" i="7"/>
  <c r="W3" i="7"/>
  <c r="V59" i="7"/>
  <c r="V58" i="7"/>
  <c r="V57" i="7"/>
  <c r="V56" i="7"/>
  <c r="V55" i="7"/>
  <c r="U7" i="7"/>
  <c r="U6" i="7"/>
  <c r="U5" i="7"/>
  <c r="V7" i="7"/>
  <c r="V6" i="7"/>
  <c r="V5" i="7"/>
  <c r="V4" i="7"/>
  <c r="V3" i="7"/>
  <c r="U57" i="7"/>
  <c r="U58" i="7"/>
  <c r="U59" i="7"/>
  <c r="U15" i="7"/>
  <c r="U171" i="7"/>
  <c r="U119" i="7"/>
  <c r="U67" i="7"/>
  <c r="X7" i="7" l="1" a="1"/>
  <c r="X7" i="7" s="1"/>
  <c r="X5" i="7" a="1"/>
  <c r="X5" i="7" s="1"/>
  <c r="X6" i="7" a="1"/>
  <c r="X6" i="7" s="1"/>
  <c r="X4" i="7" a="1"/>
  <c r="X4" i="7" s="1"/>
  <c r="D167" i="7"/>
  <c r="X109" i="7" a="1"/>
  <c r="X109" i="7" s="1"/>
  <c r="V31" i="11"/>
  <c r="U32" i="11"/>
  <c r="V32" i="11"/>
  <c r="V33" i="11"/>
  <c r="M39" i="11" l="1"/>
  <c r="L38" i="11"/>
  <c r="L39" i="11"/>
  <c r="T169" i="7" a="1"/>
  <c r="T169" i="7" s="1"/>
  <c r="T117" i="7" a="1"/>
  <c r="T117" i="7" s="1"/>
  <c r="T170" i="7" a="1"/>
  <c r="T170" i="7" s="1"/>
  <c r="T118" i="7" a="1"/>
  <c r="T118" i="7" s="1"/>
  <c r="T66" i="7" a="1"/>
  <c r="T66" i="7" s="1"/>
  <c r="T65" i="7" a="1"/>
  <c r="T65" i="7" s="1"/>
  <c r="X3" i="7" a="1"/>
  <c r="X3" i="7" s="1"/>
  <c r="D8" i="7" s="1"/>
  <c r="D148" i="7"/>
  <c r="D138" i="7"/>
  <c r="D13" i="7"/>
  <c r="X55" i="7" a="1"/>
  <c r="X55" i="7" s="1"/>
  <c r="D60" i="7" s="1"/>
  <c r="D88" i="7"/>
  <c r="D116" i="7"/>
  <c r="D69" i="7"/>
  <c r="D101" i="7"/>
  <c r="D100" i="7"/>
  <c r="D99" i="7"/>
  <c r="D90" i="7"/>
  <c r="T13" i="7" a="1"/>
  <c r="T13" i="7" s="1"/>
  <c r="T14" i="7" a="1"/>
  <c r="T14" i="7" s="1"/>
  <c r="D128" i="7"/>
  <c r="D127" i="7"/>
  <c r="D89" i="7"/>
  <c r="D154" i="7"/>
  <c r="X161" i="7" a="1"/>
  <c r="X161" i="7" s="1"/>
  <c r="D166" i="7" s="1"/>
  <c r="D119" i="7"/>
  <c r="D153" i="7"/>
  <c r="D115" i="7"/>
  <c r="D78" i="7"/>
  <c r="D151" i="7"/>
  <c r="D202" i="7"/>
  <c r="D87" i="7"/>
  <c r="D77" i="7"/>
  <c r="D150" i="7"/>
  <c r="D201" i="7"/>
  <c r="D152" i="7"/>
  <c r="X59" i="7" a="1"/>
  <c r="X59" i="7" s="1"/>
  <c r="D65" i="7" s="1"/>
  <c r="D76" i="7"/>
  <c r="D142" i="7"/>
  <c r="D190" i="7"/>
  <c r="D84" i="7"/>
  <c r="D75" i="7"/>
  <c r="D141" i="7"/>
  <c r="D189" i="7"/>
  <c r="D102" i="7"/>
  <c r="X107" i="7" a="1"/>
  <c r="X107" i="7" s="1"/>
  <c r="D112" i="7" s="1"/>
  <c r="D140" i="7"/>
  <c r="D139" i="7"/>
  <c r="D200" i="7"/>
  <c r="D188" i="7"/>
  <c r="D176" i="7"/>
  <c r="D149" i="7"/>
  <c r="D137" i="7"/>
  <c r="X162" i="7" a="1"/>
  <c r="X162" i="7" s="1"/>
  <c r="D178" i="7" s="1"/>
  <c r="D199" i="7"/>
  <c r="D187" i="7"/>
  <c r="D175" i="7"/>
  <c r="X163" i="7" a="1"/>
  <c r="X163" i="7" s="1"/>
  <c r="D169" i="7" s="1"/>
  <c r="D198" i="7"/>
  <c r="D186" i="7"/>
  <c r="D98" i="7"/>
  <c r="D85" i="7"/>
  <c r="X58" i="7" a="1"/>
  <c r="X58" i="7" s="1"/>
  <c r="D72" i="7" s="1"/>
  <c r="D95" i="7"/>
  <c r="D83" i="7"/>
  <c r="D71" i="7"/>
  <c r="X110" i="7" a="1"/>
  <c r="X110" i="7" s="1"/>
  <c r="D124" i="7" s="1"/>
  <c r="D147" i="7"/>
  <c r="D135" i="7"/>
  <c r="D197" i="7"/>
  <c r="D185" i="7"/>
  <c r="D173" i="7"/>
  <c r="D96" i="7"/>
  <c r="D94" i="7"/>
  <c r="D82" i="7"/>
  <c r="D70" i="7"/>
  <c r="D146" i="7"/>
  <c r="D134" i="7"/>
  <c r="D122" i="7"/>
  <c r="D196" i="7"/>
  <c r="D184" i="7"/>
  <c r="D172" i="7"/>
  <c r="D97" i="7"/>
  <c r="X111" i="7" a="1"/>
  <c r="X111" i="7" s="1"/>
  <c r="D117" i="7" s="1"/>
  <c r="D136" i="7"/>
  <c r="D93" i="7"/>
  <c r="D81" i="7"/>
  <c r="D113" i="7"/>
  <c r="D145" i="7"/>
  <c r="D133" i="7"/>
  <c r="D121" i="7"/>
  <c r="D207" i="7"/>
  <c r="D195" i="7"/>
  <c r="D183" i="7"/>
  <c r="X57" i="7" a="1"/>
  <c r="X57" i="7" s="1"/>
  <c r="D62" i="7" s="1"/>
  <c r="D6" i="7"/>
  <c r="D80" i="7"/>
  <c r="D68" i="7"/>
  <c r="D114" i="7"/>
  <c r="D144" i="7"/>
  <c r="D132" i="7"/>
  <c r="D120" i="7"/>
  <c r="D206" i="7"/>
  <c r="D194" i="7"/>
  <c r="D182" i="7"/>
  <c r="D86" i="7"/>
  <c r="D103" i="7"/>
  <c r="D91" i="7"/>
  <c r="D79" i="7"/>
  <c r="D155" i="7"/>
  <c r="D143" i="7"/>
  <c r="D131" i="7"/>
  <c r="D205" i="7"/>
  <c r="D193" i="7"/>
  <c r="D181" i="7"/>
  <c r="D130" i="7"/>
  <c r="D204" i="7"/>
  <c r="D192" i="7"/>
  <c r="D180" i="7"/>
  <c r="D168" i="7"/>
  <c r="D129" i="7"/>
  <c r="D203" i="7"/>
  <c r="D191" i="7"/>
  <c r="D179" i="7"/>
  <c r="D12" i="7"/>
  <c r="D10" i="7"/>
  <c r="D33" i="7"/>
  <c r="D22" i="7"/>
  <c r="D45" i="7"/>
  <c r="D21" i="7"/>
  <c r="D44" i="7"/>
  <c r="D32" i="7"/>
  <c r="D20" i="7"/>
  <c r="D43" i="7"/>
  <c r="D31" i="7"/>
  <c r="D23" i="7"/>
  <c r="D42" i="7"/>
  <c r="D30" i="7"/>
  <c r="D18" i="7"/>
  <c r="D9" i="7"/>
  <c r="D41" i="7"/>
  <c r="D29" i="7"/>
  <c r="D17" i="7"/>
  <c r="D40" i="7"/>
  <c r="D28" i="7"/>
  <c r="D16" i="7"/>
  <c r="D47" i="7"/>
  <c r="D34" i="7"/>
  <c r="D51" i="7"/>
  <c r="D39" i="7"/>
  <c r="D27" i="7"/>
  <c r="D15" i="7"/>
  <c r="D38" i="7"/>
  <c r="D35" i="7"/>
  <c r="D46" i="7"/>
  <c r="D50" i="7"/>
  <c r="D26" i="7"/>
  <c r="D49" i="7"/>
  <c r="D37" i="7"/>
  <c r="D25" i="7"/>
  <c r="D48" i="7"/>
  <c r="D36" i="7"/>
  <c r="D24" i="7"/>
  <c r="U117" i="7"/>
  <c r="U169" i="7"/>
  <c r="U14" i="7"/>
  <c r="U66" i="7"/>
  <c r="U13" i="7"/>
  <c r="U65" i="7"/>
  <c r="U118" i="7"/>
  <c r="U170" i="7"/>
  <c r="D126" i="7" l="1"/>
  <c r="D170" i="7"/>
  <c r="D73" i="7"/>
  <c r="D174" i="7"/>
  <c r="D177" i="7"/>
  <c r="D118" i="7"/>
  <c r="D125" i="7"/>
  <c r="D92" i="7"/>
  <c r="D74" i="7"/>
  <c r="D64" i="7"/>
  <c r="D66" i="7"/>
  <c r="D67" i="7"/>
  <c r="D171" i="7"/>
  <c r="D63" i="7"/>
  <c r="D61" i="7"/>
  <c r="D14" i="7"/>
  <c r="E11" i="7"/>
  <c r="E25" i="7"/>
  <c r="E37" i="7"/>
  <c r="E49" i="7"/>
  <c r="E12" i="7"/>
  <c r="E26" i="7"/>
  <c r="E38" i="7"/>
  <c r="E50" i="7"/>
  <c r="E15" i="7"/>
  <c r="E27" i="7"/>
  <c r="E39" i="7"/>
  <c r="E51" i="7"/>
  <c r="E16" i="7"/>
  <c r="E28" i="7"/>
  <c r="E40" i="7"/>
  <c r="E10" i="7"/>
  <c r="E23" i="7"/>
  <c r="E17" i="7"/>
  <c r="E29" i="7"/>
  <c r="E41" i="7"/>
  <c r="E9" i="7"/>
  <c r="E18" i="7"/>
  <c r="E30" i="7"/>
  <c r="E42" i="7"/>
  <c r="E19" i="7"/>
  <c r="E31" i="7"/>
  <c r="E43" i="7"/>
  <c r="E35" i="7"/>
  <c r="E20" i="7"/>
  <c r="E32" i="7"/>
  <c r="E44" i="7"/>
  <c r="E47" i="7"/>
  <c r="E21" i="7"/>
  <c r="E33" i="7"/>
  <c r="E45" i="7"/>
  <c r="E22" i="7"/>
  <c r="E34" i="7"/>
  <c r="E46" i="7"/>
  <c r="E24" i="7"/>
  <c r="E36" i="7"/>
  <c r="E48" i="7"/>
  <c r="E13" i="7"/>
  <c r="E14" i="7"/>
  <c r="D123" i="7"/>
  <c r="D19" i="7"/>
  <c r="D11" i="7"/>
  <c r="E66" i="7"/>
  <c r="E118" i="7"/>
  <c r="E117" i="7"/>
  <c r="E119" i="7"/>
  <c r="E165" i="7"/>
  <c r="E61" i="7"/>
  <c r="E65" i="7"/>
  <c r="E114" i="7"/>
  <c r="E129" i="7"/>
  <c r="E141" i="7"/>
  <c r="E153" i="7"/>
  <c r="E115" i="7"/>
  <c r="E130" i="7"/>
  <c r="E142" i="7"/>
  <c r="E154" i="7"/>
  <c r="E128" i="7"/>
  <c r="E116" i="7"/>
  <c r="E131" i="7"/>
  <c r="E143" i="7"/>
  <c r="E155" i="7"/>
  <c r="E120" i="7"/>
  <c r="E132" i="7"/>
  <c r="E144" i="7"/>
  <c r="E113" i="7"/>
  <c r="E121" i="7"/>
  <c r="E133" i="7"/>
  <c r="E145" i="7"/>
  <c r="E140" i="7"/>
  <c r="E122" i="7"/>
  <c r="E134" i="7"/>
  <c r="E146" i="7"/>
  <c r="E123" i="7"/>
  <c r="E135" i="7"/>
  <c r="E147" i="7"/>
  <c r="E124" i="7"/>
  <c r="E136" i="7"/>
  <c r="E148" i="7"/>
  <c r="E125" i="7"/>
  <c r="E137" i="7"/>
  <c r="E149" i="7"/>
  <c r="E126" i="7"/>
  <c r="E138" i="7"/>
  <c r="E150" i="7"/>
  <c r="E127" i="7"/>
  <c r="E139" i="7"/>
  <c r="E151" i="7"/>
  <c r="E152" i="7"/>
  <c r="E179" i="7"/>
  <c r="E191" i="7"/>
  <c r="E203" i="7"/>
  <c r="E166" i="7"/>
  <c r="E180" i="7"/>
  <c r="E192" i="7"/>
  <c r="E204" i="7"/>
  <c r="E167" i="7"/>
  <c r="E181" i="7"/>
  <c r="E193" i="7"/>
  <c r="E205" i="7"/>
  <c r="E168" i="7"/>
  <c r="E182" i="7"/>
  <c r="E194" i="7"/>
  <c r="E206" i="7"/>
  <c r="E171" i="7"/>
  <c r="E183" i="7"/>
  <c r="E195" i="7"/>
  <c r="E207" i="7"/>
  <c r="E202" i="7"/>
  <c r="E172" i="7"/>
  <c r="E184" i="7"/>
  <c r="E196" i="7"/>
  <c r="E190" i="7"/>
  <c r="E173" i="7"/>
  <c r="E185" i="7"/>
  <c r="E197" i="7"/>
  <c r="E174" i="7"/>
  <c r="E186" i="7"/>
  <c r="E198" i="7"/>
  <c r="E175" i="7"/>
  <c r="E187" i="7"/>
  <c r="E199" i="7"/>
  <c r="E176" i="7"/>
  <c r="E188" i="7"/>
  <c r="E200" i="7"/>
  <c r="E177" i="7"/>
  <c r="E189" i="7"/>
  <c r="E201" i="7"/>
  <c r="E178" i="7"/>
  <c r="E170" i="7"/>
  <c r="E169" i="7"/>
  <c r="E63" i="7"/>
  <c r="E77" i="7"/>
  <c r="E89" i="7"/>
  <c r="E101" i="7"/>
  <c r="E78" i="7"/>
  <c r="E90" i="7"/>
  <c r="E95" i="7"/>
  <c r="E64" i="7"/>
  <c r="E102" i="7"/>
  <c r="E76" i="7"/>
  <c r="E67" i="7"/>
  <c r="E79" i="7"/>
  <c r="E91" i="7"/>
  <c r="E103" i="7"/>
  <c r="E93" i="7"/>
  <c r="E94" i="7"/>
  <c r="E68" i="7"/>
  <c r="E80" i="7"/>
  <c r="E92" i="7"/>
  <c r="E81" i="7"/>
  <c r="E69" i="7"/>
  <c r="E88" i="7"/>
  <c r="E70" i="7"/>
  <c r="E82" i="7"/>
  <c r="E62" i="7"/>
  <c r="E100" i="7"/>
  <c r="E71" i="7"/>
  <c r="E83" i="7"/>
  <c r="E72" i="7"/>
  <c r="E84" i="7"/>
  <c r="E96" i="7"/>
  <c r="E75" i="7"/>
  <c r="E99" i="7"/>
  <c r="E73" i="7"/>
  <c r="E85" i="7"/>
  <c r="E97" i="7"/>
  <c r="E87" i="7"/>
  <c r="E74" i="7"/>
  <c r="E86" i="7"/>
  <c r="E98" i="7"/>
  <c r="D165" i="7"/>
  <c r="Q161" i="7" l="1"/>
  <c r="U166" i="7" l="1" a="1"/>
  <c r="U166" i="7" s="1"/>
  <c r="Q183" i="7" s="1"/>
  <c r="M67" i="11" s="1"/>
  <c r="U168" i="7" a="1"/>
  <c r="U168" i="7" s="1"/>
  <c r="Q182" i="7" s="1"/>
  <c r="L67" i="11" s="1"/>
  <c r="U167" i="7" a="1"/>
  <c r="U167" i="7" s="1"/>
  <c r="Q181" i="7" s="1"/>
  <c r="M10" i="11"/>
  <c r="M9" i="11"/>
  <c r="M8" i="11"/>
  <c r="L10" i="11"/>
  <c r="L9" i="11"/>
  <c r="L8" i="11"/>
  <c r="J10" i="11"/>
  <c r="J9" i="11"/>
  <c r="J8" i="11"/>
  <c r="I16" i="11"/>
  <c r="I15" i="11"/>
  <c r="I14" i="11"/>
  <c r="Q13" i="6" l="1"/>
  <c r="Q14" i="6"/>
  <c r="Q246" i="6" s="1"/>
  <c r="Q16" i="6"/>
  <c r="Q253" i="6" s="1"/>
  <c r="Q15" i="6"/>
  <c r="Q250" i="6" s="1"/>
  <c r="P15" i="6"/>
  <c r="P250" i="6" s="1"/>
  <c r="P16" i="6"/>
  <c r="P253" i="6" s="1"/>
  <c r="P14" i="6"/>
  <c r="P246" i="6" s="1"/>
  <c r="P13" i="6"/>
  <c r="I28" i="11"/>
  <c r="I27" i="11"/>
  <c r="I26" i="11"/>
  <c r="I24" i="11"/>
  <c r="I23" i="11"/>
  <c r="I22" i="11"/>
  <c r="BN253" i="14"/>
  <c r="BF253" i="14"/>
  <c r="D258" i="14"/>
  <c r="D253" i="14"/>
  <c r="D192" i="14"/>
  <c r="D187" i="14"/>
  <c r="BF187" i="14"/>
  <c r="M22" i="11" s="1"/>
  <c r="BN187" i="14"/>
  <c r="BF121" i="14"/>
  <c r="BN121" i="14"/>
  <c r="I163" i="7"/>
  <c r="I164" i="7"/>
  <c r="I165" i="7"/>
  <c r="I166" i="7"/>
  <c r="I167" i="7"/>
  <c r="I168" i="7"/>
  <c r="I169" i="7"/>
  <c r="I170" i="7"/>
  <c r="I171" i="7"/>
  <c r="I172" i="7"/>
  <c r="I173" i="7"/>
  <c r="I174" i="7"/>
  <c r="I175"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162" i="7"/>
  <c r="H6" i="7"/>
  <c r="C44" i="22" s="1"/>
  <c r="C83" i="22" s="1"/>
  <c r="G163" i="7"/>
  <c r="G164" i="7"/>
  <c r="G165" i="7"/>
  <c r="G166" i="7"/>
  <c r="G167" i="7"/>
  <c r="G168" i="7"/>
  <c r="G169" i="7"/>
  <c r="G170" i="7"/>
  <c r="G171" i="7"/>
  <c r="G172" i="7"/>
  <c r="G173" i="7"/>
  <c r="G174" i="7"/>
  <c r="G175" i="7"/>
  <c r="G176" i="7"/>
  <c r="G177" i="7"/>
  <c r="G178" i="7"/>
  <c r="G179" i="7"/>
  <c r="G180" i="7"/>
  <c r="G181" i="7"/>
  <c r="G182" i="7"/>
  <c r="G183" i="7"/>
  <c r="G185" i="7"/>
  <c r="G186" i="7"/>
  <c r="G187" i="7"/>
  <c r="G188" i="7"/>
  <c r="G189" i="7"/>
  <c r="G190" i="7"/>
  <c r="G191" i="7"/>
  <c r="G192" i="7"/>
  <c r="G193" i="7"/>
  <c r="G194" i="7"/>
  <c r="G195" i="7"/>
  <c r="G196" i="7"/>
  <c r="G197" i="7"/>
  <c r="G198" i="7"/>
  <c r="G199" i="7"/>
  <c r="G200" i="7"/>
  <c r="G201" i="7"/>
  <c r="G202" i="7"/>
  <c r="G203" i="7"/>
  <c r="G204" i="7"/>
  <c r="G205" i="7"/>
  <c r="G206" i="7"/>
  <c r="G207" i="7"/>
  <c r="G162" i="7"/>
  <c r="F163" i="7"/>
  <c r="F164" i="7"/>
  <c r="F165" i="7"/>
  <c r="F167" i="7"/>
  <c r="F168" i="7"/>
  <c r="F169" i="7"/>
  <c r="F170" i="7"/>
  <c r="F171" i="7"/>
  <c r="F173"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Q190" i="7"/>
  <c r="Q189" i="7"/>
  <c r="M31" i="11" s="1"/>
  <c r="Q180" i="7"/>
  <c r="K67" i="11" s="1"/>
  <c r="Q173" i="7"/>
  <c r="Q172" i="7"/>
  <c r="Q174" i="7" s="1"/>
  <c r="J46" i="11" s="1"/>
  <c r="Q138" i="7"/>
  <c r="Q137" i="7"/>
  <c r="I111" i="7"/>
  <c r="I112" i="7"/>
  <c r="I113" i="7"/>
  <c r="I114" i="7"/>
  <c r="I115" i="7"/>
  <c r="I116" i="7"/>
  <c r="I117" i="7"/>
  <c r="I118" i="7"/>
  <c r="I119" i="7"/>
  <c r="I120" i="7"/>
  <c r="I121" i="7"/>
  <c r="I122" i="7"/>
  <c r="I123"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10" i="7"/>
  <c r="G116" i="7"/>
  <c r="G118" i="7"/>
  <c r="G119" i="7"/>
  <c r="G120" i="7"/>
  <c r="G121" i="7"/>
  <c r="G122" i="7"/>
  <c r="G124" i="7"/>
  <c r="G125" i="7"/>
  <c r="G126" i="7"/>
  <c r="G127" i="7"/>
  <c r="G128" i="7"/>
  <c r="G129" i="7"/>
  <c r="G130" i="7"/>
  <c r="G131" i="7"/>
  <c r="G132" i="7"/>
  <c r="G133" i="7"/>
  <c r="G134" i="7"/>
  <c r="G135" i="7"/>
  <c r="G136" i="7"/>
  <c r="G137" i="7"/>
  <c r="G138" i="7"/>
  <c r="G139" i="7"/>
  <c r="G140" i="7"/>
  <c r="G141" i="7"/>
  <c r="G143" i="7"/>
  <c r="G144" i="7"/>
  <c r="G145" i="7"/>
  <c r="G146" i="7"/>
  <c r="G147" i="7"/>
  <c r="G148" i="7"/>
  <c r="G149" i="7"/>
  <c r="G150" i="7"/>
  <c r="G151" i="7"/>
  <c r="G152" i="7"/>
  <c r="G153" i="7"/>
  <c r="G154" i="7"/>
  <c r="G155" i="7"/>
  <c r="G111" i="7"/>
  <c r="G112" i="7"/>
  <c r="G113" i="7"/>
  <c r="G110" i="7"/>
  <c r="D126" i="14"/>
  <c r="D121" i="14"/>
  <c r="CE221" i="14"/>
  <c r="CE220" i="14"/>
  <c r="CE155" i="14"/>
  <c r="CE154" i="14"/>
  <c r="F114" i="7"/>
  <c r="CE89" i="14"/>
  <c r="CE88" i="14"/>
  <c r="F111" i="7"/>
  <c r="F112" i="7"/>
  <c r="F113" i="7"/>
  <c r="F115" i="7"/>
  <c r="F116" i="7"/>
  <c r="F117" i="7"/>
  <c r="F118" i="7"/>
  <c r="F119"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10" i="7"/>
  <c r="Q128" i="7"/>
  <c r="K66" i="11" s="1"/>
  <c r="Q121" i="7"/>
  <c r="Q109" i="7"/>
  <c r="Q57" i="7"/>
  <c r="Q86" i="7"/>
  <c r="Q85" i="7"/>
  <c r="Q76" i="7"/>
  <c r="Q69" i="7"/>
  <c r="I59" i="7"/>
  <c r="I60" i="7"/>
  <c r="I61" i="7"/>
  <c r="I62" i="7"/>
  <c r="I63" i="7"/>
  <c r="I64" i="7"/>
  <c r="I65" i="7"/>
  <c r="I66" i="7"/>
  <c r="I67" i="7"/>
  <c r="I68" i="7"/>
  <c r="I69" i="7"/>
  <c r="I70" i="7"/>
  <c r="I71"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G59" i="7"/>
  <c r="G60" i="7"/>
  <c r="G61" i="7"/>
  <c r="G63" i="7"/>
  <c r="G64" i="7"/>
  <c r="G65" i="7"/>
  <c r="G66" i="7"/>
  <c r="G67" i="7"/>
  <c r="G68" i="7"/>
  <c r="G69" i="7"/>
  <c r="G70" i="7"/>
  <c r="G71" i="7"/>
  <c r="G73" i="7"/>
  <c r="G74" i="7"/>
  <c r="G75" i="7"/>
  <c r="G76" i="7"/>
  <c r="G77" i="7"/>
  <c r="G78" i="7"/>
  <c r="G79" i="7"/>
  <c r="G81" i="7"/>
  <c r="G82" i="7"/>
  <c r="G83" i="7"/>
  <c r="G84" i="7"/>
  <c r="G85" i="7"/>
  <c r="G86" i="7"/>
  <c r="G87" i="7"/>
  <c r="G88" i="7"/>
  <c r="G89" i="7"/>
  <c r="G90" i="7"/>
  <c r="G91" i="7"/>
  <c r="G92" i="7"/>
  <c r="G93" i="7"/>
  <c r="G94" i="7"/>
  <c r="G95" i="7"/>
  <c r="G96" i="7"/>
  <c r="G97" i="7"/>
  <c r="G98" i="7"/>
  <c r="G99" i="7"/>
  <c r="G100" i="7"/>
  <c r="G101" i="7"/>
  <c r="G102" i="7"/>
  <c r="G103" i="7"/>
  <c r="G58" i="7"/>
  <c r="T212" i="15"/>
  <c r="S212" i="15"/>
  <c r="R212" i="15"/>
  <c r="X211" i="15"/>
  <c r="B211" i="15"/>
  <c r="S209" i="15"/>
  <c r="R209" i="15"/>
  <c r="S207" i="15"/>
  <c r="W205" i="15"/>
  <c r="S203" i="15"/>
  <c r="R203" i="15"/>
  <c r="B202" i="15"/>
  <c r="S201" i="15"/>
  <c r="R201" i="15"/>
  <c r="N199" i="15"/>
  <c r="M199" i="15"/>
  <c r="L199" i="15"/>
  <c r="K199" i="15"/>
  <c r="J199" i="15"/>
  <c r="I199" i="15"/>
  <c r="H199" i="15"/>
  <c r="O198" i="15"/>
  <c r="W193" i="15"/>
  <c r="S192" i="15"/>
  <c r="E191" i="15"/>
  <c r="N190" i="15"/>
  <c r="M190" i="15"/>
  <c r="L190" i="15"/>
  <c r="K190" i="15"/>
  <c r="J215" i="15"/>
  <c r="C215" i="15"/>
  <c r="H210" i="15"/>
  <c r="B210" i="15"/>
  <c r="E208" i="15"/>
  <c r="K194" i="15"/>
  <c r="J161" i="15"/>
  <c r="G123" i="7" s="1"/>
  <c r="C161" i="15"/>
  <c r="G115" i="7" s="1"/>
  <c r="H156" i="15"/>
  <c r="B156" i="15"/>
  <c r="E154" i="15"/>
  <c r="G117" i="7" s="1"/>
  <c r="K140" i="15"/>
  <c r="T158" i="15"/>
  <c r="S158" i="15"/>
  <c r="R158" i="15"/>
  <c r="X157" i="15"/>
  <c r="G142" i="7" s="1"/>
  <c r="B157" i="15"/>
  <c r="S155" i="15"/>
  <c r="R155" i="15"/>
  <c r="S153" i="15"/>
  <c r="W151" i="15"/>
  <c r="S149" i="15"/>
  <c r="R149" i="15"/>
  <c r="B148" i="15"/>
  <c r="S147" i="15"/>
  <c r="R147" i="15"/>
  <c r="N145" i="15"/>
  <c r="M145" i="15"/>
  <c r="L145" i="15"/>
  <c r="K145" i="15"/>
  <c r="J145" i="15"/>
  <c r="I145" i="15"/>
  <c r="H145" i="15"/>
  <c r="O144" i="15"/>
  <c r="W139" i="15"/>
  <c r="S138" i="15"/>
  <c r="E137" i="15"/>
  <c r="N136" i="15"/>
  <c r="M136" i="15"/>
  <c r="L136" i="15"/>
  <c r="K136" i="15"/>
  <c r="T104" i="15"/>
  <c r="S104" i="15"/>
  <c r="R104" i="15"/>
  <c r="X103" i="15"/>
  <c r="B103" i="15"/>
  <c r="S101" i="15"/>
  <c r="R101" i="15"/>
  <c r="S99" i="15"/>
  <c r="W97" i="15"/>
  <c r="S95" i="15"/>
  <c r="R95" i="15"/>
  <c r="B94" i="15"/>
  <c r="G62" i="7" s="1"/>
  <c r="S93" i="15"/>
  <c r="R93" i="15"/>
  <c r="N91" i="15"/>
  <c r="M91" i="15"/>
  <c r="L91" i="15"/>
  <c r="K91" i="15"/>
  <c r="J91" i="15"/>
  <c r="I91" i="15"/>
  <c r="H91" i="15"/>
  <c r="O90" i="15"/>
  <c r="W85" i="15"/>
  <c r="S84" i="15"/>
  <c r="E83" i="15"/>
  <c r="N82" i="15"/>
  <c r="M82" i="15"/>
  <c r="L82" i="15"/>
  <c r="K82" i="15"/>
  <c r="J107" i="15"/>
  <c r="C107" i="15"/>
  <c r="H102" i="15"/>
  <c r="B102" i="15"/>
  <c r="E100" i="15"/>
  <c r="K86" i="15"/>
  <c r="G72" i="7" s="1"/>
  <c r="F59" i="7"/>
  <c r="F60" i="7"/>
  <c r="F61" i="7"/>
  <c r="F63" i="7"/>
  <c r="F64" i="7"/>
  <c r="F65" i="7"/>
  <c r="F66" i="7"/>
  <c r="F69" i="7"/>
  <c r="F70" i="7"/>
  <c r="F71" i="7"/>
  <c r="F72" i="7"/>
  <c r="F73" i="7"/>
  <c r="F74" i="7"/>
  <c r="F75" i="7"/>
  <c r="F76" i="7"/>
  <c r="F77" i="7"/>
  <c r="F78" i="7"/>
  <c r="F79" i="7"/>
  <c r="F81" i="7"/>
  <c r="F82" i="7"/>
  <c r="F83" i="7"/>
  <c r="F84" i="7"/>
  <c r="F85" i="7"/>
  <c r="F86" i="7"/>
  <c r="F87" i="7"/>
  <c r="F88" i="7"/>
  <c r="F89" i="7"/>
  <c r="F90" i="7"/>
  <c r="F91" i="7"/>
  <c r="F92" i="7"/>
  <c r="F93" i="7"/>
  <c r="F94" i="7"/>
  <c r="F95" i="7"/>
  <c r="F96" i="7"/>
  <c r="F97" i="7"/>
  <c r="F98" i="7"/>
  <c r="F99" i="7"/>
  <c r="F101" i="7"/>
  <c r="F102" i="7"/>
  <c r="F103" i="7"/>
  <c r="F58" i="7"/>
  <c r="BO257" i="14"/>
  <c r="AC257" i="14"/>
  <c r="L257" i="14"/>
  <c r="D257" i="14"/>
  <c r="CI252" i="14"/>
  <c r="BP252" i="14"/>
  <c r="BO252" i="14"/>
  <c r="BN252" i="14"/>
  <c r="BL252" i="14"/>
  <c r="BF252" i="14"/>
  <c r="AU252" i="14"/>
  <c r="AS252" i="14"/>
  <c r="AR252" i="14"/>
  <c r="AJ252" i="14"/>
  <c r="AC252" i="14"/>
  <c r="U252" i="14"/>
  <c r="P252" i="14"/>
  <c r="O252" i="14"/>
  <c r="L252" i="14"/>
  <c r="D252" i="14"/>
  <c r="B252" i="14"/>
  <c r="AT239" i="14"/>
  <c r="BJ223" i="14"/>
  <c r="AQ223" i="14"/>
  <c r="X223" i="14"/>
  <c r="C223" i="14"/>
  <c r="CO222" i="14"/>
  <c r="CB222" i="14"/>
  <c r="BZ222" i="14"/>
  <c r="BB222" i="14"/>
  <c r="F172" i="7" s="1"/>
  <c r="BA222" i="14"/>
  <c r="AW222" i="14"/>
  <c r="AO222" i="14"/>
  <c r="AM222" i="14"/>
  <c r="AG222" i="14"/>
  <c r="W222" i="14"/>
  <c r="M222" i="14"/>
  <c r="H222" i="14"/>
  <c r="G222" i="14"/>
  <c r="B222" i="14"/>
  <c r="CR221" i="14"/>
  <c r="BS221" i="14"/>
  <c r="AA221" i="14"/>
  <c r="S221" i="14"/>
  <c r="P221" i="14"/>
  <c r="CT220" i="14"/>
  <c r="CR220" i="14"/>
  <c r="BS220" i="14"/>
  <c r="AT220" i="14"/>
  <c r="AB220" i="14"/>
  <c r="AO219" i="14"/>
  <c r="F182" i="7" s="1"/>
  <c r="CU218" i="14"/>
  <c r="CQ218" i="14"/>
  <c r="CG218" i="14"/>
  <c r="BY218" i="14"/>
  <c r="AV218" i="14"/>
  <c r="AO218" i="14"/>
  <c r="F181" i="7" s="1"/>
  <c r="AE218" i="14"/>
  <c r="CU217" i="14"/>
  <c r="CT217" i="14"/>
  <c r="CQ217" i="14"/>
  <c r="CH217" i="14"/>
  <c r="CG217" i="14"/>
  <c r="BS217" i="14"/>
  <c r="AV217" i="14"/>
  <c r="AO217" i="14"/>
  <c r="F180" i="7" s="1"/>
  <c r="AL217" i="14"/>
  <c r="AE217" i="14"/>
  <c r="BN216" i="14"/>
  <c r="CD214" i="14"/>
  <c r="BR214" i="14"/>
  <c r="BW213" i="14"/>
  <c r="BR213" i="14"/>
  <c r="BM213" i="14"/>
  <c r="BL213" i="14"/>
  <c r="BW212" i="14"/>
  <c r="BR212" i="14"/>
  <c r="BM212" i="14"/>
  <c r="BL212" i="14"/>
  <c r="BW211" i="14"/>
  <c r="BR211" i="14"/>
  <c r="BM211" i="14"/>
  <c r="BL211" i="14"/>
  <c r="BW210" i="14"/>
  <c r="BR210" i="14"/>
  <c r="BM210" i="14"/>
  <c r="BL210" i="14"/>
  <c r="BW209" i="14"/>
  <c r="BR209" i="14"/>
  <c r="BM209" i="14"/>
  <c r="BL209" i="14"/>
  <c r="BW208" i="14"/>
  <c r="BR208" i="14"/>
  <c r="BM208" i="14"/>
  <c r="BL208" i="14"/>
  <c r="V206" i="14"/>
  <c r="CF205" i="14"/>
  <c r="CS204" i="14"/>
  <c r="BU204" i="14"/>
  <c r="BI204" i="14"/>
  <c r="AY204" i="14"/>
  <c r="AR204" i="14"/>
  <c r="AF204" i="14"/>
  <c r="U204" i="14"/>
  <c r="N204" i="14"/>
  <c r="I204" i="14"/>
  <c r="AN203" i="14"/>
  <c r="Y203" i="14"/>
  <c r="AZ202" i="14"/>
  <c r="AI202" i="14"/>
  <c r="J202" i="14"/>
  <c r="CV201" i="14"/>
  <c r="CN201" i="14"/>
  <c r="CL201" i="14"/>
  <c r="CK201" i="14"/>
  <c r="CJ201" i="14"/>
  <c r="CD201" i="14"/>
  <c r="CA201" i="14"/>
  <c r="BY201" i="14"/>
  <c r="BR201" i="14"/>
  <c r="BQ201" i="14"/>
  <c r="BJ201" i="14"/>
  <c r="BH201" i="14"/>
  <c r="BG201" i="14"/>
  <c r="BD201" i="14"/>
  <c r="AZ201" i="14"/>
  <c r="AS201" i="14"/>
  <c r="AQ201" i="14"/>
  <c r="AO201" i="14"/>
  <c r="AK201" i="14"/>
  <c r="AI201" i="14"/>
  <c r="AF201" i="14"/>
  <c r="X201" i="14"/>
  <c r="W201" i="14"/>
  <c r="T201" i="14"/>
  <c r="N201" i="14"/>
  <c r="J201" i="14"/>
  <c r="F201" i="14"/>
  <c r="E201" i="14"/>
  <c r="C201" i="14"/>
  <c r="CH218" i="14"/>
  <c r="BB156" i="14"/>
  <c r="W156" i="14"/>
  <c r="G156" i="14"/>
  <c r="S155" i="14"/>
  <c r="CG152" i="14"/>
  <c r="AE152" i="14"/>
  <c r="CG151" i="14"/>
  <c r="AE151" i="14"/>
  <c r="BW147" i="14"/>
  <c r="BM147" i="14"/>
  <c r="BW146" i="14"/>
  <c r="BM146" i="14"/>
  <c r="BW145" i="14"/>
  <c r="BM145" i="14"/>
  <c r="BW144" i="14"/>
  <c r="BM144" i="14"/>
  <c r="BW143" i="14"/>
  <c r="BM143" i="14"/>
  <c r="BW142" i="14"/>
  <c r="BM142" i="14"/>
  <c r="CS138" i="14"/>
  <c r="BU138" i="14"/>
  <c r="AY138" i="14"/>
  <c r="AF138" i="14"/>
  <c r="N138" i="14"/>
  <c r="I138" i="14"/>
  <c r="AZ136" i="14"/>
  <c r="J136" i="14"/>
  <c r="CK135" i="14"/>
  <c r="CJ135" i="14"/>
  <c r="CA135" i="14"/>
  <c r="BJ135" i="14"/>
  <c r="BD135" i="14"/>
  <c r="AZ135" i="14"/>
  <c r="AQ135" i="14"/>
  <c r="AK135" i="14"/>
  <c r="AF135" i="14"/>
  <c r="X135" i="14"/>
  <c r="W135" i="14"/>
  <c r="T135" i="14"/>
  <c r="N135" i="14"/>
  <c r="J135" i="14"/>
  <c r="C135" i="14"/>
  <c r="BO191" i="14"/>
  <c r="AC191" i="14"/>
  <c r="L191" i="14"/>
  <c r="D191" i="14"/>
  <c r="CI186" i="14"/>
  <c r="BP186" i="14"/>
  <c r="BO186" i="14"/>
  <c r="BN186" i="14"/>
  <c r="BL186" i="14"/>
  <c r="BF186" i="14"/>
  <c r="K22" i="11" s="1"/>
  <c r="AU186" i="14"/>
  <c r="AS186" i="14"/>
  <c r="AR186" i="14"/>
  <c r="AJ186" i="14"/>
  <c r="AC186" i="14"/>
  <c r="U186" i="14"/>
  <c r="P186" i="14"/>
  <c r="O186" i="14"/>
  <c r="L186" i="14"/>
  <c r="D186" i="14"/>
  <c r="B186" i="14"/>
  <c r="AT173" i="14"/>
  <c r="BJ157" i="14"/>
  <c r="AQ157" i="14"/>
  <c r="X157" i="14"/>
  <c r="C157" i="14"/>
  <c r="CO156" i="14"/>
  <c r="CB156" i="14"/>
  <c r="BZ156" i="14"/>
  <c r="BA156" i="14"/>
  <c r="AW156" i="14"/>
  <c r="F120" i="7" s="1"/>
  <c r="AO156" i="14"/>
  <c r="AM156" i="14"/>
  <c r="AG156" i="14"/>
  <c r="M156" i="14"/>
  <c r="H156" i="14"/>
  <c r="B156" i="14"/>
  <c r="CR155" i="14"/>
  <c r="BS155" i="14"/>
  <c r="AA155" i="14"/>
  <c r="P155" i="14"/>
  <c r="CT154" i="14"/>
  <c r="CR154" i="14"/>
  <c r="BS154" i="14"/>
  <c r="AT154" i="14"/>
  <c r="AB154" i="14"/>
  <c r="AO153" i="14"/>
  <c r="CU152" i="14"/>
  <c r="CQ152" i="14"/>
  <c r="BY152" i="14"/>
  <c r="AV152" i="14"/>
  <c r="AO152" i="14"/>
  <c r="CU151" i="14"/>
  <c r="CT151" i="14"/>
  <c r="CQ151" i="14"/>
  <c r="CH151" i="14"/>
  <c r="BS151" i="14"/>
  <c r="AV151" i="14"/>
  <c r="AO151" i="14"/>
  <c r="AL151" i="14"/>
  <c r="BN150" i="14"/>
  <c r="CD148" i="14"/>
  <c r="BR148" i="14"/>
  <c r="BR147" i="14"/>
  <c r="BL147" i="14"/>
  <c r="BR146" i="14"/>
  <c r="BL146" i="14"/>
  <c r="BR145" i="14"/>
  <c r="BL145" i="14"/>
  <c r="BR144" i="14"/>
  <c r="BL144" i="14"/>
  <c r="BR143" i="14"/>
  <c r="BL143" i="14"/>
  <c r="BR142" i="14"/>
  <c r="BL142" i="14"/>
  <c r="V140" i="14"/>
  <c r="CF139" i="14"/>
  <c r="BI138" i="14"/>
  <c r="AR138" i="14"/>
  <c r="U138" i="14"/>
  <c r="AN137" i="14"/>
  <c r="Y137" i="14"/>
  <c r="AI136" i="14"/>
  <c r="CV135" i="14"/>
  <c r="CN135" i="14"/>
  <c r="CL135" i="14"/>
  <c r="CD135" i="14"/>
  <c r="BY135" i="14"/>
  <c r="BR135" i="14"/>
  <c r="BQ135" i="14"/>
  <c r="BH135" i="14"/>
  <c r="BG135" i="14"/>
  <c r="AS135" i="14"/>
  <c r="AO135" i="14"/>
  <c r="AI135" i="14"/>
  <c r="F135" i="14"/>
  <c r="E135" i="14"/>
  <c r="CH152" i="14"/>
  <c r="CO90" i="14"/>
  <c r="CB90" i="14"/>
  <c r="BZ90" i="14"/>
  <c r="BA90" i="14"/>
  <c r="AW90" i="14"/>
  <c r="AM90" i="14"/>
  <c r="AG90" i="14"/>
  <c r="F68" i="7" s="1"/>
  <c r="M90" i="14"/>
  <c r="H90" i="14"/>
  <c r="BS89" i="14"/>
  <c r="CT88" i="14"/>
  <c r="BS88" i="14"/>
  <c r="AO87" i="14"/>
  <c r="CU86" i="14"/>
  <c r="CQ86" i="14"/>
  <c r="BY86" i="14"/>
  <c r="AO86" i="14"/>
  <c r="CU85" i="14"/>
  <c r="CT85" i="14"/>
  <c r="CQ85" i="14"/>
  <c r="BS85" i="14"/>
  <c r="AO85" i="14"/>
  <c r="CD82" i="14"/>
  <c r="BR82" i="14"/>
  <c r="BR81" i="14"/>
  <c r="BR80" i="14"/>
  <c r="BR79" i="14"/>
  <c r="BR78" i="14"/>
  <c r="BR77" i="14"/>
  <c r="BR76" i="14"/>
  <c r="V74" i="14"/>
  <c r="F67" i="7" s="1"/>
  <c r="BI72" i="14"/>
  <c r="CN69" i="14"/>
  <c r="CL69" i="14"/>
  <c r="CD69" i="14"/>
  <c r="BY69" i="14"/>
  <c r="BR69" i="14"/>
  <c r="BQ69" i="14"/>
  <c r="BJ69" i="14"/>
  <c r="BH69" i="14"/>
  <c r="BG69" i="14"/>
  <c r="AQ69" i="14"/>
  <c r="AO69" i="14"/>
  <c r="AI69" i="14"/>
  <c r="X69" i="14"/>
  <c r="F69" i="14"/>
  <c r="E69" i="14"/>
  <c r="C69" i="14"/>
  <c r="BB90" i="14"/>
  <c r="W90" i="14"/>
  <c r="G90" i="14"/>
  <c r="S89" i="14"/>
  <c r="CG86" i="14"/>
  <c r="AE86" i="14"/>
  <c r="CG85" i="14"/>
  <c r="AE85" i="14"/>
  <c r="BW81" i="14"/>
  <c r="BM81" i="14"/>
  <c r="BW80" i="14"/>
  <c r="BM80" i="14"/>
  <c r="BW79" i="14"/>
  <c r="BM79" i="14"/>
  <c r="BW78" i="14"/>
  <c r="BM78" i="14"/>
  <c r="BW77" i="14"/>
  <c r="BM77" i="14"/>
  <c r="BW76" i="14"/>
  <c r="BM76" i="14"/>
  <c r="CS72" i="14"/>
  <c r="BU72" i="14"/>
  <c r="AY72" i="14"/>
  <c r="AF72" i="14"/>
  <c r="N72" i="14"/>
  <c r="I72" i="14"/>
  <c r="AZ70" i="14"/>
  <c r="J70" i="14"/>
  <c r="CK69" i="14"/>
  <c r="CJ69" i="14"/>
  <c r="CA69" i="14"/>
  <c r="BD69" i="14"/>
  <c r="AZ69" i="14"/>
  <c r="AK69" i="14"/>
  <c r="AF69" i="14"/>
  <c r="W69" i="14"/>
  <c r="T69" i="14"/>
  <c r="N69" i="14"/>
  <c r="J69" i="14"/>
  <c r="BO125" i="14"/>
  <c r="AC125" i="14"/>
  <c r="L125" i="14"/>
  <c r="D125" i="14"/>
  <c r="CI120" i="14"/>
  <c r="BP120" i="14"/>
  <c r="BO120" i="14"/>
  <c r="BN120" i="14"/>
  <c r="BL120" i="14"/>
  <c r="BF120" i="14"/>
  <c r="AU120" i="14"/>
  <c r="AS120" i="14"/>
  <c r="AR120" i="14"/>
  <c r="AJ120" i="14"/>
  <c r="AC120" i="14"/>
  <c r="U120" i="14"/>
  <c r="P120" i="14"/>
  <c r="O120" i="14"/>
  <c r="L120" i="14"/>
  <c r="D120" i="14"/>
  <c r="B120" i="14"/>
  <c r="F100" i="7"/>
  <c r="AT107" i="14"/>
  <c r="BJ91" i="14"/>
  <c r="AQ91" i="14"/>
  <c r="X91" i="14"/>
  <c r="C91" i="14"/>
  <c r="AO90" i="14"/>
  <c r="B90" i="14"/>
  <c r="CR89" i="14"/>
  <c r="AA89" i="14"/>
  <c r="F80" i="7" s="1"/>
  <c r="P89" i="14"/>
  <c r="CR88" i="14"/>
  <c r="AT88" i="14"/>
  <c r="AB88" i="14"/>
  <c r="AV86" i="14"/>
  <c r="CH85" i="14"/>
  <c r="AV85" i="14"/>
  <c r="AL85" i="14"/>
  <c r="BN84" i="14"/>
  <c r="BL81" i="14"/>
  <c r="BL80" i="14"/>
  <c r="BL79" i="14"/>
  <c r="BL78" i="14"/>
  <c r="BL77" i="14"/>
  <c r="BL76" i="14"/>
  <c r="CF73" i="14"/>
  <c r="AR72" i="14"/>
  <c r="U72" i="14"/>
  <c r="AN71" i="14"/>
  <c r="Y71" i="14"/>
  <c r="AI70" i="14"/>
  <c r="CV69" i="14"/>
  <c r="AS69" i="14"/>
  <c r="CH86" i="14"/>
  <c r="CH20" i="14"/>
  <c r="A5" i="11"/>
  <c r="A4" i="11"/>
  <c r="K3" i="11" s="1"/>
  <c r="A3" i="11"/>
  <c r="Q34" i="7"/>
  <c r="J32" i="11" s="1"/>
  <c r="Q33" i="7"/>
  <c r="J31" i="11" s="1"/>
  <c r="Q5" i="7"/>
  <c r="Q24" i="7"/>
  <c r="K64" i="11" s="1"/>
  <c r="Q17" i="7"/>
  <c r="G7" i="7"/>
  <c r="G8" i="7"/>
  <c r="G9" i="7"/>
  <c r="G12" i="7"/>
  <c r="G14" i="7"/>
  <c r="G15" i="7"/>
  <c r="G16" i="7"/>
  <c r="G17" i="7"/>
  <c r="G18" i="7"/>
  <c r="G21" i="7"/>
  <c r="G22" i="7"/>
  <c r="G23" i="7"/>
  <c r="G26" i="7"/>
  <c r="G27" i="7"/>
  <c r="G29" i="7"/>
  <c r="G30" i="7"/>
  <c r="G31" i="7"/>
  <c r="G32" i="7"/>
  <c r="G33" i="7"/>
  <c r="G34" i="7"/>
  <c r="G35" i="7"/>
  <c r="G36" i="7"/>
  <c r="G37" i="7"/>
  <c r="G38" i="7"/>
  <c r="G39" i="7"/>
  <c r="G40" i="7"/>
  <c r="G41" i="7"/>
  <c r="G42" i="7"/>
  <c r="G43" i="7"/>
  <c r="G44" i="7"/>
  <c r="G45" i="7"/>
  <c r="G46" i="7"/>
  <c r="G47" i="7"/>
  <c r="G48" i="7"/>
  <c r="G49" i="7"/>
  <c r="G50" i="7"/>
  <c r="G51" i="7"/>
  <c r="G6" i="7"/>
  <c r="H40" i="7"/>
  <c r="I40" i="7"/>
  <c r="H41" i="7"/>
  <c r="I41" i="7"/>
  <c r="T50" i="15"/>
  <c r="S50" i="15"/>
  <c r="R50" i="15"/>
  <c r="X49" i="15"/>
  <c r="B49" i="15"/>
  <c r="S47" i="15"/>
  <c r="G25" i="7" s="1"/>
  <c r="R47" i="15"/>
  <c r="G24" i="7" s="1"/>
  <c r="S45" i="15"/>
  <c r="W43" i="15"/>
  <c r="S41" i="15"/>
  <c r="R41" i="15"/>
  <c r="B40" i="15"/>
  <c r="G10" i="7" s="1"/>
  <c r="S39" i="15"/>
  <c r="R39" i="15"/>
  <c r="N37" i="15"/>
  <c r="M37" i="15"/>
  <c r="L37" i="15"/>
  <c r="K37" i="15"/>
  <c r="J37" i="15"/>
  <c r="I37" i="15"/>
  <c r="H37" i="15"/>
  <c r="O36" i="15"/>
  <c r="W31" i="15"/>
  <c r="S30" i="15"/>
  <c r="E29" i="15"/>
  <c r="N28" i="15"/>
  <c r="M28" i="15"/>
  <c r="L28" i="15"/>
  <c r="K28" i="15"/>
  <c r="J53" i="15"/>
  <c r="G19" i="7" s="1"/>
  <c r="C53" i="15"/>
  <c r="G11" i="7" s="1"/>
  <c r="H48" i="15"/>
  <c r="B48" i="15"/>
  <c r="E46" i="15"/>
  <c r="G13" i="7" s="1"/>
  <c r="K32" i="15"/>
  <c r="G20" i="7" s="1"/>
  <c r="L15" i="6" l="1"/>
  <c r="L250" i="6" s="1"/>
  <c r="L16" i="6"/>
  <c r="L253" i="6" s="1"/>
  <c r="L13" i="6"/>
  <c r="L14" i="6"/>
  <c r="L246" i="6" s="1"/>
  <c r="P247" i="6"/>
  <c r="P9" i="6"/>
  <c r="Q247" i="6"/>
  <c r="Q9" i="6"/>
  <c r="G114" i="7"/>
  <c r="K2" i="11"/>
  <c r="K4" i="11"/>
  <c r="U33" i="11"/>
  <c r="M38" i="11"/>
  <c r="Q120" i="7"/>
  <c r="Q122" i="7" s="1"/>
  <c r="J45" i="11" s="1"/>
  <c r="U115" i="7" a="1"/>
  <c r="U115" i="7" s="1"/>
  <c r="Q129" i="7" s="1"/>
  <c r="U116" i="7" a="1"/>
  <c r="U116" i="7" s="1"/>
  <c r="Q130" i="7" s="1"/>
  <c r="U114" i="7" a="1"/>
  <c r="U114" i="7" s="1"/>
  <c r="Q131" i="7" s="1"/>
  <c r="I58" i="7"/>
  <c r="Q68" i="7"/>
  <c r="U63" i="7" a="1"/>
  <c r="U63" i="7" s="1"/>
  <c r="Q77" i="7" s="1"/>
  <c r="K65" i="11" s="1"/>
  <c r="U62" i="7" a="1"/>
  <c r="U62" i="7" s="1"/>
  <c r="Q79" i="7" s="1"/>
  <c r="M65" i="11" s="1"/>
  <c r="U64" i="7" a="1"/>
  <c r="U64" i="7" s="1"/>
  <c r="Q78" i="7" s="1"/>
  <c r="L65" i="11" s="1"/>
  <c r="F175" i="7"/>
  <c r="K175" i="7" s="1"/>
  <c r="AG19" i="7" s="1"/>
  <c r="L46" i="6" s="1"/>
  <c r="L157" i="6" s="1"/>
  <c r="V30" i="11"/>
  <c r="J39" i="11"/>
  <c r="U30" i="11"/>
  <c r="J38" i="11"/>
  <c r="K38" i="11"/>
  <c r="U31" i="11"/>
  <c r="Q16" i="7"/>
  <c r="U10" i="7" a="1"/>
  <c r="U10" i="7" s="1"/>
  <c r="Q27" i="7" s="1"/>
  <c r="U12" i="7" a="1"/>
  <c r="U12" i="7" s="1"/>
  <c r="Q26" i="7" s="1"/>
  <c r="U11" i="7" a="1"/>
  <c r="U11" i="7" s="1"/>
  <c r="Q25" i="7" s="1"/>
  <c r="K169" i="7"/>
  <c r="AG13" i="7" s="1"/>
  <c r="L40" i="6" s="1"/>
  <c r="L151" i="6" s="1"/>
  <c r="K117" i="7"/>
  <c r="K171" i="7"/>
  <c r="K119" i="7"/>
  <c r="T21" i="17" s="1"/>
  <c r="K164" i="7"/>
  <c r="AG8" i="7" s="1"/>
  <c r="L35" i="6" s="1"/>
  <c r="L146" i="6" s="1"/>
  <c r="K165" i="7"/>
  <c r="K202" i="7"/>
  <c r="AG46" i="7" s="1"/>
  <c r="L73" i="6" s="1"/>
  <c r="L184" i="6" s="1"/>
  <c r="K190" i="7"/>
  <c r="AG34" i="7" s="1"/>
  <c r="L61" i="6" s="1"/>
  <c r="L172" i="6" s="1"/>
  <c r="K200" i="7"/>
  <c r="AG44" i="7" s="1"/>
  <c r="L71" i="6" s="1"/>
  <c r="L182" i="6" s="1"/>
  <c r="K188" i="7"/>
  <c r="AG32" i="7" s="1"/>
  <c r="L59" i="6" s="1"/>
  <c r="L170" i="6" s="1"/>
  <c r="K189" i="7"/>
  <c r="AG33" i="7" s="1"/>
  <c r="L60" i="6" s="1"/>
  <c r="L171" i="6" s="1"/>
  <c r="K199" i="7"/>
  <c r="AG43" i="7" s="1"/>
  <c r="L70" i="6" s="1"/>
  <c r="L181" i="6" s="1"/>
  <c r="K187" i="7"/>
  <c r="AG31" i="7" s="1"/>
  <c r="L58" i="6" s="1"/>
  <c r="L169" i="6" s="1"/>
  <c r="K198" i="7"/>
  <c r="AG42" i="7" s="1"/>
  <c r="L69" i="6" s="1"/>
  <c r="L180" i="6" s="1"/>
  <c r="K186" i="7"/>
  <c r="AG30" i="7" s="1"/>
  <c r="L57" i="6" s="1"/>
  <c r="L168" i="6" s="1"/>
  <c r="K197" i="7"/>
  <c r="K185" i="7"/>
  <c r="AG29" i="7" s="1"/>
  <c r="L56" i="6" s="1"/>
  <c r="L167" i="6" s="1"/>
  <c r="K173" i="7"/>
  <c r="AG17" i="7" s="1"/>
  <c r="L44" i="6" s="1"/>
  <c r="L155" i="6" s="1"/>
  <c r="K196" i="7"/>
  <c r="K172" i="7"/>
  <c r="AG16" i="7" s="1"/>
  <c r="L43" i="6" s="1"/>
  <c r="L154" i="6" s="1"/>
  <c r="L232" i="6" s="1"/>
  <c r="K207" i="7"/>
  <c r="AG51" i="7" s="1"/>
  <c r="L78" i="6" s="1"/>
  <c r="L189" i="6" s="1"/>
  <c r="K195" i="7"/>
  <c r="AG39" i="7" s="1"/>
  <c r="L66" i="6" s="1"/>
  <c r="L177" i="6" s="1"/>
  <c r="K183" i="7"/>
  <c r="AG27" i="7" s="1"/>
  <c r="L54" i="6" s="1"/>
  <c r="L165" i="6" s="1"/>
  <c r="L236" i="6" s="1"/>
  <c r="K201" i="7"/>
  <c r="AG45" i="7" s="1"/>
  <c r="L72" i="6" s="1"/>
  <c r="L183" i="6" s="1"/>
  <c r="K206" i="7"/>
  <c r="AG50" i="7" s="1"/>
  <c r="L77" i="6" s="1"/>
  <c r="L188" i="6" s="1"/>
  <c r="K194" i="7"/>
  <c r="AG38" i="7" s="1"/>
  <c r="L65" i="6" s="1"/>
  <c r="L176" i="6" s="1"/>
  <c r="K182" i="7"/>
  <c r="AG26" i="7" s="1"/>
  <c r="L53" i="6" s="1"/>
  <c r="L164" i="6" s="1"/>
  <c r="L235" i="6" s="1"/>
  <c r="K170" i="7"/>
  <c r="AG14" i="7" s="1"/>
  <c r="L41" i="6" s="1"/>
  <c r="L152" i="6" s="1"/>
  <c r="K205" i="7"/>
  <c r="AG49" i="7" s="1"/>
  <c r="L76" i="6" s="1"/>
  <c r="L187" i="6" s="1"/>
  <c r="K193" i="7"/>
  <c r="AG37" i="7" s="1"/>
  <c r="L64" i="6" s="1"/>
  <c r="L175" i="6" s="1"/>
  <c r="K181" i="7"/>
  <c r="AG25" i="7" s="1"/>
  <c r="L52" i="6" s="1"/>
  <c r="L163" i="6" s="1"/>
  <c r="L234" i="6" s="1"/>
  <c r="K204" i="7"/>
  <c r="AG48" i="7" s="1"/>
  <c r="L75" i="6" s="1"/>
  <c r="L186" i="6" s="1"/>
  <c r="K192" i="7"/>
  <c r="AG36" i="7" s="1"/>
  <c r="L63" i="6" s="1"/>
  <c r="L174" i="6" s="1"/>
  <c r="K180" i="7"/>
  <c r="AG24" i="7" s="1"/>
  <c r="L51" i="6" s="1"/>
  <c r="L162" i="6" s="1"/>
  <c r="L233" i="6" s="1"/>
  <c r="K168" i="7"/>
  <c r="AG12" i="7" s="1"/>
  <c r="L39" i="6" s="1"/>
  <c r="L150" i="6" s="1"/>
  <c r="K203" i="7"/>
  <c r="AG47" i="7" s="1"/>
  <c r="L74" i="6" s="1"/>
  <c r="L185" i="6" s="1"/>
  <c r="K191" i="7"/>
  <c r="AG35" i="7" s="1"/>
  <c r="L62" i="6" s="1"/>
  <c r="L173" i="6" s="1"/>
  <c r="K167" i="7"/>
  <c r="K163" i="7"/>
  <c r="K112" i="7"/>
  <c r="AF8" i="7" s="1"/>
  <c r="K114" i="7"/>
  <c r="K150" i="7"/>
  <c r="AF46" i="7" s="1"/>
  <c r="K138" i="7"/>
  <c r="AF34" i="7" s="1"/>
  <c r="K149" i="7"/>
  <c r="AF45" i="7" s="1"/>
  <c r="K148" i="7"/>
  <c r="AF44" i="7" s="1"/>
  <c r="K136" i="7"/>
  <c r="AF32" i="7" s="1"/>
  <c r="K147" i="7"/>
  <c r="AF43" i="7" s="1"/>
  <c r="K135" i="7"/>
  <c r="AF31" i="7" s="1"/>
  <c r="K123" i="7"/>
  <c r="K137" i="7"/>
  <c r="AF33" i="7" s="1"/>
  <c r="K146" i="7"/>
  <c r="AF42" i="7" s="1"/>
  <c r="K134" i="7"/>
  <c r="AF30" i="7" s="1"/>
  <c r="K122" i="7"/>
  <c r="K145" i="7"/>
  <c r="K133" i="7"/>
  <c r="AF29" i="7" s="1"/>
  <c r="K121" i="7"/>
  <c r="K144" i="7"/>
  <c r="K132" i="7"/>
  <c r="K120" i="7"/>
  <c r="K155" i="7"/>
  <c r="AF51" i="7" s="1"/>
  <c r="K143" i="7"/>
  <c r="AF39" i="7" s="1"/>
  <c r="K131" i="7"/>
  <c r="K154" i="7"/>
  <c r="AF50" i="7" s="1"/>
  <c r="K142" i="7"/>
  <c r="AF38" i="7" s="1"/>
  <c r="K130" i="7"/>
  <c r="K118" i="7"/>
  <c r="K153" i="7"/>
  <c r="AF49" i="7" s="1"/>
  <c r="K141" i="7"/>
  <c r="K129" i="7"/>
  <c r="K152" i="7"/>
  <c r="AF48" i="7" s="1"/>
  <c r="K140" i="7"/>
  <c r="AF36" i="7" s="1"/>
  <c r="K128" i="7"/>
  <c r="K116" i="7"/>
  <c r="AF12" i="7" s="1"/>
  <c r="K151" i="7"/>
  <c r="AF47" i="7" s="1"/>
  <c r="K139" i="7"/>
  <c r="AF35" i="7" s="1"/>
  <c r="K115" i="7"/>
  <c r="K113" i="7"/>
  <c r="K111" i="7"/>
  <c r="K110" i="7"/>
  <c r="L143" i="6" l="1"/>
  <c r="L276" i="6"/>
  <c r="L249" i="6"/>
  <c r="L239" i="6"/>
  <c r="L238" i="6"/>
  <c r="L247" i="6"/>
  <c r="L9" i="6"/>
  <c r="Q256" i="6"/>
  <c r="Q10" i="6"/>
  <c r="P256" i="6"/>
  <c r="P10" i="6"/>
  <c r="L248" i="6"/>
  <c r="L275" i="6"/>
  <c r="AG15" i="7"/>
  <c r="L42" i="6" s="1"/>
  <c r="L153" i="6" s="1"/>
  <c r="AP213" i="14"/>
  <c r="AP211" i="14"/>
  <c r="AP209" i="14"/>
  <c r="AP210" i="14"/>
  <c r="AP212" i="14"/>
  <c r="AG7" i="7"/>
  <c r="L34" i="6" s="1"/>
  <c r="L145" i="6" s="1"/>
  <c r="N73" i="11"/>
  <c r="L270" i="6" s="1"/>
  <c r="AG11" i="7"/>
  <c r="L38" i="6" s="1"/>
  <c r="L149" i="6" s="1"/>
  <c r="M73" i="11"/>
  <c r="L269" i="6" s="1"/>
  <c r="AF6" i="7"/>
  <c r="L72" i="11"/>
  <c r="AF7" i="7"/>
  <c r="N72" i="11"/>
  <c r="AF10" i="7"/>
  <c r="K72" i="11"/>
  <c r="AF11" i="7"/>
  <c r="M72" i="11"/>
  <c r="AP77" i="14"/>
  <c r="AP79" i="14"/>
  <c r="AP80" i="14"/>
  <c r="AP78" i="14"/>
  <c r="AP81" i="14"/>
  <c r="AP76" i="14"/>
  <c r="I72" i="7"/>
  <c r="K72" i="7" s="1"/>
  <c r="AE20" i="7" s="1"/>
  <c r="I73" i="7"/>
  <c r="K73" i="7" s="1"/>
  <c r="AE21" i="7" s="1"/>
  <c r="I74" i="7"/>
  <c r="K74" i="7" s="1"/>
  <c r="AE22" i="7" s="1"/>
  <c r="I75" i="7"/>
  <c r="K75" i="7" s="1"/>
  <c r="AE23" i="7" s="1"/>
  <c r="I176" i="7"/>
  <c r="I178" i="7"/>
  <c r="I179" i="7"/>
  <c r="I20" i="7"/>
  <c r="I124" i="7"/>
  <c r="K124" i="7" s="1"/>
  <c r="AF22" i="17" s="1"/>
  <c r="I125" i="7"/>
  <c r="K125" i="7" s="1"/>
  <c r="AF23" i="17" s="1"/>
  <c r="I126" i="7"/>
  <c r="K126" i="7" s="1"/>
  <c r="AF22" i="7" s="1"/>
  <c r="I127" i="7"/>
  <c r="K127" i="7" s="1"/>
  <c r="AF25" i="17" s="1"/>
  <c r="I21" i="7"/>
  <c r="I177" i="7"/>
  <c r="AF31" i="18"/>
  <c r="E71" i="11"/>
  <c r="AF30" i="17"/>
  <c r="E70" i="11"/>
  <c r="Q18" i="7"/>
  <c r="J43" i="11" s="1"/>
  <c r="P14" i="11"/>
  <c r="F19" i="7"/>
  <c r="F179" i="7"/>
  <c r="F20" i="7"/>
  <c r="F178" i="7"/>
  <c r="F177" i="7"/>
  <c r="Q70" i="7"/>
  <c r="AP208" i="14"/>
  <c r="F174" i="7" s="1"/>
  <c r="K174" i="7" s="1"/>
  <c r="AG18" i="7" s="1"/>
  <c r="L45" i="6" s="1"/>
  <c r="L156" i="6" s="1"/>
  <c r="F22" i="7"/>
  <c r="F21" i="7"/>
  <c r="F23" i="7"/>
  <c r="F176" i="7"/>
  <c r="F18" i="7"/>
  <c r="AG41" i="7"/>
  <c r="L68" i="6" s="1"/>
  <c r="L179" i="6" s="1"/>
  <c r="Q39" i="11"/>
  <c r="AF41" i="7"/>
  <c r="Q38" i="11"/>
  <c r="AF40" i="7"/>
  <c r="P38" i="11"/>
  <c r="AG40" i="7"/>
  <c r="L67" i="6" s="1"/>
  <c r="L178" i="6" s="1"/>
  <c r="P39" i="11"/>
  <c r="AG9" i="7"/>
  <c r="L36" i="6" s="1"/>
  <c r="L147" i="6" s="1"/>
  <c r="Q202" i="7" a="1"/>
  <c r="Q202" i="7" s="1"/>
  <c r="Q203" i="7" a="1"/>
  <c r="Q203" i="7" s="1"/>
  <c r="AF18" i="17"/>
  <c r="AF16" i="7"/>
  <c r="AF27" i="17"/>
  <c r="AF25" i="7"/>
  <c r="Q144" i="7"/>
  <c r="AF37" i="7"/>
  <c r="AF19" i="17"/>
  <c r="AF17" i="7"/>
  <c r="AF21" i="17"/>
  <c r="AF19" i="7"/>
  <c r="AF16" i="17"/>
  <c r="AF13" i="7"/>
  <c r="AF17" i="17"/>
  <c r="AF14" i="7"/>
  <c r="AF28" i="17"/>
  <c r="AF26" i="7"/>
  <c r="AF20" i="17"/>
  <c r="AF18" i="7"/>
  <c r="AF14" i="17"/>
  <c r="AF15" i="7"/>
  <c r="AF26" i="17"/>
  <c r="AF24" i="7"/>
  <c r="AF28" i="7"/>
  <c r="AF15" i="17"/>
  <c r="AF9" i="7"/>
  <c r="AF29" i="17"/>
  <c r="AF27" i="7"/>
  <c r="AF29" i="18"/>
  <c r="AF21" i="18"/>
  <c r="AF26" i="18"/>
  <c r="AF16" i="18"/>
  <c r="AF14" i="18"/>
  <c r="AF18" i="18"/>
  <c r="AF27" i="18"/>
  <c r="Q196" i="7"/>
  <c r="AF19" i="18"/>
  <c r="AF17" i="18"/>
  <c r="AF15" i="18"/>
  <c r="AF28" i="18"/>
  <c r="V201" i="14"/>
  <c r="F166" i="7" s="1"/>
  <c r="K166" i="7" s="1"/>
  <c r="K73" i="11" s="1"/>
  <c r="L267" i="6" s="1"/>
  <c r="V213" i="15"/>
  <c r="G184" i="7" s="1"/>
  <c r="K184" i="7" s="1"/>
  <c r="AG28" i="7" s="1"/>
  <c r="L55" i="6" s="1"/>
  <c r="L166" i="6" s="1"/>
  <c r="L237" i="6" s="1"/>
  <c r="V135" i="14"/>
  <c r="V159" i="15"/>
  <c r="K65" i="7"/>
  <c r="AE13" i="7" s="1"/>
  <c r="K67" i="7"/>
  <c r="Q150" i="7"/>
  <c r="Q152" i="7"/>
  <c r="Q151" i="7"/>
  <c r="K87" i="7"/>
  <c r="AE35" i="7" s="1"/>
  <c r="K89" i="7"/>
  <c r="AE37" i="7" s="1"/>
  <c r="K96" i="7"/>
  <c r="AE44" i="7" s="1"/>
  <c r="K78" i="7"/>
  <c r="AE26" i="7" s="1"/>
  <c r="K91" i="7"/>
  <c r="AE39" i="7" s="1"/>
  <c r="K86" i="7"/>
  <c r="AE34" i="7" s="1"/>
  <c r="K103" i="7"/>
  <c r="AE51" i="7" s="1"/>
  <c r="K81" i="7"/>
  <c r="AE29" i="7" s="1"/>
  <c r="K63" i="7"/>
  <c r="M71" i="11" s="1"/>
  <c r="K61" i="7"/>
  <c r="AE9" i="7" s="1"/>
  <c r="K90" i="7"/>
  <c r="AE38" i="7" s="1"/>
  <c r="K93" i="7"/>
  <c r="Q37" i="11" s="1"/>
  <c r="K68" i="7"/>
  <c r="AE16" i="7" s="1"/>
  <c r="K98" i="7"/>
  <c r="AE46" i="7" s="1"/>
  <c r="K100" i="7"/>
  <c r="AE48" i="7" s="1"/>
  <c r="K84" i="7"/>
  <c r="AE32" i="7" s="1"/>
  <c r="K92" i="7"/>
  <c r="K88" i="7"/>
  <c r="AE36" i="7" s="1"/>
  <c r="K102" i="7"/>
  <c r="AE50" i="7" s="1"/>
  <c r="K60" i="7"/>
  <c r="AE8" i="7" s="1"/>
  <c r="K76" i="7"/>
  <c r="AE24" i="7" s="1"/>
  <c r="K97" i="7"/>
  <c r="AE45" i="7" s="1"/>
  <c r="K71" i="7"/>
  <c r="AE19" i="7" s="1"/>
  <c r="K95" i="7"/>
  <c r="AE43" i="7" s="1"/>
  <c r="K77" i="7"/>
  <c r="AE25" i="7" s="1"/>
  <c r="K64" i="7"/>
  <c r="AE12" i="7" s="1"/>
  <c r="K99" i="7"/>
  <c r="AE47" i="7" s="1"/>
  <c r="K59" i="7"/>
  <c r="K83" i="7"/>
  <c r="AE31" i="7" s="1"/>
  <c r="K94" i="7"/>
  <c r="AE42" i="7" s="1"/>
  <c r="K66" i="7"/>
  <c r="AE14" i="7" s="1"/>
  <c r="K82" i="7"/>
  <c r="AE30" i="7" s="1"/>
  <c r="K101" i="7"/>
  <c r="AE49" i="7" s="1"/>
  <c r="K79" i="7"/>
  <c r="AE27" i="7" s="1"/>
  <c r="K85" i="7"/>
  <c r="AE33" i="7" s="1"/>
  <c r="K70" i="7"/>
  <c r="AE18" i="7" s="1"/>
  <c r="K69" i="7"/>
  <c r="AE17" i="7" s="1"/>
  <c r="K58" i="7"/>
  <c r="K40" i="7"/>
  <c r="K41" i="7"/>
  <c r="I11" i="7"/>
  <c r="I12" i="7"/>
  <c r="I13" i="7"/>
  <c r="I14" i="7"/>
  <c r="I15" i="7"/>
  <c r="I16" i="7"/>
  <c r="I17" i="7"/>
  <c r="I18" i="7"/>
  <c r="I19" i="7"/>
  <c r="I22" i="7"/>
  <c r="I24" i="7"/>
  <c r="I25" i="7"/>
  <c r="I26" i="7"/>
  <c r="I28" i="7"/>
  <c r="I29" i="7"/>
  <c r="I30" i="7"/>
  <c r="I31" i="7"/>
  <c r="I32" i="7"/>
  <c r="I33" i="7"/>
  <c r="I34" i="7"/>
  <c r="I35" i="7"/>
  <c r="I36" i="7"/>
  <c r="I37" i="7"/>
  <c r="I38" i="7"/>
  <c r="I39" i="7"/>
  <c r="I42" i="7"/>
  <c r="I43" i="7"/>
  <c r="I44" i="7"/>
  <c r="I45" i="7"/>
  <c r="I46" i="7"/>
  <c r="I47" i="7"/>
  <c r="I48" i="7"/>
  <c r="I49" i="7"/>
  <c r="I50" i="7"/>
  <c r="I51" i="7"/>
  <c r="I7" i="7"/>
  <c r="I8" i="7"/>
  <c r="I9" i="7"/>
  <c r="I10" i="7"/>
  <c r="H7" i="7"/>
  <c r="C45" i="22" s="1"/>
  <c r="C84" i="22" s="1"/>
  <c r="H8" i="7"/>
  <c r="C46" i="22" s="1"/>
  <c r="C85" i="22" s="1"/>
  <c r="H9" i="7"/>
  <c r="C47" i="22" s="1"/>
  <c r="C86" i="22" s="1"/>
  <c r="H10" i="7"/>
  <c r="C48" i="22" s="1"/>
  <c r="C87" i="22" s="1"/>
  <c r="H11" i="7"/>
  <c r="C49" i="22" s="1"/>
  <c r="C88" i="22" s="1"/>
  <c r="H12" i="7"/>
  <c r="C50" i="22" s="1"/>
  <c r="C89" i="22" s="1"/>
  <c r="H13" i="7"/>
  <c r="C51" i="22" s="1"/>
  <c r="C90" i="22" s="1"/>
  <c r="H14" i="7"/>
  <c r="C52" i="22" s="1"/>
  <c r="C91" i="22" s="1"/>
  <c r="H15" i="7"/>
  <c r="C53" i="22" s="1"/>
  <c r="C92" i="22" s="1"/>
  <c r="H16" i="7"/>
  <c r="C54" i="22" s="1"/>
  <c r="C93" i="22" s="1"/>
  <c r="H17" i="7"/>
  <c r="C55" i="22" s="1"/>
  <c r="C94" i="22" s="1"/>
  <c r="H18" i="7"/>
  <c r="C56" i="22" s="1"/>
  <c r="C95" i="22" s="1"/>
  <c r="H19" i="7"/>
  <c r="C57" i="22" s="1"/>
  <c r="C96" i="22" s="1"/>
  <c r="H20" i="7"/>
  <c r="C58" i="22" s="1"/>
  <c r="C97" i="22" s="1"/>
  <c r="H21" i="7"/>
  <c r="C59" i="22" s="1"/>
  <c r="C98" i="22" s="1"/>
  <c r="H22" i="7"/>
  <c r="C60" i="22" s="1"/>
  <c r="C99" i="22" s="1"/>
  <c r="H23" i="7"/>
  <c r="C61" i="22" s="1"/>
  <c r="C100" i="22" s="1"/>
  <c r="H24" i="7"/>
  <c r="H25" i="7"/>
  <c r="H26" i="7"/>
  <c r="H27" i="7"/>
  <c r="H28" i="7"/>
  <c r="H29" i="7"/>
  <c r="H30" i="7"/>
  <c r="H31" i="7"/>
  <c r="H32" i="7"/>
  <c r="H33" i="7"/>
  <c r="H34" i="7"/>
  <c r="H35" i="7"/>
  <c r="H36" i="7"/>
  <c r="H37" i="7"/>
  <c r="H38" i="7"/>
  <c r="H39" i="7"/>
  <c r="H42" i="7"/>
  <c r="H43" i="7"/>
  <c r="H44" i="7"/>
  <c r="H45" i="7"/>
  <c r="H46" i="7"/>
  <c r="H47" i="7"/>
  <c r="H48" i="7"/>
  <c r="H49" i="7"/>
  <c r="H50" i="7"/>
  <c r="H51" i="7"/>
  <c r="C6" i="22" l="1"/>
  <c r="L254" i="6"/>
  <c r="L142" i="6"/>
  <c r="L10" i="6"/>
  <c r="L256" i="6"/>
  <c r="L207" i="6"/>
  <c r="L210" i="6"/>
  <c r="L211" i="6"/>
  <c r="L208" i="6"/>
  <c r="L212" i="6"/>
  <c r="L214" i="6"/>
  <c r="L213" i="6"/>
  <c r="L209" i="6"/>
  <c r="L243" i="6"/>
  <c r="L274" i="6" s="1"/>
  <c r="L241" i="6"/>
  <c r="L240" i="6"/>
  <c r="AH39" i="6"/>
  <c r="AH150" i="6" s="1"/>
  <c r="V39" i="6"/>
  <c r="V150" i="6" s="1"/>
  <c r="Z39" i="6"/>
  <c r="Z150" i="6" s="1"/>
  <c r="Y39" i="6"/>
  <c r="Y150" i="6" s="1"/>
  <c r="AG39" i="6"/>
  <c r="AG150" i="6" s="1"/>
  <c r="AA39" i="6"/>
  <c r="AA150" i="6" s="1"/>
  <c r="AI39" i="6"/>
  <c r="AI150" i="6" s="1"/>
  <c r="W39" i="6"/>
  <c r="W150" i="6" s="1"/>
  <c r="X39" i="6"/>
  <c r="X150" i="6" s="1"/>
  <c r="X44" i="6"/>
  <c r="X155" i="6" s="1"/>
  <c r="AI44" i="6"/>
  <c r="AI155" i="6" s="1"/>
  <c r="AH44" i="6"/>
  <c r="AH155" i="6" s="1"/>
  <c r="AA44" i="6"/>
  <c r="AA155" i="6" s="1"/>
  <c r="Z44" i="6"/>
  <c r="Z155" i="6" s="1"/>
  <c r="W44" i="6"/>
  <c r="W155" i="6" s="1"/>
  <c r="V44" i="6"/>
  <c r="V155" i="6" s="1"/>
  <c r="Y44" i="6"/>
  <c r="Y155" i="6" s="1"/>
  <c r="AG44" i="6"/>
  <c r="AG155" i="6" s="1"/>
  <c r="AH52" i="6"/>
  <c r="AH163" i="6" s="1"/>
  <c r="AH234" i="6" s="1"/>
  <c r="AG52" i="6"/>
  <c r="AG163" i="6" s="1"/>
  <c r="AG234" i="6" s="1"/>
  <c r="Y52" i="6"/>
  <c r="Y163" i="6" s="1"/>
  <c r="Y234" i="6" s="1"/>
  <c r="AA52" i="6"/>
  <c r="AA163" i="6" s="1"/>
  <c r="AA234" i="6" s="1"/>
  <c r="W52" i="6"/>
  <c r="W163" i="6" s="1"/>
  <c r="W234" i="6" s="1"/>
  <c r="AI52" i="6"/>
  <c r="AI163" i="6" s="1"/>
  <c r="AI234" i="6" s="1"/>
  <c r="X52" i="6"/>
  <c r="X163" i="6" s="1"/>
  <c r="X234" i="6" s="1"/>
  <c r="Z52" i="6"/>
  <c r="Z163" i="6" s="1"/>
  <c r="Z234" i="6" s="1"/>
  <c r="V52" i="6"/>
  <c r="V163" i="6" s="1"/>
  <c r="V234" i="6" s="1"/>
  <c r="AG43" i="6"/>
  <c r="AG154" i="6" s="1"/>
  <c r="AG232" i="6" s="1"/>
  <c r="AH43" i="6"/>
  <c r="AH154" i="6" s="1"/>
  <c r="AH232" i="6" s="1"/>
  <c r="AI43" i="6"/>
  <c r="AI154" i="6" s="1"/>
  <c r="AI232" i="6" s="1"/>
  <c r="W43" i="6"/>
  <c r="W154" i="6" s="1"/>
  <c r="W232" i="6" s="1"/>
  <c r="AA43" i="6"/>
  <c r="AA154" i="6" s="1"/>
  <c r="AA232" i="6" s="1"/>
  <c r="X43" i="6"/>
  <c r="X154" i="6" s="1"/>
  <c r="X232" i="6" s="1"/>
  <c r="Y43" i="6"/>
  <c r="Y154" i="6" s="1"/>
  <c r="Y232" i="6" s="1"/>
  <c r="V43" i="6"/>
  <c r="V154" i="6" s="1"/>
  <c r="V232" i="6" s="1"/>
  <c r="Z43" i="6"/>
  <c r="Z154" i="6" s="1"/>
  <c r="Z232" i="6" s="1"/>
  <c r="AI62" i="6"/>
  <c r="AI173" i="6" s="1"/>
  <c r="X62" i="6"/>
  <c r="X173" i="6" s="1"/>
  <c r="W62" i="6"/>
  <c r="W173" i="6" s="1"/>
  <c r="AH62" i="6"/>
  <c r="AH173" i="6" s="1"/>
  <c r="Z62" i="6"/>
  <c r="Z173" i="6" s="1"/>
  <c r="V62" i="6"/>
  <c r="V173" i="6" s="1"/>
  <c r="Y62" i="6"/>
  <c r="Y173" i="6" s="1"/>
  <c r="AA62" i="6"/>
  <c r="AA173" i="6" s="1"/>
  <c r="AG62" i="6"/>
  <c r="AG173" i="6" s="1"/>
  <c r="AH45" i="6"/>
  <c r="AH156" i="6" s="1"/>
  <c r="Z45" i="6"/>
  <c r="Z156" i="6" s="1"/>
  <c r="AI45" i="6"/>
  <c r="AI156" i="6" s="1"/>
  <c r="W45" i="6"/>
  <c r="W156" i="6" s="1"/>
  <c r="AG45" i="6"/>
  <c r="AG156" i="6" s="1"/>
  <c r="AA45" i="6"/>
  <c r="AA156" i="6" s="1"/>
  <c r="V45" i="6"/>
  <c r="V156" i="6" s="1"/>
  <c r="Y45" i="6"/>
  <c r="Y156" i="6" s="1"/>
  <c r="X45" i="6"/>
  <c r="X156" i="6" s="1"/>
  <c r="AI70" i="6"/>
  <c r="AI181" i="6" s="1"/>
  <c r="AG70" i="6"/>
  <c r="AG181" i="6" s="1"/>
  <c r="W70" i="6"/>
  <c r="W181" i="6" s="1"/>
  <c r="V70" i="6"/>
  <c r="V181" i="6" s="1"/>
  <c r="Z70" i="6"/>
  <c r="Z181" i="6" s="1"/>
  <c r="X70" i="6"/>
  <c r="X181" i="6" s="1"/>
  <c r="Y70" i="6"/>
  <c r="Y181" i="6" s="1"/>
  <c r="AH70" i="6"/>
  <c r="AH181" i="6" s="1"/>
  <c r="AA70" i="6"/>
  <c r="AA181" i="6" s="1"/>
  <c r="AH60" i="6"/>
  <c r="AH171" i="6" s="1"/>
  <c r="Z60" i="6"/>
  <c r="Z171" i="6" s="1"/>
  <c r="Y60" i="6"/>
  <c r="Y171" i="6" s="1"/>
  <c r="AG60" i="6"/>
  <c r="AG171" i="6" s="1"/>
  <c r="W60" i="6"/>
  <c r="W171" i="6" s="1"/>
  <c r="AA60" i="6"/>
  <c r="AA171" i="6" s="1"/>
  <c r="AI60" i="6"/>
  <c r="AI171" i="6" s="1"/>
  <c r="X60" i="6"/>
  <c r="X171" i="6" s="1"/>
  <c r="V60" i="6"/>
  <c r="V171" i="6" s="1"/>
  <c r="AG46" i="6"/>
  <c r="AG157" i="6" s="1"/>
  <c r="V46" i="6"/>
  <c r="V157" i="6" s="1"/>
  <c r="Z46" i="6"/>
  <c r="Z157" i="6" s="1"/>
  <c r="W46" i="6"/>
  <c r="W157" i="6" s="1"/>
  <c r="X46" i="6"/>
  <c r="X157" i="6" s="1"/>
  <c r="Y46" i="6"/>
  <c r="Y157" i="6" s="1"/>
  <c r="AH46" i="6"/>
  <c r="AH157" i="6" s="1"/>
  <c r="AA46" i="6"/>
  <c r="AA157" i="6" s="1"/>
  <c r="AI46" i="6"/>
  <c r="AI157" i="6" s="1"/>
  <c r="X65" i="6"/>
  <c r="X176" i="6" s="1"/>
  <c r="AA65" i="6"/>
  <c r="AA176" i="6" s="1"/>
  <c r="W65" i="6"/>
  <c r="W176" i="6" s="1"/>
  <c r="AI65" i="6"/>
  <c r="AI176" i="6" s="1"/>
  <c r="V65" i="6"/>
  <c r="V176" i="6" s="1"/>
  <c r="Z65" i="6"/>
  <c r="Z176" i="6" s="1"/>
  <c r="AG65" i="6"/>
  <c r="AG176" i="6" s="1"/>
  <c r="Y65" i="6"/>
  <c r="Y176" i="6" s="1"/>
  <c r="AH65" i="6"/>
  <c r="AH176" i="6" s="1"/>
  <c r="AH72" i="6"/>
  <c r="AH183" i="6" s="1"/>
  <c r="W72" i="6"/>
  <c r="W183" i="6" s="1"/>
  <c r="Z72" i="6"/>
  <c r="Z183" i="6" s="1"/>
  <c r="Y72" i="6"/>
  <c r="Y183" i="6" s="1"/>
  <c r="AG72" i="6"/>
  <c r="AG183" i="6" s="1"/>
  <c r="AA72" i="6"/>
  <c r="AA183" i="6" s="1"/>
  <c r="V72" i="6"/>
  <c r="V183" i="6" s="1"/>
  <c r="AI72" i="6"/>
  <c r="AI183" i="6" s="1"/>
  <c r="X72" i="6"/>
  <c r="X183" i="6" s="1"/>
  <c r="AI54" i="6"/>
  <c r="AI165" i="6" s="1"/>
  <c r="AI236" i="6" s="1"/>
  <c r="V54" i="6"/>
  <c r="V165" i="6" s="1"/>
  <c r="V236" i="6" s="1"/>
  <c r="AH54" i="6"/>
  <c r="AH165" i="6" s="1"/>
  <c r="AH236" i="6" s="1"/>
  <c r="AG54" i="6"/>
  <c r="AG165" i="6" s="1"/>
  <c r="AG236" i="6" s="1"/>
  <c r="Y54" i="6"/>
  <c r="Y165" i="6" s="1"/>
  <c r="Y236" i="6" s="1"/>
  <c r="X54" i="6"/>
  <c r="X165" i="6" s="1"/>
  <c r="X236" i="6" s="1"/>
  <c r="AA54" i="6"/>
  <c r="AA165" i="6" s="1"/>
  <c r="AA236" i="6" s="1"/>
  <c r="W54" i="6"/>
  <c r="W165" i="6" s="1"/>
  <c r="W236" i="6" s="1"/>
  <c r="Z54" i="6"/>
  <c r="Z165" i="6" s="1"/>
  <c r="Z236" i="6" s="1"/>
  <c r="AH36" i="6"/>
  <c r="AH147" i="6" s="1"/>
  <c r="Z36" i="6"/>
  <c r="Z147" i="6" s="1"/>
  <c r="Y36" i="6"/>
  <c r="Y147" i="6" s="1"/>
  <c r="W36" i="6"/>
  <c r="W147" i="6" s="1"/>
  <c r="V36" i="6"/>
  <c r="V147" i="6" s="1"/>
  <c r="AG36" i="6"/>
  <c r="AG147" i="6" s="1"/>
  <c r="AA36" i="6"/>
  <c r="AA147" i="6" s="1"/>
  <c r="AI36" i="6"/>
  <c r="AI147" i="6" s="1"/>
  <c r="X36" i="6"/>
  <c r="X147" i="6" s="1"/>
  <c r="AH76" i="6"/>
  <c r="AH187" i="6" s="1"/>
  <c r="V76" i="6"/>
  <c r="V187" i="6" s="1"/>
  <c r="Z76" i="6"/>
  <c r="Z187" i="6" s="1"/>
  <c r="AG76" i="6"/>
  <c r="AG187" i="6" s="1"/>
  <c r="Y76" i="6"/>
  <c r="Y187" i="6" s="1"/>
  <c r="X76" i="6"/>
  <c r="X187" i="6" s="1"/>
  <c r="AA76" i="6"/>
  <c r="AA187" i="6" s="1"/>
  <c r="W76" i="6"/>
  <c r="W187" i="6" s="1"/>
  <c r="AI76" i="6"/>
  <c r="AI187" i="6" s="1"/>
  <c r="AH51" i="6"/>
  <c r="AH162" i="6" s="1"/>
  <c r="AH233" i="6" s="1"/>
  <c r="V51" i="6"/>
  <c r="V162" i="6" s="1"/>
  <c r="V233" i="6" s="1"/>
  <c r="Z51" i="6"/>
  <c r="Z162" i="6" s="1"/>
  <c r="Z233" i="6" s="1"/>
  <c r="Y51" i="6"/>
  <c r="Y162" i="6" s="1"/>
  <c r="Y233" i="6" s="1"/>
  <c r="AG51" i="6"/>
  <c r="AG162" i="6" s="1"/>
  <c r="AG233" i="6" s="1"/>
  <c r="AA51" i="6"/>
  <c r="AA162" i="6" s="1"/>
  <c r="AA233" i="6" s="1"/>
  <c r="AI51" i="6"/>
  <c r="AI162" i="6" s="1"/>
  <c r="AI233" i="6" s="1"/>
  <c r="X51" i="6"/>
  <c r="X162" i="6" s="1"/>
  <c r="X233" i="6" s="1"/>
  <c r="W51" i="6"/>
  <c r="W162" i="6" s="1"/>
  <c r="W233" i="6" s="1"/>
  <c r="AA269" i="6"/>
  <c r="AG269" i="6"/>
  <c r="AI269" i="6"/>
  <c r="X269" i="6"/>
  <c r="W269" i="6"/>
  <c r="Y269" i="6"/>
  <c r="Z269" i="6"/>
  <c r="V269" i="6"/>
  <c r="AH269" i="6"/>
  <c r="AI50" i="6"/>
  <c r="AI161" i="6" s="1"/>
  <c r="X50" i="6"/>
  <c r="X161" i="6" s="1"/>
  <c r="W50" i="6"/>
  <c r="W161" i="6" s="1"/>
  <c r="V50" i="6"/>
  <c r="V161" i="6" s="1"/>
  <c r="AH50" i="6"/>
  <c r="AH161" i="6" s="1"/>
  <c r="Z50" i="6"/>
  <c r="Z161" i="6" s="1"/>
  <c r="Y50" i="6"/>
  <c r="Y161" i="6" s="1"/>
  <c r="AA50" i="6"/>
  <c r="AA161" i="6" s="1"/>
  <c r="AG50" i="6"/>
  <c r="AG161" i="6" s="1"/>
  <c r="AH57" i="6"/>
  <c r="AH168" i="6" s="1"/>
  <c r="AA57" i="6"/>
  <c r="AA168" i="6" s="1"/>
  <c r="V57" i="6"/>
  <c r="V168" i="6" s="1"/>
  <c r="W57" i="6"/>
  <c r="W168" i="6" s="1"/>
  <c r="AI57" i="6"/>
  <c r="AI168" i="6" s="1"/>
  <c r="Z57" i="6"/>
  <c r="Z168" i="6" s="1"/>
  <c r="X57" i="6"/>
  <c r="X168" i="6" s="1"/>
  <c r="Y57" i="6"/>
  <c r="Y168" i="6" s="1"/>
  <c r="AG57" i="6"/>
  <c r="AG168" i="6" s="1"/>
  <c r="AH35" i="6"/>
  <c r="AH146" i="6" s="1"/>
  <c r="Z35" i="6"/>
  <c r="Z146" i="6" s="1"/>
  <c r="AI35" i="6"/>
  <c r="AI146" i="6" s="1"/>
  <c r="Y35" i="6"/>
  <c r="Y146" i="6" s="1"/>
  <c r="X35" i="6"/>
  <c r="X146" i="6" s="1"/>
  <c r="V35" i="6"/>
  <c r="V146" i="6" s="1"/>
  <c r="AA35" i="6"/>
  <c r="AA146" i="6" s="1"/>
  <c r="AG35" i="6"/>
  <c r="AG146" i="6" s="1"/>
  <c r="W35" i="6"/>
  <c r="W146" i="6" s="1"/>
  <c r="AA56" i="6"/>
  <c r="AA167" i="6" s="1"/>
  <c r="V56" i="6"/>
  <c r="V167" i="6" s="1"/>
  <c r="AI56" i="6"/>
  <c r="AI167" i="6" s="1"/>
  <c r="AG56" i="6"/>
  <c r="AG167" i="6" s="1"/>
  <c r="AH56" i="6"/>
  <c r="AH167" i="6" s="1"/>
  <c r="Z56" i="6"/>
  <c r="Z167" i="6" s="1"/>
  <c r="W56" i="6"/>
  <c r="W167" i="6" s="1"/>
  <c r="X56" i="6"/>
  <c r="X167" i="6" s="1"/>
  <c r="Y56" i="6"/>
  <c r="Y167" i="6" s="1"/>
  <c r="AG49" i="6"/>
  <c r="AG160" i="6" s="1"/>
  <c r="AA49" i="6"/>
  <c r="AA160" i="6" s="1"/>
  <c r="X49" i="6"/>
  <c r="X160" i="6" s="1"/>
  <c r="AI49" i="6"/>
  <c r="AI160" i="6" s="1"/>
  <c r="W49" i="6"/>
  <c r="W160" i="6" s="1"/>
  <c r="V49" i="6"/>
  <c r="V160" i="6" s="1"/>
  <c r="AH49" i="6"/>
  <c r="AH160" i="6" s="1"/>
  <c r="Y49" i="6"/>
  <c r="Y160" i="6" s="1"/>
  <c r="Z49" i="6"/>
  <c r="Z160" i="6" s="1"/>
  <c r="Z73" i="6"/>
  <c r="Z184" i="6" s="1"/>
  <c r="AH73" i="6"/>
  <c r="AH184" i="6" s="1"/>
  <c r="Y73" i="6"/>
  <c r="Y184" i="6" s="1"/>
  <c r="AG73" i="6"/>
  <c r="AG184" i="6" s="1"/>
  <c r="AA73" i="6"/>
  <c r="AA184" i="6" s="1"/>
  <c r="X73" i="6"/>
  <c r="X184" i="6" s="1"/>
  <c r="AI73" i="6"/>
  <c r="AI184" i="6" s="1"/>
  <c r="W73" i="6"/>
  <c r="W184" i="6" s="1"/>
  <c r="V73" i="6"/>
  <c r="V184" i="6" s="1"/>
  <c r="X77" i="6"/>
  <c r="X188" i="6" s="1"/>
  <c r="AA77" i="6"/>
  <c r="AA188" i="6" s="1"/>
  <c r="W77" i="6"/>
  <c r="W188" i="6" s="1"/>
  <c r="AI77" i="6"/>
  <c r="AI188" i="6" s="1"/>
  <c r="Z77" i="6"/>
  <c r="Z188" i="6" s="1"/>
  <c r="V77" i="6"/>
  <c r="V188" i="6" s="1"/>
  <c r="AG77" i="6"/>
  <c r="AG188" i="6" s="1"/>
  <c r="Y77" i="6"/>
  <c r="Y188" i="6" s="1"/>
  <c r="AH77" i="6"/>
  <c r="AH188" i="6" s="1"/>
  <c r="Z78" i="6"/>
  <c r="Z189" i="6" s="1"/>
  <c r="AI78" i="6"/>
  <c r="AI189" i="6" s="1"/>
  <c r="V78" i="6"/>
  <c r="V189" i="6" s="1"/>
  <c r="W78" i="6"/>
  <c r="W189" i="6" s="1"/>
  <c r="Y78" i="6"/>
  <c r="Y189" i="6" s="1"/>
  <c r="AH78" i="6"/>
  <c r="AH189" i="6" s="1"/>
  <c r="AG78" i="6"/>
  <c r="AG189" i="6" s="1"/>
  <c r="X78" i="6"/>
  <c r="X189" i="6" s="1"/>
  <c r="AA78" i="6"/>
  <c r="AA189" i="6" s="1"/>
  <c r="AH48" i="6"/>
  <c r="AH159" i="6" s="1"/>
  <c r="X48" i="6"/>
  <c r="X159" i="6" s="1"/>
  <c r="Z48" i="6"/>
  <c r="Z159" i="6" s="1"/>
  <c r="Y48" i="6"/>
  <c r="Y159" i="6" s="1"/>
  <c r="AG48" i="6"/>
  <c r="AG159" i="6" s="1"/>
  <c r="V48" i="6"/>
  <c r="V159" i="6" s="1"/>
  <c r="AA48" i="6"/>
  <c r="AA159" i="6" s="1"/>
  <c r="AI48" i="6"/>
  <c r="AI159" i="6" s="1"/>
  <c r="W48" i="6"/>
  <c r="W159" i="6" s="1"/>
  <c r="X63" i="6"/>
  <c r="X174" i="6" s="1"/>
  <c r="AH63" i="6"/>
  <c r="AH174" i="6" s="1"/>
  <c r="V63" i="6"/>
  <c r="V174" i="6" s="1"/>
  <c r="Z63" i="6"/>
  <c r="Z174" i="6" s="1"/>
  <c r="Y63" i="6"/>
  <c r="Y174" i="6" s="1"/>
  <c r="AG63" i="6"/>
  <c r="AG174" i="6" s="1"/>
  <c r="AA63" i="6"/>
  <c r="AA174" i="6" s="1"/>
  <c r="AI63" i="6"/>
  <c r="AI174" i="6" s="1"/>
  <c r="W63" i="6"/>
  <c r="W174" i="6" s="1"/>
  <c r="AH61" i="6"/>
  <c r="AH172" i="6" s="1"/>
  <c r="Y61" i="6"/>
  <c r="Y172" i="6" s="1"/>
  <c r="AG61" i="6"/>
  <c r="AG172" i="6" s="1"/>
  <c r="AA61" i="6"/>
  <c r="AA172" i="6" s="1"/>
  <c r="X61" i="6"/>
  <c r="X172" i="6" s="1"/>
  <c r="AI61" i="6"/>
  <c r="AI172" i="6" s="1"/>
  <c r="W61" i="6"/>
  <c r="W172" i="6" s="1"/>
  <c r="Z61" i="6"/>
  <c r="Z172" i="6" s="1"/>
  <c r="V61" i="6"/>
  <c r="V172" i="6" s="1"/>
  <c r="AH47" i="6"/>
  <c r="AH158" i="6" s="1"/>
  <c r="AG47" i="6"/>
  <c r="AG158" i="6" s="1"/>
  <c r="Y47" i="6"/>
  <c r="Y158" i="6" s="1"/>
  <c r="AI47" i="6"/>
  <c r="AI158" i="6" s="1"/>
  <c r="AA47" i="6"/>
  <c r="AA158" i="6" s="1"/>
  <c r="W47" i="6"/>
  <c r="W158" i="6" s="1"/>
  <c r="Z47" i="6"/>
  <c r="Z158" i="6" s="1"/>
  <c r="X47" i="6"/>
  <c r="X158" i="6" s="1"/>
  <c r="V47" i="6"/>
  <c r="V158" i="6" s="1"/>
  <c r="AH64" i="6"/>
  <c r="AH175" i="6" s="1"/>
  <c r="Z64" i="6"/>
  <c r="Z175" i="6" s="1"/>
  <c r="AI64" i="6"/>
  <c r="AI175" i="6" s="1"/>
  <c r="AG64" i="6"/>
  <c r="AG175" i="6" s="1"/>
  <c r="Y64" i="6"/>
  <c r="Y175" i="6" s="1"/>
  <c r="V64" i="6"/>
  <c r="V175" i="6" s="1"/>
  <c r="X64" i="6"/>
  <c r="X175" i="6" s="1"/>
  <c r="AA64" i="6"/>
  <c r="AA175" i="6" s="1"/>
  <c r="W64" i="6"/>
  <c r="W175" i="6" s="1"/>
  <c r="AI66" i="6"/>
  <c r="AI177" i="6" s="1"/>
  <c r="V66" i="6"/>
  <c r="V177" i="6" s="1"/>
  <c r="AH66" i="6"/>
  <c r="AH177" i="6" s="1"/>
  <c r="AG66" i="6"/>
  <c r="AG177" i="6" s="1"/>
  <c r="Y66" i="6"/>
  <c r="Y177" i="6" s="1"/>
  <c r="Z66" i="6"/>
  <c r="Z177" i="6" s="1"/>
  <c r="X66" i="6"/>
  <c r="X177" i="6" s="1"/>
  <c r="AA66" i="6"/>
  <c r="AA177" i="6" s="1"/>
  <c r="W66" i="6"/>
  <c r="W177" i="6" s="1"/>
  <c r="X69" i="6"/>
  <c r="X180" i="6" s="1"/>
  <c r="W69" i="6"/>
  <c r="W180" i="6" s="1"/>
  <c r="Y69" i="6"/>
  <c r="Y180" i="6" s="1"/>
  <c r="AH69" i="6"/>
  <c r="AH180" i="6" s="1"/>
  <c r="AA69" i="6"/>
  <c r="AA180" i="6" s="1"/>
  <c r="AI69" i="6"/>
  <c r="AI180" i="6" s="1"/>
  <c r="AG69" i="6"/>
  <c r="AG180" i="6" s="1"/>
  <c r="V69" i="6"/>
  <c r="V180" i="6" s="1"/>
  <c r="Z69" i="6"/>
  <c r="Z180" i="6" s="1"/>
  <c r="AI58" i="6"/>
  <c r="AI169" i="6" s="1"/>
  <c r="AG58" i="6"/>
  <c r="AG169" i="6" s="1"/>
  <c r="Z58" i="6"/>
  <c r="Z169" i="6" s="1"/>
  <c r="W58" i="6"/>
  <c r="W169" i="6" s="1"/>
  <c r="X58" i="6"/>
  <c r="X169" i="6" s="1"/>
  <c r="Y58" i="6"/>
  <c r="Y169" i="6" s="1"/>
  <c r="AH58" i="6"/>
  <c r="AH169" i="6" s="1"/>
  <c r="V58" i="6"/>
  <c r="V169" i="6" s="1"/>
  <c r="AA58" i="6"/>
  <c r="AA169" i="6" s="1"/>
  <c r="AH59" i="6"/>
  <c r="AH170" i="6" s="1"/>
  <c r="V59" i="6"/>
  <c r="V170" i="6" s="1"/>
  <c r="Z59" i="6"/>
  <c r="Z170" i="6" s="1"/>
  <c r="AA59" i="6"/>
  <c r="AA170" i="6" s="1"/>
  <c r="AI59" i="6"/>
  <c r="AI170" i="6" s="1"/>
  <c r="AG59" i="6"/>
  <c r="AG170" i="6" s="1"/>
  <c r="X59" i="6"/>
  <c r="X170" i="6" s="1"/>
  <c r="W59" i="6"/>
  <c r="W170" i="6" s="1"/>
  <c r="Y59" i="6"/>
  <c r="Y170" i="6" s="1"/>
  <c r="AA53" i="6"/>
  <c r="AA164" i="6" s="1"/>
  <c r="AA235" i="6" s="1"/>
  <c r="W53" i="6"/>
  <c r="W164" i="6" s="1"/>
  <c r="W235" i="6" s="1"/>
  <c r="AI53" i="6"/>
  <c r="AI164" i="6" s="1"/>
  <c r="AI235" i="6" s="1"/>
  <c r="Z53" i="6"/>
  <c r="Z164" i="6" s="1"/>
  <c r="Z235" i="6" s="1"/>
  <c r="V53" i="6"/>
  <c r="V164" i="6" s="1"/>
  <c r="V235" i="6" s="1"/>
  <c r="AG53" i="6"/>
  <c r="AG164" i="6" s="1"/>
  <c r="AG235" i="6" s="1"/>
  <c r="Y53" i="6"/>
  <c r="Y164" i="6" s="1"/>
  <c r="Y235" i="6" s="1"/>
  <c r="X53" i="6"/>
  <c r="X164" i="6" s="1"/>
  <c r="X235" i="6" s="1"/>
  <c r="AH53" i="6"/>
  <c r="AH164" i="6" s="1"/>
  <c r="AH235" i="6" s="1"/>
  <c r="AG74" i="6"/>
  <c r="AG185" i="6" s="1"/>
  <c r="AI74" i="6"/>
  <c r="AI185" i="6" s="1"/>
  <c r="X74" i="6"/>
  <c r="X185" i="6" s="1"/>
  <c r="W74" i="6"/>
  <c r="W185" i="6" s="1"/>
  <c r="AH74" i="6"/>
  <c r="AH185" i="6" s="1"/>
  <c r="Z74" i="6"/>
  <c r="Z185" i="6" s="1"/>
  <c r="V74" i="6"/>
  <c r="V185" i="6" s="1"/>
  <c r="AA74" i="6"/>
  <c r="AA185" i="6" s="1"/>
  <c r="Y74" i="6"/>
  <c r="Y185" i="6" s="1"/>
  <c r="W75" i="6"/>
  <c r="W186" i="6" s="1"/>
  <c r="X75" i="6"/>
  <c r="X186" i="6" s="1"/>
  <c r="AH75" i="6"/>
  <c r="AH186" i="6" s="1"/>
  <c r="V75" i="6"/>
  <c r="V186" i="6" s="1"/>
  <c r="Z75" i="6"/>
  <c r="Z186" i="6" s="1"/>
  <c r="Y75" i="6"/>
  <c r="Y186" i="6" s="1"/>
  <c r="AG75" i="6"/>
  <c r="AG186" i="6" s="1"/>
  <c r="AA75" i="6"/>
  <c r="AA186" i="6" s="1"/>
  <c r="AI75" i="6"/>
  <c r="AI186" i="6" s="1"/>
  <c r="AH71" i="6"/>
  <c r="AH182" i="6" s="1"/>
  <c r="AG71" i="6"/>
  <c r="AG182" i="6" s="1"/>
  <c r="Z71" i="6"/>
  <c r="Z182" i="6" s="1"/>
  <c r="W71" i="6"/>
  <c r="W182" i="6" s="1"/>
  <c r="V71" i="6"/>
  <c r="V182" i="6" s="1"/>
  <c r="Y71" i="6"/>
  <c r="Y182" i="6" s="1"/>
  <c r="AI71" i="6"/>
  <c r="AI182" i="6" s="1"/>
  <c r="X71" i="6"/>
  <c r="X182" i="6" s="1"/>
  <c r="AA71" i="6"/>
  <c r="AA182" i="6" s="1"/>
  <c r="P260" i="6"/>
  <c r="P262" i="6" s="1"/>
  <c r="P284" i="6" s="1"/>
  <c r="P257" i="6"/>
  <c r="P259" i="6" s="1"/>
  <c r="P261" i="6"/>
  <c r="Q260" i="6"/>
  <c r="Q262" i="6" s="1"/>
  <c r="Q284" i="6" s="1"/>
  <c r="Q257" i="6"/>
  <c r="Q259" i="6" s="1"/>
  <c r="Q261" i="6"/>
  <c r="AH40" i="6"/>
  <c r="AH151" i="6" s="1"/>
  <c r="AI40" i="6"/>
  <c r="AI151" i="6" s="1"/>
  <c r="AH41" i="6"/>
  <c r="AH152" i="6" s="1"/>
  <c r="AI41" i="6"/>
  <c r="AI152" i="6" s="1"/>
  <c r="AA40" i="6"/>
  <c r="AA151" i="6" s="1"/>
  <c r="AG40" i="6"/>
  <c r="AG151" i="6" s="1"/>
  <c r="AA41" i="6"/>
  <c r="AA152" i="6" s="1"/>
  <c r="AG41" i="6"/>
  <c r="AG152" i="6" s="1"/>
  <c r="Y40" i="6"/>
  <c r="Y151" i="6" s="1"/>
  <c r="Z40" i="6"/>
  <c r="Z151" i="6" s="1"/>
  <c r="Y41" i="6"/>
  <c r="Y152" i="6" s="1"/>
  <c r="Z41" i="6"/>
  <c r="Z152" i="6" s="1"/>
  <c r="X40" i="6"/>
  <c r="X151" i="6" s="1"/>
  <c r="X41" i="6"/>
  <c r="X152" i="6" s="1"/>
  <c r="V40" i="6"/>
  <c r="V151" i="6" s="1"/>
  <c r="W40" i="6"/>
  <c r="W151" i="6" s="1"/>
  <c r="V41" i="6"/>
  <c r="V152" i="6" s="1"/>
  <c r="W41" i="6"/>
  <c r="W152" i="6" s="1"/>
  <c r="AE7" i="7"/>
  <c r="N71" i="11"/>
  <c r="AE6" i="7"/>
  <c r="L71" i="11"/>
  <c r="E69" i="11"/>
  <c r="P37" i="11"/>
  <c r="K179" i="7"/>
  <c r="AG23" i="7" s="1"/>
  <c r="L50" i="6" s="1"/>
  <c r="L161" i="6" s="1"/>
  <c r="K178" i="7"/>
  <c r="AG22" i="7" s="1"/>
  <c r="L49" i="6" s="1"/>
  <c r="L160" i="6" s="1"/>
  <c r="AF20" i="18"/>
  <c r="K177" i="7"/>
  <c r="AG21" i="7" s="1"/>
  <c r="L48" i="6" s="1"/>
  <c r="L159" i="6" s="1"/>
  <c r="K176" i="7"/>
  <c r="AG20" i="7" s="1"/>
  <c r="L47" i="6" s="1"/>
  <c r="L158" i="6" s="1"/>
  <c r="AF20" i="7"/>
  <c r="AF24" i="17"/>
  <c r="AF23" i="7"/>
  <c r="AF21" i="7"/>
  <c r="AF31" i="16"/>
  <c r="AF31" i="1"/>
  <c r="E68" i="11"/>
  <c r="AF30" i="18"/>
  <c r="AE41" i="7"/>
  <c r="AE40" i="7"/>
  <c r="AD41" i="7"/>
  <c r="Q36" i="11"/>
  <c r="AD40" i="7"/>
  <c r="P36" i="11"/>
  <c r="AE15" i="7"/>
  <c r="AE11" i="7"/>
  <c r="Q99" i="7"/>
  <c r="Q9" i="11" s="1"/>
  <c r="AG10" i="7"/>
  <c r="L37" i="6" s="1"/>
  <c r="L148" i="6" s="1"/>
  <c r="AF11" i="18"/>
  <c r="R11" i="11"/>
  <c r="AF11" i="17"/>
  <c r="R10" i="11"/>
  <c r="AF12" i="18"/>
  <c r="Q11" i="11"/>
  <c r="AF12" i="17"/>
  <c r="Q10" i="11"/>
  <c r="AF13" i="17"/>
  <c r="P10" i="11"/>
  <c r="AF24" i="16"/>
  <c r="AF20" i="16"/>
  <c r="AF28" i="16"/>
  <c r="AF27" i="16"/>
  <c r="AF29" i="16"/>
  <c r="AF18" i="16"/>
  <c r="Q92" i="7"/>
  <c r="AF17" i="16"/>
  <c r="AF15" i="16"/>
  <c r="AF21" i="16"/>
  <c r="AF25" i="16"/>
  <c r="AF26" i="16"/>
  <c r="AF23" i="16"/>
  <c r="AF22" i="16"/>
  <c r="AF19" i="16"/>
  <c r="AF16" i="16"/>
  <c r="V105" i="15"/>
  <c r="G80" i="7" s="1"/>
  <c r="K80" i="7" s="1"/>
  <c r="AE28" i="7" s="1"/>
  <c r="V69" i="14" a="1"/>
  <c r="V69" i="14" s="1"/>
  <c r="AF14" i="16"/>
  <c r="Y243" i="14"/>
  <c r="AN243" i="14"/>
  <c r="F162" i="7" s="1"/>
  <c r="K162" i="7" s="1"/>
  <c r="AN177" i="14"/>
  <c r="Y177" i="14"/>
  <c r="Q98" i="7"/>
  <c r="R9" i="11" s="1"/>
  <c r="A2" i="11"/>
  <c r="D822" i="3"/>
  <c r="E822" i="3"/>
  <c r="F822" i="3"/>
  <c r="G822" i="3"/>
  <c r="H822" i="3"/>
  <c r="I822" i="3"/>
  <c r="J822" i="3"/>
  <c r="K822" i="3"/>
  <c r="L822" i="3"/>
  <c r="M822" i="3"/>
  <c r="N822" i="3"/>
  <c r="O822" i="3"/>
  <c r="P822" i="3"/>
  <c r="Q822" i="3"/>
  <c r="C822" i="3"/>
  <c r="D568" i="3"/>
  <c r="E568" i="3"/>
  <c r="F568" i="3"/>
  <c r="G568" i="3"/>
  <c r="H568" i="3"/>
  <c r="I568" i="3"/>
  <c r="J568" i="3"/>
  <c r="K568" i="3"/>
  <c r="L568" i="3"/>
  <c r="M568" i="3"/>
  <c r="N568" i="3"/>
  <c r="O568" i="3"/>
  <c r="P568" i="3"/>
  <c r="Q568" i="3"/>
  <c r="C568" i="3"/>
  <c r="D315" i="3"/>
  <c r="E315" i="3"/>
  <c r="F315" i="3"/>
  <c r="G315" i="3"/>
  <c r="H315" i="3"/>
  <c r="I315" i="3"/>
  <c r="J315" i="3"/>
  <c r="K315" i="3"/>
  <c r="L315" i="3"/>
  <c r="M315" i="3"/>
  <c r="N315" i="3"/>
  <c r="O315" i="3"/>
  <c r="P315" i="3"/>
  <c r="Q315" i="3"/>
  <c r="C315" i="3"/>
  <c r="D291" i="3"/>
  <c r="E291" i="3"/>
  <c r="F291" i="3"/>
  <c r="G291" i="3"/>
  <c r="H291" i="3"/>
  <c r="I291" i="3"/>
  <c r="J291" i="3"/>
  <c r="K291" i="3"/>
  <c r="L291" i="3"/>
  <c r="M291" i="3"/>
  <c r="N291" i="3"/>
  <c r="O291" i="3"/>
  <c r="P291" i="3"/>
  <c r="Q291" i="3"/>
  <c r="C291" i="3"/>
  <c r="D164" i="3"/>
  <c r="E164" i="3"/>
  <c r="F164" i="3"/>
  <c r="G164" i="3"/>
  <c r="H164" i="3"/>
  <c r="I164" i="3"/>
  <c r="J164" i="3"/>
  <c r="K164" i="3"/>
  <c r="L164" i="3"/>
  <c r="M164" i="3"/>
  <c r="N164" i="3"/>
  <c r="O164" i="3"/>
  <c r="P164" i="3"/>
  <c r="Q164" i="3"/>
  <c r="C164" i="3"/>
  <c r="L242" i="6" l="1"/>
  <c r="L244" i="6"/>
  <c r="L257" i="6"/>
  <c r="L259" i="6" s="1"/>
  <c r="L260" i="6"/>
  <c r="L262" i="6" s="1"/>
  <c r="L284" i="6" s="1"/>
  <c r="L261" i="6"/>
  <c r="AH208" i="6"/>
  <c r="AH214" i="6"/>
  <c r="Z34" i="6"/>
  <c r="Z145" i="6" s="1"/>
  <c r="W34" i="6"/>
  <c r="W145" i="6" s="1"/>
  <c r="X34" i="6"/>
  <c r="X145" i="6" s="1"/>
  <c r="V34" i="6"/>
  <c r="V145" i="6" s="1"/>
  <c r="Y34" i="6"/>
  <c r="Y145" i="6" s="1"/>
  <c r="AH34" i="6"/>
  <c r="AH145" i="6" s="1"/>
  <c r="AA34" i="6"/>
  <c r="AA145" i="6" s="1"/>
  <c r="AI34" i="6"/>
  <c r="AI145" i="6" s="1"/>
  <c r="AG34" i="6"/>
  <c r="AG145" i="6" s="1"/>
  <c r="AH42" i="6"/>
  <c r="AH153" i="6" s="1"/>
  <c r="AG42" i="6"/>
  <c r="AG153" i="6" s="1"/>
  <c r="Y42" i="6"/>
  <c r="Y153" i="6" s="1"/>
  <c r="X42" i="6"/>
  <c r="X153" i="6" s="1"/>
  <c r="AA42" i="6"/>
  <c r="AA153" i="6" s="1"/>
  <c r="V42" i="6"/>
  <c r="V153" i="6" s="1"/>
  <c r="W42" i="6"/>
  <c r="W153" i="6" s="1"/>
  <c r="Z42" i="6"/>
  <c r="Z153" i="6" s="1"/>
  <c r="AI42" i="6"/>
  <c r="AI153" i="6" s="1"/>
  <c r="W249" i="6"/>
  <c r="W276" i="6"/>
  <c r="W238" i="6"/>
  <c r="W239" i="6"/>
  <c r="W242" i="6"/>
  <c r="W240" i="6"/>
  <c r="W241" i="6"/>
  <c r="X213" i="6"/>
  <c r="X207" i="6"/>
  <c r="X214" i="6"/>
  <c r="X212" i="6"/>
  <c r="X209" i="6"/>
  <c r="X211" i="6"/>
  <c r="X208" i="6"/>
  <c r="X210" i="6"/>
  <c r="X143" i="6"/>
  <c r="AA276" i="6"/>
  <c r="AA249" i="6"/>
  <c r="AI240" i="6"/>
  <c r="AI242" i="6"/>
  <c r="AI239" i="6"/>
  <c r="AI274" i="6" s="1"/>
  <c r="AI241" i="6"/>
  <c r="AI238" i="6"/>
  <c r="AI214" i="6"/>
  <c r="AI213" i="6"/>
  <c r="AI212" i="6"/>
  <c r="AI208" i="6"/>
  <c r="AI211" i="6"/>
  <c r="AI210" i="6"/>
  <c r="AI209" i="6"/>
  <c r="AI207" i="6"/>
  <c r="W143" i="6"/>
  <c r="W270" i="6"/>
  <c r="X270" i="6"/>
  <c r="AH270" i="6"/>
  <c r="V270" i="6"/>
  <c r="Z270" i="6"/>
  <c r="Y270" i="6"/>
  <c r="AG270" i="6"/>
  <c r="AA270" i="6"/>
  <c r="AI270" i="6"/>
  <c r="AH67" i="6"/>
  <c r="AH178" i="6" s="1"/>
  <c r="AG67" i="6"/>
  <c r="AG178" i="6" s="1"/>
  <c r="AA67" i="6"/>
  <c r="AA178" i="6" s="1"/>
  <c r="V67" i="6"/>
  <c r="V178" i="6" s="1"/>
  <c r="X67" i="6"/>
  <c r="X178" i="6" s="1"/>
  <c r="Y67" i="6"/>
  <c r="Y178" i="6" s="1"/>
  <c r="AI67" i="6"/>
  <c r="AI178" i="6" s="1"/>
  <c r="Z67" i="6"/>
  <c r="Z178" i="6" s="1"/>
  <c r="W67" i="6"/>
  <c r="W178" i="6" s="1"/>
  <c r="X249" i="6"/>
  <c r="X276" i="6"/>
  <c r="AA239" i="6"/>
  <c r="AA240" i="6"/>
  <c r="AA238" i="6"/>
  <c r="AA242" i="6"/>
  <c r="AA241" i="6"/>
  <c r="AA209" i="6"/>
  <c r="AA211" i="6"/>
  <c r="AA207" i="6"/>
  <c r="AA210" i="6"/>
  <c r="AA214" i="6"/>
  <c r="AA208" i="6"/>
  <c r="AA213" i="6"/>
  <c r="AA212" i="6"/>
  <c r="AI143" i="6"/>
  <c r="AH55" i="6"/>
  <c r="AH166" i="6" s="1"/>
  <c r="AH237" i="6" s="1"/>
  <c r="AH244" i="6" s="1"/>
  <c r="AG55" i="6"/>
  <c r="AG166" i="6" s="1"/>
  <c r="AG237" i="6" s="1"/>
  <c r="AG244" i="6" s="1"/>
  <c r="AI55" i="6"/>
  <c r="AI166" i="6" s="1"/>
  <c r="AI237" i="6" s="1"/>
  <c r="AI244" i="6" s="1"/>
  <c r="Y55" i="6"/>
  <c r="Y166" i="6" s="1"/>
  <c r="Y237" i="6" s="1"/>
  <c r="Y244" i="6" s="1"/>
  <c r="V55" i="6"/>
  <c r="V166" i="6" s="1"/>
  <c r="V237" i="6" s="1"/>
  <c r="V244" i="6" s="1"/>
  <c r="X55" i="6"/>
  <c r="X166" i="6" s="1"/>
  <c r="X237" i="6" s="1"/>
  <c r="X243" i="6" s="1"/>
  <c r="X274" i="6" s="1"/>
  <c r="Z55" i="6"/>
  <c r="Z166" i="6" s="1"/>
  <c r="Z237" i="6" s="1"/>
  <c r="Z244" i="6" s="1"/>
  <c r="W55" i="6"/>
  <c r="W166" i="6" s="1"/>
  <c r="W237" i="6" s="1"/>
  <c r="W244" i="6" s="1"/>
  <c r="AA55" i="6"/>
  <c r="AA166" i="6" s="1"/>
  <c r="AA237" i="6" s="1"/>
  <c r="AA243" i="6" s="1"/>
  <c r="AA274" i="6" s="1"/>
  <c r="X68" i="6"/>
  <c r="X179" i="6" s="1"/>
  <c r="AI68" i="6"/>
  <c r="AI179" i="6" s="1"/>
  <c r="Y68" i="6"/>
  <c r="Y179" i="6" s="1"/>
  <c r="AA68" i="6"/>
  <c r="AA179" i="6" s="1"/>
  <c r="V68" i="6"/>
  <c r="V179" i="6" s="1"/>
  <c r="AG68" i="6"/>
  <c r="AG179" i="6" s="1"/>
  <c r="AH68" i="6"/>
  <c r="AH179" i="6" s="1"/>
  <c r="Z68" i="6"/>
  <c r="Z179" i="6" s="1"/>
  <c r="W68" i="6"/>
  <c r="W179" i="6" s="1"/>
  <c r="V249" i="6"/>
  <c r="V276" i="6"/>
  <c r="V239" i="6"/>
  <c r="V238" i="6"/>
  <c r="V240" i="6"/>
  <c r="V242" i="6"/>
  <c r="V241" i="6"/>
  <c r="AG207" i="6"/>
  <c r="AG208" i="6"/>
  <c r="AG212" i="6"/>
  <c r="AG214" i="6"/>
  <c r="AG213" i="6"/>
  <c r="AG209" i="6"/>
  <c r="AG211" i="6"/>
  <c r="AG210" i="6"/>
  <c r="AH242" i="6"/>
  <c r="AA143" i="6"/>
  <c r="Y276" i="6"/>
  <c r="Y249" i="6"/>
  <c r="AG239" i="6"/>
  <c r="AG274" i="6" s="1"/>
  <c r="AG238" i="6"/>
  <c r="AG240" i="6"/>
  <c r="AG241" i="6"/>
  <c r="AG242" i="6"/>
  <c r="V207" i="6"/>
  <c r="V209" i="6"/>
  <c r="V208" i="6"/>
  <c r="V214" i="6"/>
  <c r="V212" i="6"/>
  <c r="V213" i="6"/>
  <c r="V211" i="6"/>
  <c r="V210" i="6"/>
  <c r="AG143" i="6"/>
  <c r="AG249" i="6"/>
  <c r="AG276" i="6"/>
  <c r="Y239" i="6"/>
  <c r="Y242" i="6"/>
  <c r="Y240" i="6"/>
  <c r="Y241" i="6"/>
  <c r="Y238" i="6"/>
  <c r="W207" i="6"/>
  <c r="W212" i="6"/>
  <c r="W209" i="6"/>
  <c r="W214" i="6"/>
  <c r="W213" i="6"/>
  <c r="W210" i="6"/>
  <c r="W211" i="6"/>
  <c r="W208" i="6"/>
  <c r="Y143" i="6"/>
  <c r="AI249" i="6"/>
  <c r="AI276" i="6"/>
  <c r="Z240" i="6"/>
  <c r="Z242" i="6"/>
  <c r="Z241" i="6"/>
  <c r="Z239" i="6"/>
  <c r="Z238" i="6"/>
  <c r="Y213" i="6"/>
  <c r="Y212" i="6"/>
  <c r="Y210" i="6"/>
  <c r="Y211" i="6"/>
  <c r="Y207" i="6"/>
  <c r="Y208" i="6"/>
  <c r="Y209" i="6"/>
  <c r="Y214" i="6"/>
  <c r="Z143" i="6"/>
  <c r="Z268" i="6"/>
  <c r="AH268" i="6"/>
  <c r="Y268" i="6"/>
  <c r="AG268" i="6"/>
  <c r="AA268" i="6"/>
  <c r="X268" i="6"/>
  <c r="V268" i="6"/>
  <c r="AI268" i="6"/>
  <c r="W268" i="6"/>
  <c r="Z276" i="6"/>
  <c r="Z249" i="6"/>
  <c r="X241" i="6"/>
  <c r="X240" i="6"/>
  <c r="X239" i="6"/>
  <c r="X238" i="6"/>
  <c r="X242" i="6"/>
  <c r="Z212" i="6"/>
  <c r="Z214" i="6"/>
  <c r="Z210" i="6"/>
  <c r="Z209" i="6"/>
  <c r="Z213" i="6"/>
  <c r="Z211" i="6"/>
  <c r="Z208" i="6"/>
  <c r="Z207" i="6"/>
  <c r="V143" i="6"/>
  <c r="W38" i="6"/>
  <c r="W149" i="6" s="1"/>
  <c r="AH38" i="6"/>
  <c r="AH149" i="6" s="1"/>
  <c r="Z38" i="6"/>
  <c r="Z149" i="6" s="1"/>
  <c r="V38" i="6"/>
  <c r="V149" i="6" s="1"/>
  <c r="Y38" i="6"/>
  <c r="Y149" i="6" s="1"/>
  <c r="AA38" i="6"/>
  <c r="AA149" i="6" s="1"/>
  <c r="AI38" i="6"/>
  <c r="AI149" i="6" s="1"/>
  <c r="AG38" i="6"/>
  <c r="AG149" i="6" s="1"/>
  <c r="X38" i="6"/>
  <c r="X149" i="6" s="1"/>
  <c r="W33" i="6"/>
  <c r="W144" i="6" s="1"/>
  <c r="AA33" i="6"/>
  <c r="AA144" i="6" s="1"/>
  <c r="Y33" i="6"/>
  <c r="Y144" i="6" s="1"/>
  <c r="AI33" i="6"/>
  <c r="AI144" i="6" s="1"/>
  <c r="V33" i="6"/>
  <c r="V144" i="6" s="1"/>
  <c r="AG33" i="6"/>
  <c r="AG144" i="6" s="1"/>
  <c r="X33" i="6"/>
  <c r="X144" i="6" s="1"/>
  <c r="AH33" i="6"/>
  <c r="AH144" i="6" s="1"/>
  <c r="Z33" i="6"/>
  <c r="Z144" i="6" s="1"/>
  <c r="AH276" i="6"/>
  <c r="AH249" i="6"/>
  <c r="AH240" i="6"/>
  <c r="AH239" i="6"/>
  <c r="AH274" i="6" s="1"/>
  <c r="AH241" i="6"/>
  <c r="AH238" i="6"/>
  <c r="AH212" i="6"/>
  <c r="AH207" i="6"/>
  <c r="AH209" i="6"/>
  <c r="AH210" i="6"/>
  <c r="AH211" i="6"/>
  <c r="AH213" i="6"/>
  <c r="AH143" i="6"/>
  <c r="P68" i="6"/>
  <c r="P179" i="6" s="1"/>
  <c r="Q68" i="6"/>
  <c r="Q179" i="6" s="1"/>
  <c r="Q67" i="6"/>
  <c r="Q178" i="6" s="1"/>
  <c r="P67" i="6"/>
  <c r="P178" i="6" s="1"/>
  <c r="AA275" i="6"/>
  <c r="AH248" i="6"/>
  <c r="AH275" i="6"/>
  <c r="AI248" i="6"/>
  <c r="AI275" i="6"/>
  <c r="AA248" i="6"/>
  <c r="AG275" i="6"/>
  <c r="AG248" i="6"/>
  <c r="X275" i="6"/>
  <c r="Y275" i="6"/>
  <c r="Y248" i="6"/>
  <c r="Z275" i="6"/>
  <c r="Z248" i="6"/>
  <c r="X248" i="6"/>
  <c r="V275" i="6"/>
  <c r="V248" i="6"/>
  <c r="W275" i="6"/>
  <c r="W248" i="6"/>
  <c r="AG6" i="7"/>
  <c r="L33" i="6" s="1"/>
  <c r="L144" i="6" s="1"/>
  <c r="L141" i="6" s="1"/>
  <c r="L264" i="6" s="1"/>
  <c r="L265" i="6" s="1"/>
  <c r="L273" i="6" s="1"/>
  <c r="L283" i="6" s="1"/>
  <c r="L73" i="11"/>
  <c r="L268" i="6" s="1"/>
  <c r="AE32" i="6"/>
  <c r="AM32" i="6"/>
  <c r="AU32" i="6"/>
  <c r="AF32" i="6"/>
  <c r="AN32" i="6"/>
  <c r="AV32" i="6"/>
  <c r="AO32" i="6"/>
  <c r="AW32" i="6"/>
  <c r="R32" i="6"/>
  <c r="AP32" i="6"/>
  <c r="AX32" i="6"/>
  <c r="S32" i="6"/>
  <c r="AQ32" i="6"/>
  <c r="AY32" i="6"/>
  <c r="T32" i="6"/>
  <c r="AB32" i="6"/>
  <c r="AJ32" i="6"/>
  <c r="AR32" i="6"/>
  <c r="AZ32" i="6"/>
  <c r="U32" i="6"/>
  <c r="AC32" i="6"/>
  <c r="AK32" i="6"/>
  <c r="AS32" i="6"/>
  <c r="AD32" i="6"/>
  <c r="AL32" i="6"/>
  <c r="AT32" i="6"/>
  <c r="T258" i="6"/>
  <c r="AB258" i="6"/>
  <c r="AJ258" i="6"/>
  <c r="AR258" i="6"/>
  <c r="AZ258" i="6"/>
  <c r="E258" i="6"/>
  <c r="U258" i="6"/>
  <c r="AC258" i="6"/>
  <c r="AK258" i="6"/>
  <c r="AS258" i="6"/>
  <c r="AW258" i="6"/>
  <c r="AY258" i="6"/>
  <c r="AD258" i="6"/>
  <c r="AL258" i="6"/>
  <c r="AT258" i="6"/>
  <c r="AE258" i="6"/>
  <c r="AM258" i="6"/>
  <c r="AU258" i="6"/>
  <c r="AF258" i="6"/>
  <c r="AN258" i="6"/>
  <c r="AV258" i="6"/>
  <c r="AO258" i="6"/>
  <c r="R258" i="6"/>
  <c r="AP258" i="6"/>
  <c r="AX258" i="6"/>
  <c r="E32" i="6"/>
  <c r="S258" i="6"/>
  <c r="AQ258" i="6"/>
  <c r="M258" i="6"/>
  <c r="M32" i="6"/>
  <c r="AF22" i="18"/>
  <c r="O258" i="6"/>
  <c r="J258" i="6"/>
  <c r="J32" i="6"/>
  <c r="J37" i="6" s="1"/>
  <c r="J148" i="6" s="1"/>
  <c r="K258" i="6"/>
  <c r="K32" i="6"/>
  <c r="N258" i="6"/>
  <c r="O32" i="6"/>
  <c r="N32" i="6"/>
  <c r="AF25" i="18"/>
  <c r="AF24" i="18"/>
  <c r="AF23" i="18"/>
  <c r="Q204" i="7" a="1"/>
  <c r="Q204" i="7" s="1"/>
  <c r="AF13" i="18" s="1"/>
  <c r="BF258" i="6"/>
  <c r="BE258" i="6"/>
  <c r="BH258" i="6"/>
  <c r="BC32" i="6"/>
  <c r="BF32" i="6"/>
  <c r="BH32" i="6"/>
  <c r="BD32" i="6"/>
  <c r="BE32" i="6"/>
  <c r="BC258" i="6"/>
  <c r="BG32" i="6"/>
  <c r="BB258" i="6"/>
  <c r="I32" i="6"/>
  <c r="BA258" i="6"/>
  <c r="BG258" i="6"/>
  <c r="I258" i="6"/>
  <c r="BB32" i="6"/>
  <c r="BD258" i="6"/>
  <c r="BA32" i="6"/>
  <c r="B68" i="11"/>
  <c r="B69" i="11" s="1"/>
  <c r="B70" i="11" s="1"/>
  <c r="B65" i="11"/>
  <c r="B64" i="11"/>
  <c r="R61" i="11"/>
  <c r="A65" i="11" s="1"/>
  <c r="R60" i="11"/>
  <c r="A64" i="11" s="1"/>
  <c r="G32" i="6"/>
  <c r="H32" i="6"/>
  <c r="H258" i="6"/>
  <c r="B258" i="6"/>
  <c r="C258" i="6"/>
  <c r="D258" i="6"/>
  <c r="F258" i="6"/>
  <c r="G258" i="6"/>
  <c r="F32" i="6"/>
  <c r="C32" i="6"/>
  <c r="D32" i="6"/>
  <c r="B32" i="6"/>
  <c r="K1" i="11"/>
  <c r="AF11" i="16"/>
  <c r="AF30" i="16"/>
  <c r="K13" i="7"/>
  <c r="AD13" i="7" s="1"/>
  <c r="K15" i="7"/>
  <c r="Y111" i="14" a="1"/>
  <c r="Y111" i="14" s="1"/>
  <c r="AN111" i="14"/>
  <c r="K45" i="7"/>
  <c r="AD45" i="7" s="1"/>
  <c r="K34" i="7"/>
  <c r="AD34" i="7" s="1"/>
  <c r="K21" i="7"/>
  <c r="AD21" i="7" s="1"/>
  <c r="K32" i="7"/>
  <c r="AD32" i="7" s="1"/>
  <c r="K20" i="7"/>
  <c r="AD20" i="7" s="1"/>
  <c r="K7" i="7"/>
  <c r="K17" i="7"/>
  <c r="AD17" i="7" s="1"/>
  <c r="K43" i="7"/>
  <c r="AD43" i="7" s="1"/>
  <c r="K26" i="7"/>
  <c r="AD26" i="7" s="1"/>
  <c r="K51" i="7"/>
  <c r="AD51" i="7" s="1"/>
  <c r="K50" i="7"/>
  <c r="AD50" i="7" s="1"/>
  <c r="K12" i="7"/>
  <c r="AD12" i="7" s="1"/>
  <c r="K35" i="7"/>
  <c r="AD35" i="7" s="1"/>
  <c r="K11" i="7"/>
  <c r="K8" i="7"/>
  <c r="AD8" i="7" s="1"/>
  <c r="K36" i="7"/>
  <c r="AD36" i="7" s="1"/>
  <c r="K33" i="7"/>
  <c r="AD33" i="7" s="1"/>
  <c r="K25" i="7"/>
  <c r="AD25" i="7" s="1"/>
  <c r="K9" i="7"/>
  <c r="K18" i="7"/>
  <c r="AD18" i="7" s="1"/>
  <c r="K46" i="7"/>
  <c r="AD46" i="7" s="1"/>
  <c r="K47" i="7"/>
  <c r="AD47" i="7" s="1"/>
  <c r="K39" i="7"/>
  <c r="AD39" i="7" s="1"/>
  <c r="K16" i="7"/>
  <c r="AD16" i="7" s="1"/>
  <c r="K48" i="7"/>
  <c r="AD48" i="7" s="1"/>
  <c r="K29" i="7"/>
  <c r="AD29" i="7" s="1"/>
  <c r="K30" i="7"/>
  <c r="AD30" i="7" s="1"/>
  <c r="K22" i="7"/>
  <c r="AD22" i="7" s="1"/>
  <c r="K38" i="7"/>
  <c r="AD38" i="7" s="1"/>
  <c r="K14" i="7"/>
  <c r="AD14" i="7" s="1"/>
  <c r="K42" i="7"/>
  <c r="AD42" i="7" s="1"/>
  <c r="K31" i="7"/>
  <c r="AD31" i="7" s="1"/>
  <c r="K44" i="7"/>
  <c r="AD44" i="7" s="1"/>
  <c r="K24" i="7"/>
  <c r="AD24" i="7" s="1"/>
  <c r="K49" i="7"/>
  <c r="AD49" i="7" s="1"/>
  <c r="K37" i="7"/>
  <c r="AD37" i="7" s="1"/>
  <c r="K19" i="7"/>
  <c r="AD19" i="7" s="1"/>
  <c r="Y142" i="6" l="1"/>
  <c r="X142" i="6"/>
  <c r="Z142" i="6"/>
  <c r="AH142" i="6"/>
  <c r="W142" i="6"/>
  <c r="AH243" i="6"/>
  <c r="AA142" i="6"/>
  <c r="V243" i="6"/>
  <c r="V274" i="6" s="1"/>
  <c r="V142" i="6"/>
  <c r="Y254" i="6"/>
  <c r="W254" i="6"/>
  <c r="AI254" i="6"/>
  <c r="AG243" i="6"/>
  <c r="Y243" i="6"/>
  <c r="Y274" i="6" s="1"/>
  <c r="X254" i="6"/>
  <c r="AG142" i="6"/>
  <c r="AA244" i="6"/>
  <c r="AG254" i="6"/>
  <c r="Z243" i="6"/>
  <c r="Z274" i="6" s="1"/>
  <c r="AI142" i="6"/>
  <c r="V254" i="6"/>
  <c r="AA254" i="6"/>
  <c r="AI243" i="6"/>
  <c r="W243" i="6"/>
  <c r="W274" i="6" s="1"/>
  <c r="AH254" i="6"/>
  <c r="X244" i="6"/>
  <c r="Z254" i="6"/>
  <c r="P69" i="6"/>
  <c r="P180" i="6" s="1"/>
  <c r="Q69" i="6"/>
  <c r="Q180" i="6" s="1"/>
  <c r="Q44" i="6"/>
  <c r="Q155" i="6" s="1"/>
  <c r="P44" i="6"/>
  <c r="P155" i="6" s="1"/>
  <c r="Q52" i="6"/>
  <c r="Q163" i="6" s="1"/>
  <c r="Q234" i="6" s="1"/>
  <c r="P52" i="6"/>
  <c r="P163" i="6" s="1"/>
  <c r="P234" i="6" s="1"/>
  <c r="Q71" i="6"/>
  <c r="Q182" i="6" s="1"/>
  <c r="P71" i="6"/>
  <c r="P182" i="6" s="1"/>
  <c r="Q65" i="6"/>
  <c r="Q176" i="6" s="1"/>
  <c r="P65" i="6"/>
  <c r="P176" i="6" s="1"/>
  <c r="P60" i="6"/>
  <c r="P171" i="6" s="1"/>
  <c r="Q60" i="6"/>
  <c r="Q171" i="6" s="1"/>
  <c r="P47" i="6"/>
  <c r="P158" i="6" s="1"/>
  <c r="Q47" i="6"/>
  <c r="Q158" i="6" s="1"/>
  <c r="Q53" i="6"/>
  <c r="Q164" i="6" s="1"/>
  <c r="Q235" i="6" s="1"/>
  <c r="P53" i="6"/>
  <c r="P164" i="6" s="1"/>
  <c r="P235" i="6" s="1"/>
  <c r="P70" i="6"/>
  <c r="P181" i="6" s="1"/>
  <c r="Q70" i="6"/>
  <c r="Q181" i="6" s="1"/>
  <c r="Q49" i="6"/>
  <c r="Q160" i="6" s="1"/>
  <c r="P49" i="6"/>
  <c r="P160" i="6" s="1"/>
  <c r="P63" i="6"/>
  <c r="P174" i="6" s="1"/>
  <c r="Q63" i="6"/>
  <c r="Q174" i="6" s="1"/>
  <c r="P59" i="6"/>
  <c r="P170" i="6" s="1"/>
  <c r="Q59" i="6"/>
  <c r="Q170" i="6" s="1"/>
  <c r="P57" i="6"/>
  <c r="P168" i="6" s="1"/>
  <c r="Q57" i="6"/>
  <c r="Q168" i="6" s="1"/>
  <c r="P35" i="6"/>
  <c r="P146" i="6" s="1"/>
  <c r="Q35" i="6"/>
  <c r="Q146" i="6" s="1"/>
  <c r="Q48" i="6"/>
  <c r="Q159" i="6" s="1"/>
  <c r="P48" i="6"/>
  <c r="P159" i="6" s="1"/>
  <c r="P56" i="6"/>
  <c r="P167" i="6" s="1"/>
  <c r="Q56" i="6"/>
  <c r="Q167" i="6" s="1"/>
  <c r="P61" i="6"/>
  <c r="P172" i="6" s="1"/>
  <c r="Q61" i="6"/>
  <c r="Q172" i="6" s="1"/>
  <c r="P73" i="6"/>
  <c r="P184" i="6" s="1"/>
  <c r="Q73" i="6"/>
  <c r="Q184" i="6" s="1"/>
  <c r="Q45" i="6"/>
  <c r="Q156" i="6" s="1"/>
  <c r="P45" i="6"/>
  <c r="P156" i="6" s="1"/>
  <c r="P62" i="6"/>
  <c r="P173" i="6" s="1"/>
  <c r="Q62" i="6"/>
  <c r="Q173" i="6" s="1"/>
  <c r="Q72" i="6"/>
  <c r="Q183" i="6" s="1"/>
  <c r="P72" i="6"/>
  <c r="P183" i="6" s="1"/>
  <c r="P75" i="6"/>
  <c r="P186" i="6" s="1"/>
  <c r="Q75" i="6"/>
  <c r="Q186" i="6" s="1"/>
  <c r="Q64" i="6"/>
  <c r="Q175" i="6" s="1"/>
  <c r="P64" i="6"/>
  <c r="P175" i="6" s="1"/>
  <c r="P43" i="6"/>
  <c r="P154" i="6" s="1"/>
  <c r="P232" i="6" s="1"/>
  <c r="Q43" i="6"/>
  <c r="Q154" i="6" s="1"/>
  <c r="Q232" i="6" s="1"/>
  <c r="Q39" i="6"/>
  <c r="Q150" i="6" s="1"/>
  <c r="P39" i="6"/>
  <c r="P150" i="6" s="1"/>
  <c r="P58" i="6"/>
  <c r="P169" i="6" s="1"/>
  <c r="Q58" i="6"/>
  <c r="Q169" i="6" s="1"/>
  <c r="Q46" i="6"/>
  <c r="Q157" i="6" s="1"/>
  <c r="P46" i="6"/>
  <c r="P157" i="6" s="1"/>
  <c r="Q76" i="6"/>
  <c r="Q187" i="6" s="1"/>
  <c r="P76" i="6"/>
  <c r="P187" i="6" s="1"/>
  <c r="Q66" i="6"/>
  <c r="Q177" i="6" s="1"/>
  <c r="P66" i="6"/>
  <c r="P177" i="6" s="1"/>
  <c r="P77" i="6"/>
  <c r="P188" i="6" s="1"/>
  <c r="Q77" i="6"/>
  <c r="Q188" i="6" s="1"/>
  <c r="Q51" i="6"/>
  <c r="Q162" i="6" s="1"/>
  <c r="Q233" i="6" s="1"/>
  <c r="P51" i="6"/>
  <c r="P162" i="6" s="1"/>
  <c r="P233" i="6" s="1"/>
  <c r="P74" i="6"/>
  <c r="P185" i="6" s="1"/>
  <c r="Q74" i="6"/>
  <c r="Q185" i="6" s="1"/>
  <c r="Q78" i="6"/>
  <c r="Q189" i="6" s="1"/>
  <c r="P78" i="6"/>
  <c r="P189" i="6" s="1"/>
  <c r="P41" i="6"/>
  <c r="P152" i="6" s="1"/>
  <c r="Q41" i="6"/>
  <c r="Q152" i="6" s="1"/>
  <c r="P40" i="6"/>
  <c r="P151" i="6" s="1"/>
  <c r="Q40" i="6"/>
  <c r="Q151" i="6" s="1"/>
  <c r="N271" i="6"/>
  <c r="N272" i="6" s="1"/>
  <c r="AK271" i="6"/>
  <c r="AK272" i="6" s="1"/>
  <c r="AW271" i="6"/>
  <c r="AW272" i="6" s="1"/>
  <c r="B271" i="6"/>
  <c r="AM266" i="6"/>
  <c r="AY266" i="6"/>
  <c r="AX266" i="6"/>
  <c r="O271" i="6"/>
  <c r="AL271" i="6"/>
  <c r="AL272" i="6" s="1"/>
  <c r="AX271" i="6"/>
  <c r="AX272" i="6" s="1"/>
  <c r="C266" i="6"/>
  <c r="AB266" i="6"/>
  <c r="AN266" i="6"/>
  <c r="AZ266" i="6"/>
  <c r="BH271" i="6"/>
  <c r="BH272" i="6" s="1"/>
  <c r="C271" i="6"/>
  <c r="C272" i="6" s="1"/>
  <c r="AM271" i="6"/>
  <c r="AM272" i="6" s="1"/>
  <c r="AY271" i="6"/>
  <c r="AY272" i="6" s="1"/>
  <c r="D266" i="6"/>
  <c r="AC266" i="6"/>
  <c r="AO266" i="6"/>
  <c r="D271" i="6"/>
  <c r="D272" i="6" s="1"/>
  <c r="AB271" i="6"/>
  <c r="AB272" i="6" s="1"/>
  <c r="AN271" i="6"/>
  <c r="AN272" i="6" s="1"/>
  <c r="AZ271" i="6"/>
  <c r="AZ272" i="6" s="1"/>
  <c r="E266" i="6"/>
  <c r="R266" i="6"/>
  <c r="AD266" i="6"/>
  <c r="AP266" i="6"/>
  <c r="AL266" i="6"/>
  <c r="E271" i="6"/>
  <c r="E272" i="6" s="1"/>
  <c r="AC271" i="6"/>
  <c r="AC272" i="6" s="1"/>
  <c r="AO271" i="6"/>
  <c r="AO272" i="6" s="1"/>
  <c r="BA271" i="6"/>
  <c r="BA272" i="6" s="1"/>
  <c r="F266" i="6"/>
  <c r="AQ266" i="6"/>
  <c r="F271" i="6"/>
  <c r="F272" i="6" s="1"/>
  <c r="R271" i="6"/>
  <c r="R272" i="6" s="1"/>
  <c r="AD271" i="6"/>
  <c r="AD272" i="6" s="1"/>
  <c r="AP271" i="6"/>
  <c r="AP272" i="6" s="1"/>
  <c r="BB271" i="6"/>
  <c r="BB272" i="6" s="1"/>
  <c r="T266" i="6"/>
  <c r="AF266" i="6"/>
  <c r="AR266" i="6"/>
  <c r="G271" i="6"/>
  <c r="S271" i="6"/>
  <c r="AE271" i="6"/>
  <c r="AQ271" i="6"/>
  <c r="AQ272" i="6" s="1"/>
  <c r="BC271" i="6"/>
  <c r="BC272" i="6" s="1"/>
  <c r="AS266" i="6"/>
  <c r="H271" i="6"/>
  <c r="T271" i="6"/>
  <c r="T272" i="6" s="1"/>
  <c r="AF271" i="6"/>
  <c r="AF272" i="6" s="1"/>
  <c r="AR271" i="6"/>
  <c r="AR272" i="6" s="1"/>
  <c r="BD271" i="6"/>
  <c r="BD272" i="6" s="1"/>
  <c r="AT266" i="6"/>
  <c r="AJ271" i="6"/>
  <c r="AJ272" i="6" s="1"/>
  <c r="I271" i="6"/>
  <c r="U271" i="6"/>
  <c r="AS271" i="6"/>
  <c r="AS272" i="6" s="1"/>
  <c r="BE271" i="6"/>
  <c r="BE272" i="6" s="1"/>
  <c r="K266" i="6"/>
  <c r="AU266" i="6"/>
  <c r="AV271" i="6"/>
  <c r="AV272" i="6" s="1"/>
  <c r="J271" i="6"/>
  <c r="AT271" i="6"/>
  <c r="AT272" i="6" s="1"/>
  <c r="BF271" i="6"/>
  <c r="BF272" i="6" s="1"/>
  <c r="M266" i="6"/>
  <c r="AJ266" i="6"/>
  <c r="AV266" i="6"/>
  <c r="K271" i="6"/>
  <c r="K272" i="6" s="1"/>
  <c r="AU271" i="6"/>
  <c r="AU272" i="6" s="1"/>
  <c r="BG271" i="6"/>
  <c r="BG272" i="6" s="1"/>
  <c r="N266" i="6"/>
  <c r="AK266" i="6"/>
  <c r="AW266" i="6"/>
  <c r="M271" i="6"/>
  <c r="M272" i="6" s="1"/>
  <c r="C64" i="11"/>
  <c r="D64" i="11" s="1"/>
  <c r="H64" i="11"/>
  <c r="I266" i="6" s="1"/>
  <c r="C65" i="11"/>
  <c r="D65" i="11" s="1"/>
  <c r="H65" i="11"/>
  <c r="AD11" i="7"/>
  <c r="O38" i="6" s="1"/>
  <c r="O149" i="6" s="1"/>
  <c r="M70" i="11"/>
  <c r="AE269" i="6" s="1"/>
  <c r="AD7" i="7"/>
  <c r="R34" i="6" s="1"/>
  <c r="R145" i="6" s="1"/>
  <c r="N70" i="11"/>
  <c r="O270" i="6" s="1"/>
  <c r="AC270" i="6"/>
  <c r="AC267" i="6"/>
  <c r="AC268" i="6"/>
  <c r="AC269" i="6"/>
  <c r="AQ267" i="6"/>
  <c r="AQ268" i="6"/>
  <c r="AQ269" i="6"/>
  <c r="AQ270" i="6"/>
  <c r="AF269" i="6"/>
  <c r="AF270" i="6"/>
  <c r="AF268" i="6"/>
  <c r="D267" i="6"/>
  <c r="D268" i="6"/>
  <c r="D270" i="6"/>
  <c r="D269" i="6"/>
  <c r="G269" i="6"/>
  <c r="G270" i="6"/>
  <c r="G267" i="6"/>
  <c r="G268" i="6"/>
  <c r="M267" i="6"/>
  <c r="M268" i="6"/>
  <c r="M270" i="6"/>
  <c r="M269" i="6"/>
  <c r="U270" i="6"/>
  <c r="U268" i="6"/>
  <c r="U269" i="6"/>
  <c r="AW268" i="6"/>
  <c r="AW269" i="6"/>
  <c r="AW270" i="6"/>
  <c r="AW267" i="6"/>
  <c r="BA67" i="6"/>
  <c r="BA178" i="6" s="1"/>
  <c r="BA270" i="6"/>
  <c r="BA267" i="6"/>
  <c r="BA268" i="6"/>
  <c r="BA269" i="6"/>
  <c r="E270" i="6"/>
  <c r="E267" i="6"/>
  <c r="E268" i="6"/>
  <c r="E269" i="6"/>
  <c r="AK270" i="6"/>
  <c r="AK267" i="6"/>
  <c r="AK268" i="6"/>
  <c r="AK269" i="6"/>
  <c r="AN269" i="6"/>
  <c r="AN270" i="6"/>
  <c r="AN267" i="6"/>
  <c r="AN268" i="6"/>
  <c r="BB42" i="6"/>
  <c r="BB153" i="6" s="1"/>
  <c r="BB267" i="6"/>
  <c r="BB270" i="6"/>
  <c r="BB268" i="6"/>
  <c r="BB269" i="6"/>
  <c r="BD68" i="6"/>
  <c r="BD179" i="6" s="1"/>
  <c r="BD270" i="6"/>
  <c r="BD267" i="6"/>
  <c r="BD269" i="6"/>
  <c r="BD268" i="6"/>
  <c r="AT267" i="6"/>
  <c r="AT270" i="6"/>
  <c r="AT268" i="6"/>
  <c r="AT269" i="6"/>
  <c r="AZ267" i="6"/>
  <c r="AZ268" i="6"/>
  <c r="AZ270" i="6"/>
  <c r="AZ269" i="6"/>
  <c r="AO268" i="6"/>
  <c r="AO269" i="6"/>
  <c r="AO270" i="6"/>
  <c r="AO267" i="6"/>
  <c r="BG55" i="6"/>
  <c r="BG166" i="6" s="1"/>
  <c r="BG237" i="6" s="1"/>
  <c r="BG267" i="6"/>
  <c r="BG268" i="6"/>
  <c r="BG269" i="6"/>
  <c r="BG270" i="6"/>
  <c r="F267" i="6"/>
  <c r="F270" i="6"/>
  <c r="F268" i="6"/>
  <c r="F269" i="6"/>
  <c r="BE55" i="6"/>
  <c r="BE166" i="6" s="1"/>
  <c r="BE237" i="6" s="1"/>
  <c r="BE268" i="6"/>
  <c r="BE269" i="6"/>
  <c r="BE270" i="6"/>
  <c r="BE267" i="6"/>
  <c r="BH48" i="6"/>
  <c r="BH159" i="6" s="1"/>
  <c r="BH267" i="6"/>
  <c r="BH268" i="6"/>
  <c r="BH269" i="6"/>
  <c r="BH270" i="6"/>
  <c r="K267" i="6"/>
  <c r="K268" i="6"/>
  <c r="K269" i="6"/>
  <c r="K270" i="6"/>
  <c r="AL267" i="6"/>
  <c r="AL269" i="6"/>
  <c r="AL270" i="6"/>
  <c r="AL268" i="6"/>
  <c r="AR267" i="6"/>
  <c r="AR268" i="6"/>
  <c r="AR269" i="6"/>
  <c r="AR270" i="6"/>
  <c r="S268" i="6"/>
  <c r="S269" i="6"/>
  <c r="S270" i="6"/>
  <c r="AU269" i="6"/>
  <c r="AU270" i="6"/>
  <c r="AU267" i="6"/>
  <c r="AU268" i="6"/>
  <c r="N270" i="6"/>
  <c r="N268" i="6"/>
  <c r="N269" i="6"/>
  <c r="AY267" i="6"/>
  <c r="AY268" i="6"/>
  <c r="AY269" i="6"/>
  <c r="AY270" i="6"/>
  <c r="C267" i="6"/>
  <c r="C268" i="6"/>
  <c r="C269" i="6"/>
  <c r="C270" i="6"/>
  <c r="BF42" i="6"/>
  <c r="BF153" i="6" s="1"/>
  <c r="BF268" i="6"/>
  <c r="BF269" i="6"/>
  <c r="BF270" i="6"/>
  <c r="BF267" i="6"/>
  <c r="AD267" i="6"/>
  <c r="AD268" i="6"/>
  <c r="AD269" i="6"/>
  <c r="AD270" i="6"/>
  <c r="AJ267" i="6"/>
  <c r="AJ268" i="6"/>
  <c r="AJ270" i="6"/>
  <c r="AJ269" i="6"/>
  <c r="AX268" i="6"/>
  <c r="AX269" i="6"/>
  <c r="AX270" i="6"/>
  <c r="AX267" i="6"/>
  <c r="AM269" i="6"/>
  <c r="AM270" i="6"/>
  <c r="AM267" i="6"/>
  <c r="AM268" i="6"/>
  <c r="I268" i="6"/>
  <c r="I269" i="6"/>
  <c r="I270" i="6"/>
  <c r="I267" i="6"/>
  <c r="BC67" i="6"/>
  <c r="BC178" i="6" s="1"/>
  <c r="BC269" i="6"/>
  <c r="BC270" i="6"/>
  <c r="BC267" i="6"/>
  <c r="BC268" i="6"/>
  <c r="J268" i="6"/>
  <c r="J269" i="6"/>
  <c r="J270" i="6"/>
  <c r="J267" i="6"/>
  <c r="AB267" i="6"/>
  <c r="AB268" i="6"/>
  <c r="AB269" i="6"/>
  <c r="AB270" i="6"/>
  <c r="AP268" i="6"/>
  <c r="AP269" i="6"/>
  <c r="AP270" i="6"/>
  <c r="AP267" i="6"/>
  <c r="AS270" i="6"/>
  <c r="AS267" i="6"/>
  <c r="AS268" i="6"/>
  <c r="AS269" i="6"/>
  <c r="T267" i="6"/>
  <c r="T270" i="6"/>
  <c r="T268" i="6"/>
  <c r="T269" i="6"/>
  <c r="AV270" i="6"/>
  <c r="AV269" i="6"/>
  <c r="AV267" i="6"/>
  <c r="AV268" i="6"/>
  <c r="B269" i="6"/>
  <c r="H67" i="6"/>
  <c r="H178" i="6" s="1"/>
  <c r="M48" i="6"/>
  <c r="M159" i="6" s="1"/>
  <c r="G3" i="6"/>
  <c r="N33" i="6"/>
  <c r="N144" i="6" s="1"/>
  <c r="K47" i="6"/>
  <c r="K158" i="6" s="1"/>
  <c r="D4" i="6"/>
  <c r="D7" i="6" s="1"/>
  <c r="I42" i="6"/>
  <c r="I153" i="6" s="1"/>
  <c r="E46" i="6"/>
  <c r="E157" i="6" s="1"/>
  <c r="E65" i="6"/>
  <c r="E176" i="6" s="1"/>
  <c r="E73" i="6"/>
  <c r="E184" i="6" s="1"/>
  <c r="E62" i="6"/>
  <c r="E173" i="6" s="1"/>
  <c r="E47" i="6"/>
  <c r="E158" i="6" s="1"/>
  <c r="E40" i="6"/>
  <c r="E151" i="6" s="1"/>
  <c r="E64" i="6"/>
  <c r="E175" i="6" s="1"/>
  <c r="E276" i="6" s="1"/>
  <c r="E39" i="6"/>
  <c r="E150" i="6" s="1"/>
  <c r="E76" i="6"/>
  <c r="E187" i="6" s="1"/>
  <c r="E57" i="6"/>
  <c r="E168" i="6" s="1"/>
  <c r="E77" i="6"/>
  <c r="E188" i="6" s="1"/>
  <c r="E48" i="6"/>
  <c r="E159" i="6" s="1"/>
  <c r="E41" i="6"/>
  <c r="E152" i="6" s="1"/>
  <c r="E74" i="6"/>
  <c r="E185" i="6" s="1"/>
  <c r="E38" i="6"/>
  <c r="E149" i="6" s="1"/>
  <c r="E45" i="6"/>
  <c r="E156" i="6" s="1"/>
  <c r="E56" i="6"/>
  <c r="E167" i="6" s="1"/>
  <c r="E52" i="6"/>
  <c r="E163" i="6" s="1"/>
  <c r="E234" i="6" s="1"/>
  <c r="E78" i="6"/>
  <c r="E189" i="6" s="1"/>
  <c r="E61" i="6"/>
  <c r="E172" i="6" s="1"/>
  <c r="N49" i="6"/>
  <c r="N160" i="6" s="1"/>
  <c r="E75" i="6"/>
  <c r="E186" i="6" s="1"/>
  <c r="E53" i="6"/>
  <c r="E164" i="6" s="1"/>
  <c r="E235" i="6" s="1"/>
  <c r="E58" i="6"/>
  <c r="E169" i="6" s="1"/>
  <c r="E43" i="6"/>
  <c r="E154" i="6" s="1"/>
  <c r="E232" i="6" s="1"/>
  <c r="E63" i="6"/>
  <c r="E174" i="6" s="1"/>
  <c r="E70" i="6"/>
  <c r="E181" i="6" s="1"/>
  <c r="E34" i="6"/>
  <c r="E145" i="6" s="1"/>
  <c r="E49" i="6"/>
  <c r="E160" i="6" s="1"/>
  <c r="E59" i="6"/>
  <c r="E170" i="6" s="1"/>
  <c r="E51" i="6"/>
  <c r="E162" i="6" s="1"/>
  <c r="E233" i="6" s="1"/>
  <c r="E71" i="6"/>
  <c r="E182" i="6" s="1"/>
  <c r="E60" i="6"/>
  <c r="E171" i="6" s="1"/>
  <c r="E72" i="6"/>
  <c r="E183" i="6" s="1"/>
  <c r="E69" i="6"/>
  <c r="E180" i="6" s="1"/>
  <c r="E66" i="6"/>
  <c r="E177" i="6" s="1"/>
  <c r="E35" i="6"/>
  <c r="E146" i="6" s="1"/>
  <c r="E44" i="6"/>
  <c r="E155" i="6" s="1"/>
  <c r="AT5" i="6"/>
  <c r="AT264" i="6" s="1"/>
  <c r="AT34" i="6"/>
  <c r="AT145" i="6" s="1"/>
  <c r="AT35" i="6"/>
  <c r="AT146" i="6" s="1"/>
  <c r="AT40" i="6"/>
  <c r="AT151" i="6" s="1"/>
  <c r="AT50" i="6"/>
  <c r="AT161" i="6" s="1"/>
  <c r="AT38" i="6"/>
  <c r="AT149" i="6" s="1"/>
  <c r="AT51" i="6"/>
  <c r="AT162" i="6" s="1"/>
  <c r="AT233" i="6" s="1"/>
  <c r="AT14" i="6"/>
  <c r="AT246" i="6" s="1"/>
  <c r="AT43" i="6"/>
  <c r="AT154" i="6" s="1"/>
  <c r="AT232" i="6" s="1"/>
  <c r="AT45" i="6"/>
  <c r="AT156" i="6" s="1"/>
  <c r="AT46" i="6"/>
  <c r="AT157" i="6" s="1"/>
  <c r="AT47" i="6"/>
  <c r="AT158" i="6" s="1"/>
  <c r="AT33" i="6"/>
  <c r="AT144" i="6" s="1"/>
  <c r="AT39" i="6"/>
  <c r="AT150" i="6" s="1"/>
  <c r="AT13" i="6"/>
  <c r="AT247" i="6" s="1"/>
  <c r="AT41" i="6"/>
  <c r="AT152" i="6" s="1"/>
  <c r="AT42" i="6"/>
  <c r="AT153" i="6" s="1"/>
  <c r="AT37" i="6"/>
  <c r="AT148" i="6" s="1"/>
  <c r="AT44" i="6"/>
  <c r="AT155" i="6" s="1"/>
  <c r="AT48" i="6"/>
  <c r="AT159" i="6" s="1"/>
  <c r="AT36" i="6"/>
  <c r="AT147" i="6" s="1"/>
  <c r="AT49" i="6"/>
  <c r="AT160" i="6" s="1"/>
  <c r="AT60" i="6"/>
  <c r="AT171" i="6" s="1"/>
  <c r="AT68" i="6"/>
  <c r="AT179" i="6" s="1"/>
  <c r="AT57" i="6"/>
  <c r="AT168" i="6" s="1"/>
  <c r="AT65" i="6"/>
  <c r="AT176" i="6" s="1"/>
  <c r="AT54" i="6"/>
  <c r="AT165" i="6" s="1"/>
  <c r="AT236" i="6" s="1"/>
  <c r="AT62" i="6"/>
  <c r="AT173" i="6" s="1"/>
  <c r="AT59" i="6"/>
  <c r="AT170" i="6" s="1"/>
  <c r="AT67" i="6"/>
  <c r="AT178" i="6" s="1"/>
  <c r="AT52" i="6"/>
  <c r="AT163" i="6" s="1"/>
  <c r="AT234" i="6" s="1"/>
  <c r="AT56" i="6"/>
  <c r="AT167" i="6" s="1"/>
  <c r="AT64" i="6"/>
  <c r="AT175" i="6" s="1"/>
  <c r="AT276" i="6" s="1"/>
  <c r="AT53" i="6"/>
  <c r="AT164" i="6" s="1"/>
  <c r="AT235" i="6" s="1"/>
  <c r="AT61" i="6"/>
  <c r="AT172" i="6" s="1"/>
  <c r="AT69" i="6"/>
  <c r="AT180" i="6" s="1"/>
  <c r="AT58" i="6"/>
  <c r="AT169" i="6" s="1"/>
  <c r="AT66" i="6"/>
  <c r="AT177" i="6" s="1"/>
  <c r="AT55" i="6"/>
  <c r="AT166" i="6" s="1"/>
  <c r="AT237" i="6" s="1"/>
  <c r="AT71" i="6"/>
  <c r="AT182" i="6" s="1"/>
  <c r="AT76" i="6"/>
  <c r="AT187" i="6" s="1"/>
  <c r="AT73" i="6"/>
  <c r="AT184" i="6" s="1"/>
  <c r="AT70" i="6"/>
  <c r="AT181" i="6" s="1"/>
  <c r="AT78" i="6"/>
  <c r="AT189" i="6" s="1"/>
  <c r="AT75" i="6"/>
  <c r="AT186" i="6" s="1"/>
  <c r="AT63" i="6"/>
  <c r="AT174" i="6" s="1"/>
  <c r="AT72" i="6"/>
  <c r="AT183" i="6" s="1"/>
  <c r="AT77" i="6"/>
  <c r="AT188" i="6" s="1"/>
  <c r="AT74" i="6"/>
  <c r="AT185" i="6" s="1"/>
  <c r="AT206" i="6"/>
  <c r="AT217" i="6"/>
  <c r="AT220" i="6"/>
  <c r="AT219" i="6"/>
  <c r="AT221" i="6"/>
  <c r="AT216" i="6"/>
  <c r="AT218" i="6"/>
  <c r="AT222" i="6"/>
  <c r="AT3" i="6"/>
  <c r="AT15" i="6"/>
  <c r="AT250" i="6" s="1"/>
  <c r="AT4" i="6"/>
  <c r="AT7" i="6" s="1"/>
  <c r="AT30" i="6" s="1" a="1"/>
  <c r="AT30" i="6" s="1"/>
  <c r="AT281" i="6" s="1"/>
  <c r="AT9" i="6"/>
  <c r="AT16" i="6"/>
  <c r="AT253" i="6" s="1"/>
  <c r="AZ9" i="6"/>
  <c r="AZ16" i="6"/>
  <c r="AZ253" i="6" s="1"/>
  <c r="AZ4" i="6"/>
  <c r="AZ7" i="6" s="1"/>
  <c r="AZ30" i="6" s="1" a="1"/>
  <c r="AZ30" i="6" s="1"/>
  <c r="AZ281" i="6" s="1"/>
  <c r="AZ33" i="6"/>
  <c r="AZ144" i="6" s="1"/>
  <c r="AZ39" i="6"/>
  <c r="AZ150" i="6" s="1"/>
  <c r="AZ15" i="6"/>
  <c r="AZ250" i="6" s="1"/>
  <c r="AZ37" i="6"/>
  <c r="AZ148" i="6" s="1"/>
  <c r="AZ41" i="6"/>
  <c r="AZ152" i="6" s="1"/>
  <c r="AZ36" i="6"/>
  <c r="AZ147" i="6" s="1"/>
  <c r="AZ42" i="6"/>
  <c r="AZ153" i="6" s="1"/>
  <c r="AZ44" i="6"/>
  <c r="AZ155" i="6" s="1"/>
  <c r="AZ14" i="6"/>
  <c r="AZ246" i="6" s="1"/>
  <c r="AZ35" i="6"/>
  <c r="AZ146" i="6" s="1"/>
  <c r="AZ48" i="6"/>
  <c r="AZ159" i="6" s="1"/>
  <c r="AZ34" i="6"/>
  <c r="AZ145" i="6" s="1"/>
  <c r="AZ38" i="6"/>
  <c r="AZ149" i="6" s="1"/>
  <c r="AZ49" i="6"/>
  <c r="AZ160" i="6" s="1"/>
  <c r="AZ40" i="6"/>
  <c r="AZ151" i="6" s="1"/>
  <c r="AZ50" i="6"/>
  <c r="AZ161" i="6" s="1"/>
  <c r="AZ43" i="6"/>
  <c r="AZ154" i="6" s="1"/>
  <c r="AZ232" i="6" s="1"/>
  <c r="AZ45" i="6"/>
  <c r="AZ156" i="6" s="1"/>
  <c r="AZ46" i="6"/>
  <c r="AZ157" i="6" s="1"/>
  <c r="AZ47" i="6"/>
  <c r="AZ158" i="6" s="1"/>
  <c r="AZ51" i="6"/>
  <c r="AZ162" i="6" s="1"/>
  <c r="AZ233" i="6" s="1"/>
  <c r="AZ54" i="6"/>
  <c r="AZ165" i="6" s="1"/>
  <c r="AZ236" i="6" s="1"/>
  <c r="AZ62" i="6"/>
  <c r="AZ173" i="6" s="1"/>
  <c r="AZ59" i="6"/>
  <c r="AZ170" i="6" s="1"/>
  <c r="AZ67" i="6"/>
  <c r="AZ178" i="6" s="1"/>
  <c r="AZ52" i="6"/>
  <c r="AZ163" i="6" s="1"/>
  <c r="AZ234" i="6" s="1"/>
  <c r="AZ56" i="6"/>
  <c r="AZ167" i="6" s="1"/>
  <c r="AZ64" i="6"/>
  <c r="AZ175" i="6" s="1"/>
  <c r="AZ276" i="6" s="1"/>
  <c r="AZ53" i="6"/>
  <c r="AZ164" i="6" s="1"/>
  <c r="AZ235" i="6" s="1"/>
  <c r="AZ61" i="6"/>
  <c r="AZ172" i="6" s="1"/>
  <c r="AZ69" i="6"/>
  <c r="AZ180" i="6" s="1"/>
  <c r="AZ58" i="6"/>
  <c r="AZ169" i="6" s="1"/>
  <c r="AZ66" i="6"/>
  <c r="AZ177" i="6" s="1"/>
  <c r="AZ55" i="6"/>
  <c r="AZ166" i="6" s="1"/>
  <c r="AZ237" i="6" s="1"/>
  <c r="AZ63" i="6"/>
  <c r="AZ174" i="6" s="1"/>
  <c r="AZ60" i="6"/>
  <c r="AZ171" i="6" s="1"/>
  <c r="AZ68" i="6"/>
  <c r="AZ179" i="6" s="1"/>
  <c r="AZ73" i="6"/>
  <c r="AZ184" i="6" s="1"/>
  <c r="AZ70" i="6"/>
  <c r="AZ181" i="6" s="1"/>
  <c r="AZ78" i="6"/>
  <c r="AZ189" i="6" s="1"/>
  <c r="AZ57" i="6"/>
  <c r="AZ168" i="6" s="1"/>
  <c r="AZ75" i="6"/>
  <c r="AZ186" i="6" s="1"/>
  <c r="AZ72" i="6"/>
  <c r="AZ183" i="6" s="1"/>
  <c r="AZ77" i="6"/>
  <c r="AZ188" i="6" s="1"/>
  <c r="AZ74" i="6"/>
  <c r="AZ185" i="6" s="1"/>
  <c r="AZ71" i="6"/>
  <c r="AZ182" i="6" s="1"/>
  <c r="AZ76" i="6"/>
  <c r="AZ187" i="6" s="1"/>
  <c r="AZ65" i="6"/>
  <c r="AZ176" i="6" s="1"/>
  <c r="AZ206" i="6"/>
  <c r="AZ222" i="6"/>
  <c r="AZ230" i="6" s="1"/>
  <c r="AZ221" i="6"/>
  <c r="AZ218" i="6"/>
  <c r="AZ217" i="6"/>
  <c r="AZ220" i="6"/>
  <c r="AZ219" i="6"/>
  <c r="AZ216" i="6"/>
  <c r="AZ13" i="6"/>
  <c r="AZ247" i="6" s="1"/>
  <c r="AZ5" i="6"/>
  <c r="AZ264" i="6" s="1"/>
  <c r="AZ3" i="6"/>
  <c r="AO14" i="6"/>
  <c r="AO246" i="6" s="1"/>
  <c r="AO33" i="6"/>
  <c r="AO144" i="6" s="1"/>
  <c r="AO39" i="6"/>
  <c r="AO150" i="6" s="1"/>
  <c r="AO42" i="6"/>
  <c r="AO153" i="6" s="1"/>
  <c r="AO48" i="6"/>
  <c r="AO159" i="6" s="1"/>
  <c r="AO41" i="6"/>
  <c r="AO152" i="6" s="1"/>
  <c r="AO37" i="6"/>
  <c r="AO148" i="6" s="1"/>
  <c r="AO40" i="6"/>
  <c r="AO151" i="6" s="1"/>
  <c r="AO44" i="6"/>
  <c r="AO155" i="6" s="1"/>
  <c r="AO49" i="6"/>
  <c r="AO160" i="6" s="1"/>
  <c r="AO13" i="6"/>
  <c r="AO247" i="6" s="1"/>
  <c r="AO34" i="6"/>
  <c r="AO145" i="6" s="1"/>
  <c r="AO36" i="6"/>
  <c r="AO147" i="6" s="1"/>
  <c r="AO50" i="6"/>
  <c r="AO161" i="6" s="1"/>
  <c r="AO3" i="6"/>
  <c r="AO35" i="6"/>
  <c r="AO146" i="6" s="1"/>
  <c r="AO38" i="6"/>
  <c r="AO149" i="6" s="1"/>
  <c r="AO51" i="6"/>
  <c r="AO162" i="6" s="1"/>
  <c r="AO233" i="6" s="1"/>
  <c r="AO15" i="6"/>
  <c r="AO250" i="6" s="1"/>
  <c r="AO46" i="6"/>
  <c r="AO157" i="6" s="1"/>
  <c r="AO47" i="6"/>
  <c r="AO158" i="6" s="1"/>
  <c r="AO43" i="6"/>
  <c r="AO154" i="6" s="1"/>
  <c r="AO232" i="6" s="1"/>
  <c r="AO45" i="6"/>
  <c r="AO156" i="6" s="1"/>
  <c r="AO61" i="6"/>
  <c r="AO172" i="6" s="1"/>
  <c r="AO69" i="6"/>
  <c r="AO180" i="6" s="1"/>
  <c r="AO53" i="6"/>
  <c r="AO164" i="6" s="1"/>
  <c r="AO235" i="6" s="1"/>
  <c r="AO58" i="6"/>
  <c r="AO169" i="6" s="1"/>
  <c r="AO66" i="6"/>
  <c r="AO177" i="6" s="1"/>
  <c r="AO55" i="6"/>
  <c r="AO166" i="6" s="1"/>
  <c r="AO237" i="6" s="1"/>
  <c r="AO63" i="6"/>
  <c r="AO174" i="6" s="1"/>
  <c r="AO60" i="6"/>
  <c r="AO171" i="6" s="1"/>
  <c r="AO68" i="6"/>
  <c r="AO179" i="6" s="1"/>
  <c r="AO57" i="6"/>
  <c r="AO168" i="6" s="1"/>
  <c r="AO65" i="6"/>
  <c r="AO176" i="6" s="1"/>
  <c r="AO54" i="6"/>
  <c r="AO165" i="6" s="1"/>
  <c r="AO236" i="6" s="1"/>
  <c r="AO62" i="6"/>
  <c r="AO173" i="6" s="1"/>
  <c r="AO59" i="6"/>
  <c r="AO170" i="6" s="1"/>
  <c r="AO67" i="6"/>
  <c r="AO178" i="6" s="1"/>
  <c r="AO72" i="6"/>
  <c r="AO183" i="6" s="1"/>
  <c r="AO64" i="6"/>
  <c r="AO175" i="6" s="1"/>
  <c r="AO249" i="6" s="1"/>
  <c r="AO77" i="6"/>
  <c r="AO188" i="6" s="1"/>
  <c r="AO52" i="6"/>
  <c r="AO163" i="6" s="1"/>
  <c r="AO234" i="6" s="1"/>
  <c r="AO74" i="6"/>
  <c r="AO185" i="6" s="1"/>
  <c r="AO71" i="6"/>
  <c r="AO182" i="6" s="1"/>
  <c r="AO56" i="6"/>
  <c r="AO167" i="6" s="1"/>
  <c r="AO76" i="6"/>
  <c r="AO187" i="6" s="1"/>
  <c r="AO73" i="6"/>
  <c r="AO184" i="6" s="1"/>
  <c r="AO70" i="6"/>
  <c r="AO181" i="6" s="1"/>
  <c r="AO78" i="6"/>
  <c r="AO189" i="6" s="1"/>
  <c r="AO75" i="6"/>
  <c r="AO186" i="6" s="1"/>
  <c r="AO206" i="6"/>
  <c r="AO218" i="6"/>
  <c r="AO221" i="6"/>
  <c r="AO220" i="6"/>
  <c r="AO222" i="6"/>
  <c r="AO217" i="6"/>
  <c r="AO219" i="6"/>
  <c r="AO216" i="6"/>
  <c r="AO4" i="6"/>
  <c r="AO7" i="6" s="1"/>
  <c r="AO30" i="6" s="1" a="1"/>
  <c r="AO30" i="6" s="1"/>
  <c r="AO281" i="6" s="1"/>
  <c r="AO5" i="6"/>
  <c r="AO264" i="6" s="1"/>
  <c r="AO9" i="6"/>
  <c r="AO16" i="6"/>
  <c r="AO253" i="6" s="1"/>
  <c r="AL5" i="6"/>
  <c r="AL264" i="6" s="1"/>
  <c r="AL40" i="6"/>
  <c r="AL151" i="6" s="1"/>
  <c r="AL44" i="6"/>
  <c r="AL155" i="6" s="1"/>
  <c r="AL49" i="6"/>
  <c r="AL160" i="6" s="1"/>
  <c r="AL37" i="6"/>
  <c r="AL148" i="6" s="1"/>
  <c r="AL50" i="6"/>
  <c r="AL161" i="6" s="1"/>
  <c r="AL34" i="6"/>
  <c r="AL145" i="6" s="1"/>
  <c r="AL36" i="6"/>
  <c r="AL147" i="6" s="1"/>
  <c r="AL51" i="6"/>
  <c r="AL162" i="6" s="1"/>
  <c r="AL233" i="6" s="1"/>
  <c r="AL13" i="6"/>
  <c r="AL247" i="6" s="1"/>
  <c r="AL35" i="6"/>
  <c r="AL146" i="6" s="1"/>
  <c r="AL38" i="6"/>
  <c r="AL149" i="6" s="1"/>
  <c r="AL46" i="6"/>
  <c r="AL157" i="6" s="1"/>
  <c r="AL47" i="6"/>
  <c r="AL158" i="6" s="1"/>
  <c r="AL43" i="6"/>
  <c r="AL154" i="6" s="1"/>
  <c r="AL232" i="6" s="1"/>
  <c r="AL45" i="6"/>
  <c r="AL156" i="6" s="1"/>
  <c r="AL33" i="6"/>
  <c r="AL144" i="6" s="1"/>
  <c r="AL39" i="6"/>
  <c r="AL150" i="6" s="1"/>
  <c r="AL42" i="6"/>
  <c r="AL153" i="6" s="1"/>
  <c r="AL48" i="6"/>
  <c r="AL159" i="6" s="1"/>
  <c r="AL14" i="6"/>
  <c r="AL246" i="6" s="1"/>
  <c r="AL41" i="6"/>
  <c r="AL152" i="6" s="1"/>
  <c r="AL60" i="6"/>
  <c r="AL171" i="6" s="1"/>
  <c r="AL68" i="6"/>
  <c r="AL179" i="6" s="1"/>
  <c r="AL57" i="6"/>
  <c r="AL168" i="6" s="1"/>
  <c r="AL65" i="6"/>
  <c r="AL176" i="6" s="1"/>
  <c r="AL54" i="6"/>
  <c r="AL165" i="6" s="1"/>
  <c r="AL236" i="6" s="1"/>
  <c r="AL62" i="6"/>
  <c r="AL173" i="6" s="1"/>
  <c r="AL59" i="6"/>
  <c r="AL170" i="6" s="1"/>
  <c r="AL67" i="6"/>
  <c r="AL178" i="6" s="1"/>
  <c r="AL52" i="6"/>
  <c r="AL163" i="6" s="1"/>
  <c r="AL234" i="6" s="1"/>
  <c r="AL56" i="6"/>
  <c r="AL167" i="6" s="1"/>
  <c r="AL64" i="6"/>
  <c r="AL175" i="6" s="1"/>
  <c r="AL249" i="6" s="1"/>
  <c r="AL61" i="6"/>
  <c r="AL172" i="6" s="1"/>
  <c r="AL69" i="6"/>
  <c r="AL180" i="6" s="1"/>
  <c r="AL53" i="6"/>
  <c r="AL164" i="6" s="1"/>
  <c r="AL235" i="6" s="1"/>
  <c r="AL58" i="6"/>
  <c r="AL169" i="6" s="1"/>
  <c r="AL66" i="6"/>
  <c r="AL177" i="6" s="1"/>
  <c r="AL71" i="6"/>
  <c r="AL182" i="6" s="1"/>
  <c r="AL76" i="6"/>
  <c r="AL187" i="6" s="1"/>
  <c r="AL73" i="6"/>
  <c r="AL184" i="6" s="1"/>
  <c r="AL70" i="6"/>
  <c r="AL181" i="6" s="1"/>
  <c r="AL78" i="6"/>
  <c r="AL189" i="6" s="1"/>
  <c r="AL63" i="6"/>
  <c r="AL174" i="6" s="1"/>
  <c r="AL75" i="6"/>
  <c r="AL186" i="6" s="1"/>
  <c r="AL72" i="6"/>
  <c r="AL183" i="6" s="1"/>
  <c r="AL77" i="6"/>
  <c r="AL188" i="6" s="1"/>
  <c r="AL55" i="6"/>
  <c r="AL166" i="6" s="1"/>
  <c r="AL237" i="6" s="1"/>
  <c r="AL74" i="6"/>
  <c r="AL185" i="6" s="1"/>
  <c r="AL218" i="6"/>
  <c r="AL206" i="6"/>
  <c r="AL217" i="6"/>
  <c r="AL225" i="6" s="1"/>
  <c r="AL216" i="6"/>
  <c r="AL220" i="6"/>
  <c r="AL219" i="6"/>
  <c r="AL221" i="6"/>
  <c r="AL222" i="6"/>
  <c r="AL9" i="6"/>
  <c r="AL3" i="6"/>
  <c r="AL4" i="6"/>
  <c r="AL7" i="6" s="1"/>
  <c r="AL30" i="6" s="1" a="1"/>
  <c r="AL30" i="6" s="1"/>
  <c r="AL281" i="6" s="1"/>
  <c r="AL15" i="6"/>
  <c r="AL250" i="6" s="1"/>
  <c r="AL16" i="6"/>
  <c r="AL253" i="6" s="1"/>
  <c r="AR9" i="6"/>
  <c r="AR46" i="6"/>
  <c r="AR157" i="6" s="1"/>
  <c r="AR47" i="6"/>
  <c r="AR158" i="6" s="1"/>
  <c r="AR51" i="6"/>
  <c r="AR162" i="6" s="1"/>
  <c r="AR233" i="6" s="1"/>
  <c r="AR14" i="6"/>
  <c r="AR246" i="6" s="1"/>
  <c r="AR43" i="6"/>
  <c r="AR154" i="6" s="1"/>
  <c r="AR232" i="6" s="1"/>
  <c r="AR45" i="6"/>
  <c r="AR156" i="6" s="1"/>
  <c r="AR33" i="6"/>
  <c r="AR144" i="6" s="1"/>
  <c r="AR39" i="6"/>
  <c r="AR150" i="6" s="1"/>
  <c r="AR41" i="6"/>
  <c r="AR152" i="6" s="1"/>
  <c r="AR42" i="6"/>
  <c r="AR153" i="6" s="1"/>
  <c r="AR48" i="6"/>
  <c r="AR159" i="6" s="1"/>
  <c r="AR16" i="6"/>
  <c r="AR253" i="6" s="1"/>
  <c r="AR37" i="6"/>
  <c r="AR148" i="6" s="1"/>
  <c r="AR44" i="6"/>
  <c r="AR155" i="6" s="1"/>
  <c r="AR36" i="6"/>
  <c r="AR147" i="6" s="1"/>
  <c r="AR40" i="6"/>
  <c r="AR151" i="6" s="1"/>
  <c r="AR49" i="6"/>
  <c r="AR160" i="6" s="1"/>
  <c r="AR4" i="6"/>
  <c r="AR7" i="6" s="1"/>
  <c r="AR30" i="6" s="1" a="1"/>
  <c r="AR30" i="6" s="1"/>
  <c r="AR281" i="6" s="1"/>
  <c r="AR15" i="6"/>
  <c r="AR250" i="6" s="1"/>
  <c r="AR34" i="6"/>
  <c r="AR145" i="6" s="1"/>
  <c r="AR35" i="6"/>
  <c r="AR146" i="6" s="1"/>
  <c r="AR38" i="6"/>
  <c r="AR149" i="6" s="1"/>
  <c r="AR50" i="6"/>
  <c r="AR161" i="6" s="1"/>
  <c r="AR54" i="6"/>
  <c r="AR165" i="6" s="1"/>
  <c r="AR236" i="6" s="1"/>
  <c r="AR62" i="6"/>
  <c r="AR173" i="6" s="1"/>
  <c r="AR59" i="6"/>
  <c r="AR170" i="6" s="1"/>
  <c r="AR67" i="6"/>
  <c r="AR178" i="6" s="1"/>
  <c r="AR52" i="6"/>
  <c r="AR163" i="6" s="1"/>
  <c r="AR234" i="6" s="1"/>
  <c r="AR56" i="6"/>
  <c r="AR167" i="6" s="1"/>
  <c r="AR64" i="6"/>
  <c r="AR175" i="6" s="1"/>
  <c r="AR249" i="6" s="1"/>
  <c r="AR61" i="6"/>
  <c r="AR172" i="6" s="1"/>
  <c r="AR69" i="6"/>
  <c r="AR180" i="6" s="1"/>
  <c r="AR53" i="6"/>
  <c r="AR164" i="6" s="1"/>
  <c r="AR235" i="6" s="1"/>
  <c r="AR58" i="6"/>
  <c r="AR169" i="6" s="1"/>
  <c r="AR66" i="6"/>
  <c r="AR177" i="6" s="1"/>
  <c r="AR55" i="6"/>
  <c r="AR166" i="6" s="1"/>
  <c r="AR237" i="6" s="1"/>
  <c r="AR63" i="6"/>
  <c r="AR174" i="6" s="1"/>
  <c r="AR60" i="6"/>
  <c r="AR171" i="6" s="1"/>
  <c r="AR68" i="6"/>
  <c r="AR179" i="6" s="1"/>
  <c r="AR73" i="6"/>
  <c r="AR184" i="6" s="1"/>
  <c r="AR57" i="6"/>
  <c r="AR168" i="6" s="1"/>
  <c r="AR70" i="6"/>
  <c r="AR181" i="6" s="1"/>
  <c r="AR78" i="6"/>
  <c r="AR189" i="6" s="1"/>
  <c r="AR75" i="6"/>
  <c r="AR186" i="6" s="1"/>
  <c r="AR72" i="6"/>
  <c r="AR183" i="6" s="1"/>
  <c r="AR77" i="6"/>
  <c r="AR188" i="6" s="1"/>
  <c r="AR74" i="6"/>
  <c r="AR185" i="6" s="1"/>
  <c r="AR65" i="6"/>
  <c r="AR176" i="6" s="1"/>
  <c r="AR71" i="6"/>
  <c r="AR182" i="6" s="1"/>
  <c r="AR76" i="6"/>
  <c r="AR187" i="6" s="1"/>
  <c r="AR206" i="6"/>
  <c r="AR217" i="6"/>
  <c r="AR222" i="6"/>
  <c r="AR230" i="6" s="1"/>
  <c r="AR221" i="6"/>
  <c r="AR216" i="6"/>
  <c r="AR218" i="6"/>
  <c r="AR220" i="6"/>
  <c r="AR219" i="6"/>
  <c r="AR227" i="6" s="1"/>
  <c r="AR3" i="6"/>
  <c r="AR13" i="6"/>
  <c r="AR247" i="6" s="1"/>
  <c r="AR5" i="6"/>
  <c r="AR264" i="6" s="1"/>
  <c r="S49" i="6"/>
  <c r="S160" i="6" s="1"/>
  <c r="S50" i="6"/>
  <c r="S161" i="6" s="1"/>
  <c r="S51" i="6"/>
  <c r="S162" i="6" s="1"/>
  <c r="S233" i="6" s="1"/>
  <c r="S48" i="6"/>
  <c r="S159" i="6" s="1"/>
  <c r="S34" i="6"/>
  <c r="S145" i="6" s="1"/>
  <c r="S40" i="6"/>
  <c r="S151" i="6" s="1"/>
  <c r="S13" i="6"/>
  <c r="S247" i="6" s="1"/>
  <c r="S42" i="6"/>
  <c r="S153" i="6" s="1"/>
  <c r="S59" i="6"/>
  <c r="S170" i="6" s="1"/>
  <c r="S67" i="6"/>
  <c r="S178" i="6" s="1"/>
  <c r="S56" i="6"/>
  <c r="S167" i="6" s="1"/>
  <c r="S64" i="6"/>
  <c r="S175" i="6" s="1"/>
  <c r="S249" i="6" s="1"/>
  <c r="S61" i="6"/>
  <c r="S172" i="6" s="1"/>
  <c r="S69" i="6"/>
  <c r="S180" i="6" s="1"/>
  <c r="S58" i="6"/>
  <c r="S169" i="6" s="1"/>
  <c r="S66" i="6"/>
  <c r="S177" i="6" s="1"/>
  <c r="S55" i="6"/>
  <c r="S166" i="6" s="1"/>
  <c r="S237" i="6" s="1"/>
  <c r="S63" i="6"/>
  <c r="S174" i="6" s="1"/>
  <c r="S60" i="6"/>
  <c r="S171" i="6" s="1"/>
  <c r="S68" i="6"/>
  <c r="S179" i="6" s="1"/>
  <c r="S53" i="6"/>
  <c r="S164" i="6" s="1"/>
  <c r="S235" i="6" s="1"/>
  <c r="S57" i="6"/>
  <c r="S168" i="6" s="1"/>
  <c r="S65" i="6"/>
  <c r="S176" i="6" s="1"/>
  <c r="S54" i="6"/>
  <c r="S165" i="6" s="1"/>
  <c r="S236" i="6" s="1"/>
  <c r="S78" i="6"/>
  <c r="S189" i="6" s="1"/>
  <c r="S75" i="6"/>
  <c r="S186" i="6" s="1"/>
  <c r="S72" i="6"/>
  <c r="S183" i="6" s="1"/>
  <c r="S77" i="6"/>
  <c r="S188" i="6" s="1"/>
  <c r="S74" i="6"/>
  <c r="S185" i="6" s="1"/>
  <c r="S62" i="6"/>
  <c r="S173" i="6" s="1"/>
  <c r="S71" i="6"/>
  <c r="S182" i="6" s="1"/>
  <c r="S76" i="6"/>
  <c r="S187" i="6" s="1"/>
  <c r="S70" i="6"/>
  <c r="S181" i="6" s="1"/>
  <c r="S73" i="6"/>
  <c r="S184" i="6" s="1"/>
  <c r="S217" i="6"/>
  <c r="S225" i="6" s="1"/>
  <c r="S216" i="6"/>
  <c r="S206" i="6"/>
  <c r="S219" i="6"/>
  <c r="S220" i="6"/>
  <c r="S218" i="6"/>
  <c r="S221" i="6"/>
  <c r="S222" i="6"/>
  <c r="S47" i="6"/>
  <c r="S158" i="6" s="1"/>
  <c r="S5" i="6"/>
  <c r="S3" i="6"/>
  <c r="S38" i="6"/>
  <c r="S149" i="6" s="1"/>
  <c r="S4" i="6"/>
  <c r="S7" i="6" s="1"/>
  <c r="S30" i="6" s="1" a="1"/>
  <c r="S30" i="6" s="1"/>
  <c r="S281" i="6" s="1"/>
  <c r="S36" i="6"/>
  <c r="S147" i="6" s="1"/>
  <c r="S16" i="6"/>
  <c r="S253" i="6" s="1"/>
  <c r="S44" i="6"/>
  <c r="S155" i="6" s="1"/>
  <c r="S35" i="6"/>
  <c r="S146" i="6" s="1"/>
  <c r="S45" i="6"/>
  <c r="S156" i="6" s="1"/>
  <c r="S33" i="6"/>
  <c r="S144" i="6" s="1"/>
  <c r="S41" i="6"/>
  <c r="S152" i="6" s="1"/>
  <c r="S46" i="6"/>
  <c r="S157" i="6" s="1"/>
  <c r="S14" i="6"/>
  <c r="S246" i="6" s="1"/>
  <c r="S43" i="6"/>
  <c r="S154" i="6" s="1"/>
  <c r="S232" i="6" s="1"/>
  <c r="S39" i="6"/>
  <c r="S150" i="6" s="1"/>
  <c r="S15" i="6"/>
  <c r="S250" i="6" s="1"/>
  <c r="S52" i="6"/>
  <c r="S163" i="6" s="1"/>
  <c r="S234" i="6" s="1"/>
  <c r="AU15" i="6"/>
  <c r="AU250" i="6" s="1"/>
  <c r="AU36" i="6"/>
  <c r="AU147" i="6" s="1"/>
  <c r="AU49" i="6"/>
  <c r="AU160" i="6" s="1"/>
  <c r="AU34" i="6"/>
  <c r="AU145" i="6" s="1"/>
  <c r="AU35" i="6"/>
  <c r="AU146" i="6" s="1"/>
  <c r="AU40" i="6"/>
  <c r="AU151" i="6" s="1"/>
  <c r="AU50" i="6"/>
  <c r="AU161" i="6" s="1"/>
  <c r="AU38" i="6"/>
  <c r="AU149" i="6" s="1"/>
  <c r="AU51" i="6"/>
  <c r="AU162" i="6" s="1"/>
  <c r="AU233" i="6" s="1"/>
  <c r="AU43" i="6"/>
  <c r="AU154" i="6" s="1"/>
  <c r="AU232" i="6" s="1"/>
  <c r="AU45" i="6"/>
  <c r="AU156" i="6" s="1"/>
  <c r="AU46" i="6"/>
  <c r="AU157" i="6" s="1"/>
  <c r="AU47" i="6"/>
  <c r="AU158" i="6" s="1"/>
  <c r="AU33" i="6"/>
  <c r="AU144" i="6" s="1"/>
  <c r="AU39" i="6"/>
  <c r="AU150" i="6" s="1"/>
  <c r="AU3" i="6"/>
  <c r="AU5" i="6"/>
  <c r="AU264" i="6" s="1"/>
  <c r="AU16" i="6"/>
  <c r="AU253" i="6" s="1"/>
  <c r="AU41" i="6"/>
  <c r="AU152" i="6" s="1"/>
  <c r="AU42" i="6"/>
  <c r="AU153" i="6" s="1"/>
  <c r="AU37" i="6"/>
  <c r="AU148" i="6" s="1"/>
  <c r="AU44" i="6"/>
  <c r="AU155" i="6" s="1"/>
  <c r="AU48" i="6"/>
  <c r="AU159" i="6" s="1"/>
  <c r="AU55" i="6"/>
  <c r="AU166" i="6" s="1"/>
  <c r="AU237" i="6" s="1"/>
  <c r="AU63" i="6"/>
  <c r="AU174" i="6" s="1"/>
  <c r="AU60" i="6"/>
  <c r="AU171" i="6" s="1"/>
  <c r="AU68" i="6"/>
  <c r="AU179" i="6" s="1"/>
  <c r="AU57" i="6"/>
  <c r="AU168" i="6" s="1"/>
  <c r="AU65" i="6"/>
  <c r="AU176" i="6" s="1"/>
  <c r="AU54" i="6"/>
  <c r="AU165" i="6" s="1"/>
  <c r="AU236" i="6" s="1"/>
  <c r="AU62" i="6"/>
  <c r="AU173" i="6" s="1"/>
  <c r="AU59" i="6"/>
  <c r="AU170" i="6" s="1"/>
  <c r="AU67" i="6"/>
  <c r="AU178" i="6" s="1"/>
  <c r="AU52" i="6"/>
  <c r="AU163" i="6" s="1"/>
  <c r="AU234" i="6" s="1"/>
  <c r="AU56" i="6"/>
  <c r="AU167" i="6" s="1"/>
  <c r="AU64" i="6"/>
  <c r="AU175" i="6" s="1"/>
  <c r="AU249" i="6" s="1"/>
  <c r="AU53" i="6"/>
  <c r="AU164" i="6" s="1"/>
  <c r="AU235" i="6" s="1"/>
  <c r="AU61" i="6"/>
  <c r="AU172" i="6" s="1"/>
  <c r="AU69" i="6"/>
  <c r="AU180" i="6" s="1"/>
  <c r="AU74" i="6"/>
  <c r="AU185" i="6" s="1"/>
  <c r="AU71" i="6"/>
  <c r="AU182" i="6" s="1"/>
  <c r="AU76" i="6"/>
  <c r="AU187" i="6" s="1"/>
  <c r="AU66" i="6"/>
  <c r="AU177" i="6" s="1"/>
  <c r="AU73" i="6"/>
  <c r="AU184" i="6" s="1"/>
  <c r="AU70" i="6"/>
  <c r="AU181" i="6" s="1"/>
  <c r="AU78" i="6"/>
  <c r="AU189" i="6" s="1"/>
  <c r="AU75" i="6"/>
  <c r="AU186" i="6" s="1"/>
  <c r="AU58" i="6"/>
  <c r="AU169" i="6" s="1"/>
  <c r="AU72" i="6"/>
  <c r="AU183" i="6" s="1"/>
  <c r="AU77" i="6"/>
  <c r="AU188" i="6" s="1"/>
  <c r="AU206" i="6"/>
  <c r="AU222" i="6"/>
  <c r="AU219" i="6"/>
  <c r="AU221" i="6"/>
  <c r="AU218" i="6"/>
  <c r="AU226" i="6" s="1"/>
  <c r="AU220" i="6"/>
  <c r="AU216" i="6"/>
  <c r="AU217" i="6"/>
  <c r="AU13" i="6"/>
  <c r="AU247" i="6" s="1"/>
  <c r="AU4" i="6"/>
  <c r="AU7" i="6" s="1"/>
  <c r="AU30" i="6" s="1" a="1"/>
  <c r="AU30" i="6" s="1"/>
  <c r="AU281" i="6" s="1"/>
  <c r="AU14" i="6"/>
  <c r="AU246" i="6" s="1"/>
  <c r="AU9" i="6"/>
  <c r="M50" i="6"/>
  <c r="M161" i="6" s="1"/>
  <c r="AD5" i="6"/>
  <c r="AD264" i="6" s="1"/>
  <c r="AD33" i="6"/>
  <c r="AD144" i="6" s="1"/>
  <c r="AD39" i="6"/>
  <c r="AD150" i="6" s="1"/>
  <c r="AD40" i="6"/>
  <c r="AD151" i="6" s="1"/>
  <c r="AD13" i="6"/>
  <c r="AD247" i="6" s="1"/>
  <c r="AD41" i="6"/>
  <c r="AD152" i="6" s="1"/>
  <c r="AD49" i="6"/>
  <c r="AD160" i="6" s="1"/>
  <c r="AD44" i="6"/>
  <c r="AD155" i="6" s="1"/>
  <c r="AD50" i="6"/>
  <c r="AD161" i="6" s="1"/>
  <c r="AD51" i="6"/>
  <c r="AD162" i="6" s="1"/>
  <c r="AD233" i="6" s="1"/>
  <c r="AD14" i="6"/>
  <c r="AD246" i="6" s="1"/>
  <c r="AD34" i="6"/>
  <c r="AD145" i="6" s="1"/>
  <c r="AD37" i="6"/>
  <c r="AD148" i="6" s="1"/>
  <c r="AD46" i="6"/>
  <c r="AD157" i="6" s="1"/>
  <c r="AD47" i="6"/>
  <c r="AD158" i="6" s="1"/>
  <c r="AD36" i="6"/>
  <c r="AD147" i="6" s="1"/>
  <c r="AD38" i="6"/>
  <c r="AD149" i="6" s="1"/>
  <c r="AD35" i="6"/>
  <c r="AD146" i="6" s="1"/>
  <c r="AD43" i="6"/>
  <c r="AD154" i="6" s="1"/>
  <c r="AD232" i="6" s="1"/>
  <c r="AD45" i="6"/>
  <c r="AD156" i="6" s="1"/>
  <c r="AD48" i="6"/>
  <c r="AD159" i="6" s="1"/>
  <c r="AD42" i="6"/>
  <c r="AD153" i="6" s="1"/>
  <c r="AD60" i="6"/>
  <c r="AD171" i="6" s="1"/>
  <c r="AD68" i="6"/>
  <c r="AD179" i="6" s="1"/>
  <c r="AD57" i="6"/>
  <c r="AD168" i="6" s="1"/>
  <c r="AD65" i="6"/>
  <c r="AD176" i="6" s="1"/>
  <c r="AD54" i="6"/>
  <c r="AD165" i="6" s="1"/>
  <c r="AD236" i="6" s="1"/>
  <c r="AD62" i="6"/>
  <c r="AD173" i="6" s="1"/>
  <c r="AD59" i="6"/>
  <c r="AD170" i="6" s="1"/>
  <c r="AD67" i="6"/>
  <c r="AD178" i="6" s="1"/>
  <c r="AD52" i="6"/>
  <c r="AD163" i="6" s="1"/>
  <c r="AD234" i="6" s="1"/>
  <c r="AD56" i="6"/>
  <c r="AD167" i="6" s="1"/>
  <c r="AD64" i="6"/>
  <c r="AD175" i="6" s="1"/>
  <c r="AD249" i="6" s="1"/>
  <c r="AD61" i="6"/>
  <c r="AD172" i="6" s="1"/>
  <c r="AD69" i="6"/>
  <c r="AD180" i="6" s="1"/>
  <c r="AD58" i="6"/>
  <c r="AD169" i="6" s="1"/>
  <c r="AD66" i="6"/>
  <c r="AD177" i="6" s="1"/>
  <c r="AD71" i="6"/>
  <c r="AD182" i="6" s="1"/>
  <c r="AD76" i="6"/>
  <c r="AD187" i="6" s="1"/>
  <c r="AD73" i="6"/>
  <c r="AD184" i="6" s="1"/>
  <c r="AD63" i="6"/>
  <c r="AD174" i="6" s="1"/>
  <c r="AD78" i="6"/>
  <c r="AD189" i="6" s="1"/>
  <c r="AD70" i="6"/>
  <c r="AD181" i="6" s="1"/>
  <c r="AD75" i="6"/>
  <c r="AD186" i="6" s="1"/>
  <c r="AD53" i="6"/>
  <c r="AD164" i="6" s="1"/>
  <c r="AD235" i="6" s="1"/>
  <c r="AD72" i="6"/>
  <c r="AD183" i="6" s="1"/>
  <c r="AD55" i="6"/>
  <c r="AD166" i="6" s="1"/>
  <c r="AD237" i="6" s="1"/>
  <c r="AD77" i="6"/>
  <c r="AD188" i="6" s="1"/>
  <c r="AD74" i="6"/>
  <c r="AD185" i="6" s="1"/>
  <c r="AD218" i="6"/>
  <c r="AD206" i="6"/>
  <c r="AD217" i="6"/>
  <c r="AD225" i="6" s="1"/>
  <c r="AD220" i="6"/>
  <c r="AD219" i="6"/>
  <c r="AD221" i="6"/>
  <c r="AD216" i="6"/>
  <c r="AD222" i="6"/>
  <c r="AD15" i="6"/>
  <c r="AD250" i="6" s="1"/>
  <c r="AD16" i="6"/>
  <c r="AD253" i="6" s="1"/>
  <c r="AD3" i="6"/>
  <c r="AD4" i="6"/>
  <c r="AD7" i="6" s="1"/>
  <c r="AD30" i="6" s="1" a="1"/>
  <c r="AD30" i="6" s="1"/>
  <c r="AD281" i="6" s="1"/>
  <c r="AJ9" i="6"/>
  <c r="AJ37" i="6"/>
  <c r="AJ148" i="6" s="1"/>
  <c r="AJ50" i="6"/>
  <c r="AJ161" i="6" s="1"/>
  <c r="AJ34" i="6"/>
  <c r="AJ145" i="6" s="1"/>
  <c r="AJ36" i="6"/>
  <c r="AJ147" i="6" s="1"/>
  <c r="AJ38" i="6"/>
  <c r="AJ149" i="6" s="1"/>
  <c r="AJ46" i="6"/>
  <c r="AJ157" i="6" s="1"/>
  <c r="AJ47" i="6"/>
  <c r="AJ158" i="6" s="1"/>
  <c r="AJ51" i="6"/>
  <c r="AJ162" i="6" s="1"/>
  <c r="AJ233" i="6" s="1"/>
  <c r="AJ16" i="6"/>
  <c r="AJ253" i="6" s="1"/>
  <c r="AJ35" i="6"/>
  <c r="AJ146" i="6" s="1"/>
  <c r="AJ43" i="6"/>
  <c r="AJ154" i="6" s="1"/>
  <c r="AJ232" i="6" s="1"/>
  <c r="AJ45" i="6"/>
  <c r="AJ156" i="6" s="1"/>
  <c r="AJ15" i="6"/>
  <c r="AJ250" i="6" s="1"/>
  <c r="AJ48" i="6"/>
  <c r="AJ159" i="6" s="1"/>
  <c r="AJ4" i="6"/>
  <c r="AJ7" i="6" s="1"/>
  <c r="AJ30" i="6" s="1" a="1"/>
  <c r="AJ30" i="6" s="1"/>
  <c r="AJ281" i="6" s="1"/>
  <c r="AJ33" i="6"/>
  <c r="AJ144" i="6" s="1"/>
  <c r="AJ39" i="6"/>
  <c r="AJ150" i="6" s="1"/>
  <c r="AJ42" i="6"/>
  <c r="AJ153" i="6" s="1"/>
  <c r="AJ14" i="6"/>
  <c r="AJ246" i="6" s="1"/>
  <c r="AJ40" i="6"/>
  <c r="AJ151" i="6" s="1"/>
  <c r="AJ41" i="6"/>
  <c r="AJ152" i="6" s="1"/>
  <c r="AJ44" i="6"/>
  <c r="AJ155" i="6" s="1"/>
  <c r="AJ49" i="6"/>
  <c r="AJ160" i="6" s="1"/>
  <c r="AJ54" i="6"/>
  <c r="AJ165" i="6" s="1"/>
  <c r="AJ236" i="6" s="1"/>
  <c r="AJ62" i="6"/>
  <c r="AJ173" i="6" s="1"/>
  <c r="AJ59" i="6"/>
  <c r="AJ170" i="6" s="1"/>
  <c r="AJ67" i="6"/>
  <c r="AJ178" i="6" s="1"/>
  <c r="AJ52" i="6"/>
  <c r="AJ163" i="6" s="1"/>
  <c r="AJ234" i="6" s="1"/>
  <c r="AJ56" i="6"/>
  <c r="AJ167" i="6" s="1"/>
  <c r="AJ64" i="6"/>
  <c r="AJ175" i="6" s="1"/>
  <c r="AJ249" i="6" s="1"/>
  <c r="AJ61" i="6"/>
  <c r="AJ172" i="6" s="1"/>
  <c r="AJ69" i="6"/>
  <c r="AJ180" i="6" s="1"/>
  <c r="AJ58" i="6"/>
  <c r="AJ169" i="6" s="1"/>
  <c r="AJ66" i="6"/>
  <c r="AJ177" i="6" s="1"/>
  <c r="AJ53" i="6"/>
  <c r="AJ164" i="6" s="1"/>
  <c r="AJ235" i="6" s="1"/>
  <c r="AJ55" i="6"/>
  <c r="AJ166" i="6" s="1"/>
  <c r="AJ237" i="6" s="1"/>
  <c r="AJ63" i="6"/>
  <c r="AJ174" i="6" s="1"/>
  <c r="AJ60" i="6"/>
  <c r="AJ171" i="6" s="1"/>
  <c r="AJ68" i="6"/>
  <c r="AJ179" i="6" s="1"/>
  <c r="AJ57" i="6"/>
  <c r="AJ168" i="6" s="1"/>
  <c r="AJ73" i="6"/>
  <c r="AJ184" i="6" s="1"/>
  <c r="AJ70" i="6"/>
  <c r="AJ181" i="6" s="1"/>
  <c r="AJ78" i="6"/>
  <c r="AJ189" i="6" s="1"/>
  <c r="AJ75" i="6"/>
  <c r="AJ186" i="6" s="1"/>
  <c r="AJ72" i="6"/>
  <c r="AJ183" i="6" s="1"/>
  <c r="AJ77" i="6"/>
  <c r="AJ188" i="6" s="1"/>
  <c r="AJ65" i="6"/>
  <c r="AJ176" i="6" s="1"/>
  <c r="AJ74" i="6"/>
  <c r="AJ185" i="6" s="1"/>
  <c r="AJ71" i="6"/>
  <c r="AJ182" i="6" s="1"/>
  <c r="AJ206" i="6"/>
  <c r="AJ76" i="6"/>
  <c r="AJ187" i="6" s="1"/>
  <c r="AJ222" i="6"/>
  <c r="AJ221" i="6"/>
  <c r="AJ216" i="6"/>
  <c r="AJ218" i="6"/>
  <c r="AJ220" i="6"/>
  <c r="AJ219" i="6"/>
  <c r="AJ217" i="6"/>
  <c r="AJ5" i="6"/>
  <c r="AJ264" i="6" s="1"/>
  <c r="AJ13" i="6"/>
  <c r="AJ247" i="6" s="1"/>
  <c r="AJ3" i="6"/>
  <c r="AX13" i="6"/>
  <c r="AX247" i="6" s="1"/>
  <c r="AX4" i="6"/>
  <c r="AX7" i="6" s="1"/>
  <c r="AX30" i="6" s="1" a="1"/>
  <c r="AX30" i="6" s="1"/>
  <c r="AX281" i="6" s="1"/>
  <c r="AX33" i="6"/>
  <c r="AX144" i="6" s="1"/>
  <c r="AX39" i="6"/>
  <c r="AX150" i="6" s="1"/>
  <c r="AX37" i="6"/>
  <c r="AX148" i="6" s="1"/>
  <c r="AX41" i="6"/>
  <c r="AX152" i="6" s="1"/>
  <c r="AX42" i="6"/>
  <c r="AX153" i="6" s="1"/>
  <c r="AX36" i="6"/>
  <c r="AX147" i="6" s="1"/>
  <c r="AX44" i="6"/>
  <c r="AX155" i="6" s="1"/>
  <c r="AX48" i="6"/>
  <c r="AX159" i="6" s="1"/>
  <c r="AX34" i="6"/>
  <c r="AX145" i="6" s="1"/>
  <c r="AX35" i="6"/>
  <c r="AX146" i="6" s="1"/>
  <c r="AX49" i="6"/>
  <c r="AX160" i="6" s="1"/>
  <c r="AX38" i="6"/>
  <c r="AX149" i="6" s="1"/>
  <c r="AX40" i="6"/>
  <c r="AX151" i="6" s="1"/>
  <c r="AX50" i="6"/>
  <c r="AX161" i="6" s="1"/>
  <c r="AX51" i="6"/>
  <c r="AX162" i="6" s="1"/>
  <c r="AX233" i="6" s="1"/>
  <c r="AX43" i="6"/>
  <c r="AX154" i="6" s="1"/>
  <c r="AX232" i="6" s="1"/>
  <c r="AX45" i="6"/>
  <c r="AX156" i="6" s="1"/>
  <c r="AX46" i="6"/>
  <c r="AX157" i="6" s="1"/>
  <c r="AX47" i="6"/>
  <c r="AX158" i="6" s="1"/>
  <c r="AX16" i="6"/>
  <c r="AX253" i="6" s="1"/>
  <c r="AX52" i="6"/>
  <c r="AX163" i="6" s="1"/>
  <c r="AX234" i="6" s="1"/>
  <c r="AX56" i="6"/>
  <c r="AX167" i="6" s="1"/>
  <c r="AX64" i="6"/>
  <c r="AX175" i="6" s="1"/>
  <c r="AX276" i="6" s="1"/>
  <c r="AX53" i="6"/>
  <c r="AX164" i="6" s="1"/>
  <c r="AX235" i="6" s="1"/>
  <c r="AX61" i="6"/>
  <c r="AX172" i="6" s="1"/>
  <c r="AX58" i="6"/>
  <c r="AX169" i="6" s="1"/>
  <c r="AX66" i="6"/>
  <c r="AX177" i="6" s="1"/>
  <c r="AX55" i="6"/>
  <c r="AX166" i="6" s="1"/>
  <c r="AX237" i="6" s="1"/>
  <c r="AX63" i="6"/>
  <c r="AX174" i="6" s="1"/>
  <c r="AX60" i="6"/>
  <c r="AX171" i="6" s="1"/>
  <c r="AX68" i="6"/>
  <c r="AX179" i="6" s="1"/>
  <c r="AX57" i="6"/>
  <c r="AX168" i="6" s="1"/>
  <c r="AX65" i="6"/>
  <c r="AX176" i="6" s="1"/>
  <c r="AX54" i="6"/>
  <c r="AX165" i="6" s="1"/>
  <c r="AX236" i="6" s="1"/>
  <c r="AX62" i="6"/>
  <c r="AX173" i="6" s="1"/>
  <c r="AX67" i="6"/>
  <c r="AX178" i="6" s="1"/>
  <c r="AX75" i="6"/>
  <c r="AX186" i="6" s="1"/>
  <c r="AX72" i="6"/>
  <c r="AX183" i="6" s="1"/>
  <c r="AX77" i="6"/>
  <c r="AX188" i="6" s="1"/>
  <c r="AX59" i="6"/>
  <c r="AX170" i="6" s="1"/>
  <c r="AX74" i="6"/>
  <c r="AX185" i="6" s="1"/>
  <c r="AX71" i="6"/>
  <c r="AX182" i="6" s="1"/>
  <c r="AX76" i="6"/>
  <c r="AX187" i="6" s="1"/>
  <c r="AX69" i="6"/>
  <c r="AX180" i="6" s="1"/>
  <c r="AX73" i="6"/>
  <c r="AX184" i="6" s="1"/>
  <c r="AX78" i="6"/>
  <c r="AX189" i="6" s="1"/>
  <c r="AX70" i="6"/>
  <c r="AX181" i="6" s="1"/>
  <c r="AX206" i="6"/>
  <c r="AX220" i="6"/>
  <c r="AX217" i="6"/>
  <c r="AX222" i="6"/>
  <c r="AX219" i="6"/>
  <c r="AX216" i="6"/>
  <c r="AX224" i="6" s="1"/>
  <c r="AX218" i="6"/>
  <c r="AX221" i="6"/>
  <c r="AX9" i="6"/>
  <c r="AX14" i="6"/>
  <c r="AX246" i="6" s="1"/>
  <c r="AX5" i="6"/>
  <c r="AX264" i="6" s="1"/>
  <c r="AX3" i="6"/>
  <c r="AX15" i="6"/>
  <c r="AX250" i="6" s="1"/>
  <c r="AM41" i="6"/>
  <c r="AM152" i="6" s="1"/>
  <c r="AM40" i="6"/>
  <c r="AM151" i="6" s="1"/>
  <c r="AM44" i="6"/>
  <c r="AM155" i="6" s="1"/>
  <c r="AM49" i="6"/>
  <c r="AM160" i="6" s="1"/>
  <c r="AM37" i="6"/>
  <c r="AM148" i="6" s="1"/>
  <c r="AM50" i="6"/>
  <c r="AM161" i="6" s="1"/>
  <c r="AM16" i="6"/>
  <c r="AM253" i="6" s="1"/>
  <c r="AM34" i="6"/>
  <c r="AM145" i="6" s="1"/>
  <c r="AM36" i="6"/>
  <c r="AM147" i="6" s="1"/>
  <c r="AM51" i="6"/>
  <c r="AM162" i="6" s="1"/>
  <c r="AM233" i="6" s="1"/>
  <c r="AM3" i="6"/>
  <c r="AM35" i="6"/>
  <c r="AM146" i="6" s="1"/>
  <c r="AM38" i="6"/>
  <c r="AM149" i="6" s="1"/>
  <c r="AM46" i="6"/>
  <c r="AM157" i="6" s="1"/>
  <c r="AM47" i="6"/>
  <c r="AM158" i="6" s="1"/>
  <c r="AM5" i="6"/>
  <c r="AM264" i="6" s="1"/>
  <c r="AM15" i="6"/>
  <c r="AM250" i="6" s="1"/>
  <c r="AM43" i="6"/>
  <c r="AM154" i="6" s="1"/>
  <c r="AM232" i="6" s="1"/>
  <c r="AM45" i="6"/>
  <c r="AM156" i="6" s="1"/>
  <c r="AM33" i="6"/>
  <c r="AM144" i="6" s="1"/>
  <c r="AM39" i="6"/>
  <c r="AM150" i="6" s="1"/>
  <c r="AM42" i="6"/>
  <c r="AM153" i="6" s="1"/>
  <c r="AM48" i="6"/>
  <c r="AM159" i="6" s="1"/>
  <c r="AM55" i="6"/>
  <c r="AM166" i="6" s="1"/>
  <c r="AM237" i="6" s="1"/>
  <c r="AM63" i="6"/>
  <c r="AM174" i="6" s="1"/>
  <c r="AM60" i="6"/>
  <c r="AM171" i="6" s="1"/>
  <c r="AM68" i="6"/>
  <c r="AM179" i="6" s="1"/>
  <c r="AM57" i="6"/>
  <c r="AM168" i="6" s="1"/>
  <c r="AM65" i="6"/>
  <c r="AM176" i="6" s="1"/>
  <c r="AM54" i="6"/>
  <c r="AM165" i="6" s="1"/>
  <c r="AM236" i="6" s="1"/>
  <c r="AM62" i="6"/>
  <c r="AM173" i="6" s="1"/>
  <c r="AM59" i="6"/>
  <c r="AM170" i="6" s="1"/>
  <c r="AM67" i="6"/>
  <c r="AM178" i="6" s="1"/>
  <c r="AM52" i="6"/>
  <c r="AM163" i="6" s="1"/>
  <c r="AM234" i="6" s="1"/>
  <c r="AM56" i="6"/>
  <c r="AM167" i="6" s="1"/>
  <c r="AM64" i="6"/>
  <c r="AM175" i="6" s="1"/>
  <c r="AM276" i="6" s="1"/>
  <c r="AM61" i="6"/>
  <c r="AM172" i="6" s="1"/>
  <c r="AM69" i="6"/>
  <c r="AM180" i="6" s="1"/>
  <c r="AM74" i="6"/>
  <c r="AM185" i="6" s="1"/>
  <c r="AM71" i="6"/>
  <c r="AM182" i="6" s="1"/>
  <c r="AM66" i="6"/>
  <c r="AM177" i="6" s="1"/>
  <c r="AM76" i="6"/>
  <c r="AM187" i="6" s="1"/>
  <c r="AM73" i="6"/>
  <c r="AM184" i="6" s="1"/>
  <c r="AM70" i="6"/>
  <c r="AM181" i="6" s="1"/>
  <c r="AM78" i="6"/>
  <c r="AM189" i="6" s="1"/>
  <c r="AM58" i="6"/>
  <c r="AM169" i="6" s="1"/>
  <c r="AM75" i="6"/>
  <c r="AM186" i="6" s="1"/>
  <c r="AM53" i="6"/>
  <c r="AM164" i="6" s="1"/>
  <c r="AM235" i="6" s="1"/>
  <c r="AM72" i="6"/>
  <c r="AM183" i="6" s="1"/>
  <c r="AM77" i="6"/>
  <c r="AM188" i="6" s="1"/>
  <c r="AM206" i="6"/>
  <c r="AM218" i="6"/>
  <c r="AM222" i="6"/>
  <c r="AM217" i="6"/>
  <c r="AM219" i="6"/>
  <c r="AM221" i="6"/>
  <c r="AM216" i="6"/>
  <c r="AM220" i="6"/>
  <c r="AM228" i="6" s="1"/>
  <c r="AM9" i="6"/>
  <c r="AM14" i="6"/>
  <c r="AM246" i="6" s="1"/>
  <c r="AM13" i="6"/>
  <c r="AM247" i="6" s="1"/>
  <c r="AM4" i="6"/>
  <c r="AM7" i="6" s="1"/>
  <c r="AM30" i="6" s="1" a="1"/>
  <c r="AM30" i="6" s="1"/>
  <c r="AM281" i="6" s="1"/>
  <c r="AW37" i="6"/>
  <c r="AW148" i="6" s="1"/>
  <c r="AW41" i="6"/>
  <c r="AW152" i="6" s="1"/>
  <c r="AW42" i="6"/>
  <c r="AW153" i="6" s="1"/>
  <c r="AW15" i="6"/>
  <c r="AW250" i="6" s="1"/>
  <c r="AW36" i="6"/>
  <c r="AW147" i="6" s="1"/>
  <c r="AW44" i="6"/>
  <c r="AW155" i="6" s="1"/>
  <c r="AW48" i="6"/>
  <c r="AW159" i="6" s="1"/>
  <c r="AW34" i="6"/>
  <c r="AW145" i="6" s="1"/>
  <c r="AW35" i="6"/>
  <c r="AW146" i="6" s="1"/>
  <c r="AW49" i="6"/>
  <c r="AW160" i="6" s="1"/>
  <c r="AW14" i="6"/>
  <c r="AW246" i="6" s="1"/>
  <c r="AW38" i="6"/>
  <c r="AW149" i="6" s="1"/>
  <c r="AW40" i="6"/>
  <c r="AW151" i="6" s="1"/>
  <c r="AW50" i="6"/>
  <c r="AW161" i="6" s="1"/>
  <c r="AW51" i="6"/>
  <c r="AW162" i="6" s="1"/>
  <c r="AW233" i="6" s="1"/>
  <c r="AW43" i="6"/>
  <c r="AW154" i="6" s="1"/>
  <c r="AW232" i="6" s="1"/>
  <c r="AW45" i="6"/>
  <c r="AW156" i="6" s="1"/>
  <c r="AW46" i="6"/>
  <c r="AW157" i="6" s="1"/>
  <c r="AW47" i="6"/>
  <c r="AW158" i="6" s="1"/>
  <c r="AW13" i="6"/>
  <c r="AW247" i="6" s="1"/>
  <c r="AW3" i="6"/>
  <c r="AW33" i="6"/>
  <c r="AW144" i="6" s="1"/>
  <c r="AW39" i="6"/>
  <c r="AW150" i="6" s="1"/>
  <c r="AW53" i="6"/>
  <c r="AW164" i="6" s="1"/>
  <c r="AW235" i="6" s="1"/>
  <c r="AW61" i="6"/>
  <c r="AW172" i="6" s="1"/>
  <c r="AW69" i="6"/>
  <c r="AW180" i="6" s="1"/>
  <c r="AW58" i="6"/>
  <c r="AW169" i="6" s="1"/>
  <c r="AW66" i="6"/>
  <c r="AW177" i="6" s="1"/>
  <c r="AW55" i="6"/>
  <c r="AW166" i="6" s="1"/>
  <c r="AW237" i="6" s="1"/>
  <c r="AW63" i="6"/>
  <c r="AW174" i="6" s="1"/>
  <c r="AW60" i="6"/>
  <c r="AW171" i="6" s="1"/>
  <c r="AW68" i="6"/>
  <c r="AW179" i="6" s="1"/>
  <c r="AW57" i="6"/>
  <c r="AW168" i="6" s="1"/>
  <c r="AW65" i="6"/>
  <c r="AW176" i="6" s="1"/>
  <c r="AW54" i="6"/>
  <c r="AW165" i="6" s="1"/>
  <c r="AW236" i="6" s="1"/>
  <c r="AW62" i="6"/>
  <c r="AW173" i="6" s="1"/>
  <c r="AW59" i="6"/>
  <c r="AW170" i="6" s="1"/>
  <c r="AW67" i="6"/>
  <c r="AW178" i="6" s="1"/>
  <c r="AW72" i="6"/>
  <c r="AW183" i="6" s="1"/>
  <c r="AW77" i="6"/>
  <c r="AW188" i="6" s="1"/>
  <c r="AW64" i="6"/>
  <c r="AW175" i="6" s="1"/>
  <c r="AW249" i="6" s="1"/>
  <c r="AW74" i="6"/>
  <c r="AW185" i="6" s="1"/>
  <c r="AW52" i="6"/>
  <c r="AW163" i="6" s="1"/>
  <c r="AW234" i="6" s="1"/>
  <c r="AW71" i="6"/>
  <c r="AW182" i="6" s="1"/>
  <c r="AW76" i="6"/>
  <c r="AW187" i="6" s="1"/>
  <c r="AW56" i="6"/>
  <c r="AW167" i="6" s="1"/>
  <c r="AW73" i="6"/>
  <c r="AW184" i="6" s="1"/>
  <c r="AW70" i="6"/>
  <c r="AW181" i="6" s="1"/>
  <c r="AW78" i="6"/>
  <c r="AW189" i="6" s="1"/>
  <c r="AW75" i="6"/>
  <c r="AW186" i="6" s="1"/>
  <c r="AW206" i="6"/>
  <c r="AW216" i="6"/>
  <c r="AW221" i="6"/>
  <c r="AW229" i="6" s="1"/>
  <c r="AW220" i="6"/>
  <c r="AW217" i="6"/>
  <c r="AW222" i="6"/>
  <c r="AW219" i="6"/>
  <c r="AW218" i="6"/>
  <c r="AW4" i="6"/>
  <c r="AW7" i="6" s="1"/>
  <c r="AW30" i="6" s="1" a="1"/>
  <c r="AW30" i="6" s="1"/>
  <c r="AW281" i="6" s="1"/>
  <c r="AW5" i="6"/>
  <c r="AW264" i="6" s="1"/>
  <c r="AW16" i="6"/>
  <c r="AW253" i="6" s="1"/>
  <c r="AW9" i="6"/>
  <c r="O47" i="6"/>
  <c r="O158" i="6" s="1"/>
  <c r="M33" i="6"/>
  <c r="M144" i="6" s="1"/>
  <c r="AB41" i="6"/>
  <c r="AB152" i="6" s="1"/>
  <c r="AB49" i="6"/>
  <c r="AB160" i="6" s="1"/>
  <c r="AB15" i="6"/>
  <c r="AB250" i="6" s="1"/>
  <c r="AB44" i="6"/>
  <c r="AB155" i="6" s="1"/>
  <c r="AB50" i="6"/>
  <c r="AB161" i="6" s="1"/>
  <c r="AB46" i="6"/>
  <c r="AB157" i="6" s="1"/>
  <c r="AB47" i="6"/>
  <c r="AB158" i="6" s="1"/>
  <c r="AB51" i="6"/>
  <c r="AB162" i="6" s="1"/>
  <c r="AB233" i="6" s="1"/>
  <c r="AB4" i="6"/>
  <c r="AB7" i="6" s="1"/>
  <c r="AB30" i="6" s="1" a="1"/>
  <c r="AB30" i="6" s="1"/>
  <c r="AB281" i="6" s="1"/>
  <c r="AB14" i="6"/>
  <c r="AB246" i="6" s="1"/>
  <c r="AB34" i="6"/>
  <c r="AB145" i="6" s="1"/>
  <c r="AB37" i="6"/>
  <c r="AB148" i="6" s="1"/>
  <c r="AB38" i="6"/>
  <c r="AB149" i="6" s="1"/>
  <c r="AB36" i="6"/>
  <c r="AB147" i="6" s="1"/>
  <c r="AB48" i="6"/>
  <c r="AB159" i="6" s="1"/>
  <c r="AB35" i="6"/>
  <c r="AB146" i="6" s="1"/>
  <c r="AB43" i="6"/>
  <c r="AB154" i="6" s="1"/>
  <c r="AB232" i="6" s="1"/>
  <c r="AB45" i="6"/>
  <c r="AB156" i="6" s="1"/>
  <c r="AB40" i="6"/>
  <c r="AB151" i="6" s="1"/>
  <c r="AB42" i="6"/>
  <c r="AB153" i="6" s="1"/>
  <c r="AB16" i="6"/>
  <c r="AB253" i="6" s="1"/>
  <c r="AB33" i="6"/>
  <c r="AB144" i="6" s="1"/>
  <c r="AB39" i="6"/>
  <c r="AB150" i="6" s="1"/>
  <c r="AB54" i="6"/>
  <c r="AB165" i="6" s="1"/>
  <c r="AB236" i="6" s="1"/>
  <c r="AB62" i="6"/>
  <c r="AB173" i="6" s="1"/>
  <c r="AB59" i="6"/>
  <c r="AB170" i="6" s="1"/>
  <c r="AB67" i="6"/>
  <c r="AB178" i="6" s="1"/>
  <c r="AB52" i="6"/>
  <c r="AB163" i="6" s="1"/>
  <c r="AB234" i="6" s="1"/>
  <c r="AB56" i="6"/>
  <c r="AB167" i="6" s="1"/>
  <c r="AB64" i="6"/>
  <c r="AB175" i="6" s="1"/>
  <c r="AB249" i="6" s="1"/>
  <c r="AB61" i="6"/>
  <c r="AB172" i="6" s="1"/>
  <c r="AB69" i="6"/>
  <c r="AB180" i="6" s="1"/>
  <c r="AB58" i="6"/>
  <c r="AB169" i="6" s="1"/>
  <c r="AB66" i="6"/>
  <c r="AB177" i="6" s="1"/>
  <c r="AB55" i="6"/>
  <c r="AB166" i="6" s="1"/>
  <c r="AB237" i="6" s="1"/>
  <c r="AB63" i="6"/>
  <c r="AB174" i="6" s="1"/>
  <c r="AB53" i="6"/>
  <c r="AB164" i="6" s="1"/>
  <c r="AB235" i="6" s="1"/>
  <c r="AB60" i="6"/>
  <c r="AB171" i="6" s="1"/>
  <c r="AB68" i="6"/>
  <c r="AB179" i="6" s="1"/>
  <c r="AB73" i="6"/>
  <c r="AB184" i="6" s="1"/>
  <c r="AB78" i="6"/>
  <c r="AB189" i="6" s="1"/>
  <c r="AB70" i="6"/>
  <c r="AB181" i="6" s="1"/>
  <c r="AB75" i="6"/>
  <c r="AB186" i="6" s="1"/>
  <c r="AB72" i="6"/>
  <c r="AB183" i="6" s="1"/>
  <c r="AB65" i="6"/>
  <c r="AB176" i="6" s="1"/>
  <c r="AB77" i="6"/>
  <c r="AB188" i="6" s="1"/>
  <c r="AB74" i="6"/>
  <c r="AB185" i="6" s="1"/>
  <c r="AB71" i="6"/>
  <c r="AB182" i="6" s="1"/>
  <c r="AB57" i="6"/>
  <c r="AB168" i="6" s="1"/>
  <c r="AB76" i="6"/>
  <c r="AB187" i="6" s="1"/>
  <c r="AB206" i="6"/>
  <c r="AB218" i="6"/>
  <c r="AB222" i="6"/>
  <c r="AB230" i="6" s="1"/>
  <c r="AB221" i="6"/>
  <c r="AB217" i="6"/>
  <c r="AB220" i="6"/>
  <c r="AB219" i="6"/>
  <c r="AB216" i="6"/>
  <c r="AB5" i="6"/>
  <c r="AB13" i="6"/>
  <c r="AB247" i="6" s="1"/>
  <c r="AB3" i="6"/>
  <c r="AP13" i="6"/>
  <c r="AP247" i="6" s="1"/>
  <c r="AP43" i="6"/>
  <c r="AP154" i="6" s="1"/>
  <c r="AP232" i="6" s="1"/>
  <c r="AP45" i="6"/>
  <c r="AP156" i="6" s="1"/>
  <c r="AP33" i="6"/>
  <c r="AP144" i="6" s="1"/>
  <c r="AP39" i="6"/>
  <c r="AP150" i="6" s="1"/>
  <c r="AP42" i="6"/>
  <c r="AP153" i="6" s="1"/>
  <c r="AP48" i="6"/>
  <c r="AP159" i="6" s="1"/>
  <c r="AP41" i="6"/>
  <c r="AP152" i="6" s="1"/>
  <c r="AP16" i="6"/>
  <c r="AP253" i="6" s="1"/>
  <c r="AP37" i="6"/>
  <c r="AP148" i="6" s="1"/>
  <c r="AP40" i="6"/>
  <c r="AP151" i="6" s="1"/>
  <c r="AP44" i="6"/>
  <c r="AP155" i="6" s="1"/>
  <c r="AP49" i="6"/>
  <c r="AP160" i="6" s="1"/>
  <c r="AP34" i="6"/>
  <c r="AP145" i="6" s="1"/>
  <c r="AP36" i="6"/>
  <c r="AP147" i="6" s="1"/>
  <c r="AP50" i="6"/>
  <c r="AP161" i="6" s="1"/>
  <c r="AP4" i="6"/>
  <c r="AP7" i="6" s="1"/>
  <c r="AP30" i="6" s="1" a="1"/>
  <c r="AP30" i="6" s="1"/>
  <c r="AP281" i="6" s="1"/>
  <c r="AP35" i="6"/>
  <c r="AP146" i="6" s="1"/>
  <c r="AP38" i="6"/>
  <c r="AP149" i="6" s="1"/>
  <c r="AP51" i="6"/>
  <c r="AP162" i="6" s="1"/>
  <c r="AP233" i="6" s="1"/>
  <c r="AP46" i="6"/>
  <c r="AP157" i="6" s="1"/>
  <c r="AP47" i="6"/>
  <c r="AP158" i="6" s="1"/>
  <c r="AP52" i="6"/>
  <c r="AP163" i="6" s="1"/>
  <c r="AP234" i="6" s="1"/>
  <c r="AP56" i="6"/>
  <c r="AP167" i="6" s="1"/>
  <c r="AP64" i="6"/>
  <c r="AP175" i="6" s="1"/>
  <c r="AP276" i="6" s="1"/>
  <c r="AP61" i="6"/>
  <c r="AP172" i="6" s="1"/>
  <c r="AP53" i="6"/>
  <c r="AP164" i="6" s="1"/>
  <c r="AP235" i="6" s="1"/>
  <c r="AP58" i="6"/>
  <c r="AP169" i="6" s="1"/>
  <c r="AP66" i="6"/>
  <c r="AP177" i="6" s="1"/>
  <c r="AP55" i="6"/>
  <c r="AP166" i="6" s="1"/>
  <c r="AP237" i="6" s="1"/>
  <c r="AP63" i="6"/>
  <c r="AP174" i="6" s="1"/>
  <c r="AP60" i="6"/>
  <c r="AP171" i="6" s="1"/>
  <c r="AP68" i="6"/>
  <c r="AP179" i="6" s="1"/>
  <c r="AP57" i="6"/>
  <c r="AP168" i="6" s="1"/>
  <c r="AP65" i="6"/>
  <c r="AP176" i="6" s="1"/>
  <c r="AP54" i="6"/>
  <c r="AP165" i="6" s="1"/>
  <c r="AP236" i="6" s="1"/>
  <c r="AP62" i="6"/>
  <c r="AP173" i="6" s="1"/>
  <c r="AP75" i="6"/>
  <c r="AP186" i="6" s="1"/>
  <c r="AP72" i="6"/>
  <c r="AP183" i="6" s="1"/>
  <c r="AP59" i="6"/>
  <c r="AP170" i="6" s="1"/>
  <c r="AP77" i="6"/>
  <c r="AP188" i="6" s="1"/>
  <c r="AP74" i="6"/>
  <c r="AP185" i="6" s="1"/>
  <c r="AP69" i="6"/>
  <c r="AP180" i="6" s="1"/>
  <c r="AP71" i="6"/>
  <c r="AP182" i="6" s="1"/>
  <c r="AP76" i="6"/>
  <c r="AP187" i="6" s="1"/>
  <c r="AP73" i="6"/>
  <c r="AP184" i="6" s="1"/>
  <c r="AP67" i="6"/>
  <c r="AP178" i="6" s="1"/>
  <c r="AP78" i="6"/>
  <c r="AP189" i="6" s="1"/>
  <c r="AP70" i="6"/>
  <c r="AP181" i="6" s="1"/>
  <c r="AP206" i="6"/>
  <c r="AP216" i="6"/>
  <c r="AP220" i="6"/>
  <c r="AP222" i="6"/>
  <c r="AP218" i="6"/>
  <c r="AP221" i="6"/>
  <c r="AP219" i="6"/>
  <c r="AP217" i="6"/>
  <c r="AP15" i="6"/>
  <c r="AP250" i="6" s="1"/>
  <c r="AP14" i="6"/>
  <c r="AP246" i="6" s="1"/>
  <c r="AP5" i="6"/>
  <c r="AP264" i="6" s="1"/>
  <c r="AP9" i="6"/>
  <c r="AP3" i="6"/>
  <c r="AE16" i="6"/>
  <c r="AE253" i="6" s="1"/>
  <c r="AE39" i="6"/>
  <c r="AE150" i="6" s="1"/>
  <c r="AE40" i="6"/>
  <c r="AE151" i="6" s="1"/>
  <c r="AE3" i="6"/>
  <c r="AE15" i="6"/>
  <c r="AE250" i="6" s="1"/>
  <c r="AE41" i="6"/>
  <c r="AE152" i="6" s="1"/>
  <c r="AE49" i="6"/>
  <c r="AE160" i="6" s="1"/>
  <c r="AE5" i="6"/>
  <c r="AE44" i="6"/>
  <c r="AE155" i="6" s="1"/>
  <c r="AE51" i="6"/>
  <c r="AE162" i="6" s="1"/>
  <c r="AE233" i="6" s="1"/>
  <c r="AE46" i="6"/>
  <c r="AE157" i="6" s="1"/>
  <c r="AE47" i="6"/>
  <c r="AE158" i="6" s="1"/>
  <c r="AE35" i="6"/>
  <c r="AE146" i="6" s="1"/>
  <c r="AE43" i="6"/>
  <c r="AE154" i="6" s="1"/>
  <c r="AE232" i="6" s="1"/>
  <c r="AE45" i="6"/>
  <c r="AE156" i="6" s="1"/>
  <c r="AE48" i="6"/>
  <c r="AE159" i="6" s="1"/>
  <c r="AE53" i="6"/>
  <c r="AE164" i="6" s="1"/>
  <c r="AE235" i="6" s="1"/>
  <c r="AE63" i="6"/>
  <c r="AE174" i="6" s="1"/>
  <c r="AE60" i="6"/>
  <c r="AE171" i="6" s="1"/>
  <c r="AE68" i="6"/>
  <c r="AE179" i="6" s="1"/>
  <c r="AE57" i="6"/>
  <c r="AE168" i="6" s="1"/>
  <c r="AE65" i="6"/>
  <c r="AE176" i="6" s="1"/>
  <c r="AE62" i="6"/>
  <c r="AE173" i="6" s="1"/>
  <c r="AE59" i="6"/>
  <c r="AE170" i="6" s="1"/>
  <c r="AE67" i="6"/>
  <c r="AE178" i="6" s="1"/>
  <c r="AE52" i="6"/>
  <c r="AE163" i="6" s="1"/>
  <c r="AE234" i="6" s="1"/>
  <c r="AE56" i="6"/>
  <c r="AE167" i="6" s="1"/>
  <c r="AE64" i="6"/>
  <c r="AE175" i="6" s="1"/>
  <c r="AE249" i="6" s="1"/>
  <c r="AE61" i="6"/>
  <c r="AE172" i="6" s="1"/>
  <c r="AE69" i="6"/>
  <c r="AE180" i="6" s="1"/>
  <c r="AE74" i="6"/>
  <c r="AE185" i="6" s="1"/>
  <c r="AE66" i="6"/>
  <c r="AE177" i="6" s="1"/>
  <c r="AE71" i="6"/>
  <c r="AE182" i="6" s="1"/>
  <c r="AE76" i="6"/>
  <c r="AE187" i="6" s="1"/>
  <c r="AE73" i="6"/>
  <c r="AE184" i="6" s="1"/>
  <c r="AE58" i="6"/>
  <c r="AE169" i="6" s="1"/>
  <c r="AE78" i="6"/>
  <c r="AE189" i="6" s="1"/>
  <c r="AE70" i="6"/>
  <c r="AE181" i="6" s="1"/>
  <c r="AE75" i="6"/>
  <c r="AE186" i="6" s="1"/>
  <c r="AE72" i="6"/>
  <c r="AE183" i="6" s="1"/>
  <c r="AE77" i="6"/>
  <c r="AE188" i="6" s="1"/>
  <c r="AE206" i="6"/>
  <c r="AE216" i="6"/>
  <c r="AE222" i="6"/>
  <c r="AE219" i="6"/>
  <c r="AE217" i="6"/>
  <c r="AE221" i="6"/>
  <c r="AE218" i="6"/>
  <c r="AE226" i="6" s="1"/>
  <c r="AE220" i="6"/>
  <c r="AE13" i="6"/>
  <c r="AE247" i="6" s="1"/>
  <c r="AE4" i="6"/>
  <c r="AE7" i="6" s="1"/>
  <c r="AE30" i="6" s="1" a="1"/>
  <c r="AE30" i="6" s="1"/>
  <c r="AE281" i="6" s="1"/>
  <c r="AE14" i="6"/>
  <c r="AE246" i="6" s="1"/>
  <c r="M49" i="6"/>
  <c r="M160" i="6" s="1"/>
  <c r="AS38" i="6"/>
  <c r="AS149" i="6" s="1"/>
  <c r="AS46" i="6"/>
  <c r="AS157" i="6" s="1"/>
  <c r="AS47" i="6"/>
  <c r="AS158" i="6" s="1"/>
  <c r="AS48" i="6"/>
  <c r="AS159" i="6" s="1"/>
  <c r="AS40" i="6"/>
  <c r="AS151" i="6" s="1"/>
  <c r="AS57" i="6"/>
  <c r="AS168" i="6" s="1"/>
  <c r="AS65" i="6"/>
  <c r="AS176" i="6" s="1"/>
  <c r="AS54" i="6"/>
  <c r="AS165" i="6" s="1"/>
  <c r="AS236" i="6" s="1"/>
  <c r="AS62" i="6"/>
  <c r="AS173" i="6" s="1"/>
  <c r="AS59" i="6"/>
  <c r="AS170" i="6" s="1"/>
  <c r="AS67" i="6"/>
  <c r="AS178" i="6" s="1"/>
  <c r="AS52" i="6"/>
  <c r="AS163" i="6" s="1"/>
  <c r="AS234" i="6" s="1"/>
  <c r="AS56" i="6"/>
  <c r="AS167" i="6" s="1"/>
  <c r="AS64" i="6"/>
  <c r="AS175" i="6" s="1"/>
  <c r="AS249" i="6" s="1"/>
  <c r="AS61" i="6"/>
  <c r="AS172" i="6" s="1"/>
  <c r="AS69" i="6"/>
  <c r="AS180" i="6" s="1"/>
  <c r="AS58" i="6"/>
  <c r="AS169" i="6" s="1"/>
  <c r="AS66" i="6"/>
  <c r="AS177" i="6" s="1"/>
  <c r="AS55" i="6"/>
  <c r="AS166" i="6" s="1"/>
  <c r="AS237" i="6" s="1"/>
  <c r="AS63" i="6"/>
  <c r="AS174" i="6" s="1"/>
  <c r="AS76" i="6"/>
  <c r="AS187" i="6" s="1"/>
  <c r="AS73" i="6"/>
  <c r="AS184" i="6" s="1"/>
  <c r="AS70" i="6"/>
  <c r="AS181" i="6" s="1"/>
  <c r="AS78" i="6"/>
  <c r="AS189" i="6" s="1"/>
  <c r="AS75" i="6"/>
  <c r="AS186" i="6" s="1"/>
  <c r="AS68" i="6"/>
  <c r="AS179" i="6" s="1"/>
  <c r="AS72" i="6"/>
  <c r="AS183" i="6" s="1"/>
  <c r="AS77" i="6"/>
  <c r="AS188" i="6" s="1"/>
  <c r="AS74" i="6"/>
  <c r="AS185" i="6" s="1"/>
  <c r="AS71" i="6"/>
  <c r="AS182" i="6" s="1"/>
  <c r="AS60" i="6"/>
  <c r="AS171" i="6" s="1"/>
  <c r="AS206" i="6"/>
  <c r="AS221" i="6"/>
  <c r="AS229" i="6" s="1"/>
  <c r="AS216" i="6"/>
  <c r="AS218" i="6"/>
  <c r="AS222" i="6"/>
  <c r="AS220" i="6"/>
  <c r="AS217" i="6"/>
  <c r="AS219" i="6"/>
  <c r="AS35" i="6"/>
  <c r="AS146" i="6" s="1"/>
  <c r="AS13" i="6"/>
  <c r="AS247" i="6" s="1"/>
  <c r="AS44" i="6"/>
  <c r="AS155" i="6" s="1"/>
  <c r="AS43" i="6"/>
  <c r="AS154" i="6" s="1"/>
  <c r="AS232" i="6" s="1"/>
  <c r="AS34" i="6"/>
  <c r="AS145" i="6" s="1"/>
  <c r="AS33" i="6"/>
  <c r="AS144" i="6" s="1"/>
  <c r="AS51" i="6"/>
  <c r="AS162" i="6" s="1"/>
  <c r="AS233" i="6" s="1"/>
  <c r="AS42" i="6"/>
  <c r="AS153" i="6" s="1"/>
  <c r="AS41" i="6"/>
  <c r="AS152" i="6" s="1"/>
  <c r="AS4" i="6"/>
  <c r="AS7" i="6" s="1"/>
  <c r="AS30" i="6" s="1" a="1"/>
  <c r="AS30" i="6" s="1"/>
  <c r="AS281" i="6" s="1"/>
  <c r="AS50" i="6"/>
  <c r="AS161" i="6" s="1"/>
  <c r="AS49" i="6"/>
  <c r="AS160" i="6" s="1"/>
  <c r="AS16" i="6"/>
  <c r="AS253" i="6" s="1"/>
  <c r="AS39" i="6"/>
  <c r="AS150" i="6" s="1"/>
  <c r="AS45" i="6"/>
  <c r="AS156" i="6" s="1"/>
  <c r="AS15" i="6"/>
  <c r="AS250" i="6" s="1"/>
  <c r="AS9" i="6"/>
  <c r="AS14" i="6"/>
  <c r="AS246" i="6" s="1"/>
  <c r="AS5" i="6"/>
  <c r="AS264" i="6" s="1"/>
  <c r="AS37" i="6"/>
  <c r="AS148" i="6" s="1"/>
  <c r="AS36" i="6"/>
  <c r="AS147" i="6" s="1"/>
  <c r="AS53" i="6"/>
  <c r="AS164" i="6" s="1"/>
  <c r="AS235" i="6" s="1"/>
  <c r="AS3" i="6"/>
  <c r="T14" i="6"/>
  <c r="T246" i="6" s="1"/>
  <c r="T35" i="6"/>
  <c r="T146" i="6" s="1"/>
  <c r="T4" i="6"/>
  <c r="T7" i="6" s="1"/>
  <c r="T30" i="6" s="1" a="1"/>
  <c r="T30" i="6" s="1"/>
  <c r="T281" i="6" s="1"/>
  <c r="T33" i="6"/>
  <c r="T144" i="6" s="1"/>
  <c r="T39" i="6"/>
  <c r="T150" i="6" s="1"/>
  <c r="T49" i="6"/>
  <c r="T160" i="6" s="1"/>
  <c r="T41" i="6"/>
  <c r="T152" i="6" s="1"/>
  <c r="T50" i="6"/>
  <c r="T161" i="6" s="1"/>
  <c r="T44" i="6"/>
  <c r="T155" i="6" s="1"/>
  <c r="T46" i="6"/>
  <c r="T157" i="6" s="1"/>
  <c r="T47" i="6"/>
  <c r="T158" i="6" s="1"/>
  <c r="T51" i="6"/>
  <c r="T162" i="6" s="1"/>
  <c r="T233" i="6" s="1"/>
  <c r="T16" i="6"/>
  <c r="T253" i="6" s="1"/>
  <c r="T48" i="6"/>
  <c r="T159" i="6" s="1"/>
  <c r="T34" i="6"/>
  <c r="T145" i="6" s="1"/>
  <c r="T38" i="6"/>
  <c r="T149" i="6" s="1"/>
  <c r="T15" i="6"/>
  <c r="T250" i="6" s="1"/>
  <c r="T37" i="6"/>
  <c r="T148" i="6" s="1"/>
  <c r="T40" i="6"/>
  <c r="T151" i="6" s="1"/>
  <c r="T36" i="6"/>
  <c r="T147" i="6" s="1"/>
  <c r="T42" i="6"/>
  <c r="T153" i="6" s="1"/>
  <c r="T43" i="6"/>
  <c r="T154" i="6" s="1"/>
  <c r="T232" i="6" s="1"/>
  <c r="T45" i="6"/>
  <c r="T156" i="6" s="1"/>
  <c r="T54" i="6"/>
  <c r="T165" i="6" s="1"/>
  <c r="T236" i="6" s="1"/>
  <c r="T62" i="6"/>
  <c r="T173" i="6" s="1"/>
  <c r="T70" i="6"/>
  <c r="T181" i="6" s="1"/>
  <c r="T59" i="6"/>
  <c r="T170" i="6" s="1"/>
  <c r="T67" i="6"/>
  <c r="T178" i="6" s="1"/>
  <c r="T56" i="6"/>
  <c r="T167" i="6" s="1"/>
  <c r="T64" i="6"/>
  <c r="T175" i="6" s="1"/>
  <c r="T249" i="6" s="1"/>
  <c r="T52" i="6"/>
  <c r="T163" i="6" s="1"/>
  <c r="T234" i="6" s="1"/>
  <c r="T61" i="6"/>
  <c r="T172" i="6" s="1"/>
  <c r="T69" i="6"/>
  <c r="T180" i="6" s="1"/>
  <c r="T58" i="6"/>
  <c r="T169" i="6" s="1"/>
  <c r="T66" i="6"/>
  <c r="T177" i="6" s="1"/>
  <c r="T55" i="6"/>
  <c r="T166" i="6" s="1"/>
  <c r="T237" i="6" s="1"/>
  <c r="T63" i="6"/>
  <c r="T174" i="6" s="1"/>
  <c r="T60" i="6"/>
  <c r="T171" i="6" s="1"/>
  <c r="T68" i="6"/>
  <c r="T179" i="6" s="1"/>
  <c r="T73" i="6"/>
  <c r="T184" i="6" s="1"/>
  <c r="T78" i="6"/>
  <c r="T189" i="6" s="1"/>
  <c r="T75" i="6"/>
  <c r="T186" i="6" s="1"/>
  <c r="T65" i="6"/>
  <c r="T176" i="6" s="1"/>
  <c r="T72" i="6"/>
  <c r="T183" i="6" s="1"/>
  <c r="T53" i="6"/>
  <c r="T164" i="6" s="1"/>
  <c r="T235" i="6" s="1"/>
  <c r="T77" i="6"/>
  <c r="T188" i="6" s="1"/>
  <c r="T74" i="6"/>
  <c r="T185" i="6" s="1"/>
  <c r="T57" i="6"/>
  <c r="T168" i="6" s="1"/>
  <c r="T71" i="6"/>
  <c r="T182" i="6" s="1"/>
  <c r="T76" i="6"/>
  <c r="T187" i="6" s="1"/>
  <c r="T206" i="6"/>
  <c r="T222" i="6"/>
  <c r="T230" i="6" s="1"/>
  <c r="T221" i="6"/>
  <c r="T216" i="6"/>
  <c r="T217" i="6"/>
  <c r="T220" i="6"/>
  <c r="T219" i="6"/>
  <c r="T218" i="6"/>
  <c r="T3" i="6"/>
  <c r="T13" i="6"/>
  <c r="T247" i="6" s="1"/>
  <c r="T5" i="6"/>
  <c r="AV3" i="6"/>
  <c r="AV44" i="6"/>
  <c r="AV155" i="6" s="1"/>
  <c r="AV48" i="6"/>
  <c r="AV159" i="6" s="1"/>
  <c r="AV49" i="6"/>
  <c r="AV160" i="6" s="1"/>
  <c r="AV40" i="6"/>
  <c r="AV151" i="6" s="1"/>
  <c r="AV50" i="6"/>
  <c r="AV161" i="6" s="1"/>
  <c r="AV51" i="6"/>
  <c r="AV162" i="6" s="1"/>
  <c r="AV233" i="6" s="1"/>
  <c r="AV43" i="6"/>
  <c r="AV154" i="6" s="1"/>
  <c r="AV232" i="6" s="1"/>
  <c r="AV45" i="6"/>
  <c r="AV156" i="6" s="1"/>
  <c r="AV46" i="6"/>
  <c r="AV157" i="6" s="1"/>
  <c r="AV47" i="6"/>
  <c r="AV158" i="6" s="1"/>
  <c r="AV33" i="6"/>
  <c r="AV144" i="6" s="1"/>
  <c r="AV39" i="6"/>
  <c r="AV150" i="6" s="1"/>
  <c r="AV41" i="6"/>
  <c r="AV152" i="6" s="1"/>
  <c r="AV42" i="6"/>
  <c r="AV153" i="6" s="1"/>
  <c r="AV58" i="6"/>
  <c r="AV169" i="6" s="1"/>
  <c r="AV66" i="6"/>
  <c r="AV177" i="6" s="1"/>
  <c r="AV55" i="6"/>
  <c r="AV166" i="6" s="1"/>
  <c r="AV237" i="6" s="1"/>
  <c r="AV63" i="6"/>
  <c r="AV174" i="6" s="1"/>
  <c r="AV60" i="6"/>
  <c r="AV171" i="6" s="1"/>
  <c r="AV68" i="6"/>
  <c r="AV179" i="6" s="1"/>
  <c r="AV57" i="6"/>
  <c r="AV168" i="6" s="1"/>
  <c r="AV65" i="6"/>
  <c r="AV176" i="6" s="1"/>
  <c r="AV54" i="6"/>
  <c r="AV165" i="6" s="1"/>
  <c r="AV236" i="6" s="1"/>
  <c r="AV62" i="6"/>
  <c r="AV173" i="6" s="1"/>
  <c r="AV59" i="6"/>
  <c r="AV170" i="6" s="1"/>
  <c r="AV67" i="6"/>
  <c r="AV178" i="6" s="1"/>
  <c r="AV52" i="6"/>
  <c r="AV163" i="6" s="1"/>
  <c r="AV234" i="6" s="1"/>
  <c r="AV56" i="6"/>
  <c r="AV167" i="6" s="1"/>
  <c r="AV64" i="6"/>
  <c r="AV175" i="6" s="1"/>
  <c r="AV249" i="6" s="1"/>
  <c r="AV77" i="6"/>
  <c r="AV188" i="6" s="1"/>
  <c r="AV74" i="6"/>
  <c r="AV185" i="6" s="1"/>
  <c r="AV71" i="6"/>
  <c r="AV182" i="6" s="1"/>
  <c r="AV76" i="6"/>
  <c r="AV187" i="6" s="1"/>
  <c r="AV61" i="6"/>
  <c r="AV172" i="6" s="1"/>
  <c r="AV73" i="6"/>
  <c r="AV184" i="6" s="1"/>
  <c r="AV69" i="6"/>
  <c r="AV180" i="6" s="1"/>
  <c r="AV70" i="6"/>
  <c r="AV181" i="6" s="1"/>
  <c r="AV78" i="6"/>
  <c r="AV189" i="6" s="1"/>
  <c r="AV75" i="6"/>
  <c r="AV186" i="6" s="1"/>
  <c r="AV53" i="6"/>
  <c r="AV164" i="6" s="1"/>
  <c r="AV235" i="6" s="1"/>
  <c r="AV72" i="6"/>
  <c r="AV183" i="6" s="1"/>
  <c r="AV216" i="6"/>
  <c r="AV218" i="6"/>
  <c r="AV217" i="6"/>
  <c r="AV222" i="6"/>
  <c r="AV219" i="6"/>
  <c r="AV206" i="6"/>
  <c r="AV221" i="6"/>
  <c r="AV220" i="6"/>
  <c r="AV37" i="6"/>
  <c r="AV148" i="6" s="1"/>
  <c r="AV4" i="6"/>
  <c r="AV7" i="6" s="1"/>
  <c r="AV30" i="6" s="1" a="1"/>
  <c r="AV30" i="6" s="1"/>
  <c r="AV281" i="6" s="1"/>
  <c r="AV35" i="6"/>
  <c r="AV146" i="6" s="1"/>
  <c r="AV38" i="6"/>
  <c r="AV149" i="6" s="1"/>
  <c r="AV5" i="6"/>
  <c r="AV264" i="6" s="1"/>
  <c r="AV15" i="6"/>
  <c r="AV250" i="6" s="1"/>
  <c r="AV9" i="6"/>
  <c r="AV34" i="6"/>
  <c r="AV145" i="6" s="1"/>
  <c r="AV13" i="6"/>
  <c r="AV247" i="6" s="1"/>
  <c r="AV14" i="6"/>
  <c r="AV246" i="6" s="1"/>
  <c r="AV36" i="6"/>
  <c r="AV147" i="6" s="1"/>
  <c r="AV16" i="6"/>
  <c r="AV253" i="6" s="1"/>
  <c r="M37" i="6"/>
  <c r="M148" i="6" s="1"/>
  <c r="E3" i="6"/>
  <c r="E217" i="6"/>
  <c r="E225" i="6" s="1"/>
  <c r="E216" i="6"/>
  <c r="E224" i="6" s="1"/>
  <c r="E222" i="6"/>
  <c r="E230" i="6" s="1"/>
  <c r="E4" i="6"/>
  <c r="E7" i="6" s="1"/>
  <c r="E30" i="6" s="1" a="1"/>
  <c r="E30" i="6" s="1"/>
  <c r="E281" i="6" s="1"/>
  <c r="E221" i="6"/>
  <c r="E229" i="6" s="1"/>
  <c r="E5" i="6"/>
  <c r="E220" i="6"/>
  <c r="E228" i="6" s="1"/>
  <c r="E206" i="6"/>
  <c r="E218" i="6"/>
  <c r="E226" i="6" s="1"/>
  <c r="E219" i="6"/>
  <c r="E227" i="6" s="1"/>
  <c r="E14" i="6"/>
  <c r="E246" i="6" s="1"/>
  <c r="E13" i="6"/>
  <c r="E247" i="6" s="1"/>
  <c r="E15" i="6"/>
  <c r="E250" i="6" s="1"/>
  <c r="E16" i="6"/>
  <c r="E253" i="6" s="1"/>
  <c r="AK38" i="6"/>
  <c r="AK149" i="6" s="1"/>
  <c r="AK46" i="6"/>
  <c r="AK157" i="6" s="1"/>
  <c r="AK47" i="6"/>
  <c r="AK158" i="6" s="1"/>
  <c r="AK5" i="6"/>
  <c r="AK264" i="6" s="1"/>
  <c r="AK48" i="6"/>
  <c r="AK159" i="6" s="1"/>
  <c r="AK40" i="6"/>
  <c r="AK151" i="6" s="1"/>
  <c r="AK57" i="6"/>
  <c r="AK168" i="6" s="1"/>
  <c r="AK65" i="6"/>
  <c r="AK176" i="6" s="1"/>
  <c r="AK54" i="6"/>
  <c r="AK165" i="6" s="1"/>
  <c r="AK236" i="6" s="1"/>
  <c r="AK62" i="6"/>
  <c r="AK173" i="6" s="1"/>
  <c r="AK59" i="6"/>
  <c r="AK170" i="6" s="1"/>
  <c r="AK67" i="6"/>
  <c r="AK178" i="6" s="1"/>
  <c r="AK52" i="6"/>
  <c r="AK163" i="6" s="1"/>
  <c r="AK234" i="6" s="1"/>
  <c r="AK56" i="6"/>
  <c r="AK167" i="6" s="1"/>
  <c r="AK64" i="6"/>
  <c r="AK175" i="6" s="1"/>
  <c r="AK249" i="6" s="1"/>
  <c r="AK61" i="6"/>
  <c r="AK172" i="6" s="1"/>
  <c r="AK69" i="6"/>
  <c r="AK180" i="6" s="1"/>
  <c r="AK58" i="6"/>
  <c r="AK169" i="6" s="1"/>
  <c r="AK66" i="6"/>
  <c r="AK177" i="6" s="1"/>
  <c r="AK55" i="6"/>
  <c r="AK166" i="6" s="1"/>
  <c r="AK237" i="6" s="1"/>
  <c r="AK63" i="6"/>
  <c r="AK174" i="6" s="1"/>
  <c r="AK76" i="6"/>
  <c r="AK187" i="6" s="1"/>
  <c r="AK73" i="6"/>
  <c r="AK184" i="6" s="1"/>
  <c r="AK70" i="6"/>
  <c r="AK181" i="6" s="1"/>
  <c r="AK78" i="6"/>
  <c r="AK189" i="6" s="1"/>
  <c r="AK68" i="6"/>
  <c r="AK179" i="6" s="1"/>
  <c r="AK75" i="6"/>
  <c r="AK186" i="6" s="1"/>
  <c r="AK72" i="6"/>
  <c r="AK183" i="6" s="1"/>
  <c r="AK77" i="6"/>
  <c r="AK188" i="6" s="1"/>
  <c r="AK60" i="6"/>
  <c r="AK171" i="6" s="1"/>
  <c r="AK74" i="6"/>
  <c r="AK185" i="6" s="1"/>
  <c r="AK71" i="6"/>
  <c r="AK182" i="6" s="1"/>
  <c r="AK206" i="6"/>
  <c r="AK217" i="6"/>
  <c r="AK221" i="6"/>
  <c r="AK216" i="6"/>
  <c r="AK220" i="6"/>
  <c r="AK222" i="6"/>
  <c r="AK219" i="6"/>
  <c r="AK218" i="6"/>
  <c r="AK4" i="6"/>
  <c r="AK7" i="6" s="1"/>
  <c r="AK30" i="6" s="1" a="1"/>
  <c r="AK30" i="6" s="1"/>
  <c r="AK281" i="6" s="1"/>
  <c r="AK50" i="6"/>
  <c r="AK161" i="6" s="1"/>
  <c r="AK49" i="6"/>
  <c r="AK160" i="6" s="1"/>
  <c r="AK16" i="6"/>
  <c r="AK253" i="6" s="1"/>
  <c r="AK39" i="6"/>
  <c r="AK150" i="6" s="1"/>
  <c r="AK37" i="6"/>
  <c r="AK148" i="6" s="1"/>
  <c r="AK3" i="6"/>
  <c r="AK45" i="6"/>
  <c r="AK156" i="6" s="1"/>
  <c r="AK15" i="6"/>
  <c r="AK250" i="6" s="1"/>
  <c r="AK14" i="6"/>
  <c r="AK246" i="6" s="1"/>
  <c r="AK53" i="6"/>
  <c r="AK164" i="6" s="1"/>
  <c r="AK235" i="6" s="1"/>
  <c r="AK36" i="6"/>
  <c r="AK147" i="6" s="1"/>
  <c r="AK43" i="6"/>
  <c r="AK154" i="6" s="1"/>
  <c r="AK232" i="6" s="1"/>
  <c r="AK34" i="6"/>
  <c r="AK145" i="6" s="1"/>
  <c r="AK33" i="6"/>
  <c r="AK144" i="6" s="1"/>
  <c r="AK13" i="6"/>
  <c r="AK247" i="6" s="1"/>
  <c r="AK42" i="6"/>
  <c r="AK153" i="6" s="1"/>
  <c r="AK44" i="6"/>
  <c r="AK155" i="6" s="1"/>
  <c r="AK41" i="6"/>
  <c r="AK152" i="6" s="1"/>
  <c r="AK35" i="6"/>
  <c r="AK146" i="6" s="1"/>
  <c r="AK51" i="6"/>
  <c r="AK162" i="6" s="1"/>
  <c r="AK233" i="6" s="1"/>
  <c r="AK9" i="6"/>
  <c r="AY9" i="6"/>
  <c r="AY42" i="6"/>
  <c r="AY153" i="6" s="1"/>
  <c r="AY48" i="6"/>
  <c r="AY159" i="6" s="1"/>
  <c r="AY34" i="6"/>
  <c r="AY145" i="6" s="1"/>
  <c r="AY49" i="6"/>
  <c r="AY160" i="6" s="1"/>
  <c r="AY40" i="6"/>
  <c r="AY151" i="6" s="1"/>
  <c r="AY50" i="6"/>
  <c r="AY161" i="6" s="1"/>
  <c r="AY51" i="6"/>
  <c r="AY162" i="6" s="1"/>
  <c r="AY233" i="6" s="1"/>
  <c r="AY59" i="6"/>
  <c r="AY170" i="6" s="1"/>
  <c r="AY67" i="6"/>
  <c r="AY178" i="6" s="1"/>
  <c r="AY52" i="6"/>
  <c r="AY163" i="6" s="1"/>
  <c r="AY234" i="6" s="1"/>
  <c r="AY56" i="6"/>
  <c r="AY167" i="6" s="1"/>
  <c r="AY64" i="6"/>
  <c r="AY175" i="6" s="1"/>
  <c r="AY276" i="6" s="1"/>
  <c r="AY53" i="6"/>
  <c r="AY164" i="6" s="1"/>
  <c r="AY235" i="6" s="1"/>
  <c r="AY61" i="6"/>
  <c r="AY172" i="6" s="1"/>
  <c r="AY69" i="6"/>
  <c r="AY180" i="6" s="1"/>
  <c r="AY58" i="6"/>
  <c r="AY169" i="6" s="1"/>
  <c r="AY66" i="6"/>
  <c r="AY177" i="6" s="1"/>
  <c r="AY55" i="6"/>
  <c r="AY166" i="6" s="1"/>
  <c r="AY237" i="6" s="1"/>
  <c r="AY63" i="6"/>
  <c r="AY174" i="6" s="1"/>
  <c r="AY60" i="6"/>
  <c r="AY171" i="6" s="1"/>
  <c r="AY68" i="6"/>
  <c r="AY179" i="6" s="1"/>
  <c r="AY57" i="6"/>
  <c r="AY168" i="6" s="1"/>
  <c r="AY65" i="6"/>
  <c r="AY176" i="6" s="1"/>
  <c r="AY70" i="6"/>
  <c r="AY181" i="6" s="1"/>
  <c r="AY78" i="6"/>
  <c r="AY189" i="6" s="1"/>
  <c r="AY62" i="6"/>
  <c r="AY173" i="6" s="1"/>
  <c r="AY75" i="6"/>
  <c r="AY186" i="6" s="1"/>
  <c r="AY72" i="6"/>
  <c r="AY183" i="6" s="1"/>
  <c r="AY77" i="6"/>
  <c r="AY188" i="6" s="1"/>
  <c r="AY54" i="6"/>
  <c r="AY165" i="6" s="1"/>
  <c r="AY236" i="6" s="1"/>
  <c r="AY74" i="6"/>
  <c r="AY185" i="6" s="1"/>
  <c r="AY71" i="6"/>
  <c r="AY182" i="6" s="1"/>
  <c r="AY76" i="6"/>
  <c r="AY187" i="6" s="1"/>
  <c r="AY73" i="6"/>
  <c r="AY184" i="6" s="1"/>
  <c r="AY217" i="6"/>
  <c r="AY225" i="6" s="1"/>
  <c r="AY216" i="6"/>
  <c r="AY219" i="6"/>
  <c r="AY218" i="6"/>
  <c r="AY206" i="6"/>
  <c r="AY220" i="6"/>
  <c r="AY222" i="6"/>
  <c r="AY221" i="6"/>
  <c r="AY37" i="6"/>
  <c r="AY148" i="6" s="1"/>
  <c r="AY33" i="6"/>
  <c r="AY144" i="6" s="1"/>
  <c r="AY45" i="6"/>
  <c r="AY156" i="6" s="1"/>
  <c r="AY41" i="6"/>
  <c r="AY152" i="6" s="1"/>
  <c r="AY39" i="6"/>
  <c r="AY150" i="6" s="1"/>
  <c r="AY5" i="6"/>
  <c r="AY264" i="6" s="1"/>
  <c r="AY47" i="6"/>
  <c r="AY158" i="6" s="1"/>
  <c r="AY38" i="6"/>
  <c r="AY149" i="6" s="1"/>
  <c r="AY3" i="6"/>
  <c r="AY46" i="6"/>
  <c r="AY157" i="6" s="1"/>
  <c r="AY4" i="6"/>
  <c r="AY7" i="6" s="1"/>
  <c r="AY30" i="6" s="1" a="1"/>
  <c r="AY30" i="6" s="1"/>
  <c r="AY281" i="6" s="1"/>
  <c r="AY36" i="6"/>
  <c r="AY147" i="6" s="1"/>
  <c r="AY35" i="6"/>
  <c r="AY146" i="6" s="1"/>
  <c r="AY15" i="6"/>
  <c r="AY250" i="6" s="1"/>
  <c r="AY44" i="6"/>
  <c r="AY155" i="6" s="1"/>
  <c r="AY14" i="6"/>
  <c r="AY246" i="6" s="1"/>
  <c r="AY43" i="6"/>
  <c r="AY154" i="6" s="1"/>
  <c r="AY232" i="6" s="1"/>
  <c r="AY13" i="6"/>
  <c r="AY247" i="6" s="1"/>
  <c r="AY16" i="6"/>
  <c r="AY253" i="6" s="1"/>
  <c r="AN3" i="6"/>
  <c r="AN33" i="6"/>
  <c r="AN144" i="6" s="1"/>
  <c r="AN39" i="6"/>
  <c r="AN150" i="6" s="1"/>
  <c r="AN42" i="6"/>
  <c r="AN153" i="6" s="1"/>
  <c r="AN48" i="6"/>
  <c r="AN159" i="6" s="1"/>
  <c r="AN41" i="6"/>
  <c r="AN152" i="6" s="1"/>
  <c r="AN40" i="6"/>
  <c r="AN151" i="6" s="1"/>
  <c r="AN44" i="6"/>
  <c r="AN155" i="6" s="1"/>
  <c r="AN49" i="6"/>
  <c r="AN160" i="6" s="1"/>
  <c r="AN50" i="6"/>
  <c r="AN161" i="6" s="1"/>
  <c r="AN51" i="6"/>
  <c r="AN162" i="6" s="1"/>
  <c r="AN233" i="6" s="1"/>
  <c r="AN46" i="6"/>
  <c r="AN157" i="6" s="1"/>
  <c r="AN47" i="6"/>
  <c r="AN158" i="6" s="1"/>
  <c r="AN43" i="6"/>
  <c r="AN154" i="6" s="1"/>
  <c r="AN232" i="6" s="1"/>
  <c r="AN45" i="6"/>
  <c r="AN156" i="6" s="1"/>
  <c r="AN53" i="6"/>
  <c r="AN164" i="6" s="1"/>
  <c r="AN235" i="6" s="1"/>
  <c r="AN58" i="6"/>
  <c r="AN169" i="6" s="1"/>
  <c r="AN66" i="6"/>
  <c r="AN177" i="6" s="1"/>
  <c r="AN55" i="6"/>
  <c r="AN166" i="6" s="1"/>
  <c r="AN237" i="6" s="1"/>
  <c r="AN63" i="6"/>
  <c r="AN174" i="6" s="1"/>
  <c r="AN60" i="6"/>
  <c r="AN171" i="6" s="1"/>
  <c r="AN68" i="6"/>
  <c r="AN179" i="6" s="1"/>
  <c r="AN57" i="6"/>
  <c r="AN168" i="6" s="1"/>
  <c r="AN65" i="6"/>
  <c r="AN176" i="6" s="1"/>
  <c r="AN54" i="6"/>
  <c r="AN165" i="6" s="1"/>
  <c r="AN236" i="6" s="1"/>
  <c r="AN62" i="6"/>
  <c r="AN173" i="6" s="1"/>
  <c r="AN59" i="6"/>
  <c r="AN170" i="6" s="1"/>
  <c r="AN67" i="6"/>
  <c r="AN178" i="6" s="1"/>
  <c r="AN52" i="6"/>
  <c r="AN163" i="6" s="1"/>
  <c r="AN234" i="6" s="1"/>
  <c r="AN56" i="6"/>
  <c r="AN167" i="6" s="1"/>
  <c r="AN64" i="6"/>
  <c r="AN175" i="6" s="1"/>
  <c r="AN249" i="6" s="1"/>
  <c r="AN77" i="6"/>
  <c r="AN188" i="6" s="1"/>
  <c r="AN74" i="6"/>
  <c r="AN185" i="6" s="1"/>
  <c r="AN71" i="6"/>
  <c r="AN182" i="6" s="1"/>
  <c r="AN61" i="6"/>
  <c r="AN172" i="6" s="1"/>
  <c r="AN69" i="6"/>
  <c r="AN180" i="6" s="1"/>
  <c r="AN76" i="6"/>
  <c r="AN187" i="6" s="1"/>
  <c r="AN73" i="6"/>
  <c r="AN184" i="6" s="1"/>
  <c r="AN70" i="6"/>
  <c r="AN181" i="6" s="1"/>
  <c r="AN78" i="6"/>
  <c r="AN189" i="6" s="1"/>
  <c r="AN75" i="6"/>
  <c r="AN186" i="6" s="1"/>
  <c r="AN72" i="6"/>
  <c r="AN183" i="6" s="1"/>
  <c r="AN216" i="6"/>
  <c r="AN222" i="6"/>
  <c r="AN217" i="6"/>
  <c r="AN219" i="6"/>
  <c r="AN206" i="6"/>
  <c r="AN221" i="6"/>
  <c r="AN220" i="6"/>
  <c r="AN218" i="6"/>
  <c r="AN34" i="6"/>
  <c r="AN145" i="6" s="1"/>
  <c r="AN36" i="6"/>
  <c r="AN147" i="6" s="1"/>
  <c r="AN37" i="6"/>
  <c r="AN148" i="6" s="1"/>
  <c r="AN4" i="6"/>
  <c r="AN7" i="6" s="1"/>
  <c r="AN30" i="6" s="1" a="1"/>
  <c r="AN30" i="6" s="1"/>
  <c r="AN281" i="6" s="1"/>
  <c r="AN35" i="6"/>
  <c r="AN146" i="6" s="1"/>
  <c r="AN38" i="6"/>
  <c r="AN149" i="6" s="1"/>
  <c r="AN5" i="6"/>
  <c r="AN264" i="6" s="1"/>
  <c r="AN15" i="6"/>
  <c r="AN250" i="6" s="1"/>
  <c r="AN13" i="6"/>
  <c r="AN247" i="6" s="1"/>
  <c r="AN14" i="6"/>
  <c r="AN246" i="6" s="1"/>
  <c r="AN16" i="6"/>
  <c r="AN253" i="6" s="1"/>
  <c r="AN9" i="6"/>
  <c r="E67" i="6"/>
  <c r="E178" i="6" s="1"/>
  <c r="U46" i="6"/>
  <c r="U157" i="6" s="1"/>
  <c r="U47" i="6"/>
  <c r="U158" i="6" s="1"/>
  <c r="U48" i="6"/>
  <c r="U159" i="6" s="1"/>
  <c r="U38" i="6"/>
  <c r="U149" i="6" s="1"/>
  <c r="U40" i="6"/>
  <c r="U151" i="6" s="1"/>
  <c r="U57" i="6"/>
  <c r="U168" i="6" s="1"/>
  <c r="U65" i="6"/>
  <c r="U176" i="6" s="1"/>
  <c r="U54" i="6"/>
  <c r="U165" i="6" s="1"/>
  <c r="U236" i="6" s="1"/>
  <c r="U62" i="6"/>
  <c r="U173" i="6" s="1"/>
  <c r="U59" i="6"/>
  <c r="U170" i="6" s="1"/>
  <c r="U67" i="6"/>
  <c r="U178" i="6" s="1"/>
  <c r="U56" i="6"/>
  <c r="U167" i="6" s="1"/>
  <c r="U64" i="6"/>
  <c r="U175" i="6" s="1"/>
  <c r="U249" i="6" s="1"/>
  <c r="U52" i="6"/>
  <c r="U163" i="6" s="1"/>
  <c r="U234" i="6" s="1"/>
  <c r="U61" i="6"/>
  <c r="U172" i="6" s="1"/>
  <c r="U69" i="6"/>
  <c r="U180" i="6" s="1"/>
  <c r="U58" i="6"/>
  <c r="U169" i="6" s="1"/>
  <c r="U66" i="6"/>
  <c r="U177" i="6" s="1"/>
  <c r="U55" i="6"/>
  <c r="U166" i="6" s="1"/>
  <c r="U237" i="6" s="1"/>
  <c r="U63" i="6"/>
  <c r="U174" i="6" s="1"/>
  <c r="U70" i="6"/>
  <c r="U181" i="6" s="1"/>
  <c r="U76" i="6"/>
  <c r="U187" i="6" s="1"/>
  <c r="U68" i="6"/>
  <c r="U179" i="6" s="1"/>
  <c r="U73" i="6"/>
  <c r="U184" i="6" s="1"/>
  <c r="U78" i="6"/>
  <c r="U189" i="6" s="1"/>
  <c r="U75" i="6"/>
  <c r="U186" i="6" s="1"/>
  <c r="U60" i="6"/>
  <c r="U171" i="6" s="1"/>
  <c r="U72" i="6"/>
  <c r="U183" i="6" s="1"/>
  <c r="U77" i="6"/>
  <c r="U188" i="6" s="1"/>
  <c r="U74" i="6"/>
  <c r="U185" i="6" s="1"/>
  <c r="U71" i="6"/>
  <c r="U182" i="6" s="1"/>
  <c r="U216" i="6"/>
  <c r="U206" i="6"/>
  <c r="U218" i="6"/>
  <c r="U221" i="6"/>
  <c r="U229" i="6" s="1"/>
  <c r="U220" i="6"/>
  <c r="U219" i="6"/>
  <c r="U217" i="6"/>
  <c r="U222" i="6"/>
  <c r="U35" i="6"/>
  <c r="U146" i="6" s="1"/>
  <c r="U13" i="6"/>
  <c r="U247" i="6" s="1"/>
  <c r="U44" i="6"/>
  <c r="U155" i="6" s="1"/>
  <c r="U43" i="6"/>
  <c r="U154" i="6" s="1"/>
  <c r="U232" i="6" s="1"/>
  <c r="U34" i="6"/>
  <c r="U145" i="6" s="1"/>
  <c r="U33" i="6"/>
  <c r="U144" i="6" s="1"/>
  <c r="U51" i="6"/>
  <c r="U162" i="6" s="1"/>
  <c r="U233" i="6" s="1"/>
  <c r="U42" i="6"/>
  <c r="U153" i="6" s="1"/>
  <c r="U41" i="6"/>
  <c r="U152" i="6" s="1"/>
  <c r="U4" i="6"/>
  <c r="U7" i="6" s="1"/>
  <c r="U30" i="6" s="1" a="1"/>
  <c r="U30" i="6" s="1"/>
  <c r="U281" i="6" s="1"/>
  <c r="U50" i="6"/>
  <c r="U161" i="6" s="1"/>
  <c r="U49" i="6"/>
  <c r="U160" i="6" s="1"/>
  <c r="U16" i="6"/>
  <c r="U253" i="6" s="1"/>
  <c r="U39" i="6"/>
  <c r="U150" i="6" s="1"/>
  <c r="U45" i="6"/>
  <c r="U156" i="6" s="1"/>
  <c r="U15" i="6"/>
  <c r="U250" i="6" s="1"/>
  <c r="U14" i="6"/>
  <c r="U246" i="6" s="1"/>
  <c r="U36" i="6"/>
  <c r="U147" i="6" s="1"/>
  <c r="U53" i="6"/>
  <c r="U164" i="6" s="1"/>
  <c r="U235" i="6" s="1"/>
  <c r="U3" i="6"/>
  <c r="U5" i="6"/>
  <c r="M47" i="6"/>
  <c r="M158" i="6" s="1"/>
  <c r="AC46" i="6"/>
  <c r="AC157" i="6" s="1"/>
  <c r="AC47" i="6"/>
  <c r="AC158" i="6" s="1"/>
  <c r="AC38" i="6"/>
  <c r="AC149" i="6" s="1"/>
  <c r="AC48" i="6"/>
  <c r="AC159" i="6" s="1"/>
  <c r="AC40" i="6"/>
  <c r="AC151" i="6" s="1"/>
  <c r="AC57" i="6"/>
  <c r="AC168" i="6" s="1"/>
  <c r="AC65" i="6"/>
  <c r="AC176" i="6" s="1"/>
  <c r="AC54" i="6"/>
  <c r="AC165" i="6" s="1"/>
  <c r="AC236" i="6" s="1"/>
  <c r="AC62" i="6"/>
  <c r="AC173" i="6" s="1"/>
  <c r="AC59" i="6"/>
  <c r="AC170" i="6" s="1"/>
  <c r="AC67" i="6"/>
  <c r="AC178" i="6" s="1"/>
  <c r="AC52" i="6"/>
  <c r="AC163" i="6" s="1"/>
  <c r="AC234" i="6" s="1"/>
  <c r="AC56" i="6"/>
  <c r="AC167" i="6" s="1"/>
  <c r="AC64" i="6"/>
  <c r="AC175" i="6" s="1"/>
  <c r="AC276" i="6" s="1"/>
  <c r="AC61" i="6"/>
  <c r="AC172" i="6" s="1"/>
  <c r="AC69" i="6"/>
  <c r="AC180" i="6" s="1"/>
  <c r="AC58" i="6"/>
  <c r="AC169" i="6" s="1"/>
  <c r="AC66" i="6"/>
  <c r="AC177" i="6" s="1"/>
  <c r="AC55" i="6"/>
  <c r="AC166" i="6" s="1"/>
  <c r="AC237" i="6" s="1"/>
  <c r="AC63" i="6"/>
  <c r="AC174" i="6" s="1"/>
  <c r="AC76" i="6"/>
  <c r="AC187" i="6" s="1"/>
  <c r="AC73" i="6"/>
  <c r="AC184" i="6" s="1"/>
  <c r="AC68" i="6"/>
  <c r="AC179" i="6" s="1"/>
  <c r="AC78" i="6"/>
  <c r="AC189" i="6" s="1"/>
  <c r="AC70" i="6"/>
  <c r="AC181" i="6" s="1"/>
  <c r="AC75" i="6"/>
  <c r="AC186" i="6" s="1"/>
  <c r="AC72" i="6"/>
  <c r="AC183" i="6" s="1"/>
  <c r="AC60" i="6"/>
  <c r="AC171" i="6" s="1"/>
  <c r="AC77" i="6"/>
  <c r="AC188" i="6" s="1"/>
  <c r="AC74" i="6"/>
  <c r="AC185" i="6" s="1"/>
  <c r="AC216" i="6"/>
  <c r="AC71" i="6"/>
  <c r="AC182" i="6" s="1"/>
  <c r="AC206" i="6"/>
  <c r="AC221" i="6"/>
  <c r="AC229" i="6" s="1"/>
  <c r="AC217" i="6"/>
  <c r="AC219" i="6"/>
  <c r="AC222" i="6"/>
  <c r="AC218" i="6"/>
  <c r="AC220" i="6"/>
  <c r="AC45" i="6"/>
  <c r="AC156" i="6" s="1"/>
  <c r="AC3" i="6"/>
  <c r="AC14" i="6"/>
  <c r="AC246" i="6" s="1"/>
  <c r="AC53" i="6"/>
  <c r="AC164" i="6" s="1"/>
  <c r="AC235" i="6" s="1"/>
  <c r="AC15" i="6"/>
  <c r="AC250" i="6" s="1"/>
  <c r="AC35" i="6"/>
  <c r="AC146" i="6" s="1"/>
  <c r="AC13" i="6"/>
  <c r="AC247" i="6" s="1"/>
  <c r="AC36" i="6"/>
  <c r="AC147" i="6" s="1"/>
  <c r="AC43" i="6"/>
  <c r="AC154" i="6" s="1"/>
  <c r="AC232" i="6" s="1"/>
  <c r="AC34" i="6"/>
  <c r="AC145" i="6" s="1"/>
  <c r="AC44" i="6"/>
  <c r="AC155" i="6" s="1"/>
  <c r="AC51" i="6"/>
  <c r="AC162" i="6" s="1"/>
  <c r="AC233" i="6" s="1"/>
  <c r="AC42" i="6"/>
  <c r="AC153" i="6" s="1"/>
  <c r="AC33" i="6"/>
  <c r="AC144" i="6" s="1"/>
  <c r="AC16" i="6"/>
  <c r="AC253" i="6" s="1"/>
  <c r="AC49" i="6"/>
  <c r="AC160" i="6" s="1"/>
  <c r="AC41" i="6"/>
  <c r="AC152" i="6" s="1"/>
  <c r="AC37" i="6"/>
  <c r="AC148" i="6" s="1"/>
  <c r="AC4" i="6"/>
  <c r="AC7" i="6" s="1"/>
  <c r="AC30" i="6" s="1" a="1"/>
  <c r="AC30" i="6" s="1"/>
  <c r="AC281" i="6" s="1"/>
  <c r="AC50" i="6"/>
  <c r="AC161" i="6" s="1"/>
  <c r="AC5" i="6"/>
  <c r="AC39" i="6"/>
  <c r="AC150" i="6" s="1"/>
  <c r="AQ42" i="6"/>
  <c r="AQ153" i="6" s="1"/>
  <c r="AQ48" i="6"/>
  <c r="AQ159" i="6" s="1"/>
  <c r="AQ40" i="6"/>
  <c r="AQ151" i="6" s="1"/>
  <c r="AQ49" i="6"/>
  <c r="AQ160" i="6" s="1"/>
  <c r="AQ34" i="6"/>
  <c r="AQ145" i="6" s="1"/>
  <c r="AQ50" i="6"/>
  <c r="AQ161" i="6" s="1"/>
  <c r="AQ51" i="6"/>
  <c r="AQ162" i="6" s="1"/>
  <c r="AQ233" i="6" s="1"/>
  <c r="AQ59" i="6"/>
  <c r="AQ170" i="6" s="1"/>
  <c r="AQ67" i="6"/>
  <c r="AQ178" i="6" s="1"/>
  <c r="AQ52" i="6"/>
  <c r="AQ163" i="6" s="1"/>
  <c r="AQ234" i="6" s="1"/>
  <c r="AQ56" i="6"/>
  <c r="AQ167" i="6" s="1"/>
  <c r="AQ64" i="6"/>
  <c r="AQ175" i="6" s="1"/>
  <c r="AQ276" i="6" s="1"/>
  <c r="AQ61" i="6"/>
  <c r="AQ172" i="6" s="1"/>
  <c r="AQ69" i="6"/>
  <c r="AQ180" i="6" s="1"/>
  <c r="AQ53" i="6"/>
  <c r="AQ164" i="6" s="1"/>
  <c r="AQ235" i="6" s="1"/>
  <c r="AQ58" i="6"/>
  <c r="AQ169" i="6" s="1"/>
  <c r="AQ66" i="6"/>
  <c r="AQ177" i="6" s="1"/>
  <c r="AQ55" i="6"/>
  <c r="AQ166" i="6" s="1"/>
  <c r="AQ237" i="6" s="1"/>
  <c r="AQ63" i="6"/>
  <c r="AQ174" i="6" s="1"/>
  <c r="AQ60" i="6"/>
  <c r="AQ171" i="6" s="1"/>
  <c r="AQ68" i="6"/>
  <c r="AQ179" i="6" s="1"/>
  <c r="AQ57" i="6"/>
  <c r="AQ168" i="6" s="1"/>
  <c r="AQ65" i="6"/>
  <c r="AQ176" i="6" s="1"/>
  <c r="AQ62" i="6"/>
  <c r="AQ173" i="6" s="1"/>
  <c r="AQ70" i="6"/>
  <c r="AQ181" i="6" s="1"/>
  <c r="AQ78" i="6"/>
  <c r="AQ189" i="6" s="1"/>
  <c r="AQ75" i="6"/>
  <c r="AQ186" i="6" s="1"/>
  <c r="AQ72" i="6"/>
  <c r="AQ183" i="6" s="1"/>
  <c r="AQ54" i="6"/>
  <c r="AQ165" i="6" s="1"/>
  <c r="AQ236" i="6" s="1"/>
  <c r="AQ77" i="6"/>
  <c r="AQ188" i="6" s="1"/>
  <c r="AQ74" i="6"/>
  <c r="AQ185" i="6" s="1"/>
  <c r="AQ71" i="6"/>
  <c r="AQ182" i="6" s="1"/>
  <c r="AQ76" i="6"/>
  <c r="AQ187" i="6" s="1"/>
  <c r="AQ73" i="6"/>
  <c r="AQ184" i="6" s="1"/>
  <c r="AQ217" i="6"/>
  <c r="AQ216" i="6"/>
  <c r="AQ219" i="6"/>
  <c r="AQ218" i="6"/>
  <c r="AQ220" i="6"/>
  <c r="AQ206" i="6"/>
  <c r="AQ221" i="6"/>
  <c r="AQ222" i="6"/>
  <c r="AQ4" i="6"/>
  <c r="AQ7" i="6" s="1"/>
  <c r="AQ30" i="6" s="1" a="1"/>
  <c r="AQ30" i="6" s="1"/>
  <c r="AQ281" i="6" s="1"/>
  <c r="AQ15" i="6"/>
  <c r="AQ250" i="6" s="1"/>
  <c r="AQ14" i="6"/>
  <c r="AQ246" i="6" s="1"/>
  <c r="AQ16" i="6"/>
  <c r="AQ253" i="6" s="1"/>
  <c r="AQ36" i="6"/>
  <c r="AQ147" i="6" s="1"/>
  <c r="AQ35" i="6"/>
  <c r="AQ146" i="6" s="1"/>
  <c r="AQ9" i="6"/>
  <c r="AQ37" i="6"/>
  <c r="AQ148" i="6" s="1"/>
  <c r="AQ44" i="6"/>
  <c r="AQ155" i="6" s="1"/>
  <c r="AQ43" i="6"/>
  <c r="AQ154" i="6" s="1"/>
  <c r="AQ232" i="6" s="1"/>
  <c r="AQ45" i="6"/>
  <c r="AQ156" i="6" s="1"/>
  <c r="AQ33" i="6"/>
  <c r="AQ144" i="6" s="1"/>
  <c r="AQ41" i="6"/>
  <c r="AQ152" i="6" s="1"/>
  <c r="AQ13" i="6"/>
  <c r="AQ247" i="6" s="1"/>
  <c r="AQ47" i="6"/>
  <c r="AQ158" i="6" s="1"/>
  <c r="AQ38" i="6"/>
  <c r="AQ149" i="6" s="1"/>
  <c r="AQ39" i="6"/>
  <c r="AQ150" i="6" s="1"/>
  <c r="AQ3" i="6"/>
  <c r="AQ5" i="6"/>
  <c r="AQ264" i="6" s="1"/>
  <c r="AQ46" i="6"/>
  <c r="AQ157" i="6" s="1"/>
  <c r="R13" i="6"/>
  <c r="R247" i="6" s="1"/>
  <c r="R4" i="6"/>
  <c r="R7" i="6" s="1"/>
  <c r="R30" i="6" s="1" a="1"/>
  <c r="R30" i="6" s="1"/>
  <c r="R281" i="6" s="1"/>
  <c r="R39" i="6"/>
  <c r="R150" i="6" s="1"/>
  <c r="R41" i="6"/>
  <c r="R152" i="6" s="1"/>
  <c r="R51" i="6"/>
  <c r="R162" i="6" s="1"/>
  <c r="R233" i="6" s="1"/>
  <c r="R44" i="6"/>
  <c r="R155" i="6" s="1"/>
  <c r="R46" i="6"/>
  <c r="R157" i="6" s="1"/>
  <c r="R47" i="6"/>
  <c r="R158" i="6" s="1"/>
  <c r="R48" i="6"/>
  <c r="R159" i="6" s="1"/>
  <c r="R16" i="6"/>
  <c r="R253" i="6" s="1"/>
  <c r="R40" i="6"/>
  <c r="R151" i="6" s="1"/>
  <c r="R43" i="6"/>
  <c r="R154" i="6" s="1"/>
  <c r="R232" i="6" s="1"/>
  <c r="R45" i="6"/>
  <c r="R156" i="6" s="1"/>
  <c r="R35" i="6"/>
  <c r="R146" i="6" s="1"/>
  <c r="R49" i="6"/>
  <c r="R160" i="6" s="1"/>
  <c r="R56" i="6"/>
  <c r="R167" i="6" s="1"/>
  <c r="R64" i="6"/>
  <c r="R175" i="6" s="1"/>
  <c r="R249" i="6" s="1"/>
  <c r="R61" i="6"/>
  <c r="R172" i="6" s="1"/>
  <c r="R52" i="6"/>
  <c r="R163" i="6" s="1"/>
  <c r="R234" i="6" s="1"/>
  <c r="R58" i="6"/>
  <c r="R169" i="6" s="1"/>
  <c r="R66" i="6"/>
  <c r="R177" i="6" s="1"/>
  <c r="R63" i="6"/>
  <c r="R174" i="6" s="1"/>
  <c r="R60" i="6"/>
  <c r="R171" i="6" s="1"/>
  <c r="R68" i="6"/>
  <c r="R179" i="6" s="1"/>
  <c r="R53" i="6"/>
  <c r="R164" i="6" s="1"/>
  <c r="R235" i="6" s="1"/>
  <c r="R57" i="6"/>
  <c r="R168" i="6" s="1"/>
  <c r="R65" i="6"/>
  <c r="R176" i="6" s="1"/>
  <c r="R62" i="6"/>
  <c r="R173" i="6" s="1"/>
  <c r="R70" i="6"/>
  <c r="R181" i="6" s="1"/>
  <c r="R75" i="6"/>
  <c r="R186" i="6" s="1"/>
  <c r="R72" i="6"/>
  <c r="R183" i="6" s="1"/>
  <c r="R77" i="6"/>
  <c r="R188" i="6" s="1"/>
  <c r="R74" i="6"/>
  <c r="R185" i="6" s="1"/>
  <c r="R67" i="6"/>
  <c r="R178" i="6" s="1"/>
  <c r="R71" i="6"/>
  <c r="R182" i="6" s="1"/>
  <c r="R76" i="6"/>
  <c r="R187" i="6" s="1"/>
  <c r="R69" i="6"/>
  <c r="R180" i="6" s="1"/>
  <c r="R73" i="6"/>
  <c r="R184" i="6" s="1"/>
  <c r="R59" i="6"/>
  <c r="R170" i="6" s="1"/>
  <c r="R78" i="6"/>
  <c r="R189" i="6" s="1"/>
  <c r="R216" i="6"/>
  <c r="R218" i="6"/>
  <c r="R220" i="6"/>
  <c r="R217" i="6"/>
  <c r="R222" i="6"/>
  <c r="R221" i="6"/>
  <c r="R229" i="6" s="1"/>
  <c r="R219" i="6"/>
  <c r="R206" i="6"/>
  <c r="R3" i="6"/>
  <c r="R15" i="6"/>
  <c r="R250" i="6" s="1"/>
  <c r="R14" i="6"/>
  <c r="R246" i="6" s="1"/>
  <c r="R5" i="6"/>
  <c r="AF3" i="6"/>
  <c r="AF43" i="6"/>
  <c r="AF154" i="6" s="1"/>
  <c r="AF232" i="6" s="1"/>
  <c r="AF45" i="6"/>
  <c r="AF156" i="6" s="1"/>
  <c r="AF48" i="6"/>
  <c r="AF159" i="6" s="1"/>
  <c r="AF42" i="6"/>
  <c r="AF153" i="6" s="1"/>
  <c r="AF33" i="6"/>
  <c r="AF144" i="6" s="1"/>
  <c r="AF39" i="6"/>
  <c r="AF150" i="6" s="1"/>
  <c r="AF40" i="6"/>
  <c r="AF151" i="6" s="1"/>
  <c r="AF41" i="6"/>
  <c r="AF152" i="6" s="1"/>
  <c r="AF49" i="6"/>
  <c r="AF160" i="6" s="1"/>
  <c r="AF44" i="6"/>
  <c r="AF155" i="6" s="1"/>
  <c r="AF50" i="6"/>
  <c r="AF161" i="6" s="1"/>
  <c r="AF51" i="6"/>
  <c r="AF162" i="6" s="1"/>
  <c r="AF233" i="6" s="1"/>
  <c r="AF46" i="6"/>
  <c r="AF157" i="6" s="1"/>
  <c r="AF47" i="6"/>
  <c r="AF158" i="6" s="1"/>
  <c r="AF58" i="6"/>
  <c r="AF169" i="6" s="1"/>
  <c r="AF66" i="6"/>
  <c r="AF177" i="6" s="1"/>
  <c r="AF53" i="6"/>
  <c r="AF164" i="6" s="1"/>
  <c r="AF235" i="6" s="1"/>
  <c r="AF55" i="6"/>
  <c r="AF166" i="6" s="1"/>
  <c r="AF237" i="6" s="1"/>
  <c r="AF63" i="6"/>
  <c r="AF174" i="6" s="1"/>
  <c r="AF60" i="6"/>
  <c r="AF171" i="6" s="1"/>
  <c r="AF68" i="6"/>
  <c r="AF179" i="6" s="1"/>
  <c r="AF57" i="6"/>
  <c r="AF168" i="6" s="1"/>
  <c r="AF65" i="6"/>
  <c r="AF176" i="6" s="1"/>
  <c r="AF54" i="6"/>
  <c r="AF165" i="6" s="1"/>
  <c r="AF236" i="6" s="1"/>
  <c r="AF62" i="6"/>
  <c r="AF173" i="6" s="1"/>
  <c r="AF59" i="6"/>
  <c r="AF170" i="6" s="1"/>
  <c r="AF67" i="6"/>
  <c r="AF178" i="6" s="1"/>
  <c r="AF52" i="6"/>
  <c r="AF163" i="6" s="1"/>
  <c r="AF234" i="6" s="1"/>
  <c r="AF56" i="6"/>
  <c r="AF167" i="6" s="1"/>
  <c r="AF64" i="6"/>
  <c r="AF175" i="6" s="1"/>
  <c r="AF249" i="6" s="1"/>
  <c r="AF77" i="6"/>
  <c r="AF188" i="6" s="1"/>
  <c r="AF69" i="6"/>
  <c r="AF180" i="6" s="1"/>
  <c r="AF74" i="6"/>
  <c r="AF185" i="6" s="1"/>
  <c r="AF61" i="6"/>
  <c r="AF172" i="6" s="1"/>
  <c r="AF71" i="6"/>
  <c r="AF182" i="6" s="1"/>
  <c r="AF76" i="6"/>
  <c r="AF187" i="6" s="1"/>
  <c r="AF73" i="6"/>
  <c r="AF184" i="6" s="1"/>
  <c r="AF78" i="6"/>
  <c r="AF189" i="6" s="1"/>
  <c r="AF70" i="6"/>
  <c r="AF181" i="6" s="1"/>
  <c r="AF75" i="6"/>
  <c r="AF186" i="6" s="1"/>
  <c r="AF72" i="6"/>
  <c r="AF183" i="6" s="1"/>
  <c r="AF216" i="6"/>
  <c r="AF218" i="6"/>
  <c r="AF206" i="6"/>
  <c r="AF222" i="6"/>
  <c r="AF219" i="6"/>
  <c r="AF220" i="6"/>
  <c r="AF217" i="6"/>
  <c r="AF221" i="6"/>
  <c r="AF13" i="6"/>
  <c r="AF247" i="6" s="1"/>
  <c r="AF16" i="6"/>
  <c r="AF253" i="6" s="1"/>
  <c r="AF36" i="6"/>
  <c r="AF147" i="6" s="1"/>
  <c r="AF34" i="6"/>
  <c r="AF145" i="6" s="1"/>
  <c r="AF4" i="6"/>
  <c r="AF7" i="6" s="1"/>
  <c r="AF30" i="6" s="1" a="1"/>
  <c r="AF30" i="6" s="1"/>
  <c r="AF281" i="6" s="1"/>
  <c r="AF35" i="6"/>
  <c r="AF146" i="6" s="1"/>
  <c r="AF38" i="6"/>
  <c r="AF149" i="6" s="1"/>
  <c r="AF5" i="6"/>
  <c r="AF15" i="6"/>
  <c r="AF250" i="6" s="1"/>
  <c r="AF14" i="6"/>
  <c r="AF246" i="6" s="1"/>
  <c r="E68" i="6"/>
  <c r="E179" i="6" s="1"/>
  <c r="AD9" i="7"/>
  <c r="H36" i="6" s="1"/>
  <c r="H147" i="6" s="1"/>
  <c r="I27" i="7"/>
  <c r="K27" i="7" s="1"/>
  <c r="AD27" i="7" s="1"/>
  <c r="R54" i="6" s="1"/>
  <c r="R165" i="6" s="1"/>
  <c r="R236" i="6" s="1"/>
  <c r="K50" i="6"/>
  <c r="K161" i="6" s="1"/>
  <c r="K33" i="6"/>
  <c r="K144" i="6" s="1"/>
  <c r="K48" i="6"/>
  <c r="K159" i="6" s="1"/>
  <c r="K37" i="6"/>
  <c r="K148" i="6" s="1"/>
  <c r="AP14" i="14"/>
  <c r="AP15" i="14"/>
  <c r="AP10" i="14"/>
  <c r="AP11" i="14"/>
  <c r="AP12" i="14"/>
  <c r="AP13" i="14"/>
  <c r="M222" i="6"/>
  <c r="M206" i="6"/>
  <c r="M217" i="6"/>
  <c r="M216" i="6"/>
  <c r="M218" i="6"/>
  <c r="M221" i="6"/>
  <c r="M220" i="6"/>
  <c r="M219" i="6"/>
  <c r="M3" i="6"/>
  <c r="M277" i="6" s="1"/>
  <c r="M4" i="6"/>
  <c r="M7" i="6" s="1"/>
  <c r="M30" i="6" s="1" a="1"/>
  <c r="M30" i="6" s="1"/>
  <c r="M281" i="6" s="1"/>
  <c r="M5" i="6"/>
  <c r="M14" i="6"/>
  <c r="M246" i="6" s="1"/>
  <c r="M13" i="6"/>
  <c r="M247" i="6" s="1"/>
  <c r="M16" i="6"/>
  <c r="M253" i="6" s="1"/>
  <c r="M15" i="6"/>
  <c r="M250" i="6" s="1"/>
  <c r="M60" i="6"/>
  <c r="M171" i="6" s="1"/>
  <c r="M77" i="6"/>
  <c r="M188" i="6" s="1"/>
  <c r="M54" i="6"/>
  <c r="M165" i="6" s="1"/>
  <c r="M236" i="6" s="1"/>
  <c r="M66" i="6"/>
  <c r="M177" i="6" s="1"/>
  <c r="M41" i="6"/>
  <c r="M152" i="6" s="1"/>
  <c r="M39" i="6"/>
  <c r="M150" i="6" s="1"/>
  <c r="M52" i="6"/>
  <c r="M163" i="6" s="1"/>
  <c r="M234" i="6" s="1"/>
  <c r="M42" i="6"/>
  <c r="M153" i="6" s="1"/>
  <c r="M56" i="6"/>
  <c r="M167" i="6" s="1"/>
  <c r="M57" i="6"/>
  <c r="M168" i="6" s="1"/>
  <c r="M62" i="6"/>
  <c r="M173" i="6" s="1"/>
  <c r="M43" i="6"/>
  <c r="M154" i="6" s="1"/>
  <c r="M232" i="6" s="1"/>
  <c r="M63" i="6"/>
  <c r="M174" i="6" s="1"/>
  <c r="M51" i="6"/>
  <c r="M162" i="6" s="1"/>
  <c r="M233" i="6" s="1"/>
  <c r="M71" i="6"/>
  <c r="M182" i="6" s="1"/>
  <c r="M73" i="6"/>
  <c r="M184" i="6" s="1"/>
  <c r="M76" i="6"/>
  <c r="M187" i="6" s="1"/>
  <c r="M70" i="6"/>
  <c r="M181" i="6" s="1"/>
  <c r="M34" i="6"/>
  <c r="M145" i="6" s="1"/>
  <c r="M65" i="6"/>
  <c r="M176" i="6" s="1"/>
  <c r="M40" i="6"/>
  <c r="M151" i="6" s="1"/>
  <c r="M38" i="6"/>
  <c r="M149" i="6" s="1"/>
  <c r="M78" i="6"/>
  <c r="M189" i="6" s="1"/>
  <c r="M46" i="6"/>
  <c r="M157" i="6" s="1"/>
  <c r="M74" i="6"/>
  <c r="M185" i="6" s="1"/>
  <c r="M44" i="6"/>
  <c r="M155" i="6" s="1"/>
  <c r="M75" i="6"/>
  <c r="M186" i="6" s="1"/>
  <c r="M64" i="6"/>
  <c r="M175" i="6" s="1"/>
  <c r="M276" i="6" s="1"/>
  <c r="M58" i="6"/>
  <c r="M169" i="6" s="1"/>
  <c r="M61" i="6"/>
  <c r="M172" i="6" s="1"/>
  <c r="M59" i="6"/>
  <c r="M170" i="6" s="1"/>
  <c r="M72" i="6"/>
  <c r="M183" i="6" s="1"/>
  <c r="M69" i="6"/>
  <c r="M180" i="6" s="1"/>
  <c r="M35" i="6"/>
  <c r="M146" i="6" s="1"/>
  <c r="M53" i="6"/>
  <c r="M164" i="6" s="1"/>
  <c r="M235" i="6" s="1"/>
  <c r="M36" i="6"/>
  <c r="M147" i="6" s="1"/>
  <c r="M68" i="6"/>
  <c r="M179" i="6" s="1"/>
  <c r="M67" i="6"/>
  <c r="M178" i="6" s="1"/>
  <c r="M55" i="6"/>
  <c r="M166" i="6" s="1"/>
  <c r="M237" i="6" s="1"/>
  <c r="M45" i="6"/>
  <c r="M156" i="6" s="1"/>
  <c r="O49" i="6"/>
  <c r="O160" i="6" s="1"/>
  <c r="K49" i="6"/>
  <c r="K160" i="6" s="1"/>
  <c r="O48" i="6"/>
  <c r="O159" i="6" s="1"/>
  <c r="K3" i="6"/>
  <c r="K217" i="6"/>
  <c r="K5" i="6"/>
  <c r="K222" i="6"/>
  <c r="K230" i="6" s="1"/>
  <c r="K219" i="6"/>
  <c r="K227" i="6" s="1"/>
  <c r="K218" i="6"/>
  <c r="K206" i="6"/>
  <c r="K220" i="6"/>
  <c r="K228" i="6" s="1"/>
  <c r="K216" i="6"/>
  <c r="K4" i="6"/>
  <c r="K7" i="6" s="1"/>
  <c r="K30" i="6" s="1" a="1"/>
  <c r="K30" i="6" s="1"/>
  <c r="K281" i="6" s="1"/>
  <c r="K221" i="6"/>
  <c r="K13" i="6"/>
  <c r="K247" i="6" s="1"/>
  <c r="K14" i="6"/>
  <c r="K246" i="6" s="1"/>
  <c r="K16" i="6"/>
  <c r="K253" i="6" s="1"/>
  <c r="K15" i="6"/>
  <c r="K250" i="6" s="1"/>
  <c r="K64" i="6"/>
  <c r="K175" i="6" s="1"/>
  <c r="K249" i="6" s="1"/>
  <c r="K74" i="6"/>
  <c r="K185" i="6" s="1"/>
  <c r="K58" i="6"/>
  <c r="K169" i="6" s="1"/>
  <c r="K42" i="6"/>
  <c r="K153" i="6" s="1"/>
  <c r="K75" i="6"/>
  <c r="K186" i="6" s="1"/>
  <c r="K59" i="6"/>
  <c r="K170" i="6" s="1"/>
  <c r="K78" i="6"/>
  <c r="K189" i="6" s="1"/>
  <c r="K51" i="6"/>
  <c r="K162" i="6" s="1"/>
  <c r="K233" i="6" s="1"/>
  <c r="K57" i="6"/>
  <c r="K168" i="6" s="1"/>
  <c r="K72" i="6"/>
  <c r="K183" i="6" s="1"/>
  <c r="K62" i="6"/>
  <c r="K173" i="6" s="1"/>
  <c r="K43" i="6"/>
  <c r="K154" i="6" s="1"/>
  <c r="K232" i="6" s="1"/>
  <c r="K46" i="6"/>
  <c r="K157" i="6" s="1"/>
  <c r="K44" i="6"/>
  <c r="K155" i="6" s="1"/>
  <c r="K63" i="6"/>
  <c r="K174" i="6" s="1"/>
  <c r="K77" i="6"/>
  <c r="K188" i="6" s="1"/>
  <c r="K35" i="6"/>
  <c r="K146" i="6" s="1"/>
  <c r="K70" i="6"/>
  <c r="K181" i="6" s="1"/>
  <c r="K41" i="6"/>
  <c r="K152" i="6" s="1"/>
  <c r="K76" i="6"/>
  <c r="K187" i="6" s="1"/>
  <c r="K56" i="6"/>
  <c r="K167" i="6" s="1"/>
  <c r="K61" i="6"/>
  <c r="K172" i="6" s="1"/>
  <c r="K34" i="6"/>
  <c r="K145" i="6" s="1"/>
  <c r="K38" i="6"/>
  <c r="K149" i="6" s="1"/>
  <c r="K54" i="6"/>
  <c r="K165" i="6" s="1"/>
  <c r="K236" i="6" s="1"/>
  <c r="K73" i="6"/>
  <c r="K184" i="6" s="1"/>
  <c r="K69" i="6"/>
  <c r="K180" i="6" s="1"/>
  <c r="K39" i="6"/>
  <c r="K150" i="6" s="1"/>
  <c r="K53" i="6"/>
  <c r="K164" i="6" s="1"/>
  <c r="K235" i="6" s="1"/>
  <c r="K65" i="6"/>
  <c r="K176" i="6" s="1"/>
  <c r="K60" i="6"/>
  <c r="K171" i="6" s="1"/>
  <c r="K52" i="6"/>
  <c r="K163" i="6" s="1"/>
  <c r="K234" i="6" s="1"/>
  <c r="K71" i="6"/>
  <c r="K182" i="6" s="1"/>
  <c r="K40" i="6"/>
  <c r="K151" i="6" s="1"/>
  <c r="K66" i="6"/>
  <c r="K177" i="6" s="1"/>
  <c r="K68" i="6"/>
  <c r="K179" i="6" s="1"/>
  <c r="K67" i="6"/>
  <c r="K178" i="6" s="1"/>
  <c r="K45" i="6"/>
  <c r="K156" i="6" s="1"/>
  <c r="K36" i="6"/>
  <c r="K147" i="6" s="1"/>
  <c r="K55" i="6"/>
  <c r="K166" i="6" s="1"/>
  <c r="K237" i="6" s="1"/>
  <c r="J3" i="6"/>
  <c r="J217" i="6"/>
  <c r="J220" i="6"/>
  <c r="J228" i="6" s="1"/>
  <c r="J218" i="6"/>
  <c r="J226" i="6" s="1"/>
  <c r="J5" i="6"/>
  <c r="J221" i="6"/>
  <c r="J206" i="6"/>
  <c r="J219" i="6"/>
  <c r="J216" i="6"/>
  <c r="J222" i="6"/>
  <c r="J230" i="6" s="1"/>
  <c r="J4" i="6"/>
  <c r="J7" i="6" s="1"/>
  <c r="J30" i="6" s="1" a="1"/>
  <c r="J30" i="6" s="1"/>
  <c r="J281" i="6" s="1"/>
  <c r="J15" i="6"/>
  <c r="J250" i="6" s="1"/>
  <c r="J13" i="6"/>
  <c r="J247" i="6" s="1"/>
  <c r="J16" i="6"/>
  <c r="J253" i="6" s="1"/>
  <c r="J14" i="6"/>
  <c r="J246" i="6" s="1"/>
  <c r="J66" i="6"/>
  <c r="J177" i="6" s="1"/>
  <c r="J39" i="6"/>
  <c r="J150" i="6" s="1"/>
  <c r="J63" i="6"/>
  <c r="J174" i="6" s="1"/>
  <c r="J41" i="6"/>
  <c r="J152" i="6" s="1"/>
  <c r="J44" i="6"/>
  <c r="J155" i="6" s="1"/>
  <c r="J61" i="6"/>
  <c r="J172" i="6" s="1"/>
  <c r="J73" i="6"/>
  <c r="J184" i="6" s="1"/>
  <c r="J77" i="6"/>
  <c r="J188" i="6" s="1"/>
  <c r="J60" i="6"/>
  <c r="J171" i="6" s="1"/>
  <c r="J69" i="6"/>
  <c r="J180" i="6" s="1"/>
  <c r="J38" i="6"/>
  <c r="J149" i="6" s="1"/>
  <c r="J53" i="6"/>
  <c r="J164" i="6" s="1"/>
  <c r="J235" i="6" s="1"/>
  <c r="J35" i="6"/>
  <c r="J146" i="6" s="1"/>
  <c r="J70" i="6"/>
  <c r="J181" i="6" s="1"/>
  <c r="J59" i="6"/>
  <c r="J170" i="6" s="1"/>
  <c r="J34" i="6"/>
  <c r="J145" i="6" s="1"/>
  <c r="J74" i="6"/>
  <c r="J185" i="6" s="1"/>
  <c r="J57" i="6"/>
  <c r="J168" i="6" s="1"/>
  <c r="J78" i="6"/>
  <c r="J189" i="6" s="1"/>
  <c r="J51" i="6"/>
  <c r="J162" i="6" s="1"/>
  <c r="J233" i="6" s="1"/>
  <c r="J62" i="6"/>
  <c r="J173" i="6" s="1"/>
  <c r="J65" i="6"/>
  <c r="J176" i="6" s="1"/>
  <c r="J56" i="6"/>
  <c r="J167" i="6" s="1"/>
  <c r="J52" i="6"/>
  <c r="J163" i="6" s="1"/>
  <c r="J234" i="6" s="1"/>
  <c r="J43" i="6"/>
  <c r="J154" i="6" s="1"/>
  <c r="J232" i="6" s="1"/>
  <c r="J42" i="6"/>
  <c r="J153" i="6" s="1"/>
  <c r="J72" i="6"/>
  <c r="J183" i="6" s="1"/>
  <c r="J46" i="6"/>
  <c r="J157" i="6" s="1"/>
  <c r="J58" i="6"/>
  <c r="J169" i="6" s="1"/>
  <c r="J54" i="6"/>
  <c r="J165" i="6" s="1"/>
  <c r="J236" i="6" s="1"/>
  <c r="J40" i="6"/>
  <c r="J151" i="6" s="1"/>
  <c r="J64" i="6"/>
  <c r="J175" i="6" s="1"/>
  <c r="J276" i="6" s="1"/>
  <c r="J76" i="6"/>
  <c r="J187" i="6" s="1"/>
  <c r="J75" i="6"/>
  <c r="J186" i="6" s="1"/>
  <c r="J71" i="6"/>
  <c r="J182" i="6" s="1"/>
  <c r="J36" i="6"/>
  <c r="J147" i="6" s="1"/>
  <c r="J68" i="6"/>
  <c r="J179" i="6" s="1"/>
  <c r="J55" i="6"/>
  <c r="J166" i="6" s="1"/>
  <c r="J237" i="6" s="1"/>
  <c r="J67" i="6"/>
  <c r="J178" i="6" s="1"/>
  <c r="J45" i="6"/>
  <c r="J156" i="6" s="1"/>
  <c r="N4" i="6"/>
  <c r="N7" i="6" s="1"/>
  <c r="N30" i="6" s="1" a="1"/>
  <c r="N30" i="6" s="1"/>
  <c r="N281" i="6" s="1"/>
  <c r="N222" i="6"/>
  <c r="N230" i="6" s="1"/>
  <c r="N216" i="6"/>
  <c r="N218" i="6"/>
  <c r="N221" i="6"/>
  <c r="N3" i="6"/>
  <c r="N219" i="6"/>
  <c r="N227" i="6" s="1"/>
  <c r="N217" i="6"/>
  <c r="N220" i="6"/>
  <c r="N228" i="6" s="1"/>
  <c r="N206" i="6"/>
  <c r="N5" i="6"/>
  <c r="N16" i="6"/>
  <c r="N253" i="6" s="1"/>
  <c r="N14" i="6"/>
  <c r="N246" i="6" s="1"/>
  <c r="N13" i="6"/>
  <c r="N247" i="6" s="1"/>
  <c r="N15" i="6"/>
  <c r="N250" i="6" s="1"/>
  <c r="N61" i="6"/>
  <c r="N172" i="6" s="1"/>
  <c r="N76" i="6"/>
  <c r="N187" i="6" s="1"/>
  <c r="N46" i="6"/>
  <c r="N157" i="6" s="1"/>
  <c r="N35" i="6"/>
  <c r="N146" i="6" s="1"/>
  <c r="N56" i="6"/>
  <c r="N167" i="6" s="1"/>
  <c r="N52" i="6"/>
  <c r="N163" i="6" s="1"/>
  <c r="N234" i="6" s="1"/>
  <c r="N74" i="6"/>
  <c r="N185" i="6" s="1"/>
  <c r="N44" i="6"/>
  <c r="N155" i="6" s="1"/>
  <c r="N63" i="6"/>
  <c r="N174" i="6" s="1"/>
  <c r="N42" i="6"/>
  <c r="N153" i="6" s="1"/>
  <c r="N40" i="6"/>
  <c r="N151" i="6" s="1"/>
  <c r="N78" i="6"/>
  <c r="N189" i="6" s="1"/>
  <c r="N73" i="6"/>
  <c r="N184" i="6" s="1"/>
  <c r="N62" i="6"/>
  <c r="N173" i="6" s="1"/>
  <c r="N69" i="6"/>
  <c r="N180" i="6" s="1"/>
  <c r="N51" i="6"/>
  <c r="N162" i="6" s="1"/>
  <c r="N233" i="6" s="1"/>
  <c r="N65" i="6"/>
  <c r="N176" i="6" s="1"/>
  <c r="N59" i="6"/>
  <c r="N170" i="6" s="1"/>
  <c r="N71" i="6"/>
  <c r="N182" i="6" s="1"/>
  <c r="N41" i="6"/>
  <c r="N152" i="6" s="1"/>
  <c r="N38" i="6"/>
  <c r="N149" i="6" s="1"/>
  <c r="N77" i="6"/>
  <c r="N188" i="6" s="1"/>
  <c r="N43" i="6"/>
  <c r="N154" i="6" s="1"/>
  <c r="N232" i="6" s="1"/>
  <c r="N53" i="6"/>
  <c r="N164" i="6" s="1"/>
  <c r="N235" i="6" s="1"/>
  <c r="N54" i="6"/>
  <c r="N165" i="6" s="1"/>
  <c r="N236" i="6" s="1"/>
  <c r="N64" i="6"/>
  <c r="N175" i="6" s="1"/>
  <c r="N276" i="6" s="1"/>
  <c r="N66" i="6"/>
  <c r="N177" i="6" s="1"/>
  <c r="N75" i="6"/>
  <c r="N186" i="6" s="1"/>
  <c r="N72" i="6"/>
  <c r="N183" i="6" s="1"/>
  <c r="N57" i="6"/>
  <c r="N168" i="6" s="1"/>
  <c r="N58" i="6"/>
  <c r="N169" i="6" s="1"/>
  <c r="N70" i="6"/>
  <c r="N181" i="6" s="1"/>
  <c r="N60" i="6"/>
  <c r="N171" i="6" s="1"/>
  <c r="N39" i="6"/>
  <c r="N150" i="6" s="1"/>
  <c r="N34" i="6"/>
  <c r="N145" i="6" s="1"/>
  <c r="N45" i="6"/>
  <c r="N156" i="6" s="1"/>
  <c r="N36" i="6"/>
  <c r="N147" i="6" s="1"/>
  <c r="N68" i="6"/>
  <c r="N179" i="6" s="1"/>
  <c r="N55" i="6"/>
  <c r="N166" i="6" s="1"/>
  <c r="N237" i="6" s="1"/>
  <c r="N67" i="6"/>
  <c r="N178" i="6" s="1"/>
  <c r="J48" i="6"/>
  <c r="J159" i="6" s="1"/>
  <c r="N50" i="6"/>
  <c r="N161" i="6" s="1"/>
  <c r="I68" i="6"/>
  <c r="I179" i="6" s="1"/>
  <c r="J49" i="6"/>
  <c r="J160" i="6" s="1"/>
  <c r="N47" i="6"/>
  <c r="N158" i="6" s="1"/>
  <c r="O4" i="6"/>
  <c r="O7" i="6" s="1"/>
  <c r="O30" i="6" s="1" a="1"/>
  <c r="O30" i="6" s="1"/>
  <c r="O281" i="6" s="1"/>
  <c r="O220" i="6"/>
  <c r="O228" i="6" s="1"/>
  <c r="O222" i="6"/>
  <c r="O230" i="6" s="1"/>
  <c r="O216" i="6"/>
  <c r="O218" i="6"/>
  <c r="O226" i="6" s="1"/>
  <c r="O206" i="6"/>
  <c r="O221" i="6"/>
  <c r="O219" i="6"/>
  <c r="O217" i="6"/>
  <c r="O5" i="6"/>
  <c r="O3" i="6"/>
  <c r="O13" i="6"/>
  <c r="O247" i="6" s="1"/>
  <c r="O15" i="6"/>
  <c r="O250" i="6" s="1"/>
  <c r="O14" i="6"/>
  <c r="O246" i="6" s="1"/>
  <c r="O16" i="6"/>
  <c r="O253" i="6" s="1"/>
  <c r="O69" i="6"/>
  <c r="O180" i="6" s="1"/>
  <c r="O44" i="6"/>
  <c r="O155" i="6" s="1"/>
  <c r="O40" i="6"/>
  <c r="O151" i="6" s="1"/>
  <c r="O58" i="6"/>
  <c r="O169" i="6" s="1"/>
  <c r="O77" i="6"/>
  <c r="O188" i="6" s="1"/>
  <c r="O72" i="6"/>
  <c r="O183" i="6" s="1"/>
  <c r="O62" i="6"/>
  <c r="O173" i="6" s="1"/>
  <c r="O43" i="6"/>
  <c r="O154" i="6" s="1"/>
  <c r="O232" i="6" s="1"/>
  <c r="O53" i="6"/>
  <c r="O164" i="6" s="1"/>
  <c r="O235" i="6" s="1"/>
  <c r="O51" i="6"/>
  <c r="O162" i="6" s="1"/>
  <c r="O233" i="6" s="1"/>
  <c r="O65" i="6"/>
  <c r="O176" i="6" s="1"/>
  <c r="O71" i="6"/>
  <c r="O182" i="6" s="1"/>
  <c r="O66" i="6"/>
  <c r="O177" i="6" s="1"/>
  <c r="O35" i="6"/>
  <c r="O146" i="6" s="1"/>
  <c r="O70" i="6"/>
  <c r="O181" i="6" s="1"/>
  <c r="O61" i="6"/>
  <c r="O172" i="6" s="1"/>
  <c r="O39" i="6"/>
  <c r="O150" i="6" s="1"/>
  <c r="O56" i="6"/>
  <c r="O167" i="6" s="1"/>
  <c r="O75" i="6"/>
  <c r="O186" i="6" s="1"/>
  <c r="O52" i="6"/>
  <c r="O163" i="6" s="1"/>
  <c r="O234" i="6" s="1"/>
  <c r="O60" i="6"/>
  <c r="O171" i="6" s="1"/>
  <c r="O64" i="6"/>
  <c r="O175" i="6" s="1"/>
  <c r="O276" i="6" s="1"/>
  <c r="O59" i="6"/>
  <c r="O170" i="6" s="1"/>
  <c r="O74" i="6"/>
  <c r="O185" i="6" s="1"/>
  <c r="O46" i="6"/>
  <c r="O157" i="6" s="1"/>
  <c r="O41" i="6"/>
  <c r="O152" i="6" s="1"/>
  <c r="O57" i="6"/>
  <c r="O168" i="6" s="1"/>
  <c r="O78" i="6"/>
  <c r="O189" i="6" s="1"/>
  <c r="O76" i="6"/>
  <c r="O187" i="6" s="1"/>
  <c r="O63" i="6"/>
  <c r="O174" i="6" s="1"/>
  <c r="O73" i="6"/>
  <c r="O184" i="6" s="1"/>
  <c r="O45" i="6"/>
  <c r="O156" i="6" s="1"/>
  <c r="O68" i="6"/>
  <c r="O179" i="6" s="1"/>
  <c r="O67" i="6"/>
  <c r="O178" i="6" s="1"/>
  <c r="I38" i="6"/>
  <c r="I149" i="6" s="1"/>
  <c r="J33" i="6"/>
  <c r="J144" i="6" s="1"/>
  <c r="J141" i="6" s="1"/>
  <c r="J50" i="6"/>
  <c r="J161" i="6" s="1"/>
  <c r="I67" i="6"/>
  <c r="I178" i="6" s="1"/>
  <c r="N48" i="6"/>
  <c r="N159" i="6" s="1"/>
  <c r="J47" i="6"/>
  <c r="J158" i="6" s="1"/>
  <c r="I55" i="6"/>
  <c r="I166" i="6" s="1"/>
  <c r="I237" i="6" s="1"/>
  <c r="P11" i="11"/>
  <c r="BC55" i="6"/>
  <c r="BC166" i="6" s="1"/>
  <c r="BC237" i="6" s="1"/>
  <c r="BB38" i="6"/>
  <c r="BB149" i="6" s="1"/>
  <c r="BC38" i="6"/>
  <c r="BC149" i="6" s="1"/>
  <c r="BC42" i="6"/>
  <c r="BC153" i="6" s="1"/>
  <c r="BD38" i="6"/>
  <c r="BD149" i="6" s="1"/>
  <c r="BD55" i="6"/>
  <c r="BD166" i="6" s="1"/>
  <c r="BD237" i="6" s="1"/>
  <c r="BD42" i="6"/>
  <c r="BD153" i="6" s="1"/>
  <c r="BD67" i="6"/>
  <c r="BD178" i="6" s="1"/>
  <c r="BC68" i="6"/>
  <c r="BC179" i="6" s="1"/>
  <c r="BB67" i="6"/>
  <c r="BB178" i="6" s="1"/>
  <c r="BH42" i="6"/>
  <c r="BH153" i="6" s="1"/>
  <c r="BA55" i="6"/>
  <c r="BA166" i="6" s="1"/>
  <c r="BA237" i="6" s="1"/>
  <c r="BA68" i="6"/>
  <c r="BA179" i="6" s="1"/>
  <c r="BA42" i="6"/>
  <c r="BA153" i="6" s="1"/>
  <c r="BA38" i="6"/>
  <c r="BA149" i="6" s="1"/>
  <c r="BB68" i="6"/>
  <c r="BB179" i="6" s="1"/>
  <c r="BB55" i="6"/>
  <c r="BB166" i="6" s="1"/>
  <c r="BB237" i="6" s="1"/>
  <c r="BE68" i="6"/>
  <c r="BE179" i="6" s="1"/>
  <c r="H594" i="3"/>
  <c r="P593" i="3"/>
  <c r="F593" i="3"/>
  <c r="E594" i="3"/>
  <c r="J593" i="3"/>
  <c r="O593" i="3"/>
  <c r="N594" i="3"/>
  <c r="D594" i="3"/>
  <c r="L593" i="3"/>
  <c r="M593" i="3"/>
  <c r="L594" i="3"/>
  <c r="E593" i="3"/>
  <c r="Q594" i="3"/>
  <c r="Q593" i="3"/>
  <c r="C594" i="3"/>
  <c r="O594" i="3"/>
  <c r="K594" i="3"/>
  <c r="C593" i="3"/>
  <c r="H593" i="3"/>
  <c r="G594" i="3"/>
  <c r="I594" i="3"/>
  <c r="I593" i="3"/>
  <c r="P594" i="3"/>
  <c r="K593" i="3"/>
  <c r="N593" i="3"/>
  <c r="M594" i="3"/>
  <c r="G593" i="3"/>
  <c r="F594" i="3"/>
  <c r="J594" i="3"/>
  <c r="D593" i="3"/>
  <c r="BE38" i="6"/>
  <c r="BE149" i="6" s="1"/>
  <c r="BF55" i="6"/>
  <c r="BF166" i="6" s="1"/>
  <c r="BF237" i="6" s="1"/>
  <c r="BF68" i="6"/>
  <c r="BF179" i="6" s="1"/>
  <c r="BE42" i="6"/>
  <c r="BE153" i="6" s="1"/>
  <c r="BF67" i="6"/>
  <c r="BF178" i="6" s="1"/>
  <c r="BF38" i="6"/>
  <c r="BF149" i="6" s="1"/>
  <c r="BE67" i="6"/>
  <c r="BE178" i="6" s="1"/>
  <c r="I206" i="6"/>
  <c r="I218" i="6"/>
  <c r="I221" i="6"/>
  <c r="I229" i="6" s="1"/>
  <c r="I217" i="6"/>
  <c r="I216" i="6"/>
  <c r="I220" i="6"/>
  <c r="I15" i="6"/>
  <c r="I250" i="6" s="1"/>
  <c r="I219" i="6"/>
  <c r="I13" i="6"/>
  <c r="I247" i="6" s="1"/>
  <c r="I3" i="6"/>
  <c r="I16" i="6"/>
  <c r="I253" i="6" s="1"/>
  <c r="I4" i="6"/>
  <c r="I7" i="6" s="1"/>
  <c r="I30" i="6" s="1" a="1"/>
  <c r="I30" i="6" s="1"/>
  <c r="I281" i="6" s="1"/>
  <c r="I14" i="6"/>
  <c r="I246" i="6" s="1"/>
  <c r="I222" i="6"/>
  <c r="I230" i="6" s="1"/>
  <c r="I5" i="6"/>
  <c r="I47" i="6"/>
  <c r="I158" i="6" s="1"/>
  <c r="I72" i="6"/>
  <c r="I183" i="6" s="1"/>
  <c r="I70" i="6"/>
  <c r="I181" i="6" s="1"/>
  <c r="I62" i="6"/>
  <c r="I173" i="6" s="1"/>
  <c r="I75" i="6"/>
  <c r="I186" i="6" s="1"/>
  <c r="I56" i="6"/>
  <c r="I167" i="6" s="1"/>
  <c r="I61" i="6"/>
  <c r="I172" i="6" s="1"/>
  <c r="I59" i="6"/>
  <c r="I170" i="6" s="1"/>
  <c r="I73" i="6"/>
  <c r="I184" i="6" s="1"/>
  <c r="I64" i="6"/>
  <c r="I175" i="6" s="1"/>
  <c r="I44" i="6"/>
  <c r="I155" i="6" s="1"/>
  <c r="I46" i="6"/>
  <c r="I157" i="6" s="1"/>
  <c r="I78" i="6"/>
  <c r="I189" i="6" s="1"/>
  <c r="I34" i="6"/>
  <c r="I145" i="6" s="1"/>
  <c r="I51" i="6"/>
  <c r="I162" i="6" s="1"/>
  <c r="I233" i="6" s="1"/>
  <c r="I33" i="6"/>
  <c r="I144" i="6" s="1"/>
  <c r="I60" i="6"/>
  <c r="I171" i="6" s="1"/>
  <c r="I54" i="6"/>
  <c r="I165" i="6" s="1"/>
  <c r="I236" i="6" s="1"/>
  <c r="I69" i="6"/>
  <c r="I180" i="6" s="1"/>
  <c r="I35" i="6"/>
  <c r="I146" i="6" s="1"/>
  <c r="I57" i="6"/>
  <c r="I168" i="6" s="1"/>
  <c r="I53" i="6"/>
  <c r="I164" i="6" s="1"/>
  <c r="I235" i="6" s="1"/>
  <c r="I71" i="6"/>
  <c r="I182" i="6" s="1"/>
  <c r="I40" i="6"/>
  <c r="I151" i="6" s="1"/>
  <c r="I63" i="6"/>
  <c r="I174" i="6" s="1"/>
  <c r="I45" i="6"/>
  <c r="I156" i="6" s="1"/>
  <c r="I50" i="6"/>
  <c r="I161" i="6" s="1"/>
  <c r="I36" i="6"/>
  <c r="I147" i="6" s="1"/>
  <c r="I49" i="6"/>
  <c r="I160" i="6" s="1"/>
  <c r="I43" i="6"/>
  <c r="I154" i="6" s="1"/>
  <c r="I232" i="6" s="1"/>
  <c r="I52" i="6"/>
  <c r="I163" i="6" s="1"/>
  <c r="I234" i="6" s="1"/>
  <c r="I65" i="6"/>
  <c r="I176" i="6" s="1"/>
  <c r="I41" i="6"/>
  <c r="I152" i="6" s="1"/>
  <c r="I76" i="6"/>
  <c r="I187" i="6" s="1"/>
  <c r="I77" i="6"/>
  <c r="I188" i="6" s="1"/>
  <c r="I48" i="6"/>
  <c r="I159" i="6" s="1"/>
  <c r="I58" i="6"/>
  <c r="I169" i="6" s="1"/>
  <c r="I74" i="6"/>
  <c r="I185" i="6" s="1"/>
  <c r="I66" i="6"/>
  <c r="I177" i="6" s="1"/>
  <c r="I39" i="6"/>
  <c r="I150" i="6" s="1"/>
  <c r="BA9" i="6"/>
  <c r="BA283" i="6" s="1"/>
  <c r="BA219" i="6"/>
  <c r="BA218" i="6"/>
  <c r="BA220" i="6"/>
  <c r="BA216" i="6"/>
  <c r="BA221" i="6"/>
  <c r="BA229" i="6" s="1"/>
  <c r="BA217" i="6"/>
  <c r="BA222" i="6"/>
  <c r="BA230" i="6" s="1"/>
  <c r="BA13" i="6"/>
  <c r="BA247" i="6" s="1"/>
  <c r="BA15" i="6"/>
  <c r="BA250" i="6" s="1"/>
  <c r="BA3" i="6"/>
  <c r="BA277" i="6" s="1"/>
  <c r="BA14" i="6"/>
  <c r="BA246" i="6" s="1"/>
  <c r="BA5" i="6"/>
  <c r="BA16" i="6"/>
  <c r="BA253" i="6" s="1"/>
  <c r="BA4" i="6"/>
  <c r="BA30" i="6" s="1" a="1"/>
  <c r="BA30" i="6" s="1"/>
  <c r="BA281" i="6" s="1"/>
  <c r="BA206" i="6"/>
  <c r="BA39" i="6"/>
  <c r="BA150" i="6" s="1"/>
  <c r="BA52" i="6"/>
  <c r="BA163" i="6" s="1"/>
  <c r="BA234" i="6" s="1"/>
  <c r="BA46" i="6"/>
  <c r="BA157" i="6" s="1"/>
  <c r="BA49" i="6"/>
  <c r="BA160" i="6" s="1"/>
  <c r="BA45" i="6"/>
  <c r="BA156" i="6" s="1"/>
  <c r="BA78" i="6"/>
  <c r="BA189" i="6" s="1"/>
  <c r="BA43" i="6"/>
  <c r="BA154" i="6" s="1"/>
  <c r="BA232" i="6" s="1"/>
  <c r="BA77" i="6"/>
  <c r="BA188" i="6" s="1"/>
  <c r="BA57" i="6"/>
  <c r="BA168" i="6" s="1"/>
  <c r="BA54" i="6"/>
  <c r="BA165" i="6" s="1"/>
  <c r="BA236" i="6" s="1"/>
  <c r="BA48" i="6"/>
  <c r="BA159" i="6" s="1"/>
  <c r="BA58" i="6"/>
  <c r="BA169" i="6" s="1"/>
  <c r="BA61" i="6"/>
  <c r="BA172" i="6" s="1"/>
  <c r="BA65" i="6"/>
  <c r="BA176" i="6" s="1"/>
  <c r="BA64" i="6"/>
  <c r="BA175" i="6" s="1"/>
  <c r="BA56" i="6"/>
  <c r="BA167" i="6" s="1"/>
  <c r="BA60" i="6"/>
  <c r="BA171" i="6" s="1"/>
  <c r="BA71" i="6"/>
  <c r="BA182" i="6" s="1"/>
  <c r="BA66" i="6"/>
  <c r="BA177" i="6" s="1"/>
  <c r="BA44" i="6"/>
  <c r="BA155" i="6" s="1"/>
  <c r="BA40" i="6"/>
  <c r="BA151" i="6" s="1"/>
  <c r="BA72" i="6"/>
  <c r="BA183" i="6" s="1"/>
  <c r="BA53" i="6"/>
  <c r="BA164" i="6" s="1"/>
  <c r="BA235" i="6" s="1"/>
  <c r="BA70" i="6"/>
  <c r="BA181" i="6" s="1"/>
  <c r="BA69" i="6"/>
  <c r="BA180" i="6" s="1"/>
  <c r="BA34" i="6"/>
  <c r="BA145" i="6" s="1"/>
  <c r="BA76" i="6"/>
  <c r="BA187" i="6" s="1"/>
  <c r="BA74" i="6"/>
  <c r="BA185" i="6" s="1"/>
  <c r="BA59" i="6"/>
  <c r="BA170" i="6" s="1"/>
  <c r="BA63" i="6"/>
  <c r="BA174" i="6" s="1"/>
  <c r="BA47" i="6"/>
  <c r="BA158" i="6" s="1"/>
  <c r="BA41" i="6"/>
  <c r="BA152" i="6" s="1"/>
  <c r="BA73" i="6"/>
  <c r="BA184" i="6" s="1"/>
  <c r="BA51" i="6"/>
  <c r="BA162" i="6" s="1"/>
  <c r="BA233" i="6" s="1"/>
  <c r="BA35" i="6"/>
  <c r="BA146" i="6" s="1"/>
  <c r="BA62" i="6"/>
  <c r="BA173" i="6" s="1"/>
  <c r="BA33" i="6"/>
  <c r="BA144" i="6" s="1"/>
  <c r="BA75" i="6"/>
  <c r="BA186" i="6" s="1"/>
  <c r="BA36" i="6"/>
  <c r="BA147" i="6" s="1"/>
  <c r="BA50" i="6"/>
  <c r="BA161" i="6" s="1"/>
  <c r="BG9" i="6"/>
  <c r="BG5" i="6"/>
  <c r="BG15" i="6"/>
  <c r="BG250" i="6" s="1"/>
  <c r="BG3" i="6"/>
  <c r="BG277" i="6" s="1"/>
  <c r="BG220" i="6"/>
  <c r="BG206" i="6"/>
  <c r="BG221" i="6"/>
  <c r="BG4" i="6"/>
  <c r="BG30" i="6" s="1" a="1"/>
  <c r="BG30" i="6" s="1"/>
  <c r="BG216" i="6"/>
  <c r="BG224" i="6" s="1"/>
  <c r="BG222" i="6"/>
  <c r="BG217" i="6"/>
  <c r="BG16" i="6"/>
  <c r="BG253" i="6" s="1"/>
  <c r="BG218" i="6"/>
  <c r="BG13" i="6"/>
  <c r="BG247" i="6" s="1"/>
  <c r="BG219" i="6"/>
  <c r="BG14" i="6"/>
  <c r="BG246" i="6" s="1"/>
  <c r="BG73" i="6"/>
  <c r="BG184" i="6" s="1"/>
  <c r="BG45" i="6"/>
  <c r="BG156" i="6" s="1"/>
  <c r="BG74" i="6"/>
  <c r="BG185" i="6" s="1"/>
  <c r="BG47" i="6"/>
  <c r="BG158" i="6" s="1"/>
  <c r="BG70" i="6"/>
  <c r="BG181" i="6" s="1"/>
  <c r="BG50" i="6"/>
  <c r="BG161" i="6" s="1"/>
  <c r="BG60" i="6"/>
  <c r="BG171" i="6" s="1"/>
  <c r="BG35" i="6"/>
  <c r="BG146" i="6" s="1"/>
  <c r="BG78" i="6"/>
  <c r="BG189" i="6" s="1"/>
  <c r="BG48" i="6"/>
  <c r="BG159" i="6" s="1"/>
  <c r="BG62" i="6"/>
  <c r="BG173" i="6" s="1"/>
  <c r="BG34" i="6"/>
  <c r="BG145" i="6" s="1"/>
  <c r="BG66" i="6"/>
  <c r="BG177" i="6" s="1"/>
  <c r="BG52" i="6"/>
  <c r="BG163" i="6" s="1"/>
  <c r="BG234" i="6" s="1"/>
  <c r="BG64" i="6"/>
  <c r="BG175" i="6" s="1"/>
  <c r="BG41" i="6"/>
  <c r="BG152" i="6" s="1"/>
  <c r="BG44" i="6"/>
  <c r="BG155" i="6" s="1"/>
  <c r="BG51" i="6"/>
  <c r="BG162" i="6" s="1"/>
  <c r="BG233" i="6" s="1"/>
  <c r="BG76" i="6"/>
  <c r="BG187" i="6" s="1"/>
  <c r="BG36" i="6"/>
  <c r="BG147" i="6" s="1"/>
  <c r="BG33" i="6"/>
  <c r="BG144" i="6" s="1"/>
  <c r="BG69" i="6"/>
  <c r="BG180" i="6" s="1"/>
  <c r="BG43" i="6"/>
  <c r="BG154" i="6" s="1"/>
  <c r="BG232" i="6" s="1"/>
  <c r="BG39" i="6"/>
  <c r="BG150" i="6" s="1"/>
  <c r="BG71" i="6"/>
  <c r="BG182" i="6" s="1"/>
  <c r="BG59" i="6"/>
  <c r="BG170" i="6" s="1"/>
  <c r="BG40" i="6"/>
  <c r="BG151" i="6" s="1"/>
  <c r="BG46" i="6"/>
  <c r="BG157" i="6" s="1"/>
  <c r="BG61" i="6"/>
  <c r="BG172" i="6" s="1"/>
  <c r="BG77" i="6"/>
  <c r="BG188" i="6" s="1"/>
  <c r="BG72" i="6"/>
  <c r="BG183" i="6" s="1"/>
  <c r="BG75" i="6"/>
  <c r="BG186" i="6" s="1"/>
  <c r="BG58" i="6"/>
  <c r="BG169" i="6" s="1"/>
  <c r="BG65" i="6"/>
  <c r="BG176" i="6" s="1"/>
  <c r="BG57" i="6"/>
  <c r="BG168" i="6" s="1"/>
  <c r="BG49" i="6"/>
  <c r="BG160" i="6" s="1"/>
  <c r="BG56" i="6"/>
  <c r="BG167" i="6" s="1"/>
  <c r="BG54" i="6"/>
  <c r="BG165" i="6" s="1"/>
  <c r="BG236" i="6" s="1"/>
  <c r="BG53" i="6"/>
  <c r="BG164" i="6" s="1"/>
  <c r="BG235" i="6" s="1"/>
  <c r="BG63" i="6"/>
  <c r="BG174" i="6" s="1"/>
  <c r="BH34" i="6"/>
  <c r="BH145" i="6" s="1"/>
  <c r="BH13" i="6"/>
  <c r="BH247" i="6" s="1"/>
  <c r="BH68" i="6"/>
  <c r="BH179" i="6" s="1"/>
  <c r="BH52" i="6"/>
  <c r="BH163" i="6" s="1"/>
  <c r="BH234" i="6" s="1"/>
  <c r="BH15" i="6"/>
  <c r="BH250" i="6" s="1"/>
  <c r="BH66" i="6"/>
  <c r="BH177" i="6" s="1"/>
  <c r="BH50" i="6"/>
  <c r="BH161" i="6" s="1"/>
  <c r="BH57" i="6"/>
  <c r="BH168" i="6" s="1"/>
  <c r="BH33" i="6"/>
  <c r="BH144" i="6" s="1"/>
  <c r="BH206" i="6"/>
  <c r="BH222" i="6"/>
  <c r="BH216" i="6"/>
  <c r="BH65" i="6"/>
  <c r="BH176" i="6" s="1"/>
  <c r="BH47" i="6"/>
  <c r="BH158" i="6" s="1"/>
  <c r="BH39" i="6"/>
  <c r="BH150" i="6" s="1"/>
  <c r="BH5" i="6"/>
  <c r="BH221" i="6"/>
  <c r="BH78" i="6"/>
  <c r="BH189" i="6" s="1"/>
  <c r="BH71" i="6"/>
  <c r="BH182" i="6" s="1"/>
  <c r="BH55" i="6"/>
  <c r="BH166" i="6" s="1"/>
  <c r="BH237" i="6" s="1"/>
  <c r="BH46" i="6"/>
  <c r="BH157" i="6" s="1"/>
  <c r="BH38" i="6"/>
  <c r="BH149" i="6" s="1"/>
  <c r="BH53" i="6"/>
  <c r="BH164" i="6" s="1"/>
  <c r="BH235" i="6" s="1"/>
  <c r="BH72" i="6"/>
  <c r="BH183" i="6" s="1"/>
  <c r="BH64" i="6"/>
  <c r="BH175" i="6" s="1"/>
  <c r="BH70" i="6"/>
  <c r="BH181" i="6" s="1"/>
  <c r="BH54" i="6"/>
  <c r="BH165" i="6" s="1"/>
  <c r="BH236" i="6" s="1"/>
  <c r="BH69" i="6"/>
  <c r="BH180" i="6" s="1"/>
  <c r="BH61" i="6"/>
  <c r="BH172" i="6" s="1"/>
  <c r="BH37" i="6"/>
  <c r="BH148" i="6" s="1"/>
  <c r="BH45" i="6"/>
  <c r="BH156" i="6" s="1"/>
  <c r="BH59" i="6"/>
  <c r="BH170" i="6" s="1"/>
  <c r="BH56" i="6"/>
  <c r="BH167" i="6" s="1"/>
  <c r="BH77" i="6"/>
  <c r="BH188" i="6" s="1"/>
  <c r="BH4" i="6"/>
  <c r="BH30" i="6" s="1" a="1"/>
  <c r="BH30" i="6" s="1"/>
  <c r="BH281" i="6" s="1"/>
  <c r="BH63" i="6"/>
  <c r="BH174" i="6" s="1"/>
  <c r="BH62" i="6"/>
  <c r="BH173" i="6" s="1"/>
  <c r="BH76" i="6"/>
  <c r="BH187" i="6" s="1"/>
  <c r="BH58" i="6"/>
  <c r="BH169" i="6" s="1"/>
  <c r="BH220" i="6"/>
  <c r="BH16" i="6"/>
  <c r="BH253" i="6" s="1"/>
  <c r="BH73" i="6"/>
  <c r="BH184" i="6" s="1"/>
  <c r="BH44" i="6"/>
  <c r="BH155" i="6" s="1"/>
  <c r="BH36" i="6"/>
  <c r="BH147" i="6" s="1"/>
  <c r="BH3" i="6"/>
  <c r="BH277" i="6" s="1"/>
  <c r="BH218" i="6"/>
  <c r="BH75" i="6"/>
  <c r="BH186" i="6" s="1"/>
  <c r="BH219" i="6"/>
  <c r="BH60" i="6"/>
  <c r="BH171" i="6" s="1"/>
  <c r="BH9" i="6"/>
  <c r="BH43" i="6"/>
  <c r="BH154" i="6" s="1"/>
  <c r="BH232" i="6" s="1"/>
  <c r="BH35" i="6"/>
  <c r="BH146" i="6" s="1"/>
  <c r="BH14" i="6"/>
  <c r="BH246" i="6" s="1"/>
  <c r="BH217" i="6"/>
  <c r="BH74" i="6"/>
  <c r="BH185" i="6" s="1"/>
  <c r="BH67" i="6"/>
  <c r="BH178" i="6" s="1"/>
  <c r="BH51" i="6"/>
  <c r="BH162" i="6" s="1"/>
  <c r="BH233" i="6" s="1"/>
  <c r="BH41" i="6"/>
  <c r="BH152" i="6" s="1"/>
  <c r="BH40" i="6"/>
  <c r="BH151" i="6" s="1"/>
  <c r="BH49" i="6"/>
  <c r="BH160" i="6" s="1"/>
  <c r="BG68" i="6"/>
  <c r="BG179" i="6" s="1"/>
  <c r="BE9" i="6"/>
  <c r="BE4" i="6"/>
  <c r="BE30" i="6" s="1" a="1"/>
  <c r="BE30" i="6" s="1"/>
  <c r="BE281" i="6" s="1"/>
  <c r="BE13" i="6"/>
  <c r="BE247" i="6" s="1"/>
  <c r="BE221" i="6"/>
  <c r="BE229" i="6" s="1"/>
  <c r="BE5" i="6"/>
  <c r="BE220" i="6"/>
  <c r="BE218" i="6"/>
  <c r="BE206" i="6"/>
  <c r="BE216" i="6"/>
  <c r="BE219" i="6"/>
  <c r="BE217" i="6"/>
  <c r="BE14" i="6"/>
  <c r="BE246" i="6" s="1"/>
  <c r="BE222" i="6"/>
  <c r="BE230" i="6" s="1"/>
  <c r="BE16" i="6"/>
  <c r="BE253" i="6" s="1"/>
  <c r="BE3" i="6"/>
  <c r="BE277" i="6" s="1"/>
  <c r="BE15" i="6"/>
  <c r="BE250" i="6" s="1"/>
  <c r="BE44" i="6"/>
  <c r="BE155" i="6" s="1"/>
  <c r="BE43" i="6"/>
  <c r="BE154" i="6" s="1"/>
  <c r="BE232" i="6" s="1"/>
  <c r="BE74" i="6"/>
  <c r="BE185" i="6" s="1"/>
  <c r="BE59" i="6"/>
  <c r="BE170" i="6" s="1"/>
  <c r="BE70" i="6"/>
  <c r="BE181" i="6" s="1"/>
  <c r="BE64" i="6"/>
  <c r="BE175" i="6" s="1"/>
  <c r="BE56" i="6"/>
  <c r="BE167" i="6" s="1"/>
  <c r="BE46" i="6"/>
  <c r="BE157" i="6" s="1"/>
  <c r="BE69" i="6"/>
  <c r="BE180" i="6" s="1"/>
  <c r="BE62" i="6"/>
  <c r="BE173" i="6" s="1"/>
  <c r="BE75" i="6"/>
  <c r="BE186" i="6" s="1"/>
  <c r="BE47" i="6"/>
  <c r="BE158" i="6" s="1"/>
  <c r="BE48" i="6"/>
  <c r="BE159" i="6" s="1"/>
  <c r="BE33" i="6"/>
  <c r="BE144" i="6" s="1"/>
  <c r="BE72" i="6"/>
  <c r="BE183" i="6" s="1"/>
  <c r="BE45" i="6"/>
  <c r="BE156" i="6" s="1"/>
  <c r="BE58" i="6"/>
  <c r="BE169" i="6" s="1"/>
  <c r="BE78" i="6"/>
  <c r="BE189" i="6" s="1"/>
  <c r="BE51" i="6"/>
  <c r="BE162" i="6" s="1"/>
  <c r="BE233" i="6" s="1"/>
  <c r="BE54" i="6"/>
  <c r="BE165" i="6" s="1"/>
  <c r="BE236" i="6" s="1"/>
  <c r="BE63" i="6"/>
  <c r="BE174" i="6" s="1"/>
  <c r="BE36" i="6"/>
  <c r="BE147" i="6" s="1"/>
  <c r="BE61" i="6"/>
  <c r="BE172" i="6" s="1"/>
  <c r="BE50" i="6"/>
  <c r="BE161" i="6" s="1"/>
  <c r="BE65" i="6"/>
  <c r="BE176" i="6" s="1"/>
  <c r="BE41" i="6"/>
  <c r="BE152" i="6" s="1"/>
  <c r="BE77" i="6"/>
  <c r="BE188" i="6" s="1"/>
  <c r="BE53" i="6"/>
  <c r="BE164" i="6" s="1"/>
  <c r="BE235" i="6" s="1"/>
  <c r="BE57" i="6"/>
  <c r="BE168" i="6" s="1"/>
  <c r="BE76" i="6"/>
  <c r="BE187" i="6" s="1"/>
  <c r="BE49" i="6"/>
  <c r="BE160" i="6" s="1"/>
  <c r="BE73" i="6"/>
  <c r="BE184" i="6" s="1"/>
  <c r="BE34" i="6"/>
  <c r="BE145" i="6" s="1"/>
  <c r="BE35" i="6"/>
  <c r="BE146" i="6" s="1"/>
  <c r="BE39" i="6"/>
  <c r="BE150" i="6" s="1"/>
  <c r="BE40" i="6"/>
  <c r="BE151" i="6" s="1"/>
  <c r="BE66" i="6"/>
  <c r="BE177" i="6" s="1"/>
  <c r="BE60" i="6"/>
  <c r="BE171" i="6" s="1"/>
  <c r="BE52" i="6"/>
  <c r="BE163" i="6" s="1"/>
  <c r="BE234" i="6" s="1"/>
  <c r="BE71" i="6"/>
  <c r="BE182" i="6" s="1"/>
  <c r="BF9" i="6"/>
  <c r="BF283" i="6" s="1"/>
  <c r="BF16" i="6"/>
  <c r="BF253" i="6" s="1"/>
  <c r="BF219" i="6"/>
  <c r="BF14" i="6"/>
  <c r="BF246" i="6" s="1"/>
  <c r="BF4" i="6"/>
  <c r="BF30" i="6" s="1" a="1"/>
  <c r="BF30" i="6" s="1"/>
  <c r="BF281" i="6" s="1"/>
  <c r="BF15" i="6"/>
  <c r="BF250" i="6" s="1"/>
  <c r="BF3" i="6"/>
  <c r="BF277" i="6" s="1"/>
  <c r="BF220" i="6"/>
  <c r="BF5" i="6"/>
  <c r="BF206" i="6"/>
  <c r="BF216" i="6"/>
  <c r="BF222" i="6"/>
  <c r="BF230" i="6" s="1"/>
  <c r="BF218" i="6"/>
  <c r="BF221" i="6"/>
  <c r="BF229" i="6" s="1"/>
  <c r="BF217" i="6"/>
  <c r="BF13" i="6"/>
  <c r="BF247" i="6" s="1"/>
  <c r="BF72" i="6"/>
  <c r="BF183" i="6" s="1"/>
  <c r="BF60" i="6"/>
  <c r="BF171" i="6" s="1"/>
  <c r="BF61" i="6"/>
  <c r="BF172" i="6" s="1"/>
  <c r="BF54" i="6"/>
  <c r="BF165" i="6" s="1"/>
  <c r="BF236" i="6" s="1"/>
  <c r="BF35" i="6"/>
  <c r="BF146" i="6" s="1"/>
  <c r="BF51" i="6"/>
  <c r="BF162" i="6" s="1"/>
  <c r="BF233" i="6" s="1"/>
  <c r="BF43" i="6"/>
  <c r="BF154" i="6" s="1"/>
  <c r="BF232" i="6" s="1"/>
  <c r="BF49" i="6"/>
  <c r="BF160" i="6" s="1"/>
  <c r="BF62" i="6"/>
  <c r="BF173" i="6" s="1"/>
  <c r="BF47" i="6"/>
  <c r="BF158" i="6" s="1"/>
  <c r="BF40" i="6"/>
  <c r="BF151" i="6" s="1"/>
  <c r="BF56" i="6"/>
  <c r="BF167" i="6" s="1"/>
  <c r="BF78" i="6"/>
  <c r="BF189" i="6" s="1"/>
  <c r="BF64" i="6"/>
  <c r="BF175" i="6" s="1"/>
  <c r="BF75" i="6"/>
  <c r="BF186" i="6" s="1"/>
  <c r="BF58" i="6"/>
  <c r="BF169" i="6" s="1"/>
  <c r="BF44" i="6"/>
  <c r="BF155" i="6" s="1"/>
  <c r="BF46" i="6"/>
  <c r="BF157" i="6" s="1"/>
  <c r="BF48" i="6"/>
  <c r="BF159" i="6" s="1"/>
  <c r="BF69" i="6"/>
  <c r="BF180" i="6" s="1"/>
  <c r="BF73" i="6"/>
  <c r="BF184" i="6" s="1"/>
  <c r="BF34" i="6"/>
  <c r="BF145" i="6" s="1"/>
  <c r="BF50" i="6"/>
  <c r="BF161" i="6" s="1"/>
  <c r="BF74" i="6"/>
  <c r="BF185" i="6" s="1"/>
  <c r="BF66" i="6"/>
  <c r="BF177" i="6" s="1"/>
  <c r="BF65" i="6"/>
  <c r="BF176" i="6" s="1"/>
  <c r="BF39" i="6"/>
  <c r="BF150" i="6" s="1"/>
  <c r="BF41" i="6"/>
  <c r="BF152" i="6" s="1"/>
  <c r="BF71" i="6"/>
  <c r="BF182" i="6" s="1"/>
  <c r="BF76" i="6"/>
  <c r="BF187" i="6" s="1"/>
  <c r="BF70" i="6"/>
  <c r="BF181" i="6" s="1"/>
  <c r="BF45" i="6"/>
  <c r="BF156" i="6" s="1"/>
  <c r="BF77" i="6"/>
  <c r="BF188" i="6" s="1"/>
  <c r="BF57" i="6"/>
  <c r="BF168" i="6" s="1"/>
  <c r="BF63" i="6"/>
  <c r="BF174" i="6" s="1"/>
  <c r="BF33" i="6"/>
  <c r="BF144" i="6" s="1"/>
  <c r="BF52" i="6"/>
  <c r="BF163" i="6" s="1"/>
  <c r="BF234" i="6" s="1"/>
  <c r="BF36" i="6"/>
  <c r="BF147" i="6" s="1"/>
  <c r="BF59" i="6"/>
  <c r="BF170" i="6" s="1"/>
  <c r="BF53" i="6"/>
  <c r="BF164" i="6" s="1"/>
  <c r="BF235" i="6" s="1"/>
  <c r="BG42" i="6"/>
  <c r="BG153" i="6" s="1"/>
  <c r="BD9" i="6"/>
  <c r="BD3" i="6"/>
  <c r="BD277" i="6" s="1"/>
  <c r="BD16" i="6"/>
  <c r="BD253" i="6" s="1"/>
  <c r="BD5" i="6"/>
  <c r="BD206" i="6"/>
  <c r="BD216" i="6"/>
  <c r="BD222" i="6"/>
  <c r="BD230" i="6" s="1"/>
  <c r="BD218" i="6"/>
  <c r="BD219" i="6"/>
  <c r="BD217" i="6"/>
  <c r="BD221" i="6"/>
  <c r="BD229" i="6" s="1"/>
  <c r="BD15" i="6"/>
  <c r="BD250" i="6" s="1"/>
  <c r="BD220" i="6"/>
  <c r="BD14" i="6"/>
  <c r="BD246" i="6" s="1"/>
  <c r="BD4" i="6"/>
  <c r="BD30" i="6" s="1" a="1"/>
  <c r="BD30" i="6" s="1"/>
  <c r="BD281" i="6" s="1"/>
  <c r="BD13" i="6"/>
  <c r="BD247" i="6" s="1"/>
  <c r="BD59" i="6"/>
  <c r="BD170" i="6" s="1"/>
  <c r="BD46" i="6"/>
  <c r="BD157" i="6" s="1"/>
  <c r="BD69" i="6"/>
  <c r="BD180" i="6" s="1"/>
  <c r="BD66" i="6"/>
  <c r="BD177" i="6" s="1"/>
  <c r="BD58" i="6"/>
  <c r="BD169" i="6" s="1"/>
  <c r="BD75" i="6"/>
  <c r="BD186" i="6" s="1"/>
  <c r="BD47" i="6"/>
  <c r="BD158" i="6" s="1"/>
  <c r="BD48" i="6"/>
  <c r="BD159" i="6" s="1"/>
  <c r="BD70" i="6"/>
  <c r="BD181" i="6" s="1"/>
  <c r="BD62" i="6"/>
  <c r="BD173" i="6" s="1"/>
  <c r="BD45" i="6"/>
  <c r="BD156" i="6" s="1"/>
  <c r="BD43" i="6"/>
  <c r="BD154" i="6" s="1"/>
  <c r="BD232" i="6" s="1"/>
  <c r="BD44" i="6"/>
  <c r="BD155" i="6" s="1"/>
  <c r="BD61" i="6"/>
  <c r="BD172" i="6" s="1"/>
  <c r="BD65" i="6"/>
  <c r="BD176" i="6" s="1"/>
  <c r="BD60" i="6"/>
  <c r="BD171" i="6" s="1"/>
  <c r="BD77" i="6"/>
  <c r="BD188" i="6" s="1"/>
  <c r="BD72" i="6"/>
  <c r="BD183" i="6" s="1"/>
  <c r="BD53" i="6"/>
  <c r="BD164" i="6" s="1"/>
  <c r="BD235" i="6" s="1"/>
  <c r="BD57" i="6"/>
  <c r="BD168" i="6" s="1"/>
  <c r="BD50" i="6"/>
  <c r="BD161" i="6" s="1"/>
  <c r="BD63" i="6"/>
  <c r="BD174" i="6" s="1"/>
  <c r="BD34" i="6"/>
  <c r="BD145" i="6" s="1"/>
  <c r="BD76" i="6"/>
  <c r="BD187" i="6" s="1"/>
  <c r="BD39" i="6"/>
  <c r="BD150" i="6" s="1"/>
  <c r="BD41" i="6"/>
  <c r="BD152" i="6" s="1"/>
  <c r="BD78" i="6"/>
  <c r="BD189" i="6" s="1"/>
  <c r="BD56" i="6"/>
  <c r="BD167" i="6" s="1"/>
  <c r="BD73" i="6"/>
  <c r="BD184" i="6" s="1"/>
  <c r="BD74" i="6"/>
  <c r="BD185" i="6" s="1"/>
  <c r="BD35" i="6"/>
  <c r="BD146" i="6" s="1"/>
  <c r="BD40" i="6"/>
  <c r="BD151" i="6" s="1"/>
  <c r="BD33" i="6"/>
  <c r="BD144" i="6" s="1"/>
  <c r="BD64" i="6"/>
  <c r="BD175" i="6" s="1"/>
  <c r="BD52" i="6"/>
  <c r="BD163" i="6" s="1"/>
  <c r="BD234" i="6" s="1"/>
  <c r="BD51" i="6"/>
  <c r="BD162" i="6" s="1"/>
  <c r="BD233" i="6" s="1"/>
  <c r="BD54" i="6"/>
  <c r="BD165" i="6" s="1"/>
  <c r="BD236" i="6" s="1"/>
  <c r="BD36" i="6"/>
  <c r="BD147" i="6" s="1"/>
  <c r="BD71" i="6"/>
  <c r="BD182" i="6" s="1"/>
  <c r="BD49" i="6"/>
  <c r="BD160" i="6" s="1"/>
  <c r="BC9" i="6"/>
  <c r="BC222" i="6"/>
  <c r="BC230" i="6" s="1"/>
  <c r="BC15" i="6"/>
  <c r="BC250" i="6" s="1"/>
  <c r="BC219" i="6"/>
  <c r="BC13" i="6"/>
  <c r="BC247" i="6" s="1"/>
  <c r="BC4" i="6"/>
  <c r="BC30" i="6" s="1" a="1"/>
  <c r="BC30" i="6" s="1"/>
  <c r="BC281" i="6" s="1"/>
  <c r="BC14" i="6"/>
  <c r="BC246" i="6" s="1"/>
  <c r="BC206" i="6"/>
  <c r="BC3" i="6"/>
  <c r="BC277" i="6" s="1"/>
  <c r="BC218" i="6"/>
  <c r="BC221" i="6"/>
  <c r="BC229" i="6" s="1"/>
  <c r="BC217" i="6"/>
  <c r="BC220" i="6"/>
  <c r="BC216" i="6"/>
  <c r="BC5" i="6"/>
  <c r="BC16" i="6"/>
  <c r="BC253" i="6" s="1"/>
  <c r="BC58" i="6"/>
  <c r="BC169" i="6" s="1"/>
  <c r="BC51" i="6"/>
  <c r="BC162" i="6" s="1"/>
  <c r="BC233" i="6" s="1"/>
  <c r="BC46" i="6"/>
  <c r="BC157" i="6" s="1"/>
  <c r="BC60" i="6"/>
  <c r="BC171" i="6" s="1"/>
  <c r="BC64" i="6"/>
  <c r="BC175" i="6" s="1"/>
  <c r="BC44" i="6"/>
  <c r="BC155" i="6" s="1"/>
  <c r="BC75" i="6"/>
  <c r="BC186" i="6" s="1"/>
  <c r="BC70" i="6"/>
  <c r="BC181" i="6" s="1"/>
  <c r="BC69" i="6"/>
  <c r="BC180" i="6" s="1"/>
  <c r="BC56" i="6"/>
  <c r="BC167" i="6" s="1"/>
  <c r="BC48" i="6"/>
  <c r="BC159" i="6" s="1"/>
  <c r="BC45" i="6"/>
  <c r="BC156" i="6" s="1"/>
  <c r="BC59" i="6"/>
  <c r="BC170" i="6" s="1"/>
  <c r="BC62" i="6"/>
  <c r="BC173" i="6" s="1"/>
  <c r="BC47" i="6"/>
  <c r="BC158" i="6" s="1"/>
  <c r="BC43" i="6"/>
  <c r="BC154" i="6" s="1"/>
  <c r="BC232" i="6" s="1"/>
  <c r="BC61" i="6"/>
  <c r="BC172" i="6" s="1"/>
  <c r="BC35" i="6"/>
  <c r="BC146" i="6" s="1"/>
  <c r="BC78" i="6"/>
  <c r="BC189" i="6" s="1"/>
  <c r="BC39" i="6"/>
  <c r="BC150" i="6" s="1"/>
  <c r="BC72" i="6"/>
  <c r="BC183" i="6" s="1"/>
  <c r="BC76" i="6"/>
  <c r="BC187" i="6" s="1"/>
  <c r="BC40" i="6"/>
  <c r="BC151" i="6" s="1"/>
  <c r="BC66" i="6"/>
  <c r="BC177" i="6" s="1"/>
  <c r="BC71" i="6"/>
  <c r="BC182" i="6" s="1"/>
  <c r="BC73" i="6"/>
  <c r="BC184" i="6" s="1"/>
  <c r="BC77" i="6"/>
  <c r="BC188" i="6" s="1"/>
  <c r="BC49" i="6"/>
  <c r="BC160" i="6" s="1"/>
  <c r="BC33" i="6"/>
  <c r="BC144" i="6" s="1"/>
  <c r="BC34" i="6"/>
  <c r="BC145" i="6" s="1"/>
  <c r="BC65" i="6"/>
  <c r="BC176" i="6" s="1"/>
  <c r="BC53" i="6"/>
  <c r="BC164" i="6" s="1"/>
  <c r="BC235" i="6" s="1"/>
  <c r="BC57" i="6"/>
  <c r="BC168" i="6" s="1"/>
  <c r="BC36" i="6"/>
  <c r="BC147" i="6" s="1"/>
  <c r="BC74" i="6"/>
  <c r="BC185" i="6" s="1"/>
  <c r="BC63" i="6"/>
  <c r="BC174" i="6" s="1"/>
  <c r="BC41" i="6"/>
  <c r="BC152" i="6" s="1"/>
  <c r="BC54" i="6"/>
  <c r="BC165" i="6" s="1"/>
  <c r="BC236" i="6" s="1"/>
  <c r="BC50" i="6"/>
  <c r="BC161" i="6" s="1"/>
  <c r="BC52" i="6"/>
  <c r="BC163" i="6" s="1"/>
  <c r="BC234" i="6" s="1"/>
  <c r="BG38" i="6"/>
  <c r="BG149" i="6" s="1"/>
  <c r="BB222" i="6"/>
  <c r="BB230" i="6" s="1"/>
  <c r="BB217" i="6"/>
  <c r="BB220" i="6"/>
  <c r="BB13" i="6"/>
  <c r="BB247" i="6" s="1"/>
  <c r="BB221" i="6"/>
  <c r="BB229" i="6" s="1"/>
  <c r="BB15" i="6"/>
  <c r="BB250" i="6" s="1"/>
  <c r="BB219" i="6"/>
  <c r="BB16" i="6"/>
  <c r="BB253" i="6" s="1"/>
  <c r="BB9" i="6"/>
  <c r="BB206" i="6"/>
  <c r="BB14" i="6"/>
  <c r="BB246" i="6" s="1"/>
  <c r="BB5" i="6"/>
  <c r="BB4" i="6"/>
  <c r="BB30" i="6" s="1" a="1"/>
  <c r="BB30" i="6" s="1"/>
  <c r="BB218" i="6"/>
  <c r="BB3" i="6"/>
  <c r="BB277" i="6" s="1"/>
  <c r="BB216" i="6"/>
  <c r="BB73" i="6"/>
  <c r="BB184" i="6" s="1"/>
  <c r="BB51" i="6"/>
  <c r="BB162" i="6" s="1"/>
  <c r="BB233" i="6" s="1"/>
  <c r="BB35" i="6"/>
  <c r="BB146" i="6" s="1"/>
  <c r="BB62" i="6"/>
  <c r="BB173" i="6" s="1"/>
  <c r="BB33" i="6"/>
  <c r="BB144" i="6" s="1"/>
  <c r="BB48" i="6"/>
  <c r="BB159" i="6" s="1"/>
  <c r="BB36" i="6"/>
  <c r="BB147" i="6" s="1"/>
  <c r="BB50" i="6"/>
  <c r="BB161" i="6" s="1"/>
  <c r="BB75" i="6"/>
  <c r="BB186" i="6" s="1"/>
  <c r="BB49" i="6"/>
  <c r="BB160" i="6" s="1"/>
  <c r="BB45" i="6"/>
  <c r="BB156" i="6" s="1"/>
  <c r="BB78" i="6"/>
  <c r="BB189" i="6" s="1"/>
  <c r="BB43" i="6"/>
  <c r="BB154" i="6" s="1"/>
  <c r="BB232" i="6" s="1"/>
  <c r="BB77" i="6"/>
  <c r="BB188" i="6" s="1"/>
  <c r="BB57" i="6"/>
  <c r="BB168" i="6" s="1"/>
  <c r="BB60" i="6"/>
  <c r="BB171" i="6" s="1"/>
  <c r="BB71" i="6"/>
  <c r="BB182" i="6" s="1"/>
  <c r="BB66" i="6"/>
  <c r="BB177" i="6" s="1"/>
  <c r="BB44" i="6"/>
  <c r="BB155" i="6" s="1"/>
  <c r="BB58" i="6"/>
  <c r="BB169" i="6" s="1"/>
  <c r="BB61" i="6"/>
  <c r="BB172" i="6" s="1"/>
  <c r="BB65" i="6"/>
  <c r="BB176" i="6" s="1"/>
  <c r="BB64" i="6"/>
  <c r="BB175" i="6" s="1"/>
  <c r="BB56" i="6"/>
  <c r="BB167" i="6" s="1"/>
  <c r="BB34" i="6"/>
  <c r="BB145" i="6" s="1"/>
  <c r="BB76" i="6"/>
  <c r="BB187" i="6" s="1"/>
  <c r="BB74" i="6"/>
  <c r="BB185" i="6" s="1"/>
  <c r="BB59" i="6"/>
  <c r="BB170" i="6" s="1"/>
  <c r="BB63" i="6"/>
  <c r="BB174" i="6" s="1"/>
  <c r="BB47" i="6"/>
  <c r="BB158" i="6" s="1"/>
  <c r="BB40" i="6"/>
  <c r="BB151" i="6" s="1"/>
  <c r="BB72" i="6"/>
  <c r="BB183" i="6" s="1"/>
  <c r="BB53" i="6"/>
  <c r="BB164" i="6" s="1"/>
  <c r="BB235" i="6" s="1"/>
  <c r="BB70" i="6"/>
  <c r="BB181" i="6" s="1"/>
  <c r="BB69" i="6"/>
  <c r="BB180" i="6" s="1"/>
  <c r="BB39" i="6"/>
  <c r="BB150" i="6" s="1"/>
  <c r="BB52" i="6"/>
  <c r="BB163" i="6" s="1"/>
  <c r="BB234" i="6" s="1"/>
  <c r="BB46" i="6"/>
  <c r="BB157" i="6" s="1"/>
  <c r="BB41" i="6"/>
  <c r="BB152" i="6" s="1"/>
  <c r="BB54" i="6"/>
  <c r="BB165" i="6" s="1"/>
  <c r="BB236" i="6" s="1"/>
  <c r="BG67" i="6"/>
  <c r="BG178" i="6" s="1"/>
  <c r="BH266" i="6"/>
  <c r="BB266" i="6"/>
  <c r="BG266" i="6"/>
  <c r="BC266" i="6"/>
  <c r="BF266" i="6"/>
  <c r="BD266" i="6"/>
  <c r="BE266" i="6"/>
  <c r="BA266" i="6"/>
  <c r="F65" i="11"/>
  <c r="G65" i="11" s="1"/>
  <c r="G16" i="6"/>
  <c r="G253" i="6" s="1"/>
  <c r="G216" i="6"/>
  <c r="G224" i="6" s="1"/>
  <c r="G68" i="6"/>
  <c r="G179" i="6" s="1"/>
  <c r="G13" i="6"/>
  <c r="G247" i="6" s="1"/>
  <c r="G218" i="6"/>
  <c r="G226" i="6" s="1"/>
  <c r="G222" i="6"/>
  <c r="G230" i="6" s="1"/>
  <c r="G206" i="6"/>
  <c r="G217" i="6"/>
  <c r="G225" i="6" s="1"/>
  <c r="G15" i="6"/>
  <c r="G250" i="6" s="1"/>
  <c r="G220" i="6"/>
  <c r="G228" i="6" s="1"/>
  <c r="G14" i="6"/>
  <c r="G246" i="6" s="1"/>
  <c r="G67" i="6"/>
  <c r="G178" i="6" s="1"/>
  <c r="G5" i="6"/>
  <c r="G221" i="6"/>
  <c r="G229" i="6" s="1"/>
  <c r="G4" i="6"/>
  <c r="G7" i="6" s="1"/>
  <c r="G30" i="6" s="1" a="1"/>
  <c r="G30" i="6" s="1"/>
  <c r="G281" i="6" s="1"/>
  <c r="H68" i="6"/>
  <c r="H179" i="6" s="1"/>
  <c r="G219" i="6"/>
  <c r="G227" i="6" s="1"/>
  <c r="H218" i="6"/>
  <c r="H226" i="6" s="1"/>
  <c r="H216" i="6"/>
  <c r="H224" i="6" s="1"/>
  <c r="H220" i="6"/>
  <c r="H228" i="6" s="1"/>
  <c r="H219" i="6"/>
  <c r="H227" i="6" s="1"/>
  <c r="H217" i="6"/>
  <c r="H225" i="6" s="1"/>
  <c r="H222" i="6"/>
  <c r="H230" i="6" s="1"/>
  <c r="H221" i="6"/>
  <c r="H229" i="6" s="1"/>
  <c r="H206" i="6"/>
  <c r="H3" i="6"/>
  <c r="H5" i="6"/>
  <c r="H4" i="6"/>
  <c r="H7" i="6" s="1"/>
  <c r="H30" i="6" s="1" a="1"/>
  <c r="H30" i="6" s="1"/>
  <c r="H281" i="6" s="1"/>
  <c r="H13" i="6"/>
  <c r="H16" i="6"/>
  <c r="H253" i="6" s="1"/>
  <c r="H15" i="6"/>
  <c r="H250" i="6" s="1"/>
  <c r="H14" i="6"/>
  <c r="H41" i="6"/>
  <c r="H152" i="6" s="1"/>
  <c r="H40" i="6"/>
  <c r="H151" i="6" s="1"/>
  <c r="C4" i="6"/>
  <c r="C7" i="6" s="1"/>
  <c r="G54" i="6"/>
  <c r="G165" i="6" s="1"/>
  <c r="G236" i="6" s="1"/>
  <c r="G65" i="6"/>
  <c r="G176" i="6" s="1"/>
  <c r="H65" i="6"/>
  <c r="H176" i="6" s="1"/>
  <c r="G62" i="6"/>
  <c r="G173" i="6" s="1"/>
  <c r="H62" i="6"/>
  <c r="H173" i="6" s="1"/>
  <c r="G47" i="6"/>
  <c r="G158" i="6" s="1"/>
  <c r="H47" i="6"/>
  <c r="H158" i="6" s="1"/>
  <c r="G38" i="6"/>
  <c r="G149" i="6" s="1"/>
  <c r="G64" i="6"/>
  <c r="G175" i="6" s="1"/>
  <c r="H64" i="6"/>
  <c r="H175" i="6" s="1"/>
  <c r="G45" i="6"/>
  <c r="G156" i="6" s="1"/>
  <c r="H45" i="6"/>
  <c r="H156" i="6" s="1"/>
  <c r="G39" i="6"/>
  <c r="G150" i="6" s="1"/>
  <c r="H39" i="6"/>
  <c r="H150" i="6" s="1"/>
  <c r="G59" i="6"/>
  <c r="G170" i="6" s="1"/>
  <c r="H59" i="6"/>
  <c r="H170" i="6" s="1"/>
  <c r="G51" i="6"/>
  <c r="G162" i="6" s="1"/>
  <c r="G233" i="6" s="1"/>
  <c r="H51" i="6"/>
  <c r="H162" i="6" s="1"/>
  <c r="H233" i="6" s="1"/>
  <c r="G56" i="6"/>
  <c r="G167" i="6" s="1"/>
  <c r="H56" i="6"/>
  <c r="H167" i="6" s="1"/>
  <c r="G52" i="6"/>
  <c r="G163" i="6" s="1"/>
  <c r="G234" i="6" s="1"/>
  <c r="H52" i="6"/>
  <c r="H163" i="6" s="1"/>
  <c r="H234" i="6" s="1"/>
  <c r="G77" i="6"/>
  <c r="G188" i="6" s="1"/>
  <c r="H77" i="6"/>
  <c r="H188" i="6" s="1"/>
  <c r="G48" i="6"/>
  <c r="G159" i="6" s="1"/>
  <c r="H48" i="6"/>
  <c r="H159" i="6" s="1"/>
  <c r="G69" i="6"/>
  <c r="G180" i="6" s="1"/>
  <c r="H69" i="6"/>
  <c r="H180" i="6" s="1"/>
  <c r="G66" i="6"/>
  <c r="G177" i="6" s="1"/>
  <c r="H66" i="6"/>
  <c r="H177" i="6" s="1"/>
  <c r="G35" i="6"/>
  <c r="G146" i="6" s="1"/>
  <c r="H35" i="6"/>
  <c r="H146" i="6" s="1"/>
  <c r="G70" i="6"/>
  <c r="G181" i="6" s="1"/>
  <c r="H70" i="6"/>
  <c r="H181" i="6" s="1"/>
  <c r="G44" i="6"/>
  <c r="G155" i="6" s="1"/>
  <c r="H44" i="6"/>
  <c r="H155" i="6" s="1"/>
  <c r="G71" i="6"/>
  <c r="G182" i="6" s="1"/>
  <c r="H71" i="6"/>
  <c r="H182" i="6" s="1"/>
  <c r="G74" i="6"/>
  <c r="G185" i="6" s="1"/>
  <c r="H74" i="6"/>
  <c r="H185" i="6" s="1"/>
  <c r="G46" i="6"/>
  <c r="G157" i="6" s="1"/>
  <c r="H46" i="6"/>
  <c r="H157" i="6" s="1"/>
  <c r="G73" i="6"/>
  <c r="G184" i="6" s="1"/>
  <c r="H73" i="6"/>
  <c r="H184" i="6" s="1"/>
  <c r="G34" i="6"/>
  <c r="G145" i="6" s="1"/>
  <c r="G76" i="6"/>
  <c r="G187" i="6" s="1"/>
  <c r="H76" i="6"/>
  <c r="H187" i="6" s="1"/>
  <c r="G57" i="6"/>
  <c r="G168" i="6" s="1"/>
  <c r="H57" i="6"/>
  <c r="H168" i="6" s="1"/>
  <c r="G75" i="6"/>
  <c r="G186" i="6" s="1"/>
  <c r="H75" i="6"/>
  <c r="H186" i="6" s="1"/>
  <c r="G60" i="6"/>
  <c r="G171" i="6" s="1"/>
  <c r="H60" i="6"/>
  <c r="H171" i="6" s="1"/>
  <c r="G78" i="6"/>
  <c r="G189" i="6" s="1"/>
  <c r="H78" i="6"/>
  <c r="H189" i="6" s="1"/>
  <c r="G61" i="6"/>
  <c r="G172" i="6" s="1"/>
  <c r="H61" i="6"/>
  <c r="H172" i="6" s="1"/>
  <c r="G58" i="6"/>
  <c r="G169" i="6" s="1"/>
  <c r="H58" i="6"/>
  <c r="H169" i="6" s="1"/>
  <c r="G43" i="6"/>
  <c r="G154" i="6" s="1"/>
  <c r="G232" i="6" s="1"/>
  <c r="H43" i="6"/>
  <c r="H154" i="6" s="1"/>
  <c r="H232" i="6" s="1"/>
  <c r="G63" i="6"/>
  <c r="G174" i="6" s="1"/>
  <c r="H63" i="6"/>
  <c r="H174" i="6" s="1"/>
  <c r="G53" i="6"/>
  <c r="G164" i="6" s="1"/>
  <c r="G235" i="6" s="1"/>
  <c r="H53" i="6"/>
  <c r="H164" i="6" s="1"/>
  <c r="H235" i="6" s="1"/>
  <c r="G72" i="6"/>
  <c r="G183" i="6" s="1"/>
  <c r="H72" i="6"/>
  <c r="H183" i="6" s="1"/>
  <c r="G49" i="6"/>
  <c r="G160" i="6" s="1"/>
  <c r="H49" i="6"/>
  <c r="H160" i="6" s="1"/>
  <c r="B5" i="6"/>
  <c r="B4" i="6"/>
  <c r="B7" i="6" s="1"/>
  <c r="D5" i="6"/>
  <c r="F5" i="6"/>
  <c r="F4" i="6"/>
  <c r="F7" i="6" s="1"/>
  <c r="C5" i="6"/>
  <c r="G40" i="6"/>
  <c r="G151" i="6" s="1"/>
  <c r="G36" i="6"/>
  <c r="G147" i="6" s="1"/>
  <c r="G41" i="6"/>
  <c r="G152" i="6" s="1"/>
  <c r="F3" i="6"/>
  <c r="D67" i="6"/>
  <c r="D178" i="6" s="1"/>
  <c r="D3" i="6"/>
  <c r="C68" i="6"/>
  <c r="C179" i="6" s="1"/>
  <c r="C3" i="6"/>
  <c r="B3" i="6"/>
  <c r="F62" i="6"/>
  <c r="F173" i="6" s="1"/>
  <c r="F65" i="6"/>
  <c r="F176" i="6" s="1"/>
  <c r="F216" i="6"/>
  <c r="F224" i="6" s="1"/>
  <c r="F219" i="6"/>
  <c r="F222" i="6"/>
  <c r="F56" i="6"/>
  <c r="F167" i="6" s="1"/>
  <c r="F75" i="6"/>
  <c r="F186" i="6" s="1"/>
  <c r="F68" i="6"/>
  <c r="F179" i="6" s="1"/>
  <c r="F74" i="6"/>
  <c r="F185" i="6" s="1"/>
  <c r="F43" i="6"/>
  <c r="F154" i="6" s="1"/>
  <c r="F232" i="6" s="1"/>
  <c r="F70" i="6"/>
  <c r="F181" i="6" s="1"/>
  <c r="F34" i="6"/>
  <c r="F145" i="6" s="1"/>
  <c r="F46" i="6"/>
  <c r="F157" i="6" s="1"/>
  <c r="F72" i="6"/>
  <c r="F183" i="6" s="1"/>
  <c r="F38" i="6"/>
  <c r="F149" i="6" s="1"/>
  <c r="F49" i="6"/>
  <c r="F160" i="6" s="1"/>
  <c r="F76" i="6"/>
  <c r="F187" i="6" s="1"/>
  <c r="F206" i="6"/>
  <c r="F218" i="6"/>
  <c r="F226" i="6" s="1"/>
  <c r="F221" i="6"/>
  <c r="F67" i="6"/>
  <c r="F178" i="6" s="1"/>
  <c r="F52" i="6"/>
  <c r="F163" i="6" s="1"/>
  <c r="F234" i="6" s="1"/>
  <c r="F78" i="6"/>
  <c r="F189" i="6" s="1"/>
  <c r="F77" i="6"/>
  <c r="F188" i="6" s="1"/>
  <c r="F44" i="6"/>
  <c r="F155" i="6" s="1"/>
  <c r="F58" i="6"/>
  <c r="F169" i="6" s="1"/>
  <c r="F35" i="6"/>
  <c r="F146" i="6" s="1"/>
  <c r="F47" i="6"/>
  <c r="F158" i="6" s="1"/>
  <c r="F61" i="6"/>
  <c r="F172" i="6" s="1"/>
  <c r="F64" i="6"/>
  <c r="F175" i="6" s="1"/>
  <c r="F71" i="6"/>
  <c r="F182" i="6" s="1"/>
  <c r="F69" i="6"/>
  <c r="F180" i="6" s="1"/>
  <c r="F73" i="6"/>
  <c r="F184" i="6" s="1"/>
  <c r="F217" i="6"/>
  <c r="F220" i="6"/>
  <c r="F228" i="6" s="1"/>
  <c r="F59" i="6"/>
  <c r="F170" i="6" s="1"/>
  <c r="F53" i="6"/>
  <c r="F164" i="6" s="1"/>
  <c r="F235" i="6" s="1"/>
  <c r="F14" i="6"/>
  <c r="F246" i="6" s="1"/>
  <c r="F66" i="6"/>
  <c r="F177" i="6" s="1"/>
  <c r="F48" i="6"/>
  <c r="F159" i="6" s="1"/>
  <c r="F39" i="6"/>
  <c r="F150" i="6" s="1"/>
  <c r="F63" i="6"/>
  <c r="F174" i="6" s="1"/>
  <c r="F279" i="6" s="1"/>
  <c r="F45" i="6"/>
  <c r="F156" i="6" s="1"/>
  <c r="F16" i="6"/>
  <c r="F253" i="6" s="1"/>
  <c r="F60" i="6"/>
  <c r="F171" i="6" s="1"/>
  <c r="F13" i="6"/>
  <c r="F57" i="6"/>
  <c r="F168" i="6" s="1"/>
  <c r="F36" i="6"/>
  <c r="F147" i="6" s="1"/>
  <c r="F51" i="6"/>
  <c r="F162" i="6" s="1"/>
  <c r="F233" i="6" s="1"/>
  <c r="F15" i="6"/>
  <c r="F250" i="6" s="1"/>
  <c r="F54" i="6"/>
  <c r="F165" i="6" s="1"/>
  <c r="F236" i="6" s="1"/>
  <c r="F40" i="6"/>
  <c r="F151" i="6" s="1"/>
  <c r="F41" i="6"/>
  <c r="F152" i="6" s="1"/>
  <c r="C67" i="6"/>
  <c r="C178" i="6" s="1"/>
  <c r="C216" i="6"/>
  <c r="C224" i="6" s="1"/>
  <c r="C222" i="6"/>
  <c r="C230" i="6" s="1"/>
  <c r="C218" i="6"/>
  <c r="C226" i="6" s="1"/>
  <c r="C221" i="6"/>
  <c r="C229" i="6" s="1"/>
  <c r="C217" i="6"/>
  <c r="C225" i="6" s="1"/>
  <c r="C219" i="6"/>
  <c r="C227" i="6" s="1"/>
  <c r="C220" i="6"/>
  <c r="C228" i="6" s="1"/>
  <c r="C16" i="6"/>
  <c r="C253" i="6" s="1"/>
  <c r="C13" i="6"/>
  <c r="C247" i="6" s="1"/>
  <c r="C14" i="6"/>
  <c r="C246" i="6" s="1"/>
  <c r="C15" i="6"/>
  <c r="C250" i="6" s="1"/>
  <c r="C206" i="6"/>
  <c r="D217" i="6"/>
  <c r="D225" i="6" s="1"/>
  <c r="D219" i="6"/>
  <c r="D227" i="6" s="1"/>
  <c r="D220" i="6"/>
  <c r="D228" i="6" s="1"/>
  <c r="D216" i="6"/>
  <c r="D224" i="6" s="1"/>
  <c r="D218" i="6"/>
  <c r="D226" i="6" s="1"/>
  <c r="D221" i="6"/>
  <c r="D229" i="6" s="1"/>
  <c r="D222" i="6"/>
  <c r="D230" i="6" s="1"/>
  <c r="D16" i="6"/>
  <c r="D253" i="6" s="1"/>
  <c r="D13" i="6"/>
  <c r="D15" i="6"/>
  <c r="D250" i="6" s="1"/>
  <c r="D14" i="6"/>
  <c r="D246" i="6" s="1"/>
  <c r="D206" i="6"/>
  <c r="D68" i="6"/>
  <c r="D179" i="6" s="1"/>
  <c r="C75" i="6"/>
  <c r="C186" i="6" s="1"/>
  <c r="C61" i="6"/>
  <c r="C172" i="6" s="1"/>
  <c r="C62" i="6"/>
  <c r="C173" i="6" s="1"/>
  <c r="C69" i="6"/>
  <c r="C180" i="6" s="1"/>
  <c r="C36" i="6"/>
  <c r="C147" i="6" s="1"/>
  <c r="C70" i="6"/>
  <c r="C181" i="6" s="1"/>
  <c r="C46" i="6"/>
  <c r="C157" i="6" s="1"/>
  <c r="C51" i="6"/>
  <c r="C162" i="6" s="1"/>
  <c r="C233" i="6" s="1"/>
  <c r="C78" i="6"/>
  <c r="C189" i="6" s="1"/>
  <c r="C45" i="6"/>
  <c r="C156" i="6" s="1"/>
  <c r="C44" i="6"/>
  <c r="C155" i="6" s="1"/>
  <c r="C39" i="6"/>
  <c r="C150" i="6" s="1"/>
  <c r="C74" i="6"/>
  <c r="C185" i="6" s="1"/>
  <c r="C52" i="6"/>
  <c r="C163" i="6" s="1"/>
  <c r="C234" i="6" s="1"/>
  <c r="C60" i="6"/>
  <c r="C171" i="6" s="1"/>
  <c r="C34" i="6"/>
  <c r="C145" i="6" s="1"/>
  <c r="C38" i="6"/>
  <c r="C149" i="6" s="1"/>
  <c r="C64" i="6"/>
  <c r="C175" i="6" s="1"/>
  <c r="C72" i="6"/>
  <c r="C183" i="6" s="1"/>
  <c r="C73" i="6"/>
  <c r="C184" i="6" s="1"/>
  <c r="C49" i="6"/>
  <c r="C160" i="6" s="1"/>
  <c r="C63" i="6"/>
  <c r="C174" i="6" s="1"/>
  <c r="C47" i="6"/>
  <c r="C158" i="6" s="1"/>
  <c r="C43" i="6"/>
  <c r="C154" i="6" s="1"/>
  <c r="C232" i="6" s="1"/>
  <c r="C66" i="6"/>
  <c r="C177" i="6" s="1"/>
  <c r="C71" i="6"/>
  <c r="C182" i="6" s="1"/>
  <c r="C58" i="6"/>
  <c r="C169" i="6" s="1"/>
  <c r="C53" i="6"/>
  <c r="C164" i="6" s="1"/>
  <c r="C235" i="6" s="1"/>
  <c r="C65" i="6"/>
  <c r="C176" i="6" s="1"/>
  <c r="C57" i="6"/>
  <c r="C168" i="6" s="1"/>
  <c r="C35" i="6"/>
  <c r="C146" i="6" s="1"/>
  <c r="C59" i="6"/>
  <c r="C170" i="6" s="1"/>
  <c r="C76" i="6"/>
  <c r="C187" i="6" s="1"/>
  <c r="C77" i="6"/>
  <c r="C188" i="6" s="1"/>
  <c r="C56" i="6"/>
  <c r="C167" i="6" s="1"/>
  <c r="C54" i="6"/>
  <c r="C165" i="6" s="1"/>
  <c r="C236" i="6" s="1"/>
  <c r="C48" i="6"/>
  <c r="C159" i="6" s="1"/>
  <c r="C40" i="6"/>
  <c r="C151" i="6" s="1"/>
  <c r="C41" i="6"/>
  <c r="C152" i="6" s="1"/>
  <c r="I23" i="7"/>
  <c r="K23" i="7" s="1"/>
  <c r="D76" i="6"/>
  <c r="D187" i="6" s="1"/>
  <c r="D51" i="6"/>
  <c r="D162" i="6" s="1"/>
  <c r="D233" i="6" s="1"/>
  <c r="D74" i="6"/>
  <c r="D185" i="6" s="1"/>
  <c r="D73" i="6"/>
  <c r="D184" i="6" s="1"/>
  <c r="D69" i="6"/>
  <c r="D180" i="6" s="1"/>
  <c r="D36" i="6"/>
  <c r="D147" i="6" s="1"/>
  <c r="D70" i="6"/>
  <c r="D181" i="6" s="1"/>
  <c r="D52" i="6"/>
  <c r="D163" i="6" s="1"/>
  <c r="D234" i="6" s="1"/>
  <c r="D44" i="6"/>
  <c r="D155" i="6" s="1"/>
  <c r="D66" i="6"/>
  <c r="D177" i="6" s="1"/>
  <c r="D39" i="6"/>
  <c r="D150" i="6" s="1"/>
  <c r="D78" i="6"/>
  <c r="D189" i="6" s="1"/>
  <c r="D53" i="6"/>
  <c r="D164" i="6" s="1"/>
  <c r="D235" i="6" s="1"/>
  <c r="D34" i="6"/>
  <c r="D145" i="6" s="1"/>
  <c r="D49" i="6"/>
  <c r="D160" i="6" s="1"/>
  <c r="D63" i="6"/>
  <c r="D174" i="6" s="1"/>
  <c r="D279" i="6" s="1"/>
  <c r="D47" i="6"/>
  <c r="D158" i="6" s="1"/>
  <c r="D60" i="6"/>
  <c r="D171" i="6" s="1"/>
  <c r="D35" i="6"/>
  <c r="D146" i="6" s="1"/>
  <c r="D59" i="6"/>
  <c r="D170" i="6" s="1"/>
  <c r="D58" i="6"/>
  <c r="D169" i="6" s="1"/>
  <c r="D65" i="6"/>
  <c r="D176" i="6" s="1"/>
  <c r="D57" i="6"/>
  <c r="D168" i="6" s="1"/>
  <c r="D56" i="6"/>
  <c r="D167" i="6" s="1"/>
  <c r="D54" i="6"/>
  <c r="D165" i="6" s="1"/>
  <c r="D236" i="6" s="1"/>
  <c r="D48" i="6"/>
  <c r="D159" i="6" s="1"/>
  <c r="D46" i="6"/>
  <c r="D157" i="6" s="1"/>
  <c r="D64" i="6"/>
  <c r="D175" i="6" s="1"/>
  <c r="D75" i="6"/>
  <c r="D186" i="6" s="1"/>
  <c r="D38" i="6"/>
  <c r="D149" i="6" s="1"/>
  <c r="D61" i="6"/>
  <c r="D172" i="6" s="1"/>
  <c r="D77" i="6"/>
  <c r="D188" i="6" s="1"/>
  <c r="D71" i="6"/>
  <c r="D182" i="6" s="1"/>
  <c r="D45" i="6"/>
  <c r="D156" i="6" s="1"/>
  <c r="D43" i="6"/>
  <c r="D154" i="6" s="1"/>
  <c r="D232" i="6" s="1"/>
  <c r="D62" i="6"/>
  <c r="D173" i="6" s="1"/>
  <c r="D72" i="6"/>
  <c r="D183" i="6" s="1"/>
  <c r="D41" i="6"/>
  <c r="D152" i="6" s="1"/>
  <c r="D40" i="6"/>
  <c r="D151" i="6" s="1"/>
  <c r="B14" i="6"/>
  <c r="AD15" i="7"/>
  <c r="R42" i="6" s="1"/>
  <c r="R153" i="6" s="1"/>
  <c r="V3" i="14"/>
  <c r="F10" i="7" s="1"/>
  <c r="B68" i="6"/>
  <c r="B179" i="6" s="1"/>
  <c r="B67" i="6"/>
  <c r="B178" i="6" s="1"/>
  <c r="B219" i="6"/>
  <c r="B227" i="6" s="1"/>
  <c r="B13" i="6"/>
  <c r="B15" i="6"/>
  <c r="B250" i="6" s="1"/>
  <c r="B16" i="6"/>
  <c r="B253" i="6" s="1"/>
  <c r="B222" i="6"/>
  <c r="B230" i="6" s="1"/>
  <c r="B221" i="6"/>
  <c r="B229" i="6" s="1"/>
  <c r="B220" i="6"/>
  <c r="B228" i="6" s="1"/>
  <c r="B216" i="6"/>
  <c r="B224" i="6" s="1"/>
  <c r="B218" i="6"/>
  <c r="B226" i="6" s="1"/>
  <c r="B217" i="6"/>
  <c r="B225" i="6" s="1"/>
  <c r="B206" i="6"/>
  <c r="B43" i="6"/>
  <c r="B154" i="6" s="1"/>
  <c r="B232" i="6" s="1"/>
  <c r="B44" i="6"/>
  <c r="B155" i="6" s="1"/>
  <c r="B78" i="6"/>
  <c r="B189" i="6" s="1"/>
  <c r="B35" i="6"/>
  <c r="B146" i="6" s="1"/>
  <c r="B46" i="6"/>
  <c r="B157" i="6" s="1"/>
  <c r="B39" i="6"/>
  <c r="B150" i="6" s="1"/>
  <c r="B64" i="6"/>
  <c r="B175" i="6" s="1"/>
  <c r="B61" i="6"/>
  <c r="B172" i="6" s="1"/>
  <c r="B56" i="6"/>
  <c r="B167" i="6" s="1"/>
  <c r="B75" i="6"/>
  <c r="B186" i="6" s="1"/>
  <c r="B34" i="6"/>
  <c r="B145" i="6" s="1"/>
  <c r="B66" i="6"/>
  <c r="B177" i="6" s="1"/>
  <c r="B63" i="6"/>
  <c r="B174" i="6" s="1"/>
  <c r="B279" i="6" s="1"/>
  <c r="B69" i="6"/>
  <c r="B180" i="6" s="1"/>
  <c r="B51" i="6"/>
  <c r="B162" i="6" s="1"/>
  <c r="B233" i="6" s="1"/>
  <c r="B77" i="6"/>
  <c r="B188" i="6" s="1"/>
  <c r="B73" i="6"/>
  <c r="B184" i="6" s="1"/>
  <c r="B60" i="6"/>
  <c r="B171" i="6" s="1"/>
  <c r="B65" i="6"/>
  <c r="B176" i="6" s="1"/>
  <c r="B72" i="6"/>
  <c r="B183" i="6" s="1"/>
  <c r="B70" i="6"/>
  <c r="B181" i="6" s="1"/>
  <c r="B53" i="6"/>
  <c r="B164" i="6" s="1"/>
  <c r="B235" i="6" s="1"/>
  <c r="B76" i="6"/>
  <c r="B187" i="6" s="1"/>
  <c r="B48" i="6"/>
  <c r="B159" i="6" s="1"/>
  <c r="B58" i="6"/>
  <c r="B169" i="6" s="1"/>
  <c r="B38" i="6"/>
  <c r="B149" i="6" s="1"/>
  <c r="B52" i="6"/>
  <c r="B163" i="6" s="1"/>
  <c r="B234" i="6" s="1"/>
  <c r="B71" i="6"/>
  <c r="B182" i="6" s="1"/>
  <c r="B45" i="6"/>
  <c r="B156" i="6" s="1"/>
  <c r="B57" i="6"/>
  <c r="B168" i="6" s="1"/>
  <c r="B74" i="6"/>
  <c r="B185" i="6" s="1"/>
  <c r="B59" i="6"/>
  <c r="B170" i="6" s="1"/>
  <c r="B62" i="6"/>
  <c r="B173" i="6" s="1"/>
  <c r="B47" i="6"/>
  <c r="B158" i="6" s="1"/>
  <c r="B41" i="6"/>
  <c r="B152" i="6" s="1"/>
  <c r="B40" i="6"/>
  <c r="B151" i="6" s="1"/>
  <c r="B49" i="6"/>
  <c r="B160" i="6" s="1"/>
  <c r="AF21" i="1"/>
  <c r="AF28" i="1"/>
  <c r="AF18" i="1"/>
  <c r="AF26" i="1"/>
  <c r="AF20" i="1"/>
  <c r="AF15" i="1"/>
  <c r="AF17" i="1"/>
  <c r="AF27" i="1"/>
  <c r="AF19" i="1"/>
  <c r="AF16" i="1"/>
  <c r="AF23" i="1"/>
  <c r="AF24" i="1"/>
  <c r="AF22" i="1"/>
  <c r="AF14" i="1"/>
  <c r="V51" i="15"/>
  <c r="AF12" i="16"/>
  <c r="Q47" i="7"/>
  <c r="Q46" i="7"/>
  <c r="Q40" i="7"/>
  <c r="BH142" i="6" a="1"/>
  <c r="BB143" i="6" a="1"/>
  <c r="BD142" i="6" a="1"/>
  <c r="BF142" i="6" a="1"/>
  <c r="BC143" i="6" a="1"/>
  <c r="BB142" i="6" a="1"/>
  <c r="BD143" i="6" a="1"/>
  <c r="BG143" i="6" a="1"/>
  <c r="BH141" i="6" a="1"/>
  <c r="BC142" i="6" a="1"/>
  <c r="BE143" i="6" a="1"/>
  <c r="BE142" i="6" a="1"/>
  <c r="BA143" i="6" a="1"/>
  <c r="BH143" i="6" a="1"/>
  <c r="BG142" i="6" a="1"/>
  <c r="BA142" i="6" a="1"/>
  <c r="BF143" i="6" a="1"/>
  <c r="AK276" i="6" l="1"/>
  <c r="Q143" i="6"/>
  <c r="P143" i="6"/>
  <c r="O36" i="6"/>
  <c r="O147" i="6" s="1"/>
  <c r="O208" i="6" s="1"/>
  <c r="R38" i="6"/>
  <c r="R149" i="6" s="1"/>
  <c r="R142" i="6" s="1"/>
  <c r="AE38" i="6"/>
  <c r="AE149" i="6" s="1"/>
  <c r="H38" i="6"/>
  <c r="H149" i="6" s="1"/>
  <c r="R9" i="6"/>
  <c r="R10" i="6" s="1"/>
  <c r="AD9" i="6"/>
  <c r="H54" i="6"/>
  <c r="H165" i="6" s="1"/>
  <c r="H236" i="6" s="1"/>
  <c r="H241" i="6" s="1"/>
  <c r="O54" i="6"/>
  <c r="O165" i="6" s="1"/>
  <c r="O236" i="6" s="1"/>
  <c r="O242" i="6" s="1"/>
  <c r="AE270" i="6"/>
  <c r="S9" i="6"/>
  <c r="S10" i="6" s="1"/>
  <c r="O269" i="6"/>
  <c r="R269" i="6"/>
  <c r="S266" i="6"/>
  <c r="H269" i="6"/>
  <c r="AE34" i="6"/>
  <c r="AE145" i="6" s="1"/>
  <c r="H266" i="6"/>
  <c r="O34" i="6"/>
  <c r="O145" i="6" s="1"/>
  <c r="O142" i="6" s="1"/>
  <c r="AF9" i="6"/>
  <c r="AF256" i="6" s="1"/>
  <c r="H34" i="6"/>
  <c r="H145" i="6" s="1"/>
  <c r="AC9" i="6"/>
  <c r="AC10" i="6" s="1"/>
  <c r="U9" i="6"/>
  <c r="U256" i="6" s="1"/>
  <c r="AE42" i="6"/>
  <c r="AE153" i="6" s="1"/>
  <c r="E9" i="6"/>
  <c r="E256" i="6" s="1"/>
  <c r="P249" i="6"/>
  <c r="P276" i="6"/>
  <c r="O266" i="6"/>
  <c r="Q276" i="6"/>
  <c r="Q249" i="6"/>
  <c r="O42" i="6"/>
  <c r="O153" i="6" s="1"/>
  <c r="E54" i="6"/>
  <c r="E165" i="6" s="1"/>
  <c r="E236" i="6" s="1"/>
  <c r="P54" i="6"/>
  <c r="P165" i="6" s="1"/>
  <c r="P236" i="6" s="1"/>
  <c r="P242" i="6" s="1"/>
  <c r="Q54" i="6"/>
  <c r="Q165" i="6" s="1"/>
  <c r="Q236" i="6" s="1"/>
  <c r="Q241" i="6" s="1"/>
  <c r="AE9" i="6"/>
  <c r="AE10" i="6" s="1"/>
  <c r="B270" i="6"/>
  <c r="P270" i="6"/>
  <c r="Q270" i="6"/>
  <c r="E36" i="6"/>
  <c r="E147" i="6" s="1"/>
  <c r="E208" i="6" s="1"/>
  <c r="P36" i="6"/>
  <c r="P147" i="6" s="1"/>
  <c r="Q36" i="6"/>
  <c r="Q147" i="6" s="1"/>
  <c r="R36" i="6"/>
  <c r="R147" i="6" s="1"/>
  <c r="R212" i="6" s="1"/>
  <c r="AB9" i="6"/>
  <c r="AB10" i="6" s="1"/>
  <c r="R270" i="6"/>
  <c r="P34" i="6"/>
  <c r="P145" i="6" s="1"/>
  <c r="Q34" i="6"/>
  <c r="Q145" i="6" s="1"/>
  <c r="U266" i="6"/>
  <c r="P239" i="6"/>
  <c r="P238" i="6"/>
  <c r="P240" i="6"/>
  <c r="P269" i="6"/>
  <c r="Q269" i="6"/>
  <c r="Q240" i="6"/>
  <c r="Q239" i="6"/>
  <c r="Q238" i="6"/>
  <c r="H270" i="6"/>
  <c r="Q38" i="6"/>
  <c r="Q149" i="6" s="1"/>
  <c r="P38" i="6"/>
  <c r="P149" i="6" s="1"/>
  <c r="E42" i="6"/>
  <c r="E153" i="6" s="1"/>
  <c r="Q42" i="6"/>
  <c r="Q153" i="6" s="1"/>
  <c r="P42" i="6"/>
  <c r="P153" i="6" s="1"/>
  <c r="AE54" i="6"/>
  <c r="AE165" i="6" s="1"/>
  <c r="AE236" i="6" s="1"/>
  <c r="AE241" i="6" s="1"/>
  <c r="AE274" i="6" s="1"/>
  <c r="T9" i="6"/>
  <c r="T10" i="6" s="1"/>
  <c r="AE36" i="6"/>
  <c r="AE147" i="6" s="1"/>
  <c r="AE209" i="6" s="1"/>
  <c r="P266" i="6"/>
  <c r="Y266" i="6"/>
  <c r="J266" i="6"/>
  <c r="J272" i="6" s="1"/>
  <c r="AE266" i="6"/>
  <c r="P248" i="6"/>
  <c r="P275" i="6"/>
  <c r="Q248" i="6"/>
  <c r="Q275" i="6"/>
  <c r="I272" i="6"/>
  <c r="M9" i="6"/>
  <c r="M256" i="6" s="1"/>
  <c r="B266" i="6"/>
  <c r="D142" i="6"/>
  <c r="G266" i="6"/>
  <c r="G272" i="6" s="1"/>
  <c r="S143" i="6"/>
  <c r="AC143" i="6"/>
  <c r="B36" i="6"/>
  <c r="B147" i="6" s="1"/>
  <c r="B207" i="6" s="1"/>
  <c r="AD276" i="6"/>
  <c r="B54" i="6"/>
  <c r="B165" i="6" s="1"/>
  <c r="B236" i="6" s="1"/>
  <c r="AV141" i="6"/>
  <c r="AR141" i="6"/>
  <c r="AC141" i="6"/>
  <c r="AC264" i="6" s="1"/>
  <c r="AC265" i="6" s="1"/>
  <c r="AC273" i="6" s="1"/>
  <c r="AN142" i="6"/>
  <c r="F142" i="6"/>
  <c r="AQ141" i="6"/>
  <c r="AT143" i="6"/>
  <c r="AT142" i="6"/>
  <c r="O143" i="6"/>
  <c r="AF143" i="6"/>
  <c r="AQ143" i="6"/>
  <c r="AW141" i="6"/>
  <c r="AJ141" i="6"/>
  <c r="AO143" i="6"/>
  <c r="AZ141" i="6"/>
  <c r="C143" i="6"/>
  <c r="I143" i="6"/>
  <c r="AY141" i="6"/>
  <c r="AJ143" i="6"/>
  <c r="H143" i="6"/>
  <c r="T141" i="6"/>
  <c r="T264" i="6" s="1"/>
  <c r="T265" i="6" s="1"/>
  <c r="T273" i="6" s="1"/>
  <c r="AP141" i="6"/>
  <c r="S142" i="6"/>
  <c r="AU143" i="6"/>
  <c r="M143" i="6"/>
  <c r="T143" i="6"/>
  <c r="AL143" i="6"/>
  <c r="J142" i="6"/>
  <c r="AQ142" i="6"/>
  <c r="AY142" i="6"/>
  <c r="AB143" i="6"/>
  <c r="AD142" i="6"/>
  <c r="G143" i="6"/>
  <c r="J143" i="6"/>
  <c r="K141" i="6"/>
  <c r="K264" i="6" s="1"/>
  <c r="K265" i="6" s="1"/>
  <c r="K273" i="6" s="1"/>
  <c r="AN141" i="6"/>
  <c r="AK142" i="6"/>
  <c r="E275" i="6"/>
  <c r="AV142" i="6"/>
  <c r="AW143" i="6"/>
  <c r="AM143" i="6"/>
  <c r="AM142" i="6"/>
  <c r="AM141" i="6"/>
  <c r="AR143" i="6"/>
  <c r="AO142" i="6"/>
  <c r="N143" i="6"/>
  <c r="K142" i="6"/>
  <c r="M141" i="6"/>
  <c r="AK141" i="6"/>
  <c r="AJ142" i="6"/>
  <c r="AR142" i="6"/>
  <c r="AO141" i="6"/>
  <c r="E142" i="6"/>
  <c r="AK143" i="6"/>
  <c r="AP142" i="6"/>
  <c r="U143" i="6"/>
  <c r="AV143" i="6"/>
  <c r="T142" i="6"/>
  <c r="AE143" i="6"/>
  <c r="AB142" i="6"/>
  <c r="AT141" i="6"/>
  <c r="E143" i="6"/>
  <c r="AF142" i="6"/>
  <c r="U142" i="6"/>
  <c r="AN143" i="6"/>
  <c r="AY143" i="6"/>
  <c r="AB141" i="6"/>
  <c r="AB264" i="6" s="1"/>
  <c r="AB265" i="6" s="1"/>
  <c r="AB273" i="6" s="1"/>
  <c r="AU141" i="6"/>
  <c r="AL141" i="6"/>
  <c r="AZ143" i="6"/>
  <c r="B143" i="6"/>
  <c r="M142" i="6"/>
  <c r="AC142" i="6"/>
  <c r="AS143" i="6"/>
  <c r="AW142" i="6"/>
  <c r="AX142" i="6"/>
  <c r="AD141" i="6"/>
  <c r="AL142" i="6"/>
  <c r="AP143" i="6"/>
  <c r="AX141" i="6"/>
  <c r="B142" i="6"/>
  <c r="D143" i="6"/>
  <c r="K143" i="6"/>
  <c r="AS141" i="6"/>
  <c r="AX143" i="6"/>
  <c r="AD143" i="6"/>
  <c r="AZ142" i="6"/>
  <c r="F143" i="6"/>
  <c r="G142" i="6"/>
  <c r="I142" i="6"/>
  <c r="N142" i="6"/>
  <c r="C142" i="6"/>
  <c r="R143" i="6"/>
  <c r="AS142" i="6"/>
  <c r="AU142" i="6"/>
  <c r="AW276" i="6"/>
  <c r="R276" i="6"/>
  <c r="E248" i="6"/>
  <c r="AT249" i="6"/>
  <c r="AR208" i="6"/>
  <c r="E249" i="6"/>
  <c r="AY265" i="6"/>
  <c r="AY273" i="6" s="1"/>
  <c r="AJ276" i="6"/>
  <c r="AS265" i="6"/>
  <c r="AS273" i="6" s="1"/>
  <c r="AK265" i="6"/>
  <c r="AK273" i="6" s="1"/>
  <c r="AB276" i="6"/>
  <c r="AN276" i="6"/>
  <c r="AE276" i="6"/>
  <c r="AR276" i="6"/>
  <c r="AF29" i="1"/>
  <c r="AW213" i="6"/>
  <c r="AY249" i="6"/>
  <c r="AP249" i="6"/>
  <c r="S248" i="6"/>
  <c r="S254" i="6" s="1"/>
  <c r="AM249" i="6"/>
  <c r="AO276" i="6"/>
  <c r="AU276" i="6"/>
  <c r="AF276" i="6"/>
  <c r="AL276" i="6"/>
  <c r="AE275" i="6"/>
  <c r="AX249" i="6"/>
  <c r="AZ249" i="6"/>
  <c r="AW243" i="6"/>
  <c r="AX207" i="6"/>
  <c r="T244" i="6"/>
  <c r="S276" i="6"/>
  <c r="AD239" i="6"/>
  <c r="U243" i="6"/>
  <c r="U274" i="6" s="1"/>
  <c r="U276" i="6"/>
  <c r="AV276" i="6"/>
  <c r="R242" i="6"/>
  <c r="R228" i="6"/>
  <c r="U225" i="6"/>
  <c r="U239" i="6"/>
  <c r="AY230" i="6"/>
  <c r="AY244" i="6"/>
  <c r="AV226" i="6"/>
  <c r="AV240" i="6"/>
  <c r="AF244" i="6"/>
  <c r="AF230" i="6"/>
  <c r="AQ211" i="6"/>
  <c r="AQ213" i="6"/>
  <c r="AQ212" i="6"/>
  <c r="AQ214" i="6"/>
  <c r="AQ210" i="6"/>
  <c r="AQ207" i="6"/>
  <c r="AQ209" i="6"/>
  <c r="AQ208" i="6"/>
  <c r="AC207" i="6"/>
  <c r="AC208" i="6"/>
  <c r="AC212" i="6"/>
  <c r="AC209" i="6"/>
  <c r="AC214" i="6"/>
  <c r="AC213" i="6"/>
  <c r="AC210" i="6"/>
  <c r="AC211" i="6"/>
  <c r="AC249" i="6"/>
  <c r="AN225" i="6"/>
  <c r="AN239" i="6"/>
  <c r="AY226" i="6"/>
  <c r="AY240" i="6"/>
  <c r="AV227" i="6"/>
  <c r="AV241" i="6"/>
  <c r="T226" i="6"/>
  <c r="T240" i="6"/>
  <c r="T248" i="6"/>
  <c r="T254" i="6" s="1"/>
  <c r="T275" i="6"/>
  <c r="AS226" i="6"/>
  <c r="AS240" i="6"/>
  <c r="AE230" i="6"/>
  <c r="AE240" i="6"/>
  <c r="AE248" i="6"/>
  <c r="AE254" i="6" s="1"/>
  <c r="AP230" i="6"/>
  <c r="AP244" i="6"/>
  <c r="AB229" i="6"/>
  <c r="AB243" i="6"/>
  <c r="AB274" i="6" s="1"/>
  <c r="AB212" i="6"/>
  <c r="AB211" i="6"/>
  <c r="AB210" i="6"/>
  <c r="AB209" i="6"/>
  <c r="AB214" i="6"/>
  <c r="AB208" i="6"/>
  <c r="AB207" i="6"/>
  <c r="AB213" i="6"/>
  <c r="AW226" i="6"/>
  <c r="AW240" i="6"/>
  <c r="AM210" i="6"/>
  <c r="AM242" i="6"/>
  <c r="AM275" i="6"/>
  <c r="AM248" i="6"/>
  <c r="AX242" i="6"/>
  <c r="AX228" i="6"/>
  <c r="AJ265" i="6"/>
  <c r="AJ273" i="6" s="1"/>
  <c r="AJ224" i="6"/>
  <c r="AJ238" i="6"/>
  <c r="AD224" i="6"/>
  <c r="AD238" i="6"/>
  <c r="AD207" i="6"/>
  <c r="AD214" i="6"/>
  <c r="AD212" i="6"/>
  <c r="AD209" i="6"/>
  <c r="AD213" i="6"/>
  <c r="AD210" i="6"/>
  <c r="AD211" i="6"/>
  <c r="AD208" i="6"/>
  <c r="AU265" i="6"/>
  <c r="AU273" i="6" s="1"/>
  <c r="S228" i="6"/>
  <c r="S242" i="6"/>
  <c r="AL10" i="6"/>
  <c r="AL256" i="6"/>
  <c r="AL283" i="6"/>
  <c r="AL240" i="6"/>
  <c r="AL226" i="6"/>
  <c r="AL248" i="6"/>
  <c r="AL254" i="6" s="1"/>
  <c r="AL275" i="6"/>
  <c r="AZ226" i="6"/>
  <c r="AZ240" i="6"/>
  <c r="AT10" i="6"/>
  <c r="AT256" i="6"/>
  <c r="AT283" i="6"/>
  <c r="AT226" i="6"/>
  <c r="AT240" i="6"/>
  <c r="AC230" i="6"/>
  <c r="AC244" i="6"/>
  <c r="R277" i="6"/>
  <c r="R230" i="6"/>
  <c r="R248" i="6"/>
  <c r="R254" i="6" s="1"/>
  <c r="R275" i="6"/>
  <c r="AQ265" i="6"/>
  <c r="AQ273" i="6" s="1"/>
  <c r="AQ249" i="6"/>
  <c r="AC228" i="6"/>
  <c r="AC242" i="6"/>
  <c r="U226" i="6"/>
  <c r="U240" i="6"/>
  <c r="AN265" i="6"/>
  <c r="AN273" i="6" s="1"/>
  <c r="AN240" i="6"/>
  <c r="AN226" i="6"/>
  <c r="AN230" i="6"/>
  <c r="AN244" i="6"/>
  <c r="AY239" i="6"/>
  <c r="AY274" i="6"/>
  <c r="AY277" i="6"/>
  <c r="AY227" i="6"/>
  <c r="AY241" i="6"/>
  <c r="AY275" i="6"/>
  <c r="AY248" i="6"/>
  <c r="AK209" i="6"/>
  <c r="AK213" i="6"/>
  <c r="AK208" i="6"/>
  <c r="AK207" i="6"/>
  <c r="AK212" i="6"/>
  <c r="AK214" i="6"/>
  <c r="AK211" i="6"/>
  <c r="AK210" i="6"/>
  <c r="AK230" i="6"/>
  <c r="AK244" i="6"/>
  <c r="AK275" i="6"/>
  <c r="AK248" i="6"/>
  <c r="AK254" i="6" s="1"/>
  <c r="AV209" i="6"/>
  <c r="AV213" i="6"/>
  <c r="AV211" i="6"/>
  <c r="AV212" i="6"/>
  <c r="AV214" i="6"/>
  <c r="AV210" i="6"/>
  <c r="AV207" i="6"/>
  <c r="AV208" i="6"/>
  <c r="AV230" i="6"/>
  <c r="AV244" i="6"/>
  <c r="T227" i="6"/>
  <c r="T241" i="6"/>
  <c r="T274" i="6" s="1"/>
  <c r="AS224" i="6"/>
  <c r="AS238" i="6"/>
  <c r="AE228" i="6"/>
  <c r="AE224" i="6"/>
  <c r="AE238" i="6"/>
  <c r="AP228" i="6"/>
  <c r="AP242" i="6"/>
  <c r="AW227" i="6"/>
  <c r="AW241" i="6"/>
  <c r="AM213" i="6"/>
  <c r="AM211" i="6"/>
  <c r="AM214" i="6"/>
  <c r="AM207" i="6"/>
  <c r="AM212" i="6"/>
  <c r="AM209" i="6"/>
  <c r="AM208" i="6"/>
  <c r="AX229" i="6"/>
  <c r="AX243" i="6"/>
  <c r="AJ229" i="6"/>
  <c r="AJ243" i="6"/>
  <c r="AD277" i="6"/>
  <c r="AD274" i="6"/>
  <c r="AD229" i="6"/>
  <c r="AD243" i="6"/>
  <c r="AU10" i="6"/>
  <c r="AU256" i="6"/>
  <c r="AU283" i="6"/>
  <c r="AU242" i="6"/>
  <c r="AU228" i="6"/>
  <c r="AU274" i="6"/>
  <c r="AU277" i="6"/>
  <c r="S227" i="6"/>
  <c r="S241" i="6"/>
  <c r="S274" i="6" s="1"/>
  <c r="S275" i="6"/>
  <c r="AR228" i="6"/>
  <c r="AR242" i="6"/>
  <c r="AL244" i="6"/>
  <c r="AL230" i="6"/>
  <c r="AL265" i="6"/>
  <c r="AL273" i="6" s="1"/>
  <c r="AO224" i="6"/>
  <c r="AO238" i="6"/>
  <c r="AZ229" i="6"/>
  <c r="AZ243" i="6"/>
  <c r="AT238" i="6"/>
  <c r="AT224" i="6"/>
  <c r="AN242" i="6"/>
  <c r="AN228" i="6"/>
  <c r="AK224" i="6"/>
  <c r="AK238" i="6"/>
  <c r="AF226" i="6"/>
  <c r="AF240" i="6"/>
  <c r="R225" i="6"/>
  <c r="R239" i="6"/>
  <c r="AQ274" i="6"/>
  <c r="AQ277" i="6"/>
  <c r="AQ228" i="6"/>
  <c r="AQ242" i="6"/>
  <c r="AC226" i="6"/>
  <c r="AC240" i="6"/>
  <c r="AC224" i="6"/>
  <c r="AC238" i="6"/>
  <c r="U230" i="6"/>
  <c r="U244" i="6"/>
  <c r="AN224" i="6"/>
  <c r="AN238" i="6"/>
  <c r="AY229" i="6"/>
  <c r="AY243" i="6"/>
  <c r="AY224" i="6"/>
  <c r="AY238" i="6"/>
  <c r="AK228" i="6"/>
  <c r="AK242" i="6"/>
  <c r="AV225" i="6"/>
  <c r="AV239" i="6"/>
  <c r="AV275" i="6"/>
  <c r="AV248" i="6"/>
  <c r="AV254" i="6" s="1"/>
  <c r="T276" i="6"/>
  <c r="AS10" i="6"/>
  <c r="AS256" i="6"/>
  <c r="AS283" i="6"/>
  <c r="AP224" i="6"/>
  <c r="AP238" i="6"/>
  <c r="AP275" i="6"/>
  <c r="AB240" i="6"/>
  <c r="AB226" i="6"/>
  <c r="AW244" i="6"/>
  <c r="AW230" i="6"/>
  <c r="AM229" i="6"/>
  <c r="AM243" i="6"/>
  <c r="AM265" i="6"/>
  <c r="AM273" i="6" s="1"/>
  <c r="AX226" i="6"/>
  <c r="AX240" i="6"/>
  <c r="AX238" i="6"/>
  <c r="AJ230" i="6"/>
  <c r="AJ244" i="6"/>
  <c r="AJ275" i="6"/>
  <c r="AJ248" i="6"/>
  <c r="AJ254" i="6" s="1"/>
  <c r="AJ208" i="6"/>
  <c r="AJ210" i="6"/>
  <c r="AJ209" i="6"/>
  <c r="AJ214" i="6"/>
  <c r="AJ207" i="6"/>
  <c r="AJ212" i="6"/>
  <c r="AJ211" i="6"/>
  <c r="AJ213" i="6"/>
  <c r="AD227" i="6"/>
  <c r="AD241" i="6"/>
  <c r="S277" i="6"/>
  <c r="AR265" i="6"/>
  <c r="AR273" i="6" s="1"/>
  <c r="AR226" i="6"/>
  <c r="AR240" i="6"/>
  <c r="AR241" i="6"/>
  <c r="AR248" i="6"/>
  <c r="AR254" i="6" s="1"/>
  <c r="AR275" i="6"/>
  <c r="AR10" i="6"/>
  <c r="AR256" i="6"/>
  <c r="AR283" i="6"/>
  <c r="AL229" i="6"/>
  <c r="AL243" i="6"/>
  <c r="AL212" i="6"/>
  <c r="AL209" i="6"/>
  <c r="AL211" i="6"/>
  <c r="AL210" i="6"/>
  <c r="AL214" i="6"/>
  <c r="AL208" i="6"/>
  <c r="AL213" i="6"/>
  <c r="AL207" i="6"/>
  <c r="AO227" i="6"/>
  <c r="AO241" i="6"/>
  <c r="AZ224" i="6"/>
  <c r="AZ238" i="6"/>
  <c r="AT229" i="6"/>
  <c r="AT243" i="6"/>
  <c r="AP225" i="6"/>
  <c r="AP239" i="6"/>
  <c r="AP208" i="6"/>
  <c r="AB224" i="6"/>
  <c r="AB238" i="6"/>
  <c r="AB248" i="6"/>
  <c r="AB254" i="6" s="1"/>
  <c r="AB275" i="6"/>
  <c r="AW10" i="6"/>
  <c r="AW256" i="6"/>
  <c r="AW283" i="6"/>
  <c r="AW225" i="6"/>
  <c r="AW239" i="6"/>
  <c r="AM227" i="6"/>
  <c r="AM241" i="6"/>
  <c r="AX277" i="6"/>
  <c r="AX274" i="6"/>
  <c r="AX210" i="6"/>
  <c r="AX208" i="6"/>
  <c r="AX214" i="6"/>
  <c r="AX213" i="6"/>
  <c r="AX209" i="6"/>
  <c r="AX211" i="6"/>
  <c r="AX212" i="6"/>
  <c r="AJ225" i="6"/>
  <c r="AJ239" i="6"/>
  <c r="AD242" i="6"/>
  <c r="AD228" i="6"/>
  <c r="AU229" i="6"/>
  <c r="AU243" i="6"/>
  <c r="AU275" i="6"/>
  <c r="AU248" i="6"/>
  <c r="AU254" i="6" s="1"/>
  <c r="S224" i="6"/>
  <c r="S238" i="6"/>
  <c r="AR224" i="6"/>
  <c r="AR238" i="6"/>
  <c r="AR212" i="6"/>
  <c r="AR214" i="6"/>
  <c r="AR209" i="6"/>
  <c r="AR207" i="6"/>
  <c r="AR213" i="6"/>
  <c r="AR210" i="6"/>
  <c r="AR211" i="6"/>
  <c r="AL227" i="6"/>
  <c r="AL241" i="6"/>
  <c r="AL239" i="6"/>
  <c r="AO239" i="6"/>
  <c r="AO225" i="6"/>
  <c r="AO248" i="6"/>
  <c r="AO254" i="6" s="1"/>
  <c r="AO275" i="6"/>
  <c r="AZ212" i="6"/>
  <c r="AZ244" i="6"/>
  <c r="AT277" i="6"/>
  <c r="AT274" i="6"/>
  <c r="AT227" i="6"/>
  <c r="AT241" i="6"/>
  <c r="AT214" i="6"/>
  <c r="AT211" i="6"/>
  <c r="AT208" i="6"/>
  <c r="AT213" i="6"/>
  <c r="AT207" i="6"/>
  <c r="AT212" i="6"/>
  <c r="AT209" i="6"/>
  <c r="AT210" i="6"/>
  <c r="T228" i="6"/>
  <c r="T242" i="6"/>
  <c r="AS227" i="6"/>
  <c r="AS241" i="6"/>
  <c r="AF225" i="6"/>
  <c r="AF277" i="6" s="1"/>
  <c r="AF239" i="6"/>
  <c r="AF274" i="6" s="1"/>
  <c r="R226" i="6"/>
  <c r="R240" i="6"/>
  <c r="AQ227" i="6"/>
  <c r="AQ241" i="6"/>
  <c r="AC227" i="6"/>
  <c r="AC241" i="6"/>
  <c r="AC274" i="6" s="1"/>
  <c r="AC248" i="6"/>
  <c r="AC275" i="6"/>
  <c r="U277" i="6"/>
  <c r="U227" i="6"/>
  <c r="U241" i="6"/>
  <c r="AN283" i="6"/>
  <c r="AN256" i="6"/>
  <c r="AN10" i="6"/>
  <c r="AN274" i="6"/>
  <c r="AN277" i="6"/>
  <c r="AK229" i="6"/>
  <c r="AK243" i="6"/>
  <c r="E277" i="6"/>
  <c r="AV224" i="6"/>
  <c r="AV238" i="6"/>
  <c r="T225" i="6"/>
  <c r="T239" i="6"/>
  <c r="AS277" i="6"/>
  <c r="AS274" i="6"/>
  <c r="AS225" i="6"/>
  <c r="AS239" i="6"/>
  <c r="AP274" i="6"/>
  <c r="AP277" i="6"/>
  <c r="AP227" i="6"/>
  <c r="AP241" i="6"/>
  <c r="AB227" i="6"/>
  <c r="AB241" i="6"/>
  <c r="AW228" i="6"/>
  <c r="AW242" i="6"/>
  <c r="AM225" i="6"/>
  <c r="AM239" i="6"/>
  <c r="AX265" i="6"/>
  <c r="AX273" i="6" s="1"/>
  <c r="AX248" i="6"/>
  <c r="AX275" i="6"/>
  <c r="AJ274" i="6"/>
  <c r="AJ277" i="6"/>
  <c r="AD248" i="6"/>
  <c r="AD254" i="6" s="1"/>
  <c r="AD275" i="6"/>
  <c r="AU227" i="6"/>
  <c r="AU241" i="6"/>
  <c r="AU240" i="6"/>
  <c r="AR274" i="6"/>
  <c r="AR277" i="6"/>
  <c r="AR229" i="6"/>
  <c r="AR243" i="6"/>
  <c r="AL228" i="6"/>
  <c r="AL242" i="6"/>
  <c r="AO10" i="6"/>
  <c r="AO256" i="6"/>
  <c r="AO283" i="6"/>
  <c r="AO230" i="6"/>
  <c r="AO244" i="6"/>
  <c r="AO274" i="6"/>
  <c r="AO277" i="6"/>
  <c r="AZ274" i="6"/>
  <c r="AZ277" i="6"/>
  <c r="AT228" i="6"/>
  <c r="AT242" i="6"/>
  <c r="AT248" i="6"/>
  <c r="AT275" i="6"/>
  <c r="AF229" i="6"/>
  <c r="AF243" i="6"/>
  <c r="R238" i="6"/>
  <c r="R224" i="6"/>
  <c r="AQ230" i="6"/>
  <c r="AQ244" i="6"/>
  <c r="AQ224" i="6"/>
  <c r="AQ238" i="6"/>
  <c r="U228" i="6"/>
  <c r="U242" i="6"/>
  <c r="AN229" i="6"/>
  <c r="AN243" i="6"/>
  <c r="AK226" i="6"/>
  <c r="AK240" i="6"/>
  <c r="AK225" i="6"/>
  <c r="AK239" i="6"/>
  <c r="AV10" i="6"/>
  <c r="AV283" i="6"/>
  <c r="AV256" i="6"/>
  <c r="AV242" i="6"/>
  <c r="AV228" i="6"/>
  <c r="T277" i="6"/>
  <c r="T224" i="6"/>
  <c r="T238" i="6"/>
  <c r="AS228" i="6"/>
  <c r="AS242" i="6"/>
  <c r="AE229" i="6"/>
  <c r="AP256" i="6"/>
  <c r="AP10" i="6"/>
  <c r="AP283" i="6"/>
  <c r="AP248" i="6"/>
  <c r="AB277" i="6"/>
  <c r="AB242" i="6"/>
  <c r="AB228" i="6"/>
  <c r="AB244" i="6"/>
  <c r="AW265" i="6"/>
  <c r="AW273" i="6" s="1"/>
  <c r="AW275" i="6"/>
  <c r="AW274" i="6"/>
  <c r="AW277" i="6"/>
  <c r="AW248" i="6"/>
  <c r="AW254" i="6" s="1"/>
  <c r="AW212" i="6"/>
  <c r="AW209" i="6"/>
  <c r="AW208" i="6"/>
  <c r="AW207" i="6"/>
  <c r="AW211" i="6"/>
  <c r="AW210" i="6"/>
  <c r="AW214" i="6"/>
  <c r="AM10" i="6"/>
  <c r="AM256" i="6"/>
  <c r="AM283" i="6"/>
  <c r="AM230" i="6"/>
  <c r="AM244" i="6"/>
  <c r="AX227" i="6"/>
  <c r="AX241" i="6"/>
  <c r="AJ227" i="6"/>
  <c r="AJ241" i="6"/>
  <c r="AU225" i="6"/>
  <c r="AU239" i="6"/>
  <c r="AU230" i="6"/>
  <c r="AU244" i="6"/>
  <c r="S239" i="6"/>
  <c r="S230" i="6"/>
  <c r="S244" i="6"/>
  <c r="AR244" i="6"/>
  <c r="AL238" i="6"/>
  <c r="AL224" i="6"/>
  <c r="AO265" i="6"/>
  <c r="AO273" i="6" s="1"/>
  <c r="AO228" i="6"/>
  <c r="AO242" i="6"/>
  <c r="AZ227" i="6"/>
  <c r="AZ241" i="6"/>
  <c r="AZ248" i="6"/>
  <c r="AZ275" i="6"/>
  <c r="AT225" i="6"/>
  <c r="AT239" i="6"/>
  <c r="AF224" i="6"/>
  <c r="AF238" i="6"/>
  <c r="U224" i="6"/>
  <c r="U238" i="6"/>
  <c r="AF207" i="6"/>
  <c r="AF209" i="6"/>
  <c r="AF213" i="6"/>
  <c r="AF211" i="6"/>
  <c r="AF214" i="6"/>
  <c r="AF212" i="6"/>
  <c r="AF210" i="6"/>
  <c r="AF208" i="6"/>
  <c r="AF228" i="6"/>
  <c r="AF242" i="6"/>
  <c r="AF275" i="6"/>
  <c r="AF248" i="6"/>
  <c r="AF254" i="6" s="1"/>
  <c r="R227" i="6"/>
  <c r="R241" i="6"/>
  <c r="AQ10" i="6"/>
  <c r="AQ283" i="6"/>
  <c r="AQ256" i="6"/>
  <c r="AQ225" i="6"/>
  <c r="AQ239" i="6"/>
  <c r="AQ275" i="6"/>
  <c r="AQ248" i="6"/>
  <c r="AC277" i="6"/>
  <c r="AC225" i="6"/>
  <c r="AC239" i="6"/>
  <c r="U275" i="6"/>
  <c r="U248" i="6"/>
  <c r="U254" i="6" s="1"/>
  <c r="AN209" i="6"/>
  <c r="AN213" i="6"/>
  <c r="AN208" i="6"/>
  <c r="AN207" i="6"/>
  <c r="AN210" i="6"/>
  <c r="AN214" i="6"/>
  <c r="AN212" i="6"/>
  <c r="AN211" i="6"/>
  <c r="AN275" i="6"/>
  <c r="AN248" i="6"/>
  <c r="AN254" i="6" s="1"/>
  <c r="AY207" i="6"/>
  <c r="AY213" i="6"/>
  <c r="AY211" i="6"/>
  <c r="AY212" i="6"/>
  <c r="AY214" i="6"/>
  <c r="AY208" i="6"/>
  <c r="AY210" i="6"/>
  <c r="AY209" i="6"/>
  <c r="AY228" i="6"/>
  <c r="AY242" i="6"/>
  <c r="AY10" i="6"/>
  <c r="AY256" i="6"/>
  <c r="AY283" i="6"/>
  <c r="AK274" i="6"/>
  <c r="AK277" i="6"/>
  <c r="AV229" i="6"/>
  <c r="AV243" i="6"/>
  <c r="AV274" i="6"/>
  <c r="AV277" i="6"/>
  <c r="T229" i="6"/>
  <c r="T243" i="6"/>
  <c r="AS211" i="6"/>
  <c r="AS210" i="6"/>
  <c r="AS209" i="6"/>
  <c r="AS213" i="6"/>
  <c r="AS208" i="6"/>
  <c r="AS207" i="6"/>
  <c r="AS212" i="6"/>
  <c r="AS214" i="6"/>
  <c r="AS276" i="6"/>
  <c r="AS248" i="6"/>
  <c r="AS254" i="6" s="1"/>
  <c r="AS275" i="6"/>
  <c r="AE225" i="6"/>
  <c r="AE239" i="6"/>
  <c r="AP229" i="6"/>
  <c r="AP243" i="6"/>
  <c r="AP209" i="6"/>
  <c r="AP214" i="6"/>
  <c r="AP213" i="6"/>
  <c r="AP207" i="6"/>
  <c r="AP210" i="6"/>
  <c r="AP211" i="6"/>
  <c r="AP212" i="6"/>
  <c r="AW224" i="6"/>
  <c r="AW238" i="6"/>
  <c r="AM226" i="6"/>
  <c r="AM240" i="6"/>
  <c r="AX283" i="6"/>
  <c r="AX256" i="6"/>
  <c r="AX10" i="6"/>
  <c r="AX244" i="6"/>
  <c r="AX230" i="6"/>
  <c r="AJ228" i="6"/>
  <c r="AJ242" i="6"/>
  <c r="AJ10" i="6"/>
  <c r="AJ256" i="6"/>
  <c r="AJ283" i="6"/>
  <c r="AD244" i="6"/>
  <c r="AD230" i="6"/>
  <c r="AD226" i="6"/>
  <c r="AD240" i="6"/>
  <c r="S207" i="6"/>
  <c r="S214" i="6"/>
  <c r="S211" i="6"/>
  <c r="S213" i="6"/>
  <c r="S210" i="6"/>
  <c r="S209" i="6"/>
  <c r="S208" i="6"/>
  <c r="S212" i="6"/>
  <c r="S229" i="6"/>
  <c r="S243" i="6"/>
  <c r="AR225" i="6"/>
  <c r="AR239" i="6"/>
  <c r="AO229" i="6"/>
  <c r="AO243" i="6"/>
  <c r="AO207" i="6"/>
  <c r="AO213" i="6"/>
  <c r="AO214" i="6"/>
  <c r="AO211" i="6"/>
  <c r="AO208" i="6"/>
  <c r="AO209" i="6"/>
  <c r="AO210" i="6"/>
  <c r="AO212" i="6"/>
  <c r="AZ265" i="6"/>
  <c r="AZ273" i="6" s="1"/>
  <c r="AZ228" i="6"/>
  <c r="AZ242" i="6"/>
  <c r="AZ214" i="6"/>
  <c r="AZ213" i="6"/>
  <c r="AZ210" i="6"/>
  <c r="AZ209" i="6"/>
  <c r="AZ211" i="6"/>
  <c r="AZ208" i="6"/>
  <c r="AZ207" i="6"/>
  <c r="AZ10" i="6"/>
  <c r="AZ256" i="6"/>
  <c r="AZ283" i="6"/>
  <c r="AQ226" i="6"/>
  <c r="AQ240" i="6"/>
  <c r="AF227" i="6"/>
  <c r="AF241" i="6"/>
  <c r="AQ229" i="6"/>
  <c r="AQ243" i="6"/>
  <c r="AC243" i="6"/>
  <c r="U209" i="6"/>
  <c r="U214" i="6"/>
  <c r="U208" i="6"/>
  <c r="U207" i="6"/>
  <c r="U212" i="6"/>
  <c r="U211" i="6"/>
  <c r="U213" i="6"/>
  <c r="U210" i="6"/>
  <c r="AN227" i="6"/>
  <c r="AN241" i="6"/>
  <c r="AK10" i="6"/>
  <c r="AK256" i="6"/>
  <c r="AK283" i="6"/>
  <c r="AK227" i="6"/>
  <c r="AK241" i="6"/>
  <c r="AV265" i="6"/>
  <c r="AV273" i="6" s="1"/>
  <c r="T214" i="6"/>
  <c r="T207" i="6"/>
  <c r="T208" i="6"/>
  <c r="T213" i="6"/>
  <c r="T210" i="6"/>
  <c r="T209" i="6"/>
  <c r="T212" i="6"/>
  <c r="T211" i="6"/>
  <c r="AS243" i="6"/>
  <c r="AS230" i="6"/>
  <c r="AS244" i="6"/>
  <c r="AE227" i="6"/>
  <c r="AE277" i="6"/>
  <c r="AP265" i="6"/>
  <c r="AP273" i="6" s="1"/>
  <c r="AP226" i="6"/>
  <c r="AP240" i="6"/>
  <c r="AB225" i="6"/>
  <c r="AB239" i="6"/>
  <c r="AM224" i="6"/>
  <c r="AM238" i="6"/>
  <c r="AM274" i="6"/>
  <c r="AM277" i="6"/>
  <c r="AX225" i="6"/>
  <c r="AX239" i="6"/>
  <c r="AJ240" i="6"/>
  <c r="AJ226" i="6"/>
  <c r="AD265" i="6"/>
  <c r="AD273" i="6" s="1"/>
  <c r="AU224" i="6"/>
  <c r="AU238" i="6"/>
  <c r="AU208" i="6"/>
  <c r="AU207" i="6"/>
  <c r="AU212" i="6"/>
  <c r="AU209" i="6"/>
  <c r="AU211" i="6"/>
  <c r="AU213" i="6"/>
  <c r="AU214" i="6"/>
  <c r="AU210" i="6"/>
  <c r="S226" i="6"/>
  <c r="S240" i="6"/>
  <c r="AL277" i="6"/>
  <c r="AL274" i="6"/>
  <c r="AO226" i="6"/>
  <c r="AO240" i="6"/>
  <c r="AZ225" i="6"/>
  <c r="AZ239" i="6"/>
  <c r="AT244" i="6"/>
  <c r="AT230" i="6"/>
  <c r="AT265" i="6"/>
  <c r="AT273" i="6" s="1"/>
  <c r="M249" i="6"/>
  <c r="M228" i="6"/>
  <c r="M242" i="6"/>
  <c r="M208" i="6"/>
  <c r="M207" i="6"/>
  <c r="M209" i="6"/>
  <c r="M211" i="6"/>
  <c r="M210" i="6"/>
  <c r="M213" i="6"/>
  <c r="M214" i="6"/>
  <c r="M212" i="6"/>
  <c r="M248" i="6"/>
  <c r="M275" i="6"/>
  <c r="M229" i="6"/>
  <c r="M243" i="6"/>
  <c r="M226" i="6"/>
  <c r="M240" i="6"/>
  <c r="M224" i="6"/>
  <c r="M238" i="6"/>
  <c r="M225" i="6"/>
  <c r="M239" i="6"/>
  <c r="M230" i="6"/>
  <c r="M244" i="6"/>
  <c r="M274" i="6" s="1"/>
  <c r="M227" i="6"/>
  <c r="M241" i="6"/>
  <c r="M264" i="6"/>
  <c r="M265" i="6" s="1"/>
  <c r="M273" i="6" s="1"/>
  <c r="K9" i="6"/>
  <c r="K10" i="6" s="1"/>
  <c r="J9" i="6"/>
  <c r="J256" i="6" s="1"/>
  <c r="I277" i="6"/>
  <c r="N9" i="6"/>
  <c r="N256" i="6" s="1"/>
  <c r="K244" i="6"/>
  <c r="O9" i="6"/>
  <c r="O10" i="6" s="1"/>
  <c r="J242" i="6"/>
  <c r="N244" i="6"/>
  <c r="J244" i="6"/>
  <c r="K242" i="6"/>
  <c r="J240" i="6"/>
  <c r="K276" i="6"/>
  <c r="N249" i="6"/>
  <c r="BA244" i="6"/>
  <c r="O249" i="6"/>
  <c r="N242" i="6"/>
  <c r="N241" i="6"/>
  <c r="O240" i="6"/>
  <c r="K241" i="6"/>
  <c r="J264" i="6"/>
  <c r="J265" i="6" s="1"/>
  <c r="J227" i="6"/>
  <c r="J241" i="6"/>
  <c r="K229" i="6"/>
  <c r="K277" i="6" s="1"/>
  <c r="K243" i="6"/>
  <c r="O225" i="6"/>
  <c r="O239" i="6"/>
  <c r="N229" i="6"/>
  <c r="N277" i="6" s="1"/>
  <c r="N243" i="6"/>
  <c r="N274" i="6" s="1"/>
  <c r="J248" i="6"/>
  <c r="J275" i="6"/>
  <c r="K248" i="6"/>
  <c r="K254" i="6" s="1"/>
  <c r="K275" i="6"/>
  <c r="K225" i="6"/>
  <c r="K239" i="6"/>
  <c r="O227" i="6"/>
  <c r="N226" i="6"/>
  <c r="N240" i="6"/>
  <c r="J229" i="6"/>
  <c r="J277" i="6" s="1"/>
  <c r="J243" i="6"/>
  <c r="J274" i="6" s="1"/>
  <c r="K224" i="6"/>
  <c r="K238" i="6"/>
  <c r="O229" i="6"/>
  <c r="N248" i="6"/>
  <c r="N275" i="6"/>
  <c r="N224" i="6"/>
  <c r="N238" i="6"/>
  <c r="K209" i="6"/>
  <c r="K208" i="6"/>
  <c r="K211" i="6"/>
  <c r="K214" i="6"/>
  <c r="K212" i="6"/>
  <c r="K207" i="6"/>
  <c r="K210" i="6"/>
  <c r="K213" i="6"/>
  <c r="J212" i="6"/>
  <c r="J209" i="6"/>
  <c r="J208" i="6"/>
  <c r="J207" i="6"/>
  <c r="J210" i="6"/>
  <c r="J213" i="6"/>
  <c r="J211" i="6"/>
  <c r="J214" i="6"/>
  <c r="K226" i="6"/>
  <c r="K240" i="6"/>
  <c r="O224" i="6"/>
  <c r="O238" i="6"/>
  <c r="N225" i="6"/>
  <c r="N239" i="6"/>
  <c r="J249" i="6"/>
  <c r="J225" i="6"/>
  <c r="J239" i="6"/>
  <c r="O248" i="6"/>
  <c r="O275" i="6"/>
  <c r="N213" i="6"/>
  <c r="N207" i="6"/>
  <c r="N210" i="6"/>
  <c r="N212" i="6"/>
  <c r="N214" i="6"/>
  <c r="N208" i="6"/>
  <c r="N209" i="6"/>
  <c r="N211" i="6"/>
  <c r="J224" i="6"/>
  <c r="J238" i="6"/>
  <c r="BC276" i="6"/>
  <c r="BC249" i="6"/>
  <c r="C276" i="6"/>
  <c r="C249" i="6"/>
  <c r="BD276" i="6"/>
  <c r="BD249" i="6"/>
  <c r="BF276" i="6"/>
  <c r="BF249" i="6"/>
  <c r="BE276" i="6"/>
  <c r="BE249" i="6"/>
  <c r="I276" i="6"/>
  <c r="I249" i="6"/>
  <c r="F276" i="6"/>
  <c r="F249" i="6"/>
  <c r="BH276" i="6"/>
  <c r="BH249" i="6"/>
  <c r="H276" i="6"/>
  <c r="H249" i="6"/>
  <c r="BB276" i="6"/>
  <c r="BB249" i="6"/>
  <c r="BG276" i="6"/>
  <c r="BG249" i="6"/>
  <c r="BA276" i="6"/>
  <c r="BA249" i="6"/>
  <c r="B276" i="6"/>
  <c r="B249" i="6"/>
  <c r="D276" i="6"/>
  <c r="D249" i="6"/>
  <c r="G276" i="6"/>
  <c r="G249" i="6"/>
  <c r="BH274" i="6"/>
  <c r="I9" i="6"/>
  <c r="I10" i="6" s="1"/>
  <c r="BA243" i="6"/>
  <c r="G277" i="6"/>
  <c r="C277" i="6"/>
  <c r="I244" i="6"/>
  <c r="BF244" i="6"/>
  <c r="BE244" i="6"/>
  <c r="BC244" i="6"/>
  <c r="BD243" i="6"/>
  <c r="I243" i="6"/>
  <c r="BG238" i="6"/>
  <c r="BB243" i="6"/>
  <c r="BF243" i="6"/>
  <c r="BG274" i="6"/>
  <c r="BH283" i="6"/>
  <c r="BF143" i="6"/>
  <c r="BF264" i="6" s="1"/>
  <c r="BF265" i="6" s="1"/>
  <c r="BF273" i="6" s="1"/>
  <c r="BG142" i="6"/>
  <c r="BE143" i="6"/>
  <c r="BB143" i="6"/>
  <c r="BB264" i="6" s="1"/>
  <c r="BB265" i="6" s="1"/>
  <c r="BD143" i="6"/>
  <c r="BE142" i="6"/>
  <c r="BA142" i="6"/>
  <c r="BC142" i="6"/>
  <c r="BD142" i="6"/>
  <c r="BH143" i="6"/>
  <c r="BG143" i="6"/>
  <c r="BG264" i="6" s="1"/>
  <c r="BG265" i="6" s="1"/>
  <c r="BA143" i="6"/>
  <c r="BA264" i="6" s="1"/>
  <c r="BA265" i="6" s="1"/>
  <c r="BA273" i="6" s="1"/>
  <c r="BB142" i="6"/>
  <c r="BF142" i="6"/>
  <c r="BH141" i="6"/>
  <c r="BH264" i="6" s="1"/>
  <c r="BH265" i="6" s="1"/>
  <c r="BH273" i="6" s="1"/>
  <c r="BH142" i="6"/>
  <c r="BC143" i="6"/>
  <c r="BG281" i="6"/>
  <c r="BB226" i="6"/>
  <c r="BB240" i="6"/>
  <c r="BB227" i="6"/>
  <c r="BB241" i="6"/>
  <c r="BC209" i="6"/>
  <c r="BC212" i="6"/>
  <c r="BC210" i="6"/>
  <c r="BC213" i="6"/>
  <c r="BC211" i="6"/>
  <c r="BC214" i="6"/>
  <c r="BC207" i="6"/>
  <c r="BC208" i="6"/>
  <c r="BC226" i="6"/>
  <c r="BC240" i="6"/>
  <c r="BF248" i="6"/>
  <c r="BF275" i="6"/>
  <c r="BF224" i="6"/>
  <c r="BF238" i="6"/>
  <c r="BF274" i="6" s="1"/>
  <c r="BF227" i="6"/>
  <c r="BF241" i="6"/>
  <c r="BE275" i="6"/>
  <c r="BE248" i="6"/>
  <c r="BH248" i="6"/>
  <c r="BH275" i="6"/>
  <c r="BH230" i="6"/>
  <c r="BH244" i="6"/>
  <c r="BG210" i="6"/>
  <c r="BG207" i="6"/>
  <c r="BG213" i="6"/>
  <c r="BG211" i="6"/>
  <c r="BG212" i="6"/>
  <c r="BG209" i="6"/>
  <c r="BG214" i="6"/>
  <c r="BG208" i="6"/>
  <c r="BG228" i="6"/>
  <c r="BG242" i="6"/>
  <c r="BA248" i="6"/>
  <c r="BA275" i="6"/>
  <c r="I228" i="6"/>
  <c r="I242" i="6"/>
  <c r="BD225" i="6"/>
  <c r="BD239" i="6"/>
  <c r="BH256" i="6"/>
  <c r="BH10" i="6"/>
  <c r="BG248" i="6"/>
  <c r="BG275" i="6"/>
  <c r="BG225" i="6"/>
  <c r="BG239" i="6"/>
  <c r="BA224" i="6"/>
  <c r="BA238" i="6"/>
  <c r="BA274" i="6" s="1"/>
  <c r="I224" i="6"/>
  <c r="I238" i="6"/>
  <c r="BD244" i="6"/>
  <c r="BC10" i="6"/>
  <c r="BC256" i="6"/>
  <c r="BD227" i="6"/>
  <c r="BD241" i="6"/>
  <c r="BE225" i="6"/>
  <c r="BE239" i="6"/>
  <c r="BH229" i="6"/>
  <c r="BH243" i="6"/>
  <c r="BG230" i="6"/>
  <c r="BG244" i="6"/>
  <c r="BA228" i="6"/>
  <c r="BA242" i="6"/>
  <c r="BC248" i="6"/>
  <c r="BC275" i="6"/>
  <c r="BD275" i="6"/>
  <c r="BD248" i="6"/>
  <c r="BD226" i="6"/>
  <c r="BD240" i="6"/>
  <c r="BD10" i="6"/>
  <c r="BD256" i="6"/>
  <c r="BF228" i="6"/>
  <c r="BF242" i="6"/>
  <c r="BF256" i="6"/>
  <c r="BF10" i="6"/>
  <c r="BE227" i="6"/>
  <c r="BE241" i="6"/>
  <c r="BB244" i="6"/>
  <c r="BH227" i="6"/>
  <c r="BH241" i="6"/>
  <c r="BH228" i="6"/>
  <c r="BH242" i="6"/>
  <c r="BA226" i="6"/>
  <c r="BA240" i="6"/>
  <c r="I211" i="6"/>
  <c r="I214" i="6"/>
  <c r="I208" i="6"/>
  <c r="I212" i="6"/>
  <c r="I207" i="6"/>
  <c r="I213" i="6"/>
  <c r="I209" i="6"/>
  <c r="I210" i="6"/>
  <c r="I225" i="6"/>
  <c r="I239" i="6"/>
  <c r="BB228" i="6"/>
  <c r="BB242" i="6"/>
  <c r="BC224" i="6"/>
  <c r="BC238" i="6"/>
  <c r="BC274" i="6" s="1"/>
  <c r="BF225" i="6"/>
  <c r="BF239" i="6"/>
  <c r="BE224" i="6"/>
  <c r="BE238" i="6"/>
  <c r="BE274" i="6" s="1"/>
  <c r="BE256" i="6"/>
  <c r="BE10" i="6"/>
  <c r="BG10" i="6"/>
  <c r="BG256" i="6"/>
  <c r="BG261" i="6" s="1"/>
  <c r="BA227" i="6"/>
  <c r="BA241" i="6"/>
  <c r="BB225" i="6"/>
  <c r="BB239" i="6"/>
  <c r="BC228" i="6"/>
  <c r="BC242" i="6"/>
  <c r="BD207" i="6"/>
  <c r="BD209" i="6"/>
  <c r="BD210" i="6"/>
  <c r="BD208" i="6"/>
  <c r="BD214" i="6"/>
  <c r="BD211" i="6"/>
  <c r="BD213" i="6"/>
  <c r="BD212" i="6"/>
  <c r="BD224" i="6"/>
  <c r="BD238" i="6"/>
  <c r="BD274" i="6" s="1"/>
  <c r="BF212" i="6"/>
  <c r="BF214" i="6"/>
  <c r="BF209" i="6"/>
  <c r="BF213" i="6"/>
  <c r="BF207" i="6"/>
  <c r="BF210" i="6"/>
  <c r="BF211" i="6"/>
  <c r="BF208" i="6"/>
  <c r="BH225" i="6"/>
  <c r="BH239" i="6"/>
  <c r="BH226" i="6"/>
  <c r="BH240" i="6"/>
  <c r="BG227" i="6"/>
  <c r="BG241" i="6"/>
  <c r="BA10" i="6"/>
  <c r="BA256" i="6"/>
  <c r="I226" i="6"/>
  <c r="I240" i="6"/>
  <c r="BB224" i="6"/>
  <c r="BB238" i="6"/>
  <c r="BB274" i="6" s="1"/>
  <c r="BB10" i="6"/>
  <c r="BB256" i="6"/>
  <c r="BB261" i="6" s="1"/>
  <c r="BC225" i="6"/>
  <c r="BC239" i="6"/>
  <c r="BD228" i="6"/>
  <c r="BD242" i="6"/>
  <c r="BF226" i="6"/>
  <c r="BF240" i="6"/>
  <c r="BE211" i="6"/>
  <c r="BE208" i="6"/>
  <c r="BE210" i="6"/>
  <c r="BE212" i="6"/>
  <c r="BE214" i="6"/>
  <c r="BE207" i="6"/>
  <c r="BE209" i="6"/>
  <c r="BE213" i="6"/>
  <c r="BE226" i="6"/>
  <c r="BE240" i="6"/>
  <c r="BG229" i="6"/>
  <c r="BG243" i="6"/>
  <c r="BA209" i="6"/>
  <c r="BA208" i="6"/>
  <c r="BA213" i="6"/>
  <c r="BA212" i="6"/>
  <c r="BA207" i="6"/>
  <c r="BA214" i="6"/>
  <c r="BA210" i="6"/>
  <c r="BA211" i="6"/>
  <c r="I227" i="6"/>
  <c r="I241" i="6"/>
  <c r="BE243" i="6"/>
  <c r="BB275" i="6"/>
  <c r="BB248" i="6"/>
  <c r="BB210" i="6"/>
  <c r="BB207" i="6"/>
  <c r="BB212" i="6"/>
  <c r="BB214" i="6"/>
  <c r="BB213" i="6"/>
  <c r="BB209" i="6"/>
  <c r="BB208" i="6"/>
  <c r="BB211" i="6"/>
  <c r="BC227" i="6"/>
  <c r="BC241" i="6"/>
  <c r="BE228" i="6"/>
  <c r="BE242" i="6"/>
  <c r="BH210" i="6"/>
  <c r="BH213" i="6"/>
  <c r="BH211" i="6"/>
  <c r="BH212" i="6"/>
  <c r="BH214" i="6"/>
  <c r="BH207" i="6"/>
  <c r="BH208" i="6"/>
  <c r="BH209" i="6"/>
  <c r="BH224" i="6"/>
  <c r="BH238" i="6"/>
  <c r="BG226" i="6"/>
  <c r="BG240" i="6"/>
  <c r="BA225" i="6"/>
  <c r="BA239" i="6"/>
  <c r="I248" i="6"/>
  <c r="I275" i="6"/>
  <c r="BC243" i="6"/>
  <c r="BB281" i="6"/>
  <c r="D277" i="6"/>
  <c r="H277" i="6"/>
  <c r="B277" i="6"/>
  <c r="F252" i="6"/>
  <c r="F280" i="6"/>
  <c r="G9" i="6"/>
  <c r="G10" i="6" s="1"/>
  <c r="H9" i="6"/>
  <c r="H247" i="6"/>
  <c r="C9" i="6"/>
  <c r="C10" i="6" s="1"/>
  <c r="H211" i="6"/>
  <c r="H210" i="6"/>
  <c r="H209" i="6"/>
  <c r="H208" i="6"/>
  <c r="D247" i="6"/>
  <c r="D9" i="6"/>
  <c r="F247" i="6"/>
  <c r="F9" i="6"/>
  <c r="B247" i="6"/>
  <c r="B9" i="6"/>
  <c r="B10" i="6" s="1"/>
  <c r="H248" i="6"/>
  <c r="H275" i="6"/>
  <c r="F30" i="6" a="1"/>
  <c r="F30" i="6" s="1"/>
  <c r="F281" i="6" s="1"/>
  <c r="H207" i="6"/>
  <c r="H240" i="6"/>
  <c r="H239" i="6"/>
  <c r="H238" i="6"/>
  <c r="H214" i="6"/>
  <c r="G42" i="6"/>
  <c r="G153" i="6" s="1"/>
  <c r="H42" i="6"/>
  <c r="H153" i="6" s="1"/>
  <c r="H213" i="6"/>
  <c r="H212" i="6"/>
  <c r="G211" i="6"/>
  <c r="G210" i="6"/>
  <c r="G280" i="6"/>
  <c r="G209" i="6"/>
  <c r="G208" i="6"/>
  <c r="G207" i="6"/>
  <c r="G214" i="6"/>
  <c r="G213" i="6"/>
  <c r="G212" i="6"/>
  <c r="G252" i="6"/>
  <c r="G275" i="6"/>
  <c r="G248" i="6"/>
  <c r="D280" i="6"/>
  <c r="D252" i="6"/>
  <c r="F42" i="6"/>
  <c r="F153" i="6" s="1"/>
  <c r="F227" i="6"/>
  <c r="F225" i="6"/>
  <c r="F230" i="6"/>
  <c r="F211" i="6"/>
  <c r="F214" i="6"/>
  <c r="F208" i="6"/>
  <c r="F210" i="6"/>
  <c r="F212" i="6"/>
  <c r="F209" i="6"/>
  <c r="F207" i="6"/>
  <c r="F213" i="6"/>
  <c r="F229" i="6"/>
  <c r="F277" i="6" s="1"/>
  <c r="F248" i="6"/>
  <c r="F275" i="6"/>
  <c r="C279" i="6"/>
  <c r="C252" i="6" s="1"/>
  <c r="D30" i="6" a="1"/>
  <c r="D30" i="6" s="1"/>
  <c r="D281" i="6" s="1"/>
  <c r="B30" i="6" a="1"/>
  <c r="B30" i="6" s="1"/>
  <c r="B281" i="6" s="1"/>
  <c r="C30" i="6" a="1"/>
  <c r="C30" i="6" s="1"/>
  <c r="C281" i="6" s="1"/>
  <c r="C207" i="6"/>
  <c r="C208" i="6"/>
  <c r="C209" i="6"/>
  <c r="C210" i="6"/>
  <c r="C212" i="6"/>
  <c r="C214" i="6"/>
  <c r="C211" i="6"/>
  <c r="C213" i="6"/>
  <c r="C248" i="6"/>
  <c r="C275" i="6"/>
  <c r="C42" i="6"/>
  <c r="C153" i="6" s="1"/>
  <c r="D248" i="6"/>
  <c r="AD23" i="7"/>
  <c r="AF25" i="1"/>
  <c r="D275" i="6"/>
  <c r="D207" i="6"/>
  <c r="D209" i="6"/>
  <c r="D213" i="6"/>
  <c r="D208" i="6"/>
  <c r="D210" i="6"/>
  <c r="D211" i="6"/>
  <c r="D212" i="6"/>
  <c r="D214" i="6"/>
  <c r="D42" i="6"/>
  <c r="D153" i="6" s="1"/>
  <c r="B42" i="6"/>
  <c r="B153" i="6" s="1"/>
  <c r="AN45" i="14"/>
  <c r="Y45" i="14" a="1"/>
  <c r="Y45" i="14" s="1"/>
  <c r="F6" i="7" s="1"/>
  <c r="B252" i="6"/>
  <c r="B280" i="6"/>
  <c r="B248" i="6"/>
  <c r="B275" i="6"/>
  <c r="I6" i="7"/>
  <c r="AF11" i="1"/>
  <c r="R8" i="11"/>
  <c r="AF12" i="1"/>
  <c r="Q8" i="11"/>
  <c r="B246" i="6" s="1"/>
  <c r="R256" i="6" l="1"/>
  <c r="R261" i="6" s="1"/>
  <c r="H142" i="6"/>
  <c r="O207" i="6"/>
  <c r="O209" i="6"/>
  <c r="O210" i="6"/>
  <c r="O212" i="6"/>
  <c r="O213" i="6"/>
  <c r="O214" i="6"/>
  <c r="O211" i="6"/>
  <c r="AE142" i="6"/>
  <c r="E214" i="6"/>
  <c r="M283" i="6"/>
  <c r="M10" i="6"/>
  <c r="E213" i="6"/>
  <c r="T256" i="6"/>
  <c r="T261" i="6" s="1"/>
  <c r="E212" i="6"/>
  <c r="E209" i="6"/>
  <c r="E207" i="6"/>
  <c r="E210" i="6"/>
  <c r="E211" i="6"/>
  <c r="P254" i="6"/>
  <c r="E10" i="6"/>
  <c r="AD283" i="6"/>
  <c r="AD256" i="6"/>
  <c r="AD257" i="6" s="1"/>
  <c r="AD259" i="6" s="1"/>
  <c r="AD10" i="6"/>
  <c r="O241" i="6"/>
  <c r="AC256" i="6"/>
  <c r="AC260" i="6" s="1"/>
  <c r="AC262" i="6" s="1"/>
  <c r="AC284" i="6" s="1"/>
  <c r="S256" i="6"/>
  <c r="S257" i="6" s="1"/>
  <c r="S259" i="6" s="1"/>
  <c r="AE213" i="6"/>
  <c r="AE207" i="6"/>
  <c r="H242" i="6"/>
  <c r="AE211" i="6"/>
  <c r="AE208" i="6"/>
  <c r="AE214" i="6"/>
  <c r="AE212" i="6"/>
  <c r="AE210" i="6"/>
  <c r="R207" i="6"/>
  <c r="R210" i="6"/>
  <c r="R213" i="6"/>
  <c r="R214" i="6"/>
  <c r="R208" i="6"/>
  <c r="R209" i="6"/>
  <c r="Q254" i="6"/>
  <c r="R211" i="6"/>
  <c r="AF10" i="6"/>
  <c r="U10" i="6"/>
  <c r="B210" i="6"/>
  <c r="Q242" i="6"/>
  <c r="B211" i="6"/>
  <c r="B208" i="6"/>
  <c r="B209" i="6"/>
  <c r="B213" i="6"/>
  <c r="B214" i="6"/>
  <c r="B212" i="6"/>
  <c r="J273" i="6"/>
  <c r="J283" i="6" s="1"/>
  <c r="AE256" i="6"/>
  <c r="AE257" i="6" s="1"/>
  <c r="AE259" i="6" s="1"/>
  <c r="P241" i="6"/>
  <c r="P142" i="6"/>
  <c r="Q207" i="6"/>
  <c r="Q209" i="6"/>
  <c r="Q214" i="6"/>
  <c r="Q212" i="6"/>
  <c r="Q210" i="6"/>
  <c r="Q213" i="6"/>
  <c r="Q208" i="6"/>
  <c r="Q211" i="6"/>
  <c r="P208" i="6"/>
  <c r="P214" i="6"/>
  <c r="P213" i="6"/>
  <c r="P207" i="6"/>
  <c r="P212" i="6"/>
  <c r="P211" i="6"/>
  <c r="P210" i="6"/>
  <c r="P209" i="6"/>
  <c r="E50" i="6"/>
  <c r="E161" i="6" s="1"/>
  <c r="P50" i="6"/>
  <c r="P161" i="6" s="1"/>
  <c r="Q50" i="6"/>
  <c r="Q161" i="6" s="1"/>
  <c r="O50" i="6"/>
  <c r="O161" i="6" s="1"/>
  <c r="R50" i="6"/>
  <c r="R161" i="6" s="1"/>
  <c r="AE50" i="6"/>
  <c r="AE161" i="6" s="1"/>
  <c r="AB256" i="6"/>
  <c r="AB260" i="6" s="1"/>
  <c r="AB262" i="6" s="1"/>
  <c r="AB284" i="6" s="1"/>
  <c r="AE242" i="6"/>
  <c r="Q142" i="6"/>
  <c r="AC283" i="6"/>
  <c r="AB283" i="6"/>
  <c r="T283" i="6"/>
  <c r="O277" i="6"/>
  <c r="K274" i="6"/>
  <c r="K283" i="6" s="1"/>
  <c r="AM254" i="6"/>
  <c r="AT254" i="6"/>
  <c r="AP254" i="6"/>
  <c r="AX254" i="6"/>
  <c r="E254" i="6"/>
  <c r="BB283" i="6"/>
  <c r="BB273" i="6"/>
  <c r="BG283" i="6"/>
  <c r="BG273" i="6"/>
  <c r="AZ254" i="6"/>
  <c r="AQ254" i="6"/>
  <c r="AC254" i="6"/>
  <c r="AY254" i="6"/>
  <c r="AP261" i="6"/>
  <c r="AP257" i="6"/>
  <c r="AP259" i="6" s="1"/>
  <c r="AP260" i="6"/>
  <c r="AP262" i="6" s="1"/>
  <c r="AP284" i="6" s="1"/>
  <c r="AR260" i="6"/>
  <c r="AR262" i="6" s="1"/>
  <c r="AR284" i="6" s="1"/>
  <c r="AR261" i="6"/>
  <c r="AR257" i="6"/>
  <c r="AR259" i="6" s="1"/>
  <c r="AL261" i="6"/>
  <c r="AL260" i="6"/>
  <c r="AL262" i="6" s="1"/>
  <c r="AL284" i="6" s="1"/>
  <c r="AL257" i="6"/>
  <c r="AL259" i="6" s="1"/>
  <c r="AK261" i="6"/>
  <c r="AK257" i="6"/>
  <c r="AK259" i="6" s="1"/>
  <c r="AK260" i="6"/>
  <c r="AK262" i="6" s="1"/>
  <c r="AK284" i="6" s="1"/>
  <c r="AZ260" i="6"/>
  <c r="AZ262" i="6" s="1"/>
  <c r="AZ284" i="6" s="1"/>
  <c r="AZ257" i="6"/>
  <c r="AZ259" i="6" s="1"/>
  <c r="AZ261" i="6"/>
  <c r="AM261" i="6"/>
  <c r="AM257" i="6"/>
  <c r="AM259" i="6" s="1"/>
  <c r="AM260" i="6"/>
  <c r="AM262" i="6" s="1"/>
  <c r="AM284" i="6" s="1"/>
  <c r="AS257" i="6"/>
  <c r="AS259" i="6" s="1"/>
  <c r="AS261" i="6"/>
  <c r="AS260" i="6"/>
  <c r="AS262" i="6" s="1"/>
  <c r="AS284" i="6" s="1"/>
  <c r="U257" i="6"/>
  <c r="U259" i="6" s="1"/>
  <c r="U260" i="6"/>
  <c r="U262" i="6" s="1"/>
  <c r="U284" i="6" s="1"/>
  <c r="U261" i="6"/>
  <c r="AY260" i="6"/>
  <c r="AY262" i="6" s="1"/>
  <c r="AY284" i="6" s="1"/>
  <c r="AY261" i="6"/>
  <c r="AY257" i="6"/>
  <c r="AY259" i="6" s="1"/>
  <c r="AT261" i="6"/>
  <c r="AT257" i="6"/>
  <c r="AT259" i="6" s="1"/>
  <c r="AT260" i="6"/>
  <c r="AT262" i="6" s="1"/>
  <c r="AT284" i="6" s="1"/>
  <c r="AF261" i="6"/>
  <c r="AF260" i="6"/>
  <c r="AF262" i="6" s="1"/>
  <c r="AF284" i="6" s="1"/>
  <c r="AF257" i="6"/>
  <c r="AF259" i="6" s="1"/>
  <c r="AQ260" i="6"/>
  <c r="AQ262" i="6" s="1"/>
  <c r="AQ284" i="6" s="1"/>
  <c r="AQ261" i="6"/>
  <c r="AQ257" i="6"/>
  <c r="AQ259" i="6" s="1"/>
  <c r="AN257" i="6"/>
  <c r="AN259" i="6" s="1"/>
  <c r="AN261" i="6"/>
  <c r="AN260" i="6"/>
  <c r="AN262" i="6" s="1"/>
  <c r="AN284" i="6" s="1"/>
  <c r="AW260" i="6"/>
  <c r="AW262" i="6" s="1"/>
  <c r="AW284" i="6" s="1"/>
  <c r="AW257" i="6"/>
  <c r="AW259" i="6" s="1"/>
  <c r="AW261" i="6"/>
  <c r="AX257" i="6"/>
  <c r="AX259" i="6" s="1"/>
  <c r="AX261" i="6"/>
  <c r="AX260" i="6"/>
  <c r="AX262" i="6" s="1"/>
  <c r="AX284" i="6" s="1"/>
  <c r="AV257" i="6"/>
  <c r="AV259" i="6" s="1"/>
  <c r="AV260" i="6"/>
  <c r="AV262" i="6" s="1"/>
  <c r="AV284" i="6" s="1"/>
  <c r="AV261" i="6"/>
  <c r="E257" i="6"/>
  <c r="E259" i="6" s="1"/>
  <c r="E260" i="6"/>
  <c r="E262" i="6" s="1"/>
  <c r="E284" i="6" s="1"/>
  <c r="E261" i="6"/>
  <c r="AJ260" i="6"/>
  <c r="AJ262" i="6" s="1"/>
  <c r="AJ284" i="6" s="1"/>
  <c r="AJ257" i="6"/>
  <c r="AJ259" i="6" s="1"/>
  <c r="AJ261" i="6"/>
  <c r="AO260" i="6"/>
  <c r="AO262" i="6" s="1"/>
  <c r="AO284" i="6" s="1"/>
  <c r="AO257" i="6"/>
  <c r="AO259" i="6" s="1"/>
  <c r="AO261" i="6"/>
  <c r="AU261" i="6"/>
  <c r="AU257" i="6"/>
  <c r="AU259" i="6" s="1"/>
  <c r="AU260" i="6"/>
  <c r="AU262" i="6" s="1"/>
  <c r="AU284" i="6" s="1"/>
  <c r="E242" i="6"/>
  <c r="E239" i="6"/>
  <c r="E238" i="6"/>
  <c r="E241" i="6"/>
  <c r="E274" i="6" s="1"/>
  <c r="E240" i="6"/>
  <c r="M254" i="6"/>
  <c r="M261" i="6"/>
  <c r="M257" i="6"/>
  <c r="M259" i="6" s="1"/>
  <c r="M260" i="6"/>
  <c r="M262" i="6" s="1"/>
  <c r="M284" i="6" s="1"/>
  <c r="J10" i="6"/>
  <c r="J260" i="6" s="1"/>
  <c r="J262" i="6" s="1"/>
  <c r="K256" i="6"/>
  <c r="K260" i="6" s="1"/>
  <c r="K262" i="6" s="1"/>
  <c r="I274" i="6"/>
  <c r="O256" i="6"/>
  <c r="O260" i="6" s="1"/>
  <c r="O262" i="6" s="1"/>
  <c r="N10" i="6"/>
  <c r="N260" i="6" s="1"/>
  <c r="N262" i="6" s="1"/>
  <c r="N254" i="6"/>
  <c r="O254" i="6"/>
  <c r="J254" i="6"/>
  <c r="N257" i="6"/>
  <c r="N259" i="6" s="1"/>
  <c r="N261" i="6"/>
  <c r="J261" i="6"/>
  <c r="J257" i="6"/>
  <c r="J259" i="6" s="1"/>
  <c r="BG254" i="6"/>
  <c r="BC254" i="6"/>
  <c r="BF254" i="6"/>
  <c r="I254" i="6"/>
  <c r="BE254" i="6"/>
  <c r="BB254" i="6"/>
  <c r="BD254" i="6"/>
  <c r="BA254" i="6"/>
  <c r="BH254" i="6"/>
  <c r="I256" i="6"/>
  <c r="I260" i="6" s="1"/>
  <c r="I262" i="6" s="1"/>
  <c r="BA260" i="6"/>
  <c r="BA261" i="6"/>
  <c r="BA257" i="6"/>
  <c r="BA259" i="6" s="1"/>
  <c r="BE260" i="6"/>
  <c r="BE257" i="6"/>
  <c r="BE259" i="6" s="1"/>
  <c r="BE261" i="6"/>
  <c r="BD257" i="6"/>
  <c r="BD259" i="6" s="1"/>
  <c r="BD261" i="6"/>
  <c r="BD260" i="6"/>
  <c r="BF261" i="6"/>
  <c r="BF257" i="6"/>
  <c r="BF259" i="6" s="1"/>
  <c r="BF260" i="6"/>
  <c r="BB257" i="6"/>
  <c r="BB259" i="6" s="1"/>
  <c r="BB262" i="6" s="1"/>
  <c r="BB284" i="6" s="1"/>
  <c r="BB260" i="6"/>
  <c r="BC260" i="6"/>
  <c r="BC261" i="6"/>
  <c r="BC257" i="6"/>
  <c r="BC259" i="6" s="1"/>
  <c r="BH257" i="6"/>
  <c r="BH259" i="6" s="1"/>
  <c r="BH260" i="6"/>
  <c r="BH261" i="6"/>
  <c r="BG257" i="6"/>
  <c r="BG259" i="6" s="1"/>
  <c r="BG262" i="6" s="1"/>
  <c r="BG284" i="6" s="1"/>
  <c r="BG260" i="6"/>
  <c r="G256" i="6"/>
  <c r="G260" i="6" s="1"/>
  <c r="G262" i="6" s="1"/>
  <c r="H274" i="6"/>
  <c r="H10" i="6"/>
  <c r="H256" i="6"/>
  <c r="C256" i="6"/>
  <c r="C257" i="6" s="1"/>
  <c r="C259" i="6" s="1"/>
  <c r="H246" i="6"/>
  <c r="H254" i="6" s="1"/>
  <c r="F10" i="6"/>
  <c r="D256" i="6"/>
  <c r="D10" i="6"/>
  <c r="B256" i="6"/>
  <c r="F256" i="6"/>
  <c r="G50" i="6"/>
  <c r="G161" i="6" s="1"/>
  <c r="H50" i="6"/>
  <c r="H161" i="6" s="1"/>
  <c r="G254" i="6"/>
  <c r="F254" i="6"/>
  <c r="F50" i="6"/>
  <c r="F161" i="6" s="1"/>
  <c r="C280" i="6"/>
  <c r="K6" i="7"/>
  <c r="C254" i="6"/>
  <c r="C50" i="6"/>
  <c r="C161" i="6" s="1"/>
  <c r="D254" i="6"/>
  <c r="B50" i="6"/>
  <c r="B161" i="6" s="1"/>
  <c r="D50" i="6"/>
  <c r="D161" i="6" s="1"/>
  <c r="B254" i="6"/>
  <c r="F62" i="7"/>
  <c r="K62" i="7" s="1"/>
  <c r="K71" i="11" s="1"/>
  <c r="K10" i="7"/>
  <c r="G28" i="7"/>
  <c r="K28" i="7" s="1"/>
  <c r="AD28" i="7" s="1"/>
  <c r="R257" i="6" l="1"/>
  <c r="R259" i="6" s="1"/>
  <c r="V267" i="6"/>
  <c r="Z267" i="6"/>
  <c r="Y267" i="6"/>
  <c r="Y272" i="6" s="1"/>
  <c r="X267" i="6"/>
  <c r="AG267" i="6"/>
  <c r="AH267" i="6"/>
  <c r="W267" i="6"/>
  <c r="AA267" i="6"/>
  <c r="AI267" i="6"/>
  <c r="U267" i="6"/>
  <c r="U272" i="6" s="1"/>
  <c r="S267" i="6"/>
  <c r="S272" i="6" s="1"/>
  <c r="AF267" i="6"/>
  <c r="T257" i="6"/>
  <c r="T259" i="6" s="1"/>
  <c r="T260" i="6"/>
  <c r="T262" i="6" s="1"/>
  <c r="T284" i="6" s="1"/>
  <c r="R260" i="6"/>
  <c r="R262" i="6" s="1"/>
  <c r="R284" i="6" s="1"/>
  <c r="AD261" i="6"/>
  <c r="AD260" i="6"/>
  <c r="AD262" i="6" s="1"/>
  <c r="AD284" i="6" s="1"/>
  <c r="AC261" i="6"/>
  <c r="AC257" i="6"/>
  <c r="AC259" i="6" s="1"/>
  <c r="S260" i="6"/>
  <c r="S262" i="6" s="1"/>
  <c r="S284" i="6" s="1"/>
  <c r="S261" i="6"/>
  <c r="AE260" i="6"/>
  <c r="AE262" i="6" s="1"/>
  <c r="AE284" i="6" s="1"/>
  <c r="AE261" i="6"/>
  <c r="AB257" i="6"/>
  <c r="AB259" i="6" s="1"/>
  <c r="AB261" i="6"/>
  <c r="E55" i="6"/>
  <c r="E166" i="6" s="1"/>
  <c r="E237" i="6" s="1"/>
  <c r="E244" i="6" s="1"/>
  <c r="P55" i="6"/>
  <c r="P166" i="6" s="1"/>
  <c r="P237" i="6" s="1"/>
  <c r="Q55" i="6"/>
  <c r="Q166" i="6" s="1"/>
  <c r="Q237" i="6" s="1"/>
  <c r="O55" i="6"/>
  <c r="O166" i="6" s="1"/>
  <c r="O237" i="6" s="1"/>
  <c r="R55" i="6"/>
  <c r="R166" i="6" s="1"/>
  <c r="R237" i="6" s="1"/>
  <c r="AE55" i="6"/>
  <c r="AE166" i="6" s="1"/>
  <c r="AE237" i="6" s="1"/>
  <c r="AD6" i="7"/>
  <c r="H33" i="6" s="1"/>
  <c r="H144" i="6" s="1"/>
  <c r="L70" i="11"/>
  <c r="AD10" i="7"/>
  <c r="K70" i="11"/>
  <c r="E264" i="6"/>
  <c r="E265" i="6" s="1"/>
  <c r="G239" i="6"/>
  <c r="G240" i="6"/>
  <c r="G241" i="6"/>
  <c r="G242" i="6"/>
  <c r="G238" i="6"/>
  <c r="F242" i="6"/>
  <c r="F239" i="6"/>
  <c r="F240" i="6"/>
  <c r="F238" i="6"/>
  <c r="K261" i="6"/>
  <c r="K257" i="6"/>
  <c r="K259" i="6" s="1"/>
  <c r="O261" i="6"/>
  <c r="O257" i="6"/>
  <c r="O259" i="6" s="1"/>
  <c r="J284" i="6"/>
  <c r="N284" i="6"/>
  <c r="I257" i="6"/>
  <c r="I259" i="6" s="1"/>
  <c r="I261" i="6"/>
  <c r="BH262" i="6"/>
  <c r="BH284" i="6" s="1"/>
  <c r="BF262" i="6"/>
  <c r="BF284" i="6" s="1"/>
  <c r="BD262" i="6"/>
  <c r="BD284" i="6" s="1"/>
  <c r="BE262" i="6"/>
  <c r="BE284" i="6" s="1"/>
  <c r="BA262" i="6"/>
  <c r="BA284" i="6" s="1"/>
  <c r="BC262" i="6"/>
  <c r="BC284" i="6" s="1"/>
  <c r="G257" i="6"/>
  <c r="G259" i="6" s="1"/>
  <c r="G261" i="6"/>
  <c r="H257" i="6"/>
  <c r="H259" i="6" s="1"/>
  <c r="H260" i="6"/>
  <c r="H262" i="6" s="1"/>
  <c r="H261" i="6"/>
  <c r="C260" i="6"/>
  <c r="C262" i="6" s="1"/>
  <c r="C261" i="6"/>
  <c r="F260" i="6"/>
  <c r="F262" i="6" s="1"/>
  <c r="F261" i="6"/>
  <c r="F257" i="6"/>
  <c r="B257" i="6"/>
  <c r="B259" i="6" s="1"/>
  <c r="B260" i="6"/>
  <c r="B262" i="6" s="1"/>
  <c r="B261" i="6"/>
  <c r="D261" i="6"/>
  <c r="D257" i="6"/>
  <c r="D259" i="6" s="1"/>
  <c r="D260" i="6"/>
  <c r="D262" i="6" s="1"/>
  <c r="G55" i="6"/>
  <c r="G166" i="6" s="1"/>
  <c r="G237" i="6" s="1"/>
  <c r="G243" i="6" s="1"/>
  <c r="G274" i="6" s="1"/>
  <c r="H55" i="6"/>
  <c r="H166" i="6" s="1"/>
  <c r="H237" i="6" s="1"/>
  <c r="G33" i="6"/>
  <c r="G144" i="6" s="1"/>
  <c r="F55" i="6"/>
  <c r="F166" i="6" s="1"/>
  <c r="F237" i="6" s="1"/>
  <c r="F244" i="6" s="1"/>
  <c r="F241" i="6"/>
  <c r="C33" i="6"/>
  <c r="C144" i="6" s="1"/>
  <c r="F33" i="6"/>
  <c r="F144" i="6" s="1"/>
  <c r="D33" i="6"/>
  <c r="D144" i="6" s="1"/>
  <c r="C238" i="6"/>
  <c r="C240" i="6"/>
  <c r="C241" i="6"/>
  <c r="C239" i="6"/>
  <c r="C242" i="6"/>
  <c r="C55" i="6"/>
  <c r="C166" i="6" s="1"/>
  <c r="C237" i="6" s="1"/>
  <c r="C243" i="6" s="1"/>
  <c r="D242" i="6"/>
  <c r="D238" i="6"/>
  <c r="D239" i="6"/>
  <c r="D241" i="6"/>
  <c r="D240" i="6"/>
  <c r="B242" i="6"/>
  <c r="B239" i="6"/>
  <c r="B238" i="6"/>
  <c r="B240" i="6"/>
  <c r="B241" i="6"/>
  <c r="D55" i="6"/>
  <c r="D166" i="6" s="1"/>
  <c r="D237" i="6" s="1"/>
  <c r="D243" i="6" s="1"/>
  <c r="B55" i="6"/>
  <c r="B166" i="6" s="1"/>
  <c r="B237" i="6" s="1"/>
  <c r="B243" i="6" s="1"/>
  <c r="AE10" i="7"/>
  <c r="Q100" i="7"/>
  <c r="P9" i="11" s="1"/>
  <c r="AF30" i="1"/>
  <c r="Q48" i="7"/>
  <c r="AG37" i="6" l="1"/>
  <c r="AG148" i="6" s="1"/>
  <c r="AG141" i="6" s="1"/>
  <c r="AG264" i="6" s="1"/>
  <c r="AG265" i="6" s="1"/>
  <c r="AG273" i="6" s="1"/>
  <c r="AG283" i="6" s="1"/>
  <c r="AA37" i="6"/>
  <c r="AA148" i="6" s="1"/>
  <c r="AA141" i="6" s="1"/>
  <c r="AA264" i="6" s="1"/>
  <c r="AA265" i="6" s="1"/>
  <c r="AA273" i="6" s="1"/>
  <c r="AA283" i="6" s="1"/>
  <c r="X37" i="6"/>
  <c r="X148" i="6" s="1"/>
  <c r="X141" i="6" s="1"/>
  <c r="X264" i="6" s="1"/>
  <c r="X265" i="6" s="1"/>
  <c r="X273" i="6" s="1"/>
  <c r="X283" i="6" s="1"/>
  <c r="AI37" i="6"/>
  <c r="AI148" i="6" s="1"/>
  <c r="AI141" i="6" s="1"/>
  <c r="AI264" i="6" s="1"/>
  <c r="AI265" i="6" s="1"/>
  <c r="AI273" i="6" s="1"/>
  <c r="AI283" i="6" s="1"/>
  <c r="W37" i="6"/>
  <c r="W148" i="6" s="1"/>
  <c r="W141" i="6" s="1"/>
  <c r="W264" i="6" s="1"/>
  <c r="W265" i="6" s="1"/>
  <c r="W273" i="6" s="1"/>
  <c r="W283" i="6" s="1"/>
  <c r="V37" i="6"/>
  <c r="V148" i="6" s="1"/>
  <c r="V141" i="6" s="1"/>
  <c r="V264" i="6" s="1"/>
  <c r="V265" i="6" s="1"/>
  <c r="V273" i="6" s="1"/>
  <c r="V283" i="6" s="1"/>
  <c r="Z37" i="6"/>
  <c r="Z148" i="6" s="1"/>
  <c r="Z141" i="6" s="1"/>
  <c r="Z264" i="6" s="1"/>
  <c r="Z265" i="6" s="1"/>
  <c r="Z273" i="6" s="1"/>
  <c r="Z283" i="6" s="1"/>
  <c r="AH37" i="6"/>
  <c r="AH148" i="6" s="1"/>
  <c r="AH141" i="6" s="1"/>
  <c r="AH264" i="6" s="1"/>
  <c r="AH265" i="6" s="1"/>
  <c r="AH273" i="6" s="1"/>
  <c r="AH283" i="6" s="1"/>
  <c r="Y37" i="6"/>
  <c r="Y148" i="6" s="1"/>
  <c r="Y141" i="6" s="1"/>
  <c r="Y264" i="6" s="1"/>
  <c r="Y265" i="6" s="1"/>
  <c r="Y273" i="6" s="1"/>
  <c r="Y283" i="6" s="1"/>
  <c r="S37" i="6"/>
  <c r="S148" i="6" s="1"/>
  <c r="S141" i="6" s="1"/>
  <c r="S264" i="6" s="1"/>
  <c r="S265" i="6" s="1"/>
  <c r="S273" i="6" s="1"/>
  <c r="S283" i="6" s="1"/>
  <c r="U37" i="6"/>
  <c r="U148" i="6" s="1"/>
  <c r="U141" i="6" s="1"/>
  <c r="U264" i="6" s="1"/>
  <c r="U265" i="6" s="1"/>
  <c r="U273" i="6" s="1"/>
  <c r="U283" i="6" s="1"/>
  <c r="AF37" i="6"/>
  <c r="AF148" i="6" s="1"/>
  <c r="AF141" i="6" s="1"/>
  <c r="AF264" i="6" s="1"/>
  <c r="AF265" i="6" s="1"/>
  <c r="AF273" i="6" s="1"/>
  <c r="AF283" i="6" s="1"/>
  <c r="E243" i="6"/>
  <c r="B268" i="6"/>
  <c r="P268" i="6"/>
  <c r="Q268" i="6"/>
  <c r="AE268" i="6"/>
  <c r="R268" i="6"/>
  <c r="H268" i="6"/>
  <c r="O268" i="6"/>
  <c r="E33" i="6"/>
  <c r="E144" i="6" s="1"/>
  <c r="Q33" i="6"/>
  <c r="Q144" i="6" s="1"/>
  <c r="P33" i="6"/>
  <c r="P144" i="6" s="1"/>
  <c r="AE33" i="6"/>
  <c r="AE144" i="6" s="1"/>
  <c r="R33" i="6"/>
  <c r="R144" i="6" s="1"/>
  <c r="O33" i="6"/>
  <c r="O144" i="6" s="1"/>
  <c r="AE244" i="6"/>
  <c r="AE243" i="6"/>
  <c r="R243" i="6"/>
  <c r="R274" i="6" s="1"/>
  <c r="R244" i="6"/>
  <c r="O243" i="6"/>
  <c r="O274" i="6" s="1"/>
  <c r="O244" i="6"/>
  <c r="Q244" i="6"/>
  <c r="Q243" i="6"/>
  <c r="Q274" i="6" s="1"/>
  <c r="P243" i="6"/>
  <c r="P274" i="6" s="1"/>
  <c r="P244" i="6"/>
  <c r="R267" i="6"/>
  <c r="AE267" i="6"/>
  <c r="R37" i="6"/>
  <c r="R148" i="6" s="1"/>
  <c r="AE37" i="6"/>
  <c r="AE148" i="6" s="1"/>
  <c r="P37" i="6"/>
  <c r="P148" i="6" s="1"/>
  <c r="Q37" i="6"/>
  <c r="Q148" i="6" s="1"/>
  <c r="P267" i="6"/>
  <c r="Q267" i="6"/>
  <c r="N267" i="6"/>
  <c r="O267" i="6"/>
  <c r="E37" i="6"/>
  <c r="E148" i="6" s="1"/>
  <c r="O37" i="6"/>
  <c r="O148" i="6" s="1"/>
  <c r="B267" i="6"/>
  <c r="H267" i="6"/>
  <c r="B33" i="6"/>
  <c r="B144" i="6" s="1"/>
  <c r="B272" i="6"/>
  <c r="E283" i="6"/>
  <c r="E273" i="6"/>
  <c r="C284" i="6"/>
  <c r="N37" i="6"/>
  <c r="N148" i="6" s="1"/>
  <c r="N141" i="6" s="1"/>
  <c r="K284" i="6"/>
  <c r="O284" i="6"/>
  <c r="BG37" i="6"/>
  <c r="BG148" i="6" s="1"/>
  <c r="I284" i="6"/>
  <c r="BB37" i="6"/>
  <c r="BB148" i="6" s="1"/>
  <c r="BA37" i="6"/>
  <c r="BA148" i="6" s="1"/>
  <c r="G37" i="6"/>
  <c r="G148" i="6" s="1"/>
  <c r="G141" i="6" s="1"/>
  <c r="BC37" i="6"/>
  <c r="BC148" i="6" s="1"/>
  <c r="BE37" i="6"/>
  <c r="BE148" i="6" s="1"/>
  <c r="BF37" i="6"/>
  <c r="BF148" i="6" s="1"/>
  <c r="I37" i="6"/>
  <c r="I148" i="6" s="1"/>
  <c r="I141" i="6" s="1"/>
  <c r="BD37" i="6"/>
  <c r="BD148" i="6" s="1"/>
  <c r="H37" i="6"/>
  <c r="H148" i="6" s="1"/>
  <c r="H141" i="6" s="1"/>
  <c r="C37" i="6"/>
  <c r="C148" i="6" s="1"/>
  <c r="C141" i="6" s="1"/>
  <c r="G284" i="6"/>
  <c r="H284" i="6"/>
  <c r="F259" i="6"/>
  <c r="F284" i="6" s="1"/>
  <c r="D284" i="6"/>
  <c r="B284" i="6"/>
  <c r="G244" i="6"/>
  <c r="D37" i="6"/>
  <c r="D148" i="6" s="1"/>
  <c r="D141" i="6" s="1"/>
  <c r="F37" i="6"/>
  <c r="F148" i="6" s="1"/>
  <c r="F141" i="6" s="1"/>
  <c r="B37" i="6"/>
  <c r="B148" i="6" s="1"/>
  <c r="H243" i="6"/>
  <c r="H244" i="6"/>
  <c r="F243" i="6"/>
  <c r="F274" i="6" s="1"/>
  <c r="B274" i="6"/>
  <c r="D274" i="6"/>
  <c r="C274" i="6"/>
  <c r="C244" i="6"/>
  <c r="D244" i="6"/>
  <c r="B244" i="6"/>
  <c r="AF13" i="16"/>
  <c r="AF13" i="1"/>
  <c r="P8" i="11"/>
  <c r="BC141" i="6" a="1"/>
  <c r="BF141" i="6" a="1"/>
  <c r="BG141" i="6" a="1"/>
  <c r="BE141" i="6" a="1"/>
  <c r="BD141" i="6" a="1"/>
  <c r="BB141" i="6" a="1"/>
  <c r="BA141" i="6" a="1"/>
  <c r="O141" i="6" l="1"/>
  <c r="O264" i="6" s="1"/>
  <c r="O265" i="6" s="1"/>
  <c r="P272" i="6"/>
  <c r="AE272" i="6"/>
  <c r="H272" i="6"/>
  <c r="E141" i="6"/>
  <c r="O272" i="6"/>
  <c r="Q141" i="6"/>
  <c r="Q264" i="6" s="1"/>
  <c r="Q265" i="6" s="1"/>
  <c r="Q273" i="6" s="1"/>
  <c r="Q283" i="6" s="1"/>
  <c r="P141" i="6"/>
  <c r="P264" i="6" s="1"/>
  <c r="P265" i="6" s="1"/>
  <c r="AE141" i="6"/>
  <c r="AE264" i="6" s="1"/>
  <c r="AE265" i="6" s="1"/>
  <c r="R141" i="6"/>
  <c r="R264" i="6" s="1"/>
  <c r="R265" i="6" s="1"/>
  <c r="R273" i="6" s="1"/>
  <c r="R283" i="6" s="1"/>
  <c r="B141" i="6"/>
  <c r="N264" i="6"/>
  <c r="N265" i="6" s="1"/>
  <c r="F64" i="11"/>
  <c r="G64" i="11" s="1"/>
  <c r="BG141" i="6"/>
  <c r="BA141" i="6"/>
  <c r="BB141" i="6"/>
  <c r="I264" i="6"/>
  <c r="I265" i="6" s="1"/>
  <c r="BF141" i="6"/>
  <c r="H264" i="6"/>
  <c r="H265" i="6" s="1"/>
  <c r="BE141" i="6"/>
  <c r="BE264" i="6" s="1"/>
  <c r="BE265" i="6" s="1"/>
  <c r="BD141" i="6"/>
  <c r="BD264" i="6" s="1"/>
  <c r="BD265" i="6" s="1"/>
  <c r="BC141" i="6"/>
  <c r="BC264" i="6" s="1"/>
  <c r="BC265" i="6" s="1"/>
  <c r="G264" i="6"/>
  <c r="C264" i="6"/>
  <c r="C265" i="6" s="1"/>
  <c r="D264" i="6"/>
  <c r="D265" i="6" s="1"/>
  <c r="F264" i="6"/>
  <c r="O273" i="6" l="1"/>
  <c r="O283" i="6" s="1"/>
  <c r="P273" i="6"/>
  <c r="P283" i="6" s="1"/>
  <c r="AE273" i="6"/>
  <c r="AE283" i="6" s="1"/>
  <c r="BE283" i="6"/>
  <c r="BE273" i="6"/>
  <c r="H273" i="6"/>
  <c r="H283" i="6" s="1"/>
  <c r="D273" i="6"/>
  <c r="D283" i="6" s="1"/>
  <c r="I273" i="6"/>
  <c r="I283" i="6" s="1"/>
  <c r="C273" i="6"/>
  <c r="C283" i="6" s="1"/>
  <c r="B301" i="6" s="1"/>
  <c r="BD283" i="6"/>
  <c r="BD273" i="6"/>
  <c r="BC283" i="6"/>
  <c r="BC273" i="6"/>
  <c r="N273" i="6"/>
  <c r="N283" i="6" s="1"/>
  <c r="F265" i="6"/>
  <c r="G265" i="6"/>
  <c r="G273" i="6" s="1"/>
  <c r="B264" i="6"/>
  <c r="B294" i="6"/>
  <c r="AF5" i="17" l="1"/>
  <c r="B305" i="6"/>
  <c r="F273" i="6"/>
  <c r="F283" i="6" s="1"/>
  <c r="G283" i="6"/>
  <c r="B265" i="6"/>
  <c r="B291" i="6"/>
  <c r="B273" i="6" l="1"/>
  <c r="B283" i="6" s="1"/>
  <c r="B300" i="6" s="1"/>
  <c r="B304" i="6" s="1"/>
  <c r="B302" i="6"/>
  <c r="AF5" i="18" l="1"/>
  <c r="B306" i="6"/>
  <c r="B299" i="6"/>
  <c r="B293" i="6"/>
  <c r="AF5" i="1" s="1"/>
  <c r="B296" i="6" l="1"/>
  <c r="B303" i="6"/>
  <c r="C299" i="6"/>
  <c r="C300" i="6"/>
  <c r="C302" i="6"/>
  <c r="C301" i="6"/>
  <c r="AF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Lee</author>
    <author>Andrew</author>
  </authors>
  <commentList>
    <comment ref="A2" authorId="0" shapeId="0" xr:uid="{2A1F5439-7BAB-4A6A-9741-FF79D38A17BD}">
      <text>
        <r>
          <rPr>
            <b/>
            <sz val="9"/>
            <color indexed="81"/>
            <rFont val="Tahoma"/>
            <family val="2"/>
          </rPr>
          <t>Andrew Lee:</t>
        </r>
        <r>
          <rPr>
            <sz val="9"/>
            <color indexed="81"/>
            <rFont val="Tahoma"/>
            <family val="2"/>
          </rPr>
          <t xml:space="preserve">
expand second dropdown if weapon proc
</t>
        </r>
      </text>
    </comment>
    <comment ref="A8" authorId="1" shapeId="0" xr:uid="{968F58AF-8CF2-4688-8DF6-88B816D9BD4A}">
      <text>
        <r>
          <rPr>
            <b/>
            <sz val="9"/>
            <color indexed="81"/>
            <rFont val="Tahoma"/>
            <family val="2"/>
          </rPr>
          <t>Andrew:</t>
        </r>
        <r>
          <rPr>
            <sz val="9"/>
            <color indexed="81"/>
            <rFont val="Tahoma"/>
            <family val="2"/>
          </rPr>
          <t xml:space="preserve">
the heals will be based off of this character's stats.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<sst xmlns="http://schemas.openxmlformats.org/spreadsheetml/2006/main" count="9473" uniqueCount="1220">
  <si>
    <t>Burst</t>
  </si>
  <si>
    <t>Bloom DMG</t>
  </si>
  <si>
    <t>Cutting DMG</t>
  </si>
  <si>
    <t>Plunge</t>
  </si>
  <si>
    <t>Skill DMG</t>
  </si>
  <si>
    <t>Charged</t>
  </si>
  <si>
    <t>Normal</t>
  </si>
  <si>
    <t>5-Hit DMG</t>
  </si>
  <si>
    <t>3-Hit DMG</t>
  </si>
  <si>
    <t>2-Hit DMG</t>
  </si>
  <si>
    <t>1-Hit DMG</t>
  </si>
  <si>
    <t>Damage Type</t>
  </si>
  <si>
    <t>Ayaka</t>
  </si>
  <si>
    <t>4-Hit DMG</t>
  </si>
  <si>
    <t>Charged Attack DMG</t>
  </si>
  <si>
    <t>Plunge DMG</t>
  </si>
  <si>
    <t>Charged Attack Hit 1</t>
  </si>
  <si>
    <t>Charged Attack Hit 2</t>
  </si>
  <si>
    <t>Albedo</t>
  </si>
  <si>
    <t>Skill</t>
  </si>
  <si>
    <t>Normal Attack</t>
  </si>
  <si>
    <t>Charged Attack</t>
  </si>
  <si>
    <t>Plunge Attack</t>
  </si>
  <si>
    <t>Skill Echo</t>
  </si>
  <si>
    <t>Burst Echo</t>
  </si>
  <si>
    <t>Enemy Level</t>
  </si>
  <si>
    <t>Pyro Res</t>
  </si>
  <si>
    <t>Attack Element Type</t>
  </si>
  <si>
    <t>Weapon Info</t>
  </si>
  <si>
    <t>Artifact Set Info</t>
  </si>
  <si>
    <t>Artifact Stat Info</t>
  </si>
  <si>
    <t>Flower Level</t>
  </si>
  <si>
    <t>Flower Rarity</t>
  </si>
  <si>
    <t>Feather Level</t>
  </si>
  <si>
    <t>Feather Rarity</t>
  </si>
  <si>
    <t>Sands Level</t>
  </si>
  <si>
    <t>Sands Stat</t>
  </si>
  <si>
    <t>Sands Rarity</t>
  </si>
  <si>
    <t>Goblet Level</t>
  </si>
  <si>
    <t>Goblet Stat</t>
  </si>
  <si>
    <t>Goblet Rarity</t>
  </si>
  <si>
    <t>Circlet Level</t>
  </si>
  <si>
    <t>Circlet Stat</t>
  </si>
  <si>
    <t>Circlet Rarity</t>
  </si>
  <si>
    <t>Set 1 Name</t>
  </si>
  <si>
    <t>Set 2 Name</t>
  </si>
  <si>
    <t>Stacks</t>
  </si>
  <si>
    <t>Toggle</t>
  </si>
  <si>
    <t>Name</t>
  </si>
  <si>
    <t>Refinement</t>
  </si>
  <si>
    <t>Character Name</t>
  </si>
  <si>
    <t>Level</t>
  </si>
  <si>
    <t>Normal Talent Lvl</t>
  </si>
  <si>
    <t>Skill Talent Lvl</t>
  </si>
  <si>
    <t>Burst Talent Lvl</t>
  </si>
  <si>
    <t>Hydro Res</t>
  </si>
  <si>
    <t>Cryo Res</t>
  </si>
  <si>
    <t>Electro Res</t>
  </si>
  <si>
    <t>Anemo Res</t>
  </si>
  <si>
    <t>Geo Res</t>
  </si>
  <si>
    <t>Phys Res</t>
  </si>
  <si>
    <t>Buffs</t>
  </si>
  <si>
    <t>Flat ATK</t>
  </si>
  <si>
    <t>Flat DEF</t>
  </si>
  <si>
    <t>Flat HP</t>
  </si>
  <si>
    <t>ATK%</t>
  </si>
  <si>
    <t>DEF%</t>
  </si>
  <si>
    <t>HP%</t>
  </si>
  <si>
    <t>ER%</t>
  </si>
  <si>
    <t>EM</t>
  </si>
  <si>
    <t>Phys DMG%</t>
  </si>
  <si>
    <t>Anemo DMG%</t>
  </si>
  <si>
    <t>Geo DMG%</t>
  </si>
  <si>
    <t>Pyro DMG%</t>
  </si>
  <si>
    <t>Cryo DMG%</t>
  </si>
  <si>
    <t>Hydro DMG%</t>
  </si>
  <si>
    <t>Electro DMG%</t>
  </si>
  <si>
    <t>Normal DMG%</t>
  </si>
  <si>
    <t>Charged DMG%</t>
  </si>
  <si>
    <t>Plunging DMG%</t>
  </si>
  <si>
    <t>Skill DMG%</t>
  </si>
  <si>
    <t>Burst DMG%</t>
  </si>
  <si>
    <t>DMG%</t>
  </si>
  <si>
    <t>Swirl%</t>
  </si>
  <si>
    <t>Overload%</t>
  </si>
  <si>
    <t>Crystallize%</t>
  </si>
  <si>
    <t>Electrocharged%</t>
  </si>
  <si>
    <t>Superconduct%</t>
  </si>
  <si>
    <t>Melt%</t>
  </si>
  <si>
    <t>Vaporize%</t>
  </si>
  <si>
    <t>Shatter%</t>
  </si>
  <si>
    <t>DEF Shred</t>
  </si>
  <si>
    <t>Anemo RES%</t>
  </si>
  <si>
    <t>Phys RES%</t>
  </si>
  <si>
    <t>Geo RES%</t>
  </si>
  <si>
    <t>Pyro RES%</t>
  </si>
  <si>
    <t>Cryo RES%</t>
  </si>
  <si>
    <t>Hydro RES%</t>
  </si>
  <si>
    <t>Electro RES%</t>
  </si>
  <si>
    <t>Optimization Settings</t>
  </si>
  <si>
    <t>ER Requirement</t>
  </si>
  <si>
    <t>Subs to Distribute</t>
  </si>
  <si>
    <t>Sub Values</t>
  </si>
  <si>
    <t>Flat Subs Per Stat</t>
  </si>
  <si>
    <t>EM Cap</t>
  </si>
  <si>
    <t>Substat Distribution</t>
  </si>
  <si>
    <t>Number of Subs</t>
  </si>
  <si>
    <t>Created by Ayzel</t>
  </si>
  <si>
    <t>Changelog:</t>
  </si>
  <si>
    <t>Added Full Dark Mode</t>
  </si>
  <si>
    <t>Added Motion Value Database/Lookup</t>
  </si>
  <si>
    <t>Revamped Calculation System</t>
  </si>
  <si>
    <t>Version 2.0 - 10/30/2021</t>
  </si>
  <si>
    <t>Discord Tag:</t>
  </si>
  <si>
    <t>Ayzel#7399</t>
  </si>
  <si>
    <t>Contact Information</t>
  </si>
  <si>
    <t>Added Burst/Skill Specific Buffs</t>
  </si>
  <si>
    <t>Added Skill Echo Damage Type</t>
  </si>
  <si>
    <t>Final Damage</t>
  </si>
  <si>
    <t>Damage</t>
  </si>
  <si>
    <t>Attack Name</t>
  </si>
  <si>
    <t>Occurances</t>
  </si>
  <si>
    <t>Added Team Damage Calc Capability</t>
  </si>
  <si>
    <t>Character</t>
  </si>
  <si>
    <t>Scaling Stat</t>
  </si>
  <si>
    <t>ATK</t>
  </si>
  <si>
    <t>Transient Blossom DMG</t>
  </si>
  <si>
    <t>Skill Placement DMG</t>
  </si>
  <si>
    <t>DEF</t>
  </si>
  <si>
    <t>Elemental Burst DMG</t>
  </si>
  <si>
    <t>Fatal Blossom DMG</t>
  </si>
  <si>
    <t>Aimed Shot</t>
  </si>
  <si>
    <t>Fully-Charged Aimed Shot</t>
  </si>
  <si>
    <t>Low Plunge DMG</t>
  </si>
  <si>
    <t>High Plunge DMG</t>
  </si>
  <si>
    <t>Amber</t>
  </si>
  <si>
    <t>Fiery Rain DMG Per Wave</t>
  </si>
  <si>
    <t>Total Fiery Rain DMG</t>
  </si>
  <si>
    <t>Charged Attack Hit 1 DMG</t>
  </si>
  <si>
    <t>Charged Attack Hit 2 DMG</t>
  </si>
  <si>
    <t>Initial Cutting DMG</t>
  </si>
  <si>
    <t>Max Cutting DMG</t>
  </si>
  <si>
    <t>Initial Storm DMG</t>
  </si>
  <si>
    <t>Max Storm DMG</t>
  </si>
  <si>
    <t>Initial Cutting Infused DMG</t>
  </si>
  <si>
    <t>Max Cutting Infused DMG</t>
  </si>
  <si>
    <t>Initial Storm Infused DMG</t>
  </si>
  <si>
    <t>Max Storm Infused DMG</t>
  </si>
  <si>
    <t>Current Known Issues:</t>
  </si>
  <si>
    <t>Tornado DMG</t>
  </si>
  <si>
    <t>Additional Elemental DMG</t>
  </si>
  <si>
    <t>Barbara</t>
  </si>
  <si>
    <t>Collision Plunge DMG</t>
  </si>
  <si>
    <t>Droplet DMG</t>
  </si>
  <si>
    <t>Charged Attack Spinning DMG</t>
  </si>
  <si>
    <t>Charged Attack Final DMG</t>
  </si>
  <si>
    <t>Beidou</t>
  </si>
  <si>
    <t>Skill Base DMG</t>
  </si>
  <si>
    <t>Level 1 Counter DMG</t>
  </si>
  <si>
    <t>Level 2 Counter DMG</t>
  </si>
  <si>
    <t>Burst Initial Hit DMG</t>
  </si>
  <si>
    <t>Lightning DMG</t>
  </si>
  <si>
    <t>Bennett</t>
  </si>
  <si>
    <t>Press DMG</t>
  </si>
  <si>
    <t>Charge Level 1 Hit 1 DMG</t>
  </si>
  <si>
    <t>C4 Charge Level 1 DMG</t>
  </si>
  <si>
    <t>Charge Level 1 Hit 2 DMG</t>
  </si>
  <si>
    <t>Charge Level 2 Hit 2 DMG</t>
  </si>
  <si>
    <t>Charge Level 2 Hit 1 DMG</t>
  </si>
  <si>
    <t>Charge Level 2 Hit 3 DMG</t>
  </si>
  <si>
    <t>Burst DMG</t>
  </si>
  <si>
    <t>Chongyun</t>
  </si>
  <si>
    <t>Burst Blade Damage (Per Blade)</t>
  </si>
  <si>
    <t>Diluc</t>
  </si>
  <si>
    <t>Skill 1-Hit DMG</t>
  </si>
  <si>
    <t>Skill Second Hit DMG</t>
  </si>
  <si>
    <t>Skill First Hit DMG</t>
  </si>
  <si>
    <t>Skill Third Hit DMG</t>
  </si>
  <si>
    <t>Slashing DMG</t>
  </si>
  <si>
    <t>DoT</t>
  </si>
  <si>
    <t>Burst Slashing DMG</t>
  </si>
  <si>
    <t>Burst DoT</t>
  </si>
  <si>
    <t>Burst Explosion DMG</t>
  </si>
  <si>
    <t>Diona</t>
  </si>
  <si>
    <t>Character 1 Info</t>
  </si>
  <si>
    <t>Icy Paw DMG (Per Paw)</t>
  </si>
  <si>
    <t>Burst Field DMG</t>
  </si>
  <si>
    <t>Skill DMG Per Amulet</t>
  </si>
  <si>
    <t>Burst Falling Thunder DMG</t>
  </si>
  <si>
    <t>Eula</t>
  </si>
  <si>
    <t>3-Hit Hit 1 DMG</t>
  </si>
  <si>
    <t>3-Hit Hit 2 DMG</t>
  </si>
  <si>
    <t>5-Hit Hit 1 DMG</t>
  </si>
  <si>
    <t>5-Hit Hit 2 DMG</t>
  </si>
  <si>
    <t>4-Hit DMG (Per Hit, 3 Hits)</t>
  </si>
  <si>
    <t>Charged Attack DMG (Per Hit, 3 Hits)</t>
  </si>
  <si>
    <t>5-Hit DMG (Per Hit, 2 Hits)</t>
  </si>
  <si>
    <t>3-Hit Hit DMG (Per Hit, 2 Hits)</t>
  </si>
  <si>
    <t>Skill Press DMG</t>
  </si>
  <si>
    <t>Icewhirl Brand DMG</t>
  </si>
  <si>
    <t>Skill Hold DMG</t>
  </si>
  <si>
    <t>Lightfall Sword Base DMG</t>
  </si>
  <si>
    <t>Lightfall Sword DMG Per Stack</t>
  </si>
  <si>
    <t>Lightfall Sword Remnant DMG</t>
  </si>
  <si>
    <t>Fischl</t>
  </si>
  <si>
    <t>Summoning DMG</t>
  </si>
  <si>
    <t>Oz ATK DMG</t>
  </si>
  <si>
    <t>C1 Joint Attack</t>
  </si>
  <si>
    <t>C2 Additional Summon DMG</t>
  </si>
  <si>
    <t>C4 Additional Burst Damage</t>
  </si>
  <si>
    <t>C6 Joint Attack</t>
  </si>
  <si>
    <t>Thundering Retribution (A1)</t>
  </si>
  <si>
    <t>Undone Be Thy Sinful Hex (A4)</t>
  </si>
  <si>
    <t>Ganyu</t>
  </si>
  <si>
    <t>6-Hit DMG</t>
  </si>
  <si>
    <t>Aimed Shot Charge Level 1</t>
  </si>
  <si>
    <t>Frostflake Arrow DMG</t>
  </si>
  <si>
    <t>Frostflake Arrow Bloom DMG</t>
  </si>
  <si>
    <t>Burst Ice Shard DMG</t>
  </si>
  <si>
    <t>Burst DMG Per Shockwave</t>
  </si>
  <si>
    <t>Blood Blossom DMG</t>
  </si>
  <si>
    <t>Low HP Burst DMG</t>
  </si>
  <si>
    <t>Blood Blossom C2 Additional DMG</t>
  </si>
  <si>
    <t>HP</t>
  </si>
  <si>
    <t>Frenzied Rockslide DMG (A4)</t>
  </si>
  <si>
    <t>Jean</t>
  </si>
  <si>
    <t>Field Entering/Exiting DMG</t>
  </si>
  <si>
    <t>Kaeya</t>
  </si>
  <si>
    <t>Burst DMG Per Tick</t>
  </si>
  <si>
    <t>Kazuha</t>
  </si>
  <si>
    <t>5-Hit DMG (Per Hit, 3 Hits)</t>
  </si>
  <si>
    <t>Press Skill DMG</t>
  </si>
  <si>
    <t>Hold Skill DMG</t>
  </si>
  <si>
    <t>Additional Elemental DoT</t>
  </si>
  <si>
    <t>Revamped Character Page Design</t>
  </si>
  <si>
    <t>Soumon Swordsmanship (A1)</t>
  </si>
  <si>
    <t>Keqing</t>
  </si>
  <si>
    <t>4-Hit Hit 1 DMG</t>
  </si>
  <si>
    <t>4-Hit Hit 2 DMG</t>
  </si>
  <si>
    <t>Lightning Stiletto DMG</t>
  </si>
  <si>
    <t>Thunderclap Slash DMG (Per Slash, 2 Slashes)</t>
  </si>
  <si>
    <t>Skill Re-cast DMG</t>
  </si>
  <si>
    <t>Burst Initial Slash DMG</t>
  </si>
  <si>
    <t>Burst Consecutive Slash DMG (Per Slash, 8 Slashes)</t>
  </si>
  <si>
    <t>Burst Final Slash DMG</t>
  </si>
  <si>
    <t>Thundering Might (C1)</t>
  </si>
  <si>
    <t>None</t>
  </si>
  <si>
    <t>Klee</t>
  </si>
  <si>
    <t>Jumpy Dumpty Bounce DMG</t>
  </si>
  <si>
    <t>Jumpy Dumpty Mine DMG</t>
  </si>
  <si>
    <t>Burst Tick DMG (Per Tick, 22.8 Ticks Total)</t>
  </si>
  <si>
    <t>Chained Reactions (C1)</t>
  </si>
  <si>
    <t>Sparkly Explosion (C4)</t>
  </si>
  <si>
    <t>Skill Ripple DMG</t>
  </si>
  <si>
    <t>Kokomi</t>
  </si>
  <si>
    <t>Lisa</t>
  </si>
  <si>
    <t>Non-Conductive Hold DMG</t>
  </si>
  <si>
    <t>Stack 1 Conductive Hold DMG</t>
  </si>
  <si>
    <t>Stack 2 Conductive Hold DMG</t>
  </si>
  <si>
    <t>Stack 3 Conductive Hold DMG</t>
  </si>
  <si>
    <t>Burst Discharge DMG</t>
  </si>
  <si>
    <t>Mona</t>
  </si>
  <si>
    <t>Skill DoT</t>
  </si>
  <si>
    <t>Skill Explosion DMG</t>
  </si>
  <si>
    <t>Illusory Bubble Explosion DMG</t>
  </si>
  <si>
    <t>Normal Attack DMG</t>
  </si>
  <si>
    <t>DMG per Star Jade</t>
  </si>
  <si>
    <t>Ningguang</t>
  </si>
  <si>
    <t>Burst DMG Per Gem</t>
  </si>
  <si>
    <t>Noelle</t>
  </si>
  <si>
    <t>Burst Swing 1 DMG</t>
  </si>
  <si>
    <t>Burst Swing 2 DMG</t>
  </si>
  <si>
    <t>Breastplate Expiration DMG</t>
  </si>
  <si>
    <t>Qiqi</t>
  </si>
  <si>
    <t>4-Hit DMG (Per Hit, 2 Hits)</t>
  </si>
  <si>
    <t>3-Hit DMG (Per Hit, 2 Hits)</t>
  </si>
  <si>
    <t>Charged Attack DMG (Per Hit, 2 Hits)</t>
  </si>
  <si>
    <t>Skill Tick DMG</t>
  </si>
  <si>
    <t>Skill Initial Hit DMG</t>
  </si>
  <si>
    <t>Razor</t>
  </si>
  <si>
    <t>Soul Companion DMG</t>
  </si>
  <si>
    <t>Raiden</t>
  </si>
  <si>
    <t>Coordinated ATK DMG</t>
  </si>
  <si>
    <t>Musou no Hitotachi Base DMG</t>
  </si>
  <si>
    <t>Initial Hit Resolve Bonus Per Stack</t>
  </si>
  <si>
    <t>Normal ATK Resolve Bonus Per Stack</t>
  </si>
  <si>
    <t>Musou Isshin 1-Hit DMG</t>
  </si>
  <si>
    <t>Musou Isshin 2-Hit DMG</t>
  </si>
  <si>
    <t>Musou Isshin 3-Hit DMG</t>
  </si>
  <si>
    <t>Musou Isshin 5-Hit DMG</t>
  </si>
  <si>
    <t>Musou Isshin Low Plunge DMG</t>
  </si>
  <si>
    <t>Musou Isshin High Plunge DMG</t>
  </si>
  <si>
    <t>Musou Isshin Collision Plunge DMG</t>
  </si>
  <si>
    <t>Musou Isshin Charged Attack Hit 1 DMG</t>
  </si>
  <si>
    <t>Musou Isshin Charged Attack Hit 2 DMG</t>
  </si>
  <si>
    <t>Musou Isshin 4-Hit Hit 2 DMG</t>
  </si>
  <si>
    <t>Musou Isshin 4-Hit Hit 1 DMG</t>
  </si>
  <si>
    <t>Rosaria</t>
  </si>
  <si>
    <t>Skill Hit 1 DMG</t>
  </si>
  <si>
    <t>Skil Hit 2 DMG</t>
  </si>
  <si>
    <t>Burst Hit 1 DMG</t>
  </si>
  <si>
    <t>Burst Hit 2 DMG</t>
  </si>
  <si>
    <t>Ice Lance DoT</t>
  </si>
  <si>
    <t>Sara</t>
  </si>
  <si>
    <t>Tengu Juurai: Ambush DMG</t>
  </si>
  <si>
    <t>Tengu Juurai: Titanbreaker DMG</t>
  </si>
  <si>
    <t>Tengu Juurai: Stormcluster DMG</t>
  </si>
  <si>
    <t>Dark Wings (C2)</t>
  </si>
  <si>
    <t>Sayu</t>
  </si>
  <si>
    <t>Fuufuu Windwheel DMG</t>
  </si>
  <si>
    <t>Fuufuu Whirlwind Kick Hold DMG</t>
  </si>
  <si>
    <t>Fuufuu Whirlwind Kick Elemental DMG</t>
  </si>
  <si>
    <t>Fuufuu Whirlwind Kick Press DMG</t>
  </si>
  <si>
    <t>Fuufuu Whirlwind Roll Elemental DMG</t>
  </si>
  <si>
    <t>Burst Activation DMG</t>
  </si>
  <si>
    <t>Muji-Muji Daruma DMG</t>
  </si>
  <si>
    <t>Sucrose</t>
  </si>
  <si>
    <t>Riptide Burst DMG</t>
  </si>
  <si>
    <t>Childe</t>
  </si>
  <si>
    <t>Riptide Flash DMG (Per Hit, 3 Hits)</t>
  </si>
  <si>
    <t>Stance Change DMG</t>
  </si>
  <si>
    <t>Skill 2-Hit DMG</t>
  </si>
  <si>
    <t>Skill 3-Hit DMG</t>
  </si>
  <si>
    <t>Skill 4-Hit DMG</t>
  </si>
  <si>
    <t>Skill 5-Hit DMG</t>
  </si>
  <si>
    <t>Skill 6-Hit Hit 1 DMG</t>
  </si>
  <si>
    <t>Skill 6-Hit Hit 2 DMG</t>
  </si>
  <si>
    <t>Skill Charged Attack Hit 1 DMG</t>
  </si>
  <si>
    <t>Skill Charged Attack Hit 2 DMG</t>
  </si>
  <si>
    <t>Riptide Slash</t>
  </si>
  <si>
    <t>Riptide Blast DMG</t>
  </si>
  <si>
    <t>Burst DMG: Melee</t>
  </si>
  <si>
    <t>Burst DMG: Ranged</t>
  </si>
  <si>
    <t>Venti</t>
  </si>
  <si>
    <t>1-Hit Hit 1 DMG</t>
  </si>
  <si>
    <t>1-Hit Hit 2 DMG</t>
  </si>
  <si>
    <t>Burst Additional Elemental DMG</t>
  </si>
  <si>
    <t>Xiangling</t>
  </si>
  <si>
    <t>4-Hit DMG (Per Hit, 4 Hits)</t>
  </si>
  <si>
    <t>Guoba DMG</t>
  </si>
  <si>
    <t>Pyronado DMG</t>
  </si>
  <si>
    <t>Burst 1-Hit Swing DMG</t>
  </si>
  <si>
    <t>Burst 2-Hit Swing DMG</t>
  </si>
  <si>
    <t>Burst 3-Hit Swing DMG</t>
  </si>
  <si>
    <t>Xiao</t>
  </si>
  <si>
    <t>1-Hit DMG (Per Hit, 2 Hits)</t>
  </si>
  <si>
    <t>Xingqiu</t>
  </si>
  <si>
    <t>Skill Hit 2 DMG</t>
  </si>
  <si>
    <t>Sword Rain DMG</t>
  </si>
  <si>
    <t>Xinyan</t>
  </si>
  <si>
    <t>Skill Swing DMG</t>
  </si>
  <si>
    <t>Burst Pyro DoT DMG</t>
  </si>
  <si>
    <t>Rockin' in a Flaming World (C6)</t>
  </si>
  <si>
    <t>Yanfei</t>
  </si>
  <si>
    <t>Charged Attack 0 Stacks</t>
  </si>
  <si>
    <t>Charged Attack 1 Stack</t>
  </si>
  <si>
    <t>Charged Attack 2 Stacks</t>
  </si>
  <si>
    <t>Charged Attack 3 Stacks</t>
  </si>
  <si>
    <t>Charged Attack 4 Stacks</t>
  </si>
  <si>
    <t>Blazing Eye (A4)</t>
  </si>
  <si>
    <t>Yoimiya</t>
  </si>
  <si>
    <t>Kindling Arrow DMG</t>
  </si>
  <si>
    <t>Aurous Blaze Explosion DMG</t>
  </si>
  <si>
    <t>Zhongli</t>
  </si>
  <si>
    <t>5-Hit DMG (Per Hit, 4 Hits)</t>
  </si>
  <si>
    <t>Stone Stele DMG</t>
  </si>
  <si>
    <t>Resonance DMG</t>
  </si>
  <si>
    <t>Dominance of Earth Normal Bonus</t>
  </si>
  <si>
    <t>Dominance of Earth Charged Bonus</t>
  </si>
  <si>
    <t>Dominance of Earth Plunge Bonus</t>
  </si>
  <si>
    <t>Skill DMG Bonus</t>
  </si>
  <si>
    <t>Burst DMG Bonus</t>
  </si>
  <si>
    <t>Characters:</t>
  </si>
  <si>
    <t>C6 1-Hit DMG</t>
  </si>
  <si>
    <t>C6 2-Hit DMG</t>
  </si>
  <si>
    <t>C6 3-Hit DMG</t>
  </si>
  <si>
    <t>C6 4-Hit DMG</t>
  </si>
  <si>
    <t>C6 5-Hit DMG</t>
  </si>
  <si>
    <t>Things to Note</t>
  </si>
  <si>
    <t>Hu Tao's name must be entered as "HuTao". (May be changed in a future patch.)</t>
  </si>
  <si>
    <r>
      <t xml:space="preserve">Attacks which have a </t>
    </r>
    <r>
      <rPr>
        <i/>
        <sz val="11"/>
        <color theme="0"/>
        <rFont val="Calibri"/>
        <family val="2"/>
        <scheme val="minor"/>
      </rPr>
      <t xml:space="preserve">separate </t>
    </r>
    <r>
      <rPr>
        <sz val="11"/>
        <color theme="0"/>
        <rFont val="Calibri"/>
        <family val="2"/>
        <scheme val="minor"/>
      </rPr>
      <t xml:space="preserve">MV value attached to them, such as Zhongli (from A4) are given </t>
    </r>
    <r>
      <rPr>
        <i/>
        <sz val="11"/>
        <color theme="0"/>
        <rFont val="Calibri"/>
        <family val="2"/>
        <scheme val="minor"/>
      </rPr>
      <t xml:space="preserve">separate </t>
    </r>
    <r>
      <rPr>
        <sz val="11"/>
        <color theme="0"/>
        <rFont val="Calibri"/>
        <family val="2"/>
        <scheme val="minor"/>
      </rPr>
      <t>attacks for those bonuses only, for my sanity. For example, adding Zhongli's burst as an attack in the rotation assembler requires adding both the base damage from the burst and adding the separate A4 bonus damage as another attack.</t>
    </r>
  </si>
  <si>
    <t>Credits</t>
  </si>
  <si>
    <t>Thanks to srl for feedback on version 1 of this sheet.</t>
  </si>
  <si>
    <t>Thanks to Zanto for inspiration.</t>
  </si>
  <si>
    <t>Stacks (Raiden Only)</t>
  </si>
  <si>
    <t>Superconduct</t>
  </si>
  <si>
    <t>Overload</t>
  </si>
  <si>
    <t>Pyro Swirl</t>
  </si>
  <si>
    <t>Shatter</t>
  </si>
  <si>
    <t>Electrocharged</t>
  </si>
  <si>
    <t>Cryo Swirl</t>
  </si>
  <si>
    <t>Hydro Swirl</t>
  </si>
  <si>
    <t>Transformative</t>
  </si>
  <si>
    <t>Electro Swirl</t>
  </si>
  <si>
    <t>Multiplier</t>
  </si>
  <si>
    <t>The MCs have names stored as "AMC", "GMC", and "EMC". (Other names may be added in the future.)</t>
  </si>
  <si>
    <t>Raiden's Resolve Bonus needs to be entered in the same manner as bonus MV; simply change the values in the "Stacks" row to the requisite amount of resolve stacks. (Unhide Row 7 to see stacks row. Unhide rows by highlighting cells in the rows around it and pressing ALT-H-O-U-O.)</t>
  </si>
  <si>
    <t>Stat</t>
  </si>
  <si>
    <t>Artifact Mainstats</t>
  </si>
  <si>
    <t>Character Base</t>
  </si>
  <si>
    <t>Weapon Bonus</t>
  </si>
  <si>
    <t>Set Bonus Stats</t>
  </si>
  <si>
    <t>Artifact Substats</t>
  </si>
  <si>
    <t>Total</t>
  </si>
  <si>
    <t>Stat Block - Character 1</t>
  </si>
  <si>
    <t>Base HP</t>
  </si>
  <si>
    <t>Base ATK</t>
  </si>
  <si>
    <t>Base DEF</t>
  </si>
  <si>
    <t>CR%</t>
  </si>
  <si>
    <t>CDMG%</t>
  </si>
  <si>
    <t>20+</t>
  </si>
  <si>
    <t>40+</t>
  </si>
  <si>
    <t>50+</t>
  </si>
  <si>
    <t>60+</t>
  </si>
  <si>
    <t>70+</t>
  </si>
  <si>
    <t>80+</t>
  </si>
  <si>
    <t>Lookup Stuff</t>
  </si>
  <si>
    <t>Character Level</t>
  </si>
  <si>
    <t>Character Levels</t>
  </si>
  <si>
    <t>Burst CR%</t>
  </si>
  <si>
    <t>Skill CR%</t>
  </si>
  <si>
    <t>Skill CDMG%</t>
  </si>
  <si>
    <t>Healing Bonus%</t>
  </si>
  <si>
    <t xml:space="preserve"> </t>
  </si>
  <si>
    <t>Amping Reaction</t>
  </si>
  <si>
    <t>GMC</t>
  </si>
  <si>
    <t>AMC</t>
  </si>
  <si>
    <t>EMC</t>
  </si>
  <si>
    <t>Aloy</t>
  </si>
  <si>
    <t>Itto</t>
  </si>
  <si>
    <t>KQMC</t>
  </si>
  <si>
    <t>Perfect</t>
  </si>
  <si>
    <t>Average</t>
  </si>
  <si>
    <t>Burst CDMG%</t>
  </si>
  <si>
    <t>Possible Mainstats</t>
  </si>
  <si>
    <t>Goblet</t>
  </si>
  <si>
    <t>Sands</t>
  </si>
  <si>
    <t>Circlet</t>
  </si>
  <si>
    <t>Implemented Rarities and Level Constraints</t>
  </si>
  <si>
    <t>Physical DMG%</t>
  </si>
  <si>
    <t>Elemental Mastery</t>
  </si>
  <si>
    <t>Energy Recharge%</t>
  </si>
  <si>
    <t>Crit Rate%</t>
  </si>
  <si>
    <t>Crit DMG%</t>
  </si>
  <si>
    <t>CRIT Rate%</t>
  </si>
  <si>
    <t>CRIT DMG%</t>
  </si>
  <si>
    <t>Levels Matching Table</t>
  </si>
  <si>
    <t>oneStarArtiLevels</t>
  </si>
  <si>
    <t>twoStarArtiLevels</t>
  </si>
  <si>
    <t>threeStarArtiLevels</t>
  </si>
  <si>
    <t>fourStarArtiLevels</t>
  </si>
  <si>
    <t>fiveStarArtiLevels</t>
  </si>
  <si>
    <t>Healing Received%</t>
  </si>
  <si>
    <t>Shield Strength%</t>
  </si>
  <si>
    <t>Anemo Res%</t>
  </si>
  <si>
    <t>Geo Res%</t>
  </si>
  <si>
    <t>Pyro Res%</t>
  </si>
  <si>
    <t>Cryo Res%</t>
  </si>
  <si>
    <t>Hydro Res%</t>
  </si>
  <si>
    <t>Electro Res%</t>
  </si>
  <si>
    <t>Phys Res%</t>
  </si>
  <si>
    <t>Skyward Pride</t>
  </si>
  <si>
    <t>The Unforged</t>
  </si>
  <si>
    <t>Redhorn Stonethresher</t>
  </si>
  <si>
    <t>Wolf's Gravestone</t>
  </si>
  <si>
    <t>Song of Broken Pines</t>
  </si>
  <si>
    <t>Serpent Spine</t>
  </si>
  <si>
    <t>The Bell</t>
  </si>
  <si>
    <t>Royal Greatsword</t>
  </si>
  <si>
    <t>Whiteblind</t>
  </si>
  <si>
    <t>Favonius Greatsword</t>
  </si>
  <si>
    <t>Snow-Tombed Starsilver</t>
  </si>
  <si>
    <t>Rainslasher</t>
  </si>
  <si>
    <t>Lithic Blade</t>
  </si>
  <si>
    <t>Prototype Archaic</t>
  </si>
  <si>
    <t>Luxurious Sea-Lord</t>
  </si>
  <si>
    <t>Katsuragikiri Nagamasa</t>
  </si>
  <si>
    <t>Sacrificial Greatsword</t>
  </si>
  <si>
    <t>Akuoumaru</t>
  </si>
  <si>
    <t>Blackcliff Slasher</t>
  </si>
  <si>
    <t>Skyward Spine</t>
  </si>
  <si>
    <t>Engulfing Lightning</t>
  </si>
  <si>
    <t>Primordial Jade-Winged Spear</t>
  </si>
  <si>
    <t>Vortex Vanquisher</t>
  </si>
  <si>
    <t>Staff of Homa</t>
  </si>
  <si>
    <t>The Catch</t>
  </si>
  <si>
    <t>Kitain Cross-Spear</t>
  </si>
  <si>
    <t>Dragonspine Spear</t>
  </si>
  <si>
    <t>Favonius Lance</t>
  </si>
  <si>
    <t>Prototype Starglitter</t>
  </si>
  <si>
    <t>Lithic Spear</t>
  </si>
  <si>
    <t>Dragon's Bane</t>
  </si>
  <si>
    <t>Deathmatch</t>
  </si>
  <si>
    <t>Crescent Pike</t>
  </si>
  <si>
    <t>Blackcliff Pole</t>
  </si>
  <si>
    <t>White Tassel</t>
  </si>
  <si>
    <t>Black Tassel</t>
  </si>
  <si>
    <t>Jade Cutter</t>
  </si>
  <si>
    <t>Freedom Sworn</t>
  </si>
  <si>
    <t>Mistsplitter Reforged</t>
  </si>
  <si>
    <t>Summit Shaper</t>
  </si>
  <si>
    <t>Skyward Blade</t>
  </si>
  <si>
    <t>Aquila Favonia</t>
  </si>
  <si>
    <t>Festering Desire</t>
  </si>
  <si>
    <t>The Flute</t>
  </si>
  <si>
    <t>The Black Sword</t>
  </si>
  <si>
    <t>The Alley Flash</t>
  </si>
  <si>
    <t>Sacrificial Sword</t>
  </si>
  <si>
    <t>Royal Longsword</t>
  </si>
  <si>
    <t>Prototype Rancour</t>
  </si>
  <si>
    <t>Lion's Roar</t>
  </si>
  <si>
    <t>Iron Sting</t>
  </si>
  <si>
    <t>Favonius Sword</t>
  </si>
  <si>
    <t>Blackcliff Longsword</t>
  </si>
  <si>
    <t>Cinnabar Spindle</t>
  </si>
  <si>
    <t>Skyrider Sword</t>
  </si>
  <si>
    <t>Dark Iron Sword</t>
  </si>
  <si>
    <t>Harbinger of Dawn</t>
  </si>
  <si>
    <t>Memory of Dust</t>
  </si>
  <si>
    <t>Skyward Atlas</t>
  </si>
  <si>
    <t>Lost Prayers</t>
  </si>
  <si>
    <t>Everlasting Moonglow</t>
  </si>
  <si>
    <t>Frostbearer</t>
  </si>
  <si>
    <t>Eye of Perception</t>
  </si>
  <si>
    <t>Wine and Song</t>
  </si>
  <si>
    <t>The Widsith</t>
  </si>
  <si>
    <t>Solar Pearl</t>
  </si>
  <si>
    <t>Sacrificial Fragments</t>
  </si>
  <si>
    <t>Royal Grimore</t>
  </si>
  <si>
    <t>Prototype Amber</t>
  </si>
  <si>
    <t>Mappa Mare</t>
  </si>
  <si>
    <t>Favonius Codex</t>
  </si>
  <si>
    <t>Dodoco Tales</t>
  </si>
  <si>
    <t>Magic Guide</t>
  </si>
  <si>
    <t>Blackcliff Agate</t>
  </si>
  <si>
    <t>Hakushin Ring</t>
  </si>
  <si>
    <t>Thrilling Tales of Dragon Slayers</t>
  </si>
  <si>
    <t>Elegy for the End</t>
  </si>
  <si>
    <t>Polar Star</t>
  </si>
  <si>
    <t>Skyward Harp</t>
  </si>
  <si>
    <t>Amos Bow</t>
  </si>
  <si>
    <t>Rust</t>
  </si>
  <si>
    <t>Viridescent Hunt</t>
  </si>
  <si>
    <t>Compound Bow</t>
  </si>
  <si>
    <t>Blackcliff Warbow</t>
  </si>
  <si>
    <t>Prototype Crescent</t>
  </si>
  <si>
    <t>Favonius Warbow</t>
  </si>
  <si>
    <t>Windblume Ode</t>
  </si>
  <si>
    <t>Alley Hunter</t>
  </si>
  <si>
    <t>Sacrificial Bow</t>
  </si>
  <si>
    <t>The Stringless</t>
  </si>
  <si>
    <t>Royal Bow</t>
  </si>
  <si>
    <t>Mitternacht's Waltz</t>
  </si>
  <si>
    <t>Slingshot</t>
  </si>
  <si>
    <t>Thundering Pulse</t>
  </si>
  <si>
    <t>Upcoming Features:</t>
  </si>
  <si>
    <t>Character 1</t>
  </si>
  <si>
    <t>Arti Stats Matching Table</t>
  </si>
  <si>
    <t>oneStarArtiStats</t>
  </si>
  <si>
    <t>twoStarArtiStats</t>
  </si>
  <si>
    <t>threeStarArtiStats</t>
  </si>
  <si>
    <t>fourStarArtiStats</t>
  </si>
  <si>
    <t>fiveStarArtiStats</t>
  </si>
  <si>
    <t>Cons/Ascension Bonus (WIP)</t>
  </si>
  <si>
    <t>Artifacts</t>
  </si>
  <si>
    <t xml:space="preserve">2-piece Archaic Petra  </t>
  </si>
  <si>
    <t xml:space="preserve">2-piece Berserker   </t>
  </si>
  <si>
    <t xml:space="preserve">2-piece Bloodstained Chivalry  </t>
  </si>
  <si>
    <t xml:space="preserve">2-piece Brave Heart  </t>
  </si>
  <si>
    <t>2-piece Crimson Witch of Flames</t>
  </si>
  <si>
    <t xml:space="preserve">2-piece Defender's Will  </t>
  </si>
  <si>
    <t xml:space="preserve">2-piece Gambler   </t>
  </si>
  <si>
    <t xml:space="preserve">2-piece Gladiator's Finale  </t>
  </si>
  <si>
    <t xml:space="preserve">2-piece Instructor   </t>
  </si>
  <si>
    <t xml:space="preserve">2-piece Lavawalker   </t>
  </si>
  <si>
    <t xml:space="preserve">2-piece Maiden's Beloved  </t>
  </si>
  <si>
    <t xml:space="preserve">2-piece Martial Artist  </t>
  </si>
  <si>
    <t xml:space="preserve">2-piece Noblesse Oblige  </t>
  </si>
  <si>
    <t xml:space="preserve">2-piece Retracing Bolide  </t>
  </si>
  <si>
    <t xml:space="preserve">2-piece Thundering Fury  </t>
  </si>
  <si>
    <t xml:space="preserve">2-piece Thundersoother   </t>
  </si>
  <si>
    <t xml:space="preserve">2-piece Viridescent Venerer  </t>
  </si>
  <si>
    <t xml:space="preserve">2-piece Wanderer's Troupe  </t>
  </si>
  <si>
    <t xml:space="preserve">2-piece Blizzard Strayer  </t>
  </si>
  <si>
    <t xml:space="preserve">2-piece Heart of Depth </t>
  </si>
  <si>
    <t xml:space="preserve">2-piece Pale Flame  </t>
  </si>
  <si>
    <t>2-piece Tenacity of the Millelith</t>
  </si>
  <si>
    <t>2-piece Shimenawa's Reminiscence</t>
  </si>
  <si>
    <t>2-piece Emblem of Severed Fate</t>
  </si>
  <si>
    <t>2-piece Divine Chorus</t>
  </si>
  <si>
    <t>2-piece Husk of Opulent Dreams</t>
  </si>
  <si>
    <t xml:space="preserve">4-piece Archaic Petra  </t>
  </si>
  <si>
    <t xml:space="preserve">4-piece Berserker   </t>
  </si>
  <si>
    <t xml:space="preserve">4-piece Bloodstained Chivalry  </t>
  </si>
  <si>
    <t xml:space="preserve">4-piece Brave Heart  </t>
  </si>
  <si>
    <t>4-piece Crimson Witch of Flames</t>
  </si>
  <si>
    <t xml:space="preserve">4-piece Defender's Will  </t>
  </si>
  <si>
    <t xml:space="preserve">4-piece Gambler   </t>
  </si>
  <si>
    <t xml:space="preserve">4-piece Gladiator's Finale  </t>
  </si>
  <si>
    <t xml:space="preserve">4-piece Instructor   </t>
  </si>
  <si>
    <t xml:space="preserve">4-piece Lavawalker   </t>
  </si>
  <si>
    <t xml:space="preserve">4-piece Maiden's Beloved  </t>
  </si>
  <si>
    <t xml:space="preserve">4-piece Martial Artist  </t>
  </si>
  <si>
    <t xml:space="preserve">4-piece Noblesse Oblige  </t>
  </si>
  <si>
    <t xml:space="preserve">4-piece Retracing Bolide  </t>
  </si>
  <si>
    <t xml:space="preserve">4-piece Thundering Fury  </t>
  </si>
  <si>
    <t xml:space="preserve">4-piece Thundersoother   </t>
  </si>
  <si>
    <t xml:space="preserve">4-piece Viridescent Venerer  </t>
  </si>
  <si>
    <t xml:space="preserve">4-piece Wanderer's Troupe  </t>
  </si>
  <si>
    <t xml:space="preserve">4-piece Blizzard Strayer  </t>
  </si>
  <si>
    <t xml:space="preserve">4-piece Heart of Depth </t>
  </si>
  <si>
    <t xml:space="preserve">4-piece Pale Flame  </t>
  </si>
  <si>
    <t>4-piece Tenacity of the Millelith</t>
  </si>
  <si>
    <t>4-piece Shimenawa's Reminiscence</t>
  </si>
  <si>
    <t>4-piece Emblem of Severed Fate</t>
  </si>
  <si>
    <t>4-piece Divine Chorus</t>
  </si>
  <si>
    <t>4-piece Husk of Opulent Dreams</t>
  </si>
  <si>
    <t>Stat Block - Character 2</t>
  </si>
  <si>
    <t>Talent Level</t>
  </si>
  <si>
    <t>Stat Block - Character 3</t>
  </si>
  <si>
    <t>Stat Block - Character 4</t>
  </si>
  <si>
    <t>Transformative Rxn Mults</t>
  </si>
  <si>
    <t>Character Base ATK</t>
  </si>
  <si>
    <t>Character Number</t>
  </si>
  <si>
    <t>char1</t>
  </si>
  <si>
    <t>char2</t>
  </si>
  <si>
    <t>char3</t>
  </si>
  <si>
    <t>char4</t>
  </si>
  <si>
    <t>Intermediate Stats</t>
  </si>
  <si>
    <t>Weapon Base ATK</t>
  </si>
  <si>
    <t>Calc Information</t>
  </si>
  <si>
    <t>Character Base DEF</t>
  </si>
  <si>
    <t>Character Base HP</t>
  </si>
  <si>
    <t>Conditional Buffs (Per Attack)</t>
  </si>
  <si>
    <t>Final Stats, With Conditional Buffs</t>
  </si>
  <si>
    <t>Anemo Res Shred</t>
  </si>
  <si>
    <t>Geo Res Shred</t>
  </si>
  <si>
    <t>Pyro Res Shred</t>
  </si>
  <si>
    <t>Hydro Res Shred</t>
  </si>
  <si>
    <t>Cryo Res Shred</t>
  </si>
  <si>
    <t>Electro Res Shred</t>
  </si>
  <si>
    <t>Phys Res Shred</t>
  </si>
  <si>
    <t>Reaction Multiplier</t>
  </si>
  <si>
    <t>Level Transformative Multiplier</t>
  </si>
  <si>
    <t>Base</t>
  </si>
  <si>
    <t>Enemy Phys Res</t>
  </si>
  <si>
    <t>Enemy Anemo Res</t>
  </si>
  <si>
    <t>Enemy Geo Res</t>
  </si>
  <si>
    <t>Enemy Pyro Res</t>
  </si>
  <si>
    <t>Enemy Hydro Res</t>
  </si>
  <si>
    <t>Enemy Cryo Res</t>
  </si>
  <si>
    <t>Enemy Electro Res</t>
  </si>
  <si>
    <t>Dendro Res (WIP)</t>
  </si>
  <si>
    <t>Effective Phys Res</t>
  </si>
  <si>
    <t>Effective Anemo Res</t>
  </si>
  <si>
    <t>Effective Geo Res</t>
  </si>
  <si>
    <t>Effective Pyro Res</t>
  </si>
  <si>
    <t>Effective Hydro Res</t>
  </si>
  <si>
    <t>Effective Cryo Res</t>
  </si>
  <si>
    <t>Effective Electro Res</t>
  </si>
  <si>
    <t>Skill Echo DMG Type</t>
  </si>
  <si>
    <t>Burst Echo DMG Type</t>
  </si>
  <si>
    <t>Damage Types</t>
  </si>
  <si>
    <t>Element Adjustments</t>
  </si>
  <si>
    <t>Resistance by Attack</t>
  </si>
  <si>
    <t>DMG% By Attack</t>
  </si>
  <si>
    <t>Base DMG%</t>
  </si>
  <si>
    <t>Plunge DMG%</t>
  </si>
  <si>
    <t>Attack DMG Type Info</t>
  </si>
  <si>
    <t>Skill Echo Type</t>
  </si>
  <si>
    <t>Burst Echo Type</t>
  </si>
  <si>
    <t>Stats for Calcing</t>
  </si>
  <si>
    <t>Base Scaling (ATK/DEF/HP)</t>
  </si>
  <si>
    <t>DMG% Bonus</t>
  </si>
  <si>
    <t>Crit Multiplier</t>
  </si>
  <si>
    <t>Enemy Defense Mult</t>
  </si>
  <si>
    <t>Defense Multiplier</t>
  </si>
  <si>
    <t>Resistance Multiplier</t>
  </si>
  <si>
    <t>Amping Reaction Base Multiplier</t>
  </si>
  <si>
    <t>Amping Reaction Final Mult</t>
  </si>
  <si>
    <t>Amping Reactions</t>
  </si>
  <si>
    <t>Vape</t>
  </si>
  <si>
    <t>Melt</t>
  </si>
  <si>
    <t>Reverse Vape</t>
  </si>
  <si>
    <t>Reverse Melt</t>
  </si>
  <si>
    <t>Other Calculations</t>
  </si>
  <si>
    <t>Breakdown by Character</t>
  </si>
  <si>
    <t>Effective Resistances</t>
  </si>
  <si>
    <t>Talent Multiplier</t>
  </si>
  <si>
    <t>skill</t>
  </si>
  <si>
    <t>burst</t>
  </si>
  <si>
    <t>Pyro</t>
  </si>
  <si>
    <t>Enemy Info</t>
  </si>
  <si>
    <t>Weapon Proc Calcs</t>
  </si>
  <si>
    <t>Weapon Proc Damage Type</t>
  </si>
  <si>
    <t>Weapon Proc Scaling Stat</t>
  </si>
  <si>
    <t>Weapon Proc Talent%</t>
  </si>
  <si>
    <t>Vacuum Blades</t>
  </si>
  <si>
    <t>Redhorn Normal Proc</t>
  </si>
  <si>
    <t>STSS Proc, No Cryo</t>
  </si>
  <si>
    <t>Archaic Proc</t>
  </si>
  <si>
    <t>Tuna</t>
  </si>
  <si>
    <t>Vacuum Blade</t>
  </si>
  <si>
    <t>Frost Burial, No Cryo</t>
  </si>
  <si>
    <t>Infusion Needle</t>
  </si>
  <si>
    <t>Sky-Piercing Fang</t>
  </si>
  <si>
    <t>Falcon's Defiance</t>
  </si>
  <si>
    <t>Harmonic Proc</t>
  </si>
  <si>
    <t>Cinnabar Spindle Proc</t>
  </si>
  <si>
    <t>Wandering Clouds</t>
  </si>
  <si>
    <t>Byakuya Kougetsu</t>
  </si>
  <si>
    <t>Frost Burial No Cryo</t>
  </si>
  <si>
    <t>Bolt of Perception</t>
  </si>
  <si>
    <t>Echoing Ballad</t>
  </si>
  <si>
    <t>Cyclone</t>
  </si>
  <si>
    <t>Phys</t>
  </si>
  <si>
    <t>Redhorn Charged Proc</t>
  </si>
  <si>
    <t>STSS Proc, With Cryo</t>
  </si>
  <si>
    <t>Frost Burial, With Cryo</t>
  </si>
  <si>
    <t>Proc 1 Exists</t>
  </si>
  <si>
    <t>Proc 2 Exists</t>
  </si>
  <si>
    <t>Proc 3 Exists</t>
  </si>
  <si>
    <t>Proc 1 Name</t>
  </si>
  <si>
    <t>Proc 1 Damage Type</t>
  </si>
  <si>
    <t>Proc 1 Scaling Stat</t>
  </si>
  <si>
    <t>Proc 1 Talent%</t>
  </si>
  <si>
    <t>Proc 1 Element</t>
  </si>
  <si>
    <t>Proc 2 Name</t>
  </si>
  <si>
    <t>Proc 2 Damage Type</t>
  </si>
  <si>
    <t>Proc 2 Scaling Stat</t>
  </si>
  <si>
    <t>Proc 2 Talent%</t>
  </si>
  <si>
    <t>Proc 2 Element</t>
  </si>
  <si>
    <t>Proc 3 Name</t>
  </si>
  <si>
    <t>Proc 3 Damage Type</t>
  </si>
  <si>
    <t>Proc 3 Scaling Stat</t>
  </si>
  <si>
    <t>Proc 3 Talent%</t>
  </si>
  <si>
    <t>Proc 3 Element</t>
  </si>
  <si>
    <t>Character 2</t>
  </si>
  <si>
    <t>Character 4</t>
  </si>
  <si>
    <t>Character 3</t>
  </si>
  <si>
    <t>Character 2 Info</t>
  </si>
  <si>
    <t>Character 3 Info</t>
  </si>
  <si>
    <t>Character 4 Info</t>
  </si>
  <si>
    <t>Final Info</t>
  </si>
  <si>
    <t>Final ATK</t>
  </si>
  <si>
    <t>Final DEF</t>
  </si>
  <si>
    <t>Final HP</t>
  </si>
  <si>
    <t>Character List</t>
  </si>
  <si>
    <t>HuTao</t>
  </si>
  <si>
    <t>Thoma</t>
  </si>
  <si>
    <t>Element</t>
  </si>
  <si>
    <t>Geo</t>
  </si>
  <si>
    <t>Cryo</t>
  </si>
  <si>
    <t>Hydro</t>
  </si>
  <si>
    <t>Electro</t>
  </si>
  <si>
    <t>Anemo</t>
  </si>
  <si>
    <t>Char 2 Element</t>
  </si>
  <si>
    <t>Char 1 Element</t>
  </si>
  <si>
    <t>Char 3 Element</t>
  </si>
  <si>
    <t>Char 4 Element</t>
  </si>
  <si>
    <t>Normal Attack Bonus (From Burst)</t>
  </si>
  <si>
    <t>Charged Attack Bonus (From Burst)</t>
  </si>
  <si>
    <t>Skill Bonus (From Burst)</t>
  </si>
  <si>
    <t>Weapon Proc</t>
  </si>
  <si>
    <t>Select an Attack</t>
  </si>
  <si>
    <t>Weapon Proc Selection</t>
  </si>
  <si>
    <t>Weapon Proc Information</t>
  </si>
  <si>
    <t>Name 1</t>
  </si>
  <si>
    <t>Name 2</t>
  </si>
  <si>
    <t>Name 3</t>
  </si>
  <si>
    <t>WeapProcs</t>
  </si>
  <si>
    <t>Weapon Proc Element</t>
  </si>
  <si>
    <t>Talent%</t>
  </si>
  <si>
    <t>Amping Reaction Final Multiplier</t>
  </si>
  <si>
    <t>Amping Reaction Bonus</t>
  </si>
  <si>
    <t>Weapon Proc Damage</t>
  </si>
  <si>
    <t>Character Final Stats</t>
  </si>
  <si>
    <t>Final ER</t>
  </si>
  <si>
    <t>Final EM</t>
  </si>
  <si>
    <t>Final CR</t>
  </si>
  <si>
    <t>Final CDMG</t>
  </si>
  <si>
    <t>Percentage of Total</t>
  </si>
  <si>
    <t>Final Stats per Character</t>
  </si>
  <si>
    <t>Flower</t>
  </si>
  <si>
    <t>Feather</t>
  </si>
  <si>
    <t>Value</t>
  </si>
  <si>
    <t>5 Star</t>
  </si>
  <si>
    <t>4 Star</t>
  </si>
  <si>
    <t>3 Star</t>
  </si>
  <si>
    <t>2 Star</t>
  </si>
  <si>
    <t>1 Star</t>
  </si>
  <si>
    <t>5 star</t>
  </si>
  <si>
    <t>4 star</t>
  </si>
  <si>
    <t>3 star</t>
  </si>
  <si>
    <t>2 star</t>
  </si>
  <si>
    <t>1 star</t>
  </si>
  <si>
    <t>Start Row</t>
  </si>
  <si>
    <t>stats</t>
  </si>
  <si>
    <t>Artifact Max Levels</t>
  </si>
  <si>
    <t>Max Levels</t>
  </si>
  <si>
    <t>Echo Talents</t>
  </si>
  <si>
    <t>Echo Talent Damage Types</t>
  </si>
  <si>
    <t>Talent Levels</t>
  </si>
  <si>
    <t>Transformative Mults</t>
  </si>
  <si>
    <t>Version 2.1</t>
  </si>
  <si>
    <t>Optimized sheet by removing volatile functions</t>
  </si>
  <si>
    <t>weapon proc start rows</t>
  </si>
  <si>
    <t>Gorou</t>
  </si>
  <si>
    <t>Crystal Collapse DMG</t>
  </si>
  <si>
    <t>Arataki Kesagiri Combo Slash DMG</t>
  </si>
  <si>
    <t>Arataki Kesagiri Final Slash DMG</t>
  </si>
  <si>
    <t>Saichimonji Slash DMG</t>
  </si>
  <si>
    <t>Bloodline of the Crimson Oni</t>
  </si>
  <si>
    <t>Skill DEF Bonus</t>
  </si>
  <si>
    <t>Thanks to Arte, Nep, xf3, tenten, Sitri, and more for being great friends and giving me a reason to stick with Genshin TC.</t>
  </si>
  <si>
    <t>MV Lookup Tools</t>
  </si>
  <si>
    <t>Ayaka-Start</t>
  </si>
  <si>
    <t>Ayaka-End</t>
  </si>
  <si>
    <t>Albedo-Start</t>
  </si>
  <si>
    <t>Albedo-End</t>
  </si>
  <si>
    <t>Amber-Start</t>
  </si>
  <si>
    <t>Amber-End</t>
  </si>
  <si>
    <t>AMC-Start</t>
  </si>
  <si>
    <t>AMC-End</t>
  </si>
  <si>
    <t>Barbara-Start</t>
  </si>
  <si>
    <t>Barbara-End</t>
  </si>
  <si>
    <t>Beidou-Start</t>
  </si>
  <si>
    <t>Beidou-End</t>
  </si>
  <si>
    <t>Bennett-Start</t>
  </si>
  <si>
    <t>Bennett-End</t>
  </si>
  <si>
    <t>Chongyun-Start</t>
  </si>
  <si>
    <t>Chongyun-End</t>
  </si>
  <si>
    <t>Diluc-Start</t>
  </si>
  <si>
    <t>Diluc-End</t>
  </si>
  <si>
    <t>Diona-Start</t>
  </si>
  <si>
    <t>Diona-End</t>
  </si>
  <si>
    <t>EMC-Start</t>
  </si>
  <si>
    <t>EMC-End</t>
  </si>
  <si>
    <t>Eula-Start</t>
  </si>
  <si>
    <t>Eula-End</t>
  </si>
  <si>
    <t>Fischl-Start</t>
  </si>
  <si>
    <t>Fischl-End</t>
  </si>
  <si>
    <t>Ganyu-Start</t>
  </si>
  <si>
    <t>Ganyu-End</t>
  </si>
  <si>
    <t>GMC-Start</t>
  </si>
  <si>
    <t>GMC-End</t>
  </si>
  <si>
    <t>Gorou-Start</t>
  </si>
  <si>
    <t>Gorou-End</t>
  </si>
  <si>
    <t>HuTao-Start</t>
  </si>
  <si>
    <t>HuTao-End</t>
  </si>
  <si>
    <t>Itto-Start</t>
  </si>
  <si>
    <t>Itto-End</t>
  </si>
  <si>
    <t>Jean-Start</t>
  </si>
  <si>
    <t>Jean-End</t>
  </si>
  <si>
    <t>Kaeya-Start</t>
  </si>
  <si>
    <t>Kaeya-End</t>
  </si>
  <si>
    <t>Kazuha-Start</t>
  </si>
  <si>
    <t>Kazuha-End</t>
  </si>
  <si>
    <t>Keqing-Start</t>
  </si>
  <si>
    <t>Keqing-End</t>
  </si>
  <si>
    <t>Klee-Start</t>
  </si>
  <si>
    <t>Klee-End</t>
  </si>
  <si>
    <t>Kokomi-Start</t>
  </si>
  <si>
    <t>Kokomi-End</t>
  </si>
  <si>
    <t>Lisa-Start</t>
  </si>
  <si>
    <t>Lisa-End</t>
  </si>
  <si>
    <t>Mona-Start</t>
  </si>
  <si>
    <t>Mona-End</t>
  </si>
  <si>
    <t>Ningguang-Start</t>
  </si>
  <si>
    <t>Ningguang-End</t>
  </si>
  <si>
    <t>Noelle-Start</t>
  </si>
  <si>
    <t>Noelle-End</t>
  </si>
  <si>
    <t>Qiqi-Start</t>
  </si>
  <si>
    <t>Qiqi-End</t>
  </si>
  <si>
    <t>Razor-Start</t>
  </si>
  <si>
    <t>Razor-End</t>
  </si>
  <si>
    <t>Raiden-Start</t>
  </si>
  <si>
    <t>Raiden-End</t>
  </si>
  <si>
    <t>Rosaria-Start</t>
  </si>
  <si>
    <t>Sara-Start</t>
  </si>
  <si>
    <t>Sayu-End</t>
  </si>
  <si>
    <t>Sara-End</t>
  </si>
  <si>
    <t>Sayu-Start</t>
  </si>
  <si>
    <t>Sucrose-Start</t>
  </si>
  <si>
    <t>Sucrose-End</t>
  </si>
  <si>
    <t>Childe-Start</t>
  </si>
  <si>
    <t>Childe-End</t>
  </si>
  <si>
    <t>Venti-Start</t>
  </si>
  <si>
    <t>Venti-End</t>
  </si>
  <si>
    <t>Xiangling-Start</t>
  </si>
  <si>
    <t>Xiangling-End</t>
  </si>
  <si>
    <t>Xiao-Start</t>
  </si>
  <si>
    <t>Xiao-End</t>
  </si>
  <si>
    <t>Xingqiu-Start</t>
  </si>
  <si>
    <t>Xingqiu-End</t>
  </si>
  <si>
    <t>Xinyan-Start</t>
  </si>
  <si>
    <t>Xinyan-End</t>
  </si>
  <si>
    <t>Yanfei-Start</t>
  </si>
  <si>
    <t>Yanfei-End</t>
  </si>
  <si>
    <t>Yoimiya-Start</t>
  </si>
  <si>
    <t>Yoimiya-End</t>
  </si>
  <si>
    <t>Zhongli-Start</t>
  </si>
  <si>
    <t>Zhongli-End</t>
  </si>
  <si>
    <t>End Row</t>
  </si>
  <si>
    <t>Continuous Regeneration (Flat)</t>
  </si>
  <si>
    <t>Continuous Regeneration (Percentage)</t>
  </si>
  <si>
    <t>Burst Regeneration (Flat)</t>
  </si>
  <si>
    <t>Burst Regeneration (Percentage)</t>
  </si>
  <si>
    <t>Skill HP Regeneration On Attack (Percentage)</t>
  </si>
  <si>
    <t>Skill HP Regeneration On Attack (Flat)</t>
  </si>
  <si>
    <t>Skill HP Continuous Regeneration (Flat)</t>
  </si>
  <si>
    <t>HP Regen (Percentage)</t>
  </si>
  <si>
    <t>HP Regen (Flat)</t>
  </si>
  <si>
    <t>Skill HP Continuous Regeneration (Percentage)</t>
  </si>
  <si>
    <t>Burst Regen (Percentage)</t>
  </si>
  <si>
    <t>Burst Regen (Flat)</t>
  </si>
  <si>
    <t>C4 Healing</t>
  </si>
  <si>
    <t>Burst HP Regeneration</t>
  </si>
  <si>
    <t>Low HP Burst HP Regeneration</t>
  </si>
  <si>
    <t>Field Activation Healing (Percentage)</t>
  </si>
  <si>
    <t>Field Activation Healing (Flat)</t>
  </si>
  <si>
    <t>Cold-Blooded Strike (A1 HP Regen)</t>
  </si>
  <si>
    <t>Skill Regeneration (Percentage)</t>
  </si>
  <si>
    <t>Skill Regeneration (Flat)</t>
  </si>
  <si>
    <t>Burst On-Hit HP Regeneration (Percentage)</t>
  </si>
  <si>
    <t>Burst On-Hit HP Regeneration (Flat)</t>
  </si>
  <si>
    <t>Skill HP Regen (Flat)</t>
  </si>
  <si>
    <t>Skill HP Regen (Percentage)</t>
  </si>
  <si>
    <t>Skill Regeneration On Hit (Percentage)</t>
  </si>
  <si>
    <t>Skill Regeneration On Hit (Flat)</t>
  </si>
  <si>
    <t>Skill Regeneration Continuous (Percentage)</t>
  </si>
  <si>
    <t>Skill Regeneration Continuous (Flat)</t>
  </si>
  <si>
    <t>Burst Healing (Percentage)</t>
  </si>
  <si>
    <t>Burst Healing (Flat)</t>
  </si>
  <si>
    <t>Burst Tick Healing (Flat)</t>
  </si>
  <si>
    <t>Burst Tick Healing (Percentage)</t>
  </si>
  <si>
    <t>Burst Activation Healing (Percentage)</t>
  </si>
  <si>
    <t>Burst Activation Healing (Flat)</t>
  </si>
  <si>
    <t>Healing Per Swirl (Flat)</t>
  </si>
  <si>
    <t>C6 Additional Healing Restoration</t>
  </si>
  <si>
    <t>Rainsword Healing (Percentage)</t>
  </si>
  <si>
    <t>I have no idea how to implement Zhongli C6 with OHC</t>
  </si>
  <si>
    <t>Ocean-Hued Clam</t>
  </si>
  <si>
    <t>Healing Type</t>
  </si>
  <si>
    <t>Percentage</t>
  </si>
  <si>
    <t>Flat</t>
  </si>
  <si>
    <t>Is Healing Move?</t>
  </si>
  <si>
    <t>Healing</t>
  </si>
  <si>
    <t>Healing Bonus</t>
  </si>
  <si>
    <t>Healing Received</t>
  </si>
  <si>
    <t>Cumulative Damage:</t>
  </si>
  <si>
    <t>Cumulative Healing:</t>
  </si>
  <si>
    <t>Ocean-Hued Clam Calcs</t>
  </si>
  <si>
    <t>Total OHC Damage</t>
  </si>
  <si>
    <t>Damage Multiplier</t>
  </si>
  <si>
    <t>Final Adjusted Damage</t>
  </si>
  <si>
    <t>Raw Damage</t>
  </si>
  <si>
    <t>Skill Hit 1 DMG (C4)</t>
  </si>
  <si>
    <t>Skill Hit 2 DMG (C4)</t>
  </si>
  <si>
    <t>Rotation Length:</t>
  </si>
  <si>
    <t>Team DPS:</t>
  </si>
  <si>
    <t>Transformative Elements</t>
  </si>
  <si>
    <t>Physical</t>
  </si>
  <si>
    <t>Flat ATK Cap</t>
  </si>
  <si>
    <t>Flat DEF Cap</t>
  </si>
  <si>
    <t>Flat HP Cap</t>
  </si>
  <si>
    <t>ATK% Cap</t>
  </si>
  <si>
    <t>DEF% Cap</t>
  </si>
  <si>
    <t>HP% Cap</t>
  </si>
  <si>
    <t>CR% Cap</t>
  </si>
  <si>
    <t>CDMG% Cap</t>
  </si>
  <si>
    <t>ER% Cap</t>
  </si>
  <si>
    <t>Requires Solver Add-In</t>
  </si>
  <si>
    <t>AMC talent multipliers set, thanks to Rathalos for telling me</t>
  </si>
  <si>
    <t>Hold DMG</t>
  </si>
  <si>
    <t>Wavebreaker's Fin</t>
  </si>
  <si>
    <t>Sub Caps?</t>
  </si>
  <si>
    <t>Char1 errors</t>
  </si>
  <si>
    <t>Fixed Redhorn Stats</t>
  </si>
  <si>
    <t>Xiangling w/ Sucrose TTDS</t>
  </si>
  <si>
    <t>Staff of Homa (No Low HP)</t>
  </si>
  <si>
    <t>PJWS (1 Stack)</t>
  </si>
  <si>
    <t>The Catch R5</t>
  </si>
  <si>
    <t>Favonius Lance (160% ER)</t>
  </si>
  <si>
    <t>Lithic Spear R1 1 Stack</t>
  </si>
  <si>
    <t>Prototype Starglitter Rn</t>
  </si>
  <si>
    <t>Lithic Spear R5 1 Stack</t>
  </si>
  <si>
    <t>Dragon's Bane R5</t>
  </si>
  <si>
    <t>Dragon's Bane R1</t>
  </si>
  <si>
    <t>Deathmatch R1 2 Target</t>
  </si>
  <si>
    <t>Deathmatch R5 2 Target</t>
  </si>
  <si>
    <t>Wavebreaker R5 280 Cost</t>
  </si>
  <si>
    <t>Wavebreaker R1 280 Cost</t>
  </si>
  <si>
    <t>Wavebreaker R1 300 Cost</t>
  </si>
  <si>
    <t>Wavebreaker R5 300 Cost</t>
  </si>
  <si>
    <t>Xiangling w/ Kazuha Iron Sting</t>
  </si>
  <si>
    <t>Vortex Vanquisher 1 Stack Unshielded</t>
  </si>
  <si>
    <t>Lithic Spear R1 2 Stack</t>
  </si>
  <si>
    <t>Lithic Spear R5 2 Stack</t>
  </si>
  <si>
    <t>Blackcliff Pole Rn 0 Stack</t>
  </si>
  <si>
    <t>Wavebreaker's Fin R1 260 Cost</t>
  </si>
  <si>
    <t>Wavebreaker's Fin R5 260 Cost</t>
  </si>
  <si>
    <t>Vortex Vanquisher (1 Stack unshielded)</t>
  </si>
  <si>
    <t>Percentage vs. Catch</t>
  </si>
  <si>
    <t>C2 Oil Meets Fire Proc</t>
  </si>
  <si>
    <t>PJWS 1 Stack</t>
  </si>
  <si>
    <t>Raiden National</t>
  </si>
  <si>
    <t>Xiangling with 160% ER Req</t>
  </si>
  <si>
    <t>Vortex 1 Stack No Shield</t>
  </si>
  <si>
    <t>Kitain R1 (146% ER)</t>
  </si>
  <si>
    <t>Kitain R5 (132% ER)</t>
  </si>
  <si>
    <t>Fav Lance (140% ER)</t>
  </si>
  <si>
    <t>Lithic R1 1 Stack</t>
  </si>
  <si>
    <t>Lithic R5 1 Stack</t>
  </si>
  <si>
    <t>Wavebreaker R5 310 Cost</t>
  </si>
  <si>
    <t>Wavebreaker R1 310 Cost</t>
  </si>
  <si>
    <t>Xiangling Vape</t>
  </si>
  <si>
    <t>All calculated with 80/90 Talent 8/11/11 C6 Xiangling</t>
  </si>
  <si>
    <t>Kitain Cross-Spear R1 (152 ER%)</t>
  </si>
  <si>
    <t>Kitain Cross-Spear R5 (124 ER%)</t>
  </si>
  <si>
    <t>Kitain Cross-Spear R5 (124% ER)</t>
  </si>
  <si>
    <t>Kitain Cross-Spear R1 (152% ER)</t>
  </si>
  <si>
    <t>Prototype Amber Healing</t>
  </si>
  <si>
    <t>Talent Scaler</t>
  </si>
  <si>
    <t>Scaling Talent</t>
  </si>
  <si>
    <t>Healing Stat</t>
  </si>
  <si>
    <t>Healing Calculations</t>
  </si>
  <si>
    <t>Weapon Proc or Kit?</t>
  </si>
  <si>
    <t>Scaling Stat Value</t>
  </si>
  <si>
    <t>Healing Stat Scaler</t>
  </si>
  <si>
    <t>Percentage or Flat?</t>
  </si>
  <si>
    <t>Talent/Weapon Proc%</t>
  </si>
  <si>
    <t>Healing Amount</t>
  </si>
  <si>
    <t>Character Scaler</t>
  </si>
  <si>
    <t>Manual Damage Override</t>
  </si>
  <si>
    <t>Thoma-Start</t>
  </si>
  <si>
    <t>Fiery Collapse DMG</t>
  </si>
  <si>
    <t>Flaming Assault DMG (A4)</t>
  </si>
  <si>
    <t>Thoma-End</t>
  </si>
  <si>
    <t>Weapon Proc Menu</t>
  </si>
  <si>
    <t>Healing Menu</t>
  </si>
  <si>
    <t>Shenhe/Yunjin Menu</t>
  </si>
  <si>
    <t>Shenhe</t>
  </si>
  <si>
    <t>Shenhe-Start</t>
  </si>
  <si>
    <t>Shenhe-End</t>
  </si>
  <si>
    <t>Shenhe Special</t>
  </si>
  <si>
    <t>Icy Quill DMG Bonus (Per Quill)</t>
  </si>
  <si>
    <t>Yunjin</t>
  </si>
  <si>
    <t>Shenhe and Yunjin</t>
  </si>
  <si>
    <t>Shenhe Quills</t>
  </si>
  <si>
    <t>Yunjin Burst Bonus</t>
  </si>
  <si>
    <t>Stat Value</t>
  </si>
  <si>
    <t>Character Exists?</t>
  </si>
  <si>
    <t>Number of Procs</t>
  </si>
  <si>
    <t>Proc Select</t>
  </si>
  <si>
    <t>DEF Mult Calculation</t>
  </si>
  <si>
    <t>Proc List</t>
  </si>
  <si>
    <t>Yunjin-Start</t>
  </si>
  <si>
    <t>Skill Charge Level 1 DMG</t>
  </si>
  <si>
    <t>Skill Charge Level 2 DMG</t>
  </si>
  <si>
    <t>Yunjin-End</t>
  </si>
  <si>
    <t>Character Num</t>
  </si>
  <si>
    <t>Talent Value</t>
  </si>
  <si>
    <t>Final Value</t>
  </si>
  <si>
    <t>Energy Recharge</t>
  </si>
  <si>
    <t>Base x Talent</t>
  </si>
  <si>
    <t>Base Damage</t>
  </si>
  <si>
    <t>GICalc v2.3</t>
  </si>
  <si>
    <t>Version 2.2</t>
  </si>
  <si>
    <t>Added Thoma, Sara, Yunjin, Shenhe, Shenhe Weapon, Prototype Amber</t>
  </si>
  <si>
    <t>Fixed Childe talent scaling errors and DEF calculation errors</t>
  </si>
  <si>
    <t>Damage/Healing</t>
  </si>
  <si>
    <t>How to Use</t>
  </si>
  <si>
    <t>There will be a youtube guide soon!</t>
  </si>
  <si>
    <t>Legend</t>
  </si>
  <si>
    <t>Cells to Change</t>
  </si>
  <si>
    <t>Cells that shouldn't be changed</t>
  </si>
  <si>
    <t>Hamayumi</t>
  </si>
  <si>
    <t>Calamity Queller</t>
  </si>
  <si>
    <t>Burst Summon DMG</t>
  </si>
  <si>
    <t>Song of Pearls Workaround</t>
  </si>
  <si>
    <t>Kokomi Char#</t>
  </si>
  <si>
    <t>Bonus Value</t>
  </si>
  <si>
    <t>Healing Bonus Table</t>
  </si>
  <si>
    <t>Healing Bonus doesn't work as a conditional buff with Kokomi's Song of Pearls (must be added on Character Page)</t>
  </si>
  <si>
    <t>Final Val</t>
  </si>
  <si>
    <t>Song of Pearls Normal Bonus</t>
  </si>
  <si>
    <t>Song of Pearls Charged Bonus</t>
  </si>
  <si>
    <t>Kokomi Shenhe Kazuha Kaeya</t>
  </si>
  <si>
    <t>DPR</t>
  </si>
  <si>
    <t>DPS</t>
  </si>
  <si>
    <t>Team Information</t>
  </si>
  <si>
    <t>Rotation:</t>
  </si>
  <si>
    <t>Kaeya E &gt; Kazuha Hold E &gt; Kokomi E &gt; Shenhe EQ &gt; Kaeya EQ &gt; Kazuha Hold EQ &gt; Kaeya E &gt; Kokomi Burst &gt; Kokomi 3xN3 &gt; Kaeya E (Loop)</t>
  </si>
  <si>
    <t>DPS:</t>
  </si>
  <si>
    <t>% of Team Damage</t>
  </si>
  <si>
    <t>Weapon</t>
  </si>
  <si>
    <t>Favonius Lance R3+</t>
  </si>
  <si>
    <t>TTDS R5</t>
  </si>
  <si>
    <t>The Flute R1</t>
  </si>
  <si>
    <t>Iron Sting R1</t>
  </si>
  <si>
    <t>Artifact Set</t>
  </si>
  <si>
    <t>4Blizz</t>
  </si>
  <si>
    <t>4ToM</t>
  </si>
  <si>
    <t>4VV</t>
  </si>
  <si>
    <t>Constellation</t>
  </si>
  <si>
    <t xml:space="preserve"> 9/9/9</t>
  </si>
  <si>
    <t>Flat Subs</t>
  </si>
  <si>
    <t>Liquid Subs</t>
  </si>
  <si>
    <t>2SR 2Glad</t>
  </si>
  <si>
    <t>2Blizz 2Glad</t>
  </si>
  <si>
    <t>Kazuha Triple EM</t>
  </si>
  <si>
    <t>Kazuha ATK/Anemo/Crit</t>
  </si>
  <si>
    <t>Kazuha EM/Anemo/Crit</t>
  </si>
  <si>
    <t>Kazuha EM/Anemo/EM</t>
  </si>
  <si>
    <t>Blackcliff</t>
  </si>
  <si>
    <t>Favonius Sword (High Refine)</t>
  </si>
  <si>
    <t>Favonius Sword (Low Refine)</t>
  </si>
  <si>
    <t>Summit Shaper (3 Stack)</t>
  </si>
  <si>
    <t>Blackcliff 0 Stack</t>
  </si>
  <si>
    <t>Black Sword</t>
  </si>
  <si>
    <t>Percentage vs. Trip EM</t>
  </si>
  <si>
    <t>Kazuha Weapons</t>
  </si>
  <si>
    <t>Mistsplitter</t>
  </si>
  <si>
    <t>Fav Sword High Refine</t>
  </si>
  <si>
    <t>Fav Sword Low Refine</t>
  </si>
  <si>
    <t>a</t>
  </si>
  <si>
    <t>Ayaka Kazuha Kaeya Mona</t>
  </si>
  <si>
    <t>Rotation Length</t>
  </si>
  <si>
    <t>Total DPS</t>
  </si>
  <si>
    <t>Rankings</t>
  </si>
  <si>
    <t>Triple EM</t>
  </si>
  <si>
    <t>EM/Anemo/EM</t>
  </si>
  <si>
    <t>EM/Anemo/Crit</t>
  </si>
  <si>
    <t>ATK/Anemo/Crit</t>
  </si>
  <si>
    <t>Amenoma R1</t>
  </si>
  <si>
    <t>Amenoma Kageuchi</t>
  </si>
  <si>
    <t>Rotation</t>
  </si>
  <si>
    <t>Kaeya E &gt; Kazuha Hold E &gt; Kazuha Q &gt; Kaeya Q &gt; Mona EQ &gt; Ayaka Dash EQ &gt; Kazuha Tap E &gt; Kaeya E &gt; Ayaka N2C &gt; Ayaka E &gt; Kaeya E (Loop)</t>
  </si>
  <si>
    <t>Fav Sword R3+</t>
  </si>
  <si>
    <t>Fav Codex R1</t>
  </si>
  <si>
    <t>4NO</t>
  </si>
  <si>
    <t>Fixed issue with Mistspitter</t>
  </si>
  <si>
    <t>Fixed Flat Healing giving numbers that were too large</t>
  </si>
  <si>
    <t>Rosaria-End</t>
  </si>
  <si>
    <t>Yae</t>
  </si>
  <si>
    <t>Yae-Start</t>
  </si>
  <si>
    <t>Charged ATK DMG</t>
  </si>
  <si>
    <t>Shinra's Truth</t>
  </si>
  <si>
    <t>Yae-End</t>
  </si>
  <si>
    <t>Sesshou Sakura DMG: Level 1</t>
  </si>
  <si>
    <t>Sesshou Sakura DMG: Level 2</t>
  </si>
  <si>
    <t>Sesshou Sakura DMG: Level 3</t>
  </si>
  <si>
    <t>Sesshou Sakura DMG: Level 4</t>
  </si>
  <si>
    <t>Sky Kitsune Thunderbolt DMG</t>
  </si>
  <si>
    <t>ATK% Bonus</t>
  </si>
  <si>
    <t>Flat ATK Bonus</t>
  </si>
  <si>
    <t>DEF% Bonus</t>
  </si>
  <si>
    <t>Yunjin/Shenhe Base Stat Value</t>
  </si>
  <si>
    <t>Base Stats</t>
  </si>
  <si>
    <t>Base Stat</t>
  </si>
  <si>
    <t>Total ATK% Bonus</t>
  </si>
  <si>
    <t>Total Flat ATK Bonus</t>
  </si>
  <si>
    <t>Total DEF% Bonus</t>
  </si>
  <si>
    <t>Total Flat DEF Bonus</t>
  </si>
  <si>
    <t>Bonuses</t>
  </si>
  <si>
    <t>Flat DEF Bonus</t>
  </si>
  <si>
    <t>Final Yunjin/Shenhe Bonus</t>
  </si>
  <si>
    <t>C1 Proc</t>
  </si>
  <si>
    <t>Converted</t>
  </si>
  <si>
    <t>Linked</t>
  </si>
  <si>
    <t>Substats</t>
  </si>
  <si>
    <t>atk</t>
  </si>
  <si>
    <t>def</t>
  </si>
  <si>
    <t>hp</t>
  </si>
  <si>
    <t>em</t>
  </si>
  <si>
    <t>atk%</t>
  </si>
  <si>
    <t>def%</t>
  </si>
  <si>
    <t>hp%</t>
  </si>
  <si>
    <t>cr</t>
  </si>
  <si>
    <t>cd</t>
  </si>
  <si>
    <t>er</t>
  </si>
  <si>
    <t>phys%</t>
  </si>
  <si>
    <t>anemo%</t>
  </si>
  <si>
    <t>geo%</t>
  </si>
  <si>
    <t>pyro%</t>
  </si>
  <si>
    <t>cryo%</t>
  </si>
  <si>
    <t>hydro%</t>
  </si>
  <si>
    <t>electro%</t>
  </si>
  <si>
    <t>Calculated</t>
  </si>
  <si>
    <t>char name</t>
  </si>
  <si>
    <t>weap</t>
  </si>
  <si>
    <t>char lvl</t>
  </si>
  <si>
    <t>row</t>
  </si>
  <si>
    <t>next</t>
  </si>
  <si>
    <t>cap</t>
  </si>
  <si>
    <t>set bonus 1</t>
  </si>
  <si>
    <t>set bonus 2</t>
  </si>
  <si>
    <t>set count 1</t>
  </si>
  <si>
    <t>set count 2</t>
  </si>
  <si>
    <t>if 1 = 2 then cap count at 4, otherwise keep it sep</t>
  </si>
  <si>
    <t/>
  </si>
  <si>
    <t>Shenhe Ganyu Mona Venti</t>
  </si>
  <si>
    <t>Proto Crescent R5</t>
  </si>
  <si>
    <t>Video Link:</t>
  </si>
  <si>
    <t xml:space="preserve">Ganyu E &gt; Mona E &gt; Venti EQ &gt; Shenhe EQ &gt; Ganyu Q &gt; Mona Q &gt; Venti E &gt; Shenhe E &gt; Ganyu 2CA  </t>
  </si>
  <si>
    <t>https://www.youtube.com/watch?v=MuiC4KZUac0</t>
  </si>
  <si>
    <t xml:space="preserve">Assumptions: </t>
  </si>
  <si>
    <t>Primary DPS with 2 Targets for Venti and Ganyu Quad Scaling;</t>
  </si>
  <si>
    <t>Freezable Mob;</t>
  </si>
  <si>
    <t>14 Venti Swirls;</t>
  </si>
  <si>
    <t>26 Ganyu Burst Shards;</t>
  </si>
  <si>
    <t>ERC:</t>
  </si>
  <si>
    <t>Primary Target Will Take 3 Quills at most per character per tap E (2 going to secondary target)</t>
  </si>
  <si>
    <t>No Crescent Proc on First Rotation</t>
  </si>
  <si>
    <t>KQMC with f2p gear (C0 5*, r1 gacha weapon and r5 event/craftable weapons)</t>
  </si>
  <si>
    <t>https://docs.google.com/spreadsheets/d/1egOGgn9uyh6M67QqxaNefDRZME7_qPkV7-_xFea_RoM/edit?usp=sharing</t>
  </si>
  <si>
    <t>Proto Amber R5</t>
  </si>
  <si>
    <t>Fav Bow R3</t>
  </si>
  <si>
    <t>Fav Lance 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</si>
</sst>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
  </numFmts>
  <fonts count="2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2" tint="-0.749992370372631"/>
      <name val="Calibri"/>
      <family val="2"/>
      <scheme val="minor"/>
    </font>
    <font>
      <sz val="11"/>
      <color theme="8" tint="0.39997558519241921"/>
      <name val="Calibri"/>
      <family val="2"/>
      <scheme val="minor"/>
    </font>
    <font>
      <b/>
      <sz val="11"/>
      <color rgb="FFFA7D00"/>
      <name val="Calibri"/>
      <family val="2"/>
      <scheme val="minor"/>
    </font>
    <font>
      <b/>
      <sz val="16"/>
      <color theme="0"/>
      <name val="Calibri"/>
      <family val="2"/>
      <scheme val="minor"/>
    </font>
    <font>
      <b/>
      <sz val="11"/>
      <name val="Calibri"/>
      <family val="2"/>
      <scheme val="minor"/>
    </font>
    <font>
      <sz val="11"/>
      <name val="Calibri"/>
      <family val="2"/>
      <scheme val="minor"/>
    </font>
    <font>
      <i/>
      <sz val="11"/>
      <color theme="0"/>
      <name val="Calibri"/>
      <family val="2"/>
      <scheme val="minor"/>
    </font>
    <font>
      <sz val="9"/>
      <color indexed="81"/>
      <name val="Tahoma"/>
      <family val="2"/>
    </font>
    <font>
      <b/>
      <sz val="9"/>
      <color indexed="81"/>
      <name val="Tahoma"/>
      <family val="2"/>
    </font>
    <font>
      <b/>
      <sz val="20"/>
      <color theme="0"/>
      <name val="Calibri"/>
      <family val="2"/>
      <scheme val="minor"/>
    </font>
    <font>
      <sz val="11"/>
      <color rgb="FF006100"/>
      <name val="Calibri"/>
      <family val="2"/>
      <scheme val="minor"/>
    </font>
    <font>
      <b/>
      <i/>
      <sz val="11"/>
      <color theme="0"/>
      <name val="Calibri"/>
      <family val="2"/>
      <scheme val="minor"/>
    </font>
    <font>
      <sz val="8"/>
      <name val="Calibri"/>
      <family val="2"/>
      <scheme val="minor"/>
    </font>
    <font>
      <sz val="11"/>
      <color rgb="FF000000"/>
      <name val="Calibri"/>
      <family val="2"/>
    </font>
    <font>
      <u/>
      <sz val="11"/>
      <color theme="10"/>
      <name val="Calibri"/>
      <family val="2"/>
      <scheme val="minor"/>
    </font>
  </fonts>
  <fills count="37">
    <fill>
      <patternFill patternType="none"/>
    </fill>
    <fill>
      <patternFill patternType="gray125"/>
    </fill>
    <fill>
      <patternFill patternType="solid">
        <fgColor theme="6"/>
      </patternFill>
    </fill>
    <fill>
      <patternFill patternType="solid">
        <fgColor theme="8" tint="0.39997558519241921"/>
        <bgColor indexed="65"/>
      </patternFill>
    </fill>
    <fill>
      <patternFill patternType="solid">
        <fgColor theme="2" tint="-0.749992370372631"/>
        <bgColor indexed="64"/>
      </patternFill>
    </fill>
    <fill>
      <patternFill patternType="solid">
        <fgColor rgb="FF000000"/>
        <bgColor indexed="64"/>
      </patternFill>
    </fill>
    <fill>
      <patternFill patternType="solid">
        <fgColor rgb="FF292929"/>
        <bgColor indexed="64"/>
      </patternFill>
    </fill>
    <fill>
      <patternFill patternType="solid">
        <fgColor rgb="FF1C1C1C"/>
        <bgColor indexed="64"/>
      </patternFill>
    </fill>
    <fill>
      <patternFill patternType="solid">
        <fgColor rgb="FFF2F2F2"/>
      </patternFill>
    </fill>
    <fill>
      <patternFill patternType="solid">
        <fgColor theme="8" tint="0.59999389629810485"/>
        <bgColor indexed="65"/>
      </patternFill>
    </fill>
    <fill>
      <patternFill patternType="solid">
        <fgColor theme="5" tint="0.39997558519241921"/>
        <bgColor indexed="65"/>
      </patternFill>
    </fill>
    <fill>
      <patternFill patternType="solid">
        <fgColor theme="3" tint="-0.249977111117893"/>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theme="1"/>
        <bgColor indexed="64"/>
      </patternFill>
    </fill>
    <fill>
      <patternFill patternType="solid">
        <fgColor rgb="FFC6EF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6" tint="0.79998168889431442"/>
        <bgColor indexed="64"/>
      </patternFill>
    </fill>
    <fill>
      <patternFill patternType="solid">
        <fgColor theme="4"/>
      </patternFill>
    </fill>
    <fill>
      <patternFill patternType="solid">
        <f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2" tint="-0.89999084444715716"/>
        <bgColor indexed="64"/>
      </patternFill>
    </fill>
    <fill>
      <patternFill patternType="solid">
        <fgColor theme="8" tint="-0.249977111117893"/>
        <bgColor theme="8" tint="-0.249977111117893"/>
      </patternFill>
    </fill>
    <fill>
      <patternFill patternType="solid">
        <fgColor theme="8"/>
        <bgColor theme="8"/>
      </patternFill>
    </fill>
    <fill>
      <patternFill patternType="solid">
        <fgColor theme="3" tint="-0.499984740745262"/>
        <bgColor theme="8"/>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bgColor indexed="64"/>
      </patternFill>
    </fill>
    <fill>
      <patternFill patternType="solid">
        <fgColor rgb="FF00B0F0"/>
        <bgColor indexed="64"/>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9" fontId="1" fillId="0" borderId="0" applyFont="0" applyFill="0" applyBorder="0" applyAlignment="0" applyProtection="0"/>
    <xf numFmtId="0" fontId="4" fillId="2" borderId="0" applyNumberFormat="0" applyBorder="0" applyAlignment="0" applyProtection="0"/>
    <xf numFmtId="0" fontId="1" fillId="3" borderId="0" applyNumberFormat="0" applyBorder="0" applyAlignment="0" applyProtection="0"/>
    <xf numFmtId="0" fontId="8" fillId="8" borderId="5" applyNumberFormat="0" applyAlignment="0" applyProtection="0"/>
    <xf numFmtId="0" fontId="1" fillId="9" borderId="0" applyNumberFormat="0" applyBorder="0" applyAlignment="0" applyProtection="0"/>
    <xf numFmtId="0" fontId="1" fillId="10" borderId="0" applyNumberFormat="0" applyBorder="0" applyAlignment="0" applyProtection="0"/>
    <xf numFmtId="0" fontId="16"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0" fillId="0" borderId="0" applyNumberFormat="0" applyFill="0" applyBorder="0" applyAlignment="0" applyProtection="0"/>
  </cellStyleXfs>
  <cellXfs count="283">
    <xf numFmtId="0" fontId="0" fillId="0" borderId="0" xfId="0"/>
    <xf numFmtId="0" fontId="0" fillId="4" borderId="0" xfId="0" applyFill="1"/>
    <xf numFmtId="10" fontId="0" fillId="0" borderId="0" xfId="1" applyNumberFormat="1" applyFont="1"/>
    <xf numFmtId="0" fontId="0" fillId="0" borderId="0" xfId="0" applyFont="1"/>
    <xf numFmtId="0" fontId="0" fillId="0" borderId="0" xfId="0" applyFont="1" applyAlignment="1"/>
    <xf numFmtId="0" fontId="5" fillId="0" borderId="0" xfId="0" applyFont="1"/>
    <xf numFmtId="0" fontId="0" fillId="4" borderId="0" xfId="0" applyFill="1" applyAlignment="1"/>
    <xf numFmtId="0" fontId="4" fillId="4" borderId="0" xfId="0" applyFont="1" applyFill="1"/>
    <xf numFmtId="0" fontId="4" fillId="4" borderId="0" xfId="2" applyFill="1"/>
    <xf numFmtId="0" fontId="3" fillId="4" borderId="0" xfId="3" applyFont="1" applyFill="1" applyAlignment="1">
      <alignment horizontal="center"/>
    </xf>
    <xf numFmtId="0" fontId="4" fillId="6" borderId="0" xfId="2" applyFill="1"/>
    <xf numFmtId="0" fontId="4" fillId="6" borderId="0" xfId="0" applyFont="1" applyFill="1" applyBorder="1" applyAlignment="1">
      <alignment horizontal="center"/>
    </xf>
    <xf numFmtId="0" fontId="1" fillId="6" borderId="0" xfId="3" applyFill="1" applyBorder="1" applyAlignment="1">
      <alignment horizontal="center"/>
    </xf>
    <xf numFmtId="0" fontId="0" fillId="6" borderId="0" xfId="0" applyFill="1"/>
    <xf numFmtId="0" fontId="1" fillId="3" borderId="1" xfId="3" applyBorder="1"/>
    <xf numFmtId="0" fontId="6" fillId="4" borderId="0" xfId="0" applyFont="1" applyFill="1"/>
    <xf numFmtId="0" fontId="7" fillId="3" borderId="1" xfId="3" applyFont="1" applyBorder="1"/>
    <xf numFmtId="0" fontId="2" fillId="4" borderId="0" xfId="0" applyFont="1" applyFill="1"/>
    <xf numFmtId="0" fontId="2" fillId="4" borderId="0" xfId="0" applyFont="1" applyFill="1" applyAlignment="1"/>
    <xf numFmtId="0" fontId="11" fillId="3" borderId="1" xfId="3" applyFont="1" applyBorder="1"/>
    <xf numFmtId="9" fontId="0" fillId="0" borderId="0" xfId="0" applyNumberFormat="1"/>
    <xf numFmtId="0" fontId="0" fillId="0" borderId="0" xfId="1" applyNumberFormat="1" applyFont="1"/>
    <xf numFmtId="0" fontId="0" fillId="0" borderId="0" xfId="0" applyFont="1" applyAlignment="1">
      <alignment horizontal="right"/>
    </xf>
    <xf numFmtId="10" fontId="0" fillId="0" borderId="0" xfId="0" applyNumberFormat="1" applyFont="1" applyAlignment="1">
      <alignment horizontal="right"/>
    </xf>
    <xf numFmtId="9" fontId="0" fillId="0" borderId="0" xfId="0" applyNumberFormat="1" applyFont="1" applyAlignment="1">
      <alignment horizontal="right"/>
    </xf>
    <xf numFmtId="10" fontId="0" fillId="0" borderId="0" xfId="1" applyNumberFormat="1" applyFont="1" applyAlignment="1">
      <alignment horizontal="right"/>
    </xf>
    <xf numFmtId="10" fontId="5" fillId="0" borderId="0" xfId="0" applyNumberFormat="1" applyFont="1" applyAlignment="1">
      <alignment horizontal="right"/>
    </xf>
    <xf numFmtId="0" fontId="0" fillId="0" borderId="0" xfId="0" applyNumberFormat="1" applyFont="1" applyAlignment="1">
      <alignment horizontal="right"/>
    </xf>
    <xf numFmtId="0" fontId="0" fillId="0" borderId="0" xfId="1" applyNumberFormat="1" applyFont="1" applyAlignment="1">
      <alignment horizontal="right"/>
    </xf>
    <xf numFmtId="10" fontId="0" fillId="0" borderId="0" xfId="0" applyNumberFormat="1"/>
    <xf numFmtId="0" fontId="0" fillId="0" borderId="0" xfId="0" applyAlignment="1"/>
    <xf numFmtId="0" fontId="4" fillId="4" borderId="0" xfId="0" applyFont="1" applyFill="1" applyAlignment="1">
      <alignment wrapText="1"/>
    </xf>
    <xf numFmtId="0" fontId="4" fillId="4" borderId="0" xfId="0" applyFont="1" applyFill="1" applyAlignment="1"/>
    <xf numFmtId="0" fontId="4" fillId="12" borderId="0" xfId="0" applyFont="1" applyFill="1"/>
    <xf numFmtId="0" fontId="4" fillId="7" borderId="0" xfId="0" applyFont="1" applyFill="1" applyAlignment="1"/>
    <xf numFmtId="0" fontId="12" fillId="11" borderId="0" xfId="0" applyFont="1" applyFill="1" applyAlignment="1">
      <alignment horizontal="center"/>
    </xf>
    <xf numFmtId="0" fontId="12" fillId="13" borderId="0" xfId="0" applyFont="1" applyFill="1" applyBorder="1" applyAlignment="1">
      <alignment horizontal="center"/>
    </xf>
    <xf numFmtId="0" fontId="12" fillId="7" borderId="0" xfId="0" applyFont="1" applyFill="1" applyAlignment="1">
      <alignment horizontal="center"/>
    </xf>
    <xf numFmtId="2" fontId="4" fillId="4" borderId="0" xfId="0" applyNumberFormat="1" applyFont="1" applyFill="1"/>
    <xf numFmtId="10" fontId="4" fillId="11" borderId="0" xfId="1" applyNumberFormat="1" applyFont="1" applyFill="1" applyAlignment="1">
      <alignment horizontal="center"/>
    </xf>
    <xf numFmtId="0" fontId="2" fillId="4" borderId="0" xfId="0" applyFont="1" applyFill="1" applyAlignment="1">
      <alignment horizontal="center"/>
    </xf>
    <xf numFmtId="0" fontId="2" fillId="4" borderId="0" xfId="0" applyFont="1" applyFill="1" applyAlignment="1">
      <alignment horizontal="center" vertical="center"/>
    </xf>
    <xf numFmtId="164" fontId="0" fillId="0" borderId="0" xfId="1" applyNumberFormat="1" applyFont="1"/>
    <xf numFmtId="10" fontId="12" fillId="13" borderId="0" xfId="1" applyNumberFormat="1" applyFont="1" applyFill="1" applyBorder="1" applyAlignment="1">
      <alignment horizontal="center"/>
    </xf>
    <xf numFmtId="9" fontId="0" fillId="0" borderId="0" xfId="1" applyFont="1"/>
    <xf numFmtId="0" fontId="4" fillId="11" borderId="0" xfId="1" applyNumberFormat="1" applyFont="1" applyFill="1" applyAlignment="1">
      <alignment horizontal="center"/>
    </xf>
    <xf numFmtId="0" fontId="12" fillId="13" borderId="0" xfId="1" applyNumberFormat="1" applyFont="1" applyFill="1" applyBorder="1" applyAlignment="1">
      <alignment horizontal="center"/>
    </xf>
    <xf numFmtId="0" fontId="10" fillId="16" borderId="6" xfId="8" applyFont="1" applyBorder="1"/>
    <xf numFmtId="0" fontId="0" fillId="16" borderId="6" xfId="8" applyFont="1" applyBorder="1"/>
    <xf numFmtId="10" fontId="0" fillId="16" borderId="6" xfId="8" applyNumberFormat="1" applyFont="1" applyBorder="1"/>
    <xf numFmtId="0" fontId="0" fillId="16" borderId="6" xfId="8" applyNumberFormat="1" applyFont="1" applyBorder="1"/>
    <xf numFmtId="0" fontId="10" fillId="16" borderId="7" xfId="8" applyFont="1" applyBorder="1"/>
    <xf numFmtId="0" fontId="0" fillId="16" borderId="7" xfId="8" applyFont="1" applyBorder="1"/>
    <xf numFmtId="10" fontId="0" fillId="16" borderId="7" xfId="1" applyNumberFormat="1" applyFont="1" applyFill="1" applyBorder="1"/>
    <xf numFmtId="0" fontId="0" fillId="16" borderId="7" xfId="8" applyNumberFormat="1" applyFont="1" applyBorder="1"/>
    <xf numFmtId="10" fontId="0" fillId="16" borderId="7" xfId="8" applyNumberFormat="1" applyFont="1" applyBorder="1"/>
    <xf numFmtId="0" fontId="10" fillId="19" borderId="7" xfId="11" applyFont="1" applyBorder="1"/>
    <xf numFmtId="0" fontId="10" fillId="15" borderId="7" xfId="7" applyFont="1" applyBorder="1"/>
    <xf numFmtId="0" fontId="10" fillId="18" borderId="7" xfId="10" applyFont="1" applyBorder="1"/>
    <xf numFmtId="0" fontId="10" fillId="17" borderId="7" xfId="9" applyFont="1" applyBorder="1"/>
    <xf numFmtId="0" fontId="0" fillId="19" borderId="7" xfId="11" applyFont="1" applyBorder="1"/>
    <xf numFmtId="0" fontId="16" fillId="15" borderId="7" xfId="7" applyBorder="1"/>
    <xf numFmtId="0" fontId="0" fillId="18" borderId="7" xfId="10" applyFont="1" applyBorder="1"/>
    <xf numFmtId="0" fontId="0" fillId="18" borderId="7" xfId="10" applyNumberFormat="1" applyFont="1" applyBorder="1"/>
    <xf numFmtId="0" fontId="0" fillId="17" borderId="7" xfId="9" applyFont="1" applyBorder="1"/>
    <xf numFmtId="10" fontId="0" fillId="19" borderId="7" xfId="11" applyNumberFormat="1" applyFont="1" applyBorder="1"/>
    <xf numFmtId="10" fontId="16" fillId="15" borderId="7" xfId="7" applyNumberFormat="1" applyBorder="1"/>
    <xf numFmtId="10" fontId="0" fillId="20" borderId="7" xfId="7" applyNumberFormat="1" applyFont="1" applyFill="1" applyBorder="1"/>
    <xf numFmtId="10" fontId="0" fillId="18" borderId="7" xfId="10" applyNumberFormat="1" applyFont="1" applyBorder="1"/>
    <xf numFmtId="9" fontId="0" fillId="17" borderId="7" xfId="1" applyFont="1" applyFill="1" applyBorder="1"/>
    <xf numFmtId="10" fontId="0" fillId="17" borderId="7" xfId="1" applyNumberFormat="1" applyFont="1" applyFill="1" applyBorder="1"/>
    <xf numFmtId="10" fontId="1" fillId="17" borderId="0" xfId="1" applyNumberFormat="1" applyFill="1"/>
    <xf numFmtId="10" fontId="0" fillId="17" borderId="7" xfId="9" applyNumberFormat="1" applyFont="1" applyBorder="1"/>
    <xf numFmtId="10" fontId="16" fillId="15" borderId="0" xfId="7" applyNumberFormat="1"/>
    <xf numFmtId="0" fontId="0" fillId="19" borderId="7" xfId="11" applyNumberFormat="1" applyFont="1" applyBorder="1"/>
    <xf numFmtId="0" fontId="16" fillId="15" borderId="7" xfId="7" applyNumberFormat="1" applyBorder="1"/>
    <xf numFmtId="0" fontId="0" fillId="17" borderId="7" xfId="9" applyNumberFormat="1" applyFont="1" applyBorder="1"/>
    <xf numFmtId="0" fontId="0" fillId="17" borderId="7" xfId="1" applyNumberFormat="1" applyFont="1" applyFill="1" applyBorder="1"/>
    <xf numFmtId="0" fontId="0" fillId="16" borderId="7" xfId="1" applyNumberFormat="1" applyFont="1" applyFill="1" applyBorder="1"/>
    <xf numFmtId="9" fontId="0" fillId="0" borderId="0" xfId="1" applyFont="1" applyFill="1" applyBorder="1"/>
    <xf numFmtId="10" fontId="11" fillId="3" borderId="1" xfId="1" applyNumberFormat="1" applyFont="1" applyFill="1" applyBorder="1"/>
    <xf numFmtId="10" fontId="12" fillId="11" borderId="0" xfId="1" applyNumberFormat="1" applyFont="1" applyFill="1" applyAlignment="1">
      <alignment horizontal="center"/>
    </xf>
    <xf numFmtId="0" fontId="0" fillId="0" borderId="6" xfId="0" applyFont="1" applyBorder="1"/>
    <xf numFmtId="0" fontId="2" fillId="24" borderId="8" xfId="0" applyFont="1" applyFill="1" applyBorder="1"/>
    <xf numFmtId="0" fontId="2" fillId="24" borderId="9" xfId="0" applyFont="1" applyFill="1" applyBorder="1"/>
    <xf numFmtId="9" fontId="2" fillId="24" borderId="9" xfId="1" applyNumberFormat="1" applyFont="1" applyFill="1" applyBorder="1"/>
    <xf numFmtId="9" fontId="2" fillId="24" borderId="10" xfId="1" applyNumberFormat="1" applyFont="1" applyFill="1" applyBorder="1"/>
    <xf numFmtId="0" fontId="0" fillId="23" borderId="8" xfId="0" applyFont="1" applyFill="1" applyBorder="1"/>
    <xf numFmtId="165" fontId="0" fillId="23" borderId="9" xfId="1" applyNumberFormat="1" applyFont="1" applyFill="1" applyBorder="1"/>
    <xf numFmtId="0" fontId="0" fillId="23" borderId="9" xfId="1" applyNumberFormat="1" applyFont="1" applyFill="1" applyBorder="1"/>
    <xf numFmtId="0" fontId="0" fillId="23" borderId="9" xfId="0" applyFont="1" applyFill="1" applyBorder="1"/>
    <xf numFmtId="0" fontId="0" fillId="23" borderId="10" xfId="0" applyFont="1" applyFill="1" applyBorder="1"/>
    <xf numFmtId="0" fontId="0" fillId="0" borderId="8" xfId="0" applyFont="1" applyBorder="1"/>
    <xf numFmtId="165" fontId="0" fillId="0" borderId="9" xfId="1" applyNumberFormat="1" applyFont="1" applyBorder="1"/>
    <xf numFmtId="0" fontId="0" fillId="0" borderId="9" xfId="1" applyNumberFormat="1" applyFont="1" applyBorder="1"/>
    <xf numFmtId="0" fontId="0" fillId="0" borderId="9" xfId="0" applyFont="1" applyBorder="1"/>
    <xf numFmtId="0" fontId="0" fillId="0" borderId="10" xfId="0" applyFont="1" applyBorder="1"/>
    <xf numFmtId="165" fontId="0" fillId="0" borderId="7" xfId="1" applyNumberFormat="1" applyFont="1" applyBorder="1"/>
    <xf numFmtId="0" fontId="0" fillId="0" borderId="7" xfId="1" applyNumberFormat="1" applyFont="1" applyBorder="1"/>
    <xf numFmtId="0" fontId="0" fillId="0" borderId="7" xfId="0" applyFont="1" applyBorder="1"/>
    <xf numFmtId="0" fontId="0" fillId="0" borderId="11" xfId="0" applyFont="1" applyBorder="1"/>
    <xf numFmtId="9" fontId="11" fillId="3" borderId="1" xfId="3" applyNumberFormat="1" applyFont="1" applyBorder="1"/>
    <xf numFmtId="1" fontId="4" fillId="4" borderId="0" xfId="0" applyNumberFormat="1" applyFont="1" applyFill="1"/>
    <xf numFmtId="10" fontId="4" fillId="4" borderId="0" xfId="1" applyNumberFormat="1" applyFont="1" applyFill="1"/>
    <xf numFmtId="10" fontId="4" fillId="22" borderId="0" xfId="13" applyNumberFormat="1"/>
    <xf numFmtId="0" fontId="4" fillId="22" borderId="0" xfId="13"/>
    <xf numFmtId="0" fontId="4" fillId="26" borderId="0" xfId="0" applyFont="1" applyFill="1"/>
    <xf numFmtId="0" fontId="4" fillId="27" borderId="0" xfId="0" applyFont="1" applyFill="1"/>
    <xf numFmtId="0" fontId="4" fillId="26" borderId="0" xfId="0" applyFont="1" applyFill="1" applyBorder="1"/>
    <xf numFmtId="0" fontId="4" fillId="27" borderId="0" xfId="0" applyFont="1" applyFill="1" applyBorder="1"/>
    <xf numFmtId="0" fontId="12" fillId="4" borderId="0" xfId="0" applyFont="1" applyFill="1" applyAlignment="1">
      <alignment horizontal="center"/>
    </xf>
    <xf numFmtId="0" fontId="4" fillId="13" borderId="0" xfId="12" applyFill="1"/>
    <xf numFmtId="0" fontId="2" fillId="13" borderId="0" xfId="0" applyFont="1" applyFill="1" applyAlignment="1">
      <alignment horizontal="center"/>
    </xf>
    <xf numFmtId="0" fontId="4" fillId="13" borderId="0" xfId="0" applyFont="1" applyFill="1"/>
    <xf numFmtId="10" fontId="4" fillId="26" borderId="0" xfId="1" applyNumberFormat="1" applyFont="1" applyFill="1"/>
    <xf numFmtId="10" fontId="4" fillId="27" borderId="0" xfId="1" applyNumberFormat="1" applyFont="1" applyFill="1"/>
    <xf numFmtId="0" fontId="2" fillId="13" borderId="0" xfId="12" applyFont="1" applyFill="1" applyAlignment="1">
      <alignment horizontal="center"/>
    </xf>
    <xf numFmtId="0" fontId="17" fillId="4" borderId="0" xfId="12" applyFont="1" applyFill="1" applyAlignment="1">
      <alignment horizontal="center"/>
    </xf>
    <xf numFmtId="0" fontId="4" fillId="26" borderId="0" xfId="1" applyNumberFormat="1" applyFont="1" applyFill="1"/>
    <xf numFmtId="10" fontId="4" fillId="28" borderId="0" xfId="1" applyNumberFormat="1" applyFont="1" applyFill="1"/>
    <xf numFmtId="10" fontId="4" fillId="2" borderId="0" xfId="2" applyNumberFormat="1"/>
    <xf numFmtId="0" fontId="4" fillId="2" borderId="0" xfId="2"/>
    <xf numFmtId="0" fontId="2" fillId="4" borderId="0" xfId="0" applyFont="1" applyFill="1" applyAlignment="1" applyProtection="1">
      <alignment horizontal="center"/>
    </xf>
    <xf numFmtId="10" fontId="1" fillId="3" borderId="1" xfId="3" applyNumberFormat="1" applyBorder="1" applyProtection="1"/>
    <xf numFmtId="0" fontId="17" fillId="4" borderId="0" xfId="0" applyFont="1" applyFill="1" applyAlignment="1" applyProtection="1">
      <alignment horizontal="center"/>
    </xf>
    <xf numFmtId="0" fontId="4" fillId="4" borderId="0" xfId="0" applyFont="1" applyFill="1" applyProtection="1"/>
    <xf numFmtId="10" fontId="4" fillId="4" borderId="0" xfId="1" applyNumberFormat="1" applyFont="1" applyFill="1" applyProtection="1"/>
    <xf numFmtId="9" fontId="4" fillId="27" borderId="0" xfId="0" applyNumberFormat="1" applyFont="1" applyFill="1"/>
    <xf numFmtId="0" fontId="4" fillId="4" borderId="0" xfId="1" applyNumberFormat="1" applyFont="1" applyFill="1"/>
    <xf numFmtId="0" fontId="4" fillId="4" borderId="0" xfId="0" applyNumberFormat="1" applyFont="1" applyFill="1"/>
    <xf numFmtId="0" fontId="2" fillId="4" borderId="0" xfId="0" applyFont="1" applyFill="1" applyAlignment="1">
      <alignment horizontal="center"/>
    </xf>
    <xf numFmtId="10" fontId="0" fillId="29" borderId="7" xfId="1" applyNumberFormat="1" applyFont="1" applyFill="1" applyBorder="1"/>
    <xf numFmtId="0" fontId="1" fillId="16" borderId="0" xfId="8" applyNumberFormat="1"/>
    <xf numFmtId="10" fontId="0" fillId="29" borderId="0" xfId="1" applyNumberFormat="1" applyFont="1" applyFill="1"/>
    <xf numFmtId="10" fontId="1" fillId="16" borderId="0" xfId="8" applyNumberFormat="1"/>
    <xf numFmtId="0" fontId="1" fillId="16" borderId="0" xfId="8"/>
    <xf numFmtId="10" fontId="1" fillId="19" borderId="0" xfId="11" applyNumberFormat="1"/>
    <xf numFmtId="0" fontId="1" fillId="19" borderId="0" xfId="11" applyNumberFormat="1"/>
    <xf numFmtId="0" fontId="16" fillId="15" borderId="0" xfId="7" applyNumberFormat="1"/>
    <xf numFmtId="10" fontId="1" fillId="18" borderId="0" xfId="10" applyNumberFormat="1"/>
    <xf numFmtId="0" fontId="1" fillId="18" borderId="0" xfId="10" applyNumberFormat="1"/>
    <xf numFmtId="0" fontId="1" fillId="17" borderId="0" xfId="9"/>
    <xf numFmtId="0" fontId="1" fillId="17" borderId="0" xfId="9" applyNumberFormat="1"/>
    <xf numFmtId="165" fontId="1" fillId="16" borderId="0" xfId="8" applyNumberFormat="1"/>
    <xf numFmtId="10" fontId="1" fillId="17" borderId="0" xfId="9" applyNumberFormat="1"/>
    <xf numFmtId="165" fontId="1" fillId="17" borderId="0" xfId="9" applyNumberFormat="1"/>
    <xf numFmtId="10" fontId="1" fillId="16" borderId="0" xfId="1" applyNumberFormat="1" applyFill="1"/>
    <xf numFmtId="0" fontId="1" fillId="19" borderId="0" xfId="11"/>
    <xf numFmtId="0" fontId="16" fillId="15" borderId="0" xfId="7"/>
    <xf numFmtId="0" fontId="1" fillId="18" borderId="0" xfId="10"/>
    <xf numFmtId="10" fontId="1" fillId="20" borderId="0" xfId="7" applyNumberFormat="1" applyFont="1" applyFill="1"/>
    <xf numFmtId="9" fontId="1" fillId="17" borderId="0" xfId="1" applyFill="1"/>
    <xf numFmtId="0" fontId="1" fillId="17" borderId="0" xfId="1" applyNumberFormat="1" applyFill="1"/>
    <xf numFmtId="0" fontId="10" fillId="16" borderId="8" xfId="8" applyFont="1" applyFill="1" applyBorder="1"/>
    <xf numFmtId="0" fontId="10" fillId="16" borderId="9" xfId="8" applyFont="1" applyFill="1" applyBorder="1"/>
    <xf numFmtId="0" fontId="10" fillId="19" borderId="9" xfId="11" applyFont="1" applyFill="1" applyBorder="1"/>
    <xf numFmtId="0" fontId="10" fillId="15" borderId="9" xfId="7" applyFont="1" applyFill="1" applyBorder="1"/>
    <xf numFmtId="0" fontId="10" fillId="18" borderId="9" xfId="10" applyFont="1" applyFill="1" applyBorder="1"/>
    <xf numFmtId="0" fontId="10" fillId="17" borderId="9" xfId="9" applyFont="1" applyFill="1" applyBorder="1"/>
    <xf numFmtId="0" fontId="0" fillId="16" borderId="8" xfId="8" applyFont="1" applyFill="1" applyBorder="1"/>
    <xf numFmtId="0" fontId="0" fillId="16" borderId="9" xfId="8" applyFont="1" applyFill="1" applyBorder="1"/>
    <xf numFmtId="0" fontId="0" fillId="19" borderId="9" xfId="11" applyFont="1" applyFill="1" applyBorder="1"/>
    <xf numFmtId="0" fontId="16" fillId="15" borderId="9" xfId="7" applyFont="1" applyFill="1" applyBorder="1"/>
    <xf numFmtId="0" fontId="0" fillId="18" borderId="9" xfId="10" applyFont="1" applyFill="1" applyBorder="1"/>
    <xf numFmtId="0" fontId="0" fillId="18" borderId="9" xfId="10" applyNumberFormat="1" applyFont="1" applyFill="1" applyBorder="1"/>
    <xf numFmtId="0" fontId="0" fillId="17" borderId="9" xfId="9" applyFont="1" applyFill="1" applyBorder="1"/>
    <xf numFmtId="10" fontId="0" fillId="16" borderId="8" xfId="8" applyNumberFormat="1" applyFont="1" applyFill="1" applyBorder="1"/>
    <xf numFmtId="10" fontId="0" fillId="16" borderId="9" xfId="1" applyNumberFormat="1" applyFont="1" applyFill="1" applyBorder="1"/>
    <xf numFmtId="10" fontId="0" fillId="16" borderId="9" xfId="8" applyNumberFormat="1" applyFont="1" applyFill="1" applyBorder="1"/>
    <xf numFmtId="10" fontId="0" fillId="19" borderId="9" xfId="11" applyNumberFormat="1" applyFont="1" applyFill="1" applyBorder="1"/>
    <xf numFmtId="10" fontId="16" fillId="15" borderId="9" xfId="7" applyNumberFormat="1" applyFont="1" applyFill="1" applyBorder="1"/>
    <xf numFmtId="10" fontId="0" fillId="20" borderId="9" xfId="7" applyNumberFormat="1" applyFont="1" applyFill="1" applyBorder="1"/>
    <xf numFmtId="10" fontId="0" fillId="18" borderId="9" xfId="10" applyNumberFormat="1" applyFont="1" applyFill="1" applyBorder="1"/>
    <xf numFmtId="9" fontId="0" fillId="17" borderId="9" xfId="1" applyNumberFormat="1" applyFont="1" applyFill="1" applyBorder="1"/>
    <xf numFmtId="10" fontId="0" fillId="17" borderId="9" xfId="1" applyNumberFormat="1" applyFont="1" applyFill="1" applyBorder="1"/>
    <xf numFmtId="10" fontId="0" fillId="17" borderId="9" xfId="9" applyNumberFormat="1" applyFont="1" applyFill="1" applyBorder="1"/>
    <xf numFmtId="0" fontId="0" fillId="16" borderId="8" xfId="8" applyNumberFormat="1" applyFont="1" applyFill="1" applyBorder="1"/>
    <xf numFmtId="0" fontId="0" fillId="16" borderId="9" xfId="8" applyNumberFormat="1" applyFont="1" applyFill="1" applyBorder="1"/>
    <xf numFmtId="0" fontId="0" fillId="19" borderId="9" xfId="11" applyNumberFormat="1" applyFont="1" applyFill="1" applyBorder="1"/>
    <xf numFmtId="0" fontId="16" fillId="15" borderId="9" xfId="7" applyNumberFormat="1" applyFont="1" applyFill="1" applyBorder="1"/>
    <xf numFmtId="0" fontId="0" fillId="17" borderId="9" xfId="9" applyNumberFormat="1" applyFont="1" applyFill="1" applyBorder="1"/>
    <xf numFmtId="0" fontId="0" fillId="17" borderId="9" xfId="1" applyNumberFormat="1" applyFont="1" applyFill="1" applyBorder="1"/>
    <xf numFmtId="10" fontId="0" fillId="29" borderId="9" xfId="1" applyNumberFormat="1" applyFont="1" applyFill="1" applyBorder="1"/>
    <xf numFmtId="165" fontId="0" fillId="16" borderId="9" xfId="8" applyNumberFormat="1" applyFont="1" applyFill="1" applyBorder="1"/>
    <xf numFmtId="165" fontId="0" fillId="17" borderId="9" xfId="9" applyNumberFormat="1" applyFont="1" applyFill="1" applyBorder="1"/>
    <xf numFmtId="0" fontId="0" fillId="16" borderId="6" xfId="8" applyNumberFormat="1" applyFont="1" applyFill="1" applyBorder="1"/>
    <xf numFmtId="0" fontId="0" fillId="16" borderId="7" xfId="8" applyNumberFormat="1" applyFont="1" applyFill="1" applyBorder="1"/>
    <xf numFmtId="10" fontId="0" fillId="16" borderId="7" xfId="8" applyNumberFormat="1" applyFont="1" applyFill="1" applyBorder="1"/>
    <xf numFmtId="0" fontId="0" fillId="16" borderId="7" xfId="8" applyFont="1" applyFill="1" applyBorder="1"/>
    <xf numFmtId="10" fontId="0" fillId="19" borderId="7" xfId="11" applyNumberFormat="1" applyFont="1" applyFill="1" applyBorder="1"/>
    <xf numFmtId="0" fontId="0" fillId="19" borderId="7" xfId="11" applyNumberFormat="1" applyFont="1" applyFill="1" applyBorder="1"/>
    <xf numFmtId="10" fontId="16" fillId="15" borderId="7" xfId="7" applyNumberFormat="1" applyFont="1" applyFill="1" applyBorder="1"/>
    <xf numFmtId="0" fontId="16" fillId="15" borderId="7" xfId="7" applyNumberFormat="1" applyFont="1" applyFill="1" applyBorder="1"/>
    <xf numFmtId="10" fontId="0" fillId="18" borderId="7" xfId="10" applyNumberFormat="1" applyFont="1" applyFill="1" applyBorder="1"/>
    <xf numFmtId="0" fontId="0" fillId="18" borderId="7" xfId="10" applyNumberFormat="1" applyFont="1" applyFill="1" applyBorder="1"/>
    <xf numFmtId="0" fontId="0" fillId="17" borderId="7" xfId="9" applyFont="1" applyFill="1" applyBorder="1"/>
    <xf numFmtId="0" fontId="10" fillId="16" borderId="0" xfId="8" applyFont="1"/>
    <xf numFmtId="0" fontId="10" fillId="19" borderId="0" xfId="11" applyFont="1"/>
    <xf numFmtId="0" fontId="10" fillId="15" borderId="0" xfId="7" applyFont="1"/>
    <xf numFmtId="0" fontId="10" fillId="18" borderId="0" xfId="10" applyFont="1"/>
    <xf numFmtId="0" fontId="10" fillId="17" borderId="0" xfId="9" applyFont="1"/>
    <xf numFmtId="0" fontId="1" fillId="16" borderId="0" xfId="1" applyNumberFormat="1" applyFill="1"/>
    <xf numFmtId="0" fontId="0" fillId="16" borderId="9" xfId="1" applyNumberFormat="1" applyFont="1" applyFill="1" applyBorder="1"/>
    <xf numFmtId="10" fontId="4" fillId="27" borderId="0" xfId="0" applyNumberFormat="1" applyFont="1" applyFill="1"/>
    <xf numFmtId="10" fontId="4" fillId="26" borderId="0" xfId="0" applyNumberFormat="1" applyFont="1" applyFill="1"/>
    <xf numFmtId="0" fontId="4" fillId="7" borderId="0" xfId="0" applyFont="1" applyFill="1"/>
    <xf numFmtId="0" fontId="2" fillId="4" borderId="0" xfId="0" applyFont="1" applyFill="1" applyAlignment="1">
      <alignment horizontal="center"/>
    </xf>
    <xf numFmtId="0" fontId="3" fillId="0" borderId="0" xfId="0" applyFont="1"/>
    <xf numFmtId="166" fontId="4" fillId="4" borderId="0" xfId="1" applyNumberFormat="1" applyFont="1" applyFill="1"/>
    <xf numFmtId="9" fontId="0" fillId="0" borderId="0" xfId="1" applyNumberFormat="1" applyFont="1"/>
    <xf numFmtId="2" fontId="4" fillId="13" borderId="0" xfId="0" applyNumberFormat="1" applyFont="1" applyFill="1"/>
    <xf numFmtId="0" fontId="4" fillId="4" borderId="0" xfId="0" applyFont="1" applyFill="1" applyAlignment="1">
      <alignment horizontal="left"/>
    </xf>
    <xf numFmtId="0" fontId="12" fillId="4" borderId="0" xfId="0" applyFont="1" applyFill="1"/>
    <xf numFmtId="10" fontId="4" fillId="4" borderId="0" xfId="1" applyNumberFormat="1" applyFont="1" applyFill="1" applyAlignment="1">
      <alignment horizontal="left"/>
    </xf>
    <xf numFmtId="0" fontId="2" fillId="4" borderId="0" xfId="0" applyFont="1" applyFill="1" applyAlignment="1">
      <alignment horizontal="center"/>
    </xf>
    <xf numFmtId="0" fontId="4" fillId="13" borderId="0" xfId="1" applyNumberFormat="1" applyFont="1" applyFill="1"/>
    <xf numFmtId="0" fontId="3" fillId="30" borderId="1" xfId="3" applyFont="1" applyFill="1" applyBorder="1"/>
    <xf numFmtId="0" fontId="1" fillId="30" borderId="1" xfId="5" applyFill="1" applyBorder="1" applyAlignment="1">
      <alignment wrapText="1"/>
    </xf>
    <xf numFmtId="0" fontId="1" fillId="30" borderId="1" xfId="3" applyFill="1" applyBorder="1"/>
    <xf numFmtId="0" fontId="0" fillId="30" borderId="1" xfId="5" applyFont="1" applyFill="1" applyBorder="1" applyAlignment="1">
      <alignment wrapText="1"/>
    </xf>
    <xf numFmtId="0" fontId="1" fillId="31" borderId="1" xfId="5" applyFill="1" applyBorder="1"/>
    <xf numFmtId="0" fontId="1" fillId="30" borderId="1" xfId="5" applyFill="1" applyBorder="1"/>
    <xf numFmtId="0" fontId="0" fillId="30" borderId="1" xfId="5" applyFont="1" applyFill="1" applyBorder="1"/>
    <xf numFmtId="0" fontId="1" fillId="30" borderId="15" xfId="3" applyFill="1" applyBorder="1"/>
    <xf numFmtId="0" fontId="2" fillId="4" borderId="0" xfId="0" applyFont="1" applyFill="1" applyBorder="1" applyAlignment="1">
      <alignment horizontal="center"/>
    </xf>
    <xf numFmtId="10" fontId="1" fillId="4" borderId="0" xfId="1" applyNumberFormat="1" applyFill="1" applyBorder="1"/>
    <xf numFmtId="0" fontId="1" fillId="4" borderId="0" xfId="5" applyFill="1" applyBorder="1"/>
    <xf numFmtId="10" fontId="1" fillId="32" borderId="1" xfId="1" applyNumberFormat="1" applyFill="1" applyBorder="1"/>
    <xf numFmtId="0" fontId="1" fillId="32" borderId="1" xfId="6" applyFill="1" applyBorder="1"/>
    <xf numFmtId="0" fontId="1" fillId="32" borderId="1" xfId="1" applyNumberFormat="1" applyFill="1" applyBorder="1"/>
    <xf numFmtId="0" fontId="11" fillId="33" borderId="1" xfId="3" applyNumberFormat="1" applyFont="1" applyFill="1" applyBorder="1"/>
    <xf numFmtId="0" fontId="11" fillId="33" borderId="1" xfId="3" applyFont="1" applyFill="1" applyBorder="1"/>
    <xf numFmtId="0" fontId="1" fillId="33" borderId="15" xfId="5" applyFill="1" applyBorder="1"/>
    <xf numFmtId="0" fontId="1" fillId="33" borderId="1" xfId="5" applyFill="1" applyBorder="1"/>
    <xf numFmtId="0" fontId="1" fillId="33" borderId="14" xfId="5" applyFill="1" applyBorder="1"/>
    <xf numFmtId="10" fontId="1" fillId="33" borderId="14" xfId="1" applyNumberFormat="1" applyFill="1" applyBorder="1"/>
    <xf numFmtId="9" fontId="4" fillId="26" borderId="0" xfId="0" applyNumberFormat="1" applyFont="1" applyFill="1"/>
    <xf numFmtId="0" fontId="4" fillId="4" borderId="0" xfId="0" applyFont="1" applyFill="1" applyAlignment="1">
      <alignment horizontal="left" wrapText="1"/>
    </xf>
    <xf numFmtId="0" fontId="4" fillId="4" borderId="0" xfId="0" applyFont="1" applyFill="1" applyAlignment="1">
      <alignment horizontal="center"/>
    </xf>
    <xf numFmtId="0" fontId="4" fillId="4" borderId="0" xfId="0" applyFont="1" applyFill="1" applyAlignment="1">
      <alignment horizontal="right"/>
    </xf>
    <xf numFmtId="0" fontId="4" fillId="34" borderId="0" xfId="0" applyFont="1" applyFill="1" applyAlignment="1">
      <alignment horizontal="left"/>
    </xf>
    <xf numFmtId="0" fontId="4" fillId="34" borderId="0" xfId="0" applyFont="1" applyFill="1" applyAlignment="1">
      <alignment horizontal="right"/>
    </xf>
    <xf numFmtId="10" fontId="4" fillId="34" borderId="0" xfId="1" applyNumberFormat="1" applyFont="1" applyFill="1"/>
    <xf numFmtId="0" fontId="2" fillId="4" borderId="0" xfId="0" applyFont="1" applyFill="1" applyAlignment="1">
      <alignment horizontal="left"/>
    </xf>
    <xf numFmtId="0" fontId="2" fillId="35" borderId="0" xfId="0" applyFont="1" applyFill="1" applyAlignment="1">
      <alignment horizontal="left"/>
    </xf>
    <xf numFmtId="0" fontId="12" fillId="4" borderId="0" xfId="0" applyFont="1" applyFill="1" applyAlignment="1">
      <alignment horizontal="left"/>
    </xf>
    <xf numFmtId="0" fontId="4" fillId="4" borderId="0" xfId="0" applyFont="1" applyFill="1" applyAlignment="1">
      <alignment horizontal="center" vertical="center"/>
    </xf>
    <xf numFmtId="9" fontId="4" fillId="4" borderId="0" xfId="0" applyNumberFormat="1" applyFont="1" applyFill="1" applyAlignment="1">
      <alignment horizontal="left"/>
    </xf>
    <xf numFmtId="10" fontId="4" fillId="4" borderId="0" xfId="1" applyNumberFormat="1" applyFont="1" applyFill="1" applyAlignment="1"/>
    <xf numFmtId="10" fontId="4" fillId="4" borderId="0" xfId="1" applyNumberFormat="1" applyFont="1" applyFill="1" applyAlignment="1">
      <alignment horizontal="right"/>
    </xf>
    <xf numFmtId="0" fontId="4" fillId="4" borderId="0" xfId="0" applyFont="1" applyFill="1" applyAlignment="1">
      <alignment horizontal="left" wrapText="1"/>
    </xf>
    <xf numFmtId="0" fontId="1" fillId="32" borderId="0" xfId="1" applyNumberFormat="1" applyFill="1" applyBorder="1"/>
    <xf numFmtId="9" fontId="1" fillId="32" borderId="1" xfId="1" applyNumberFormat="1" applyFill="1" applyBorder="1"/>
    <xf numFmtId="0" fontId="4" fillId="36" borderId="0" xfId="13" applyFill="1"/>
    <xf numFmtId="0" fontId="4" fillId="4" borderId="0" xfId="0" applyFont="1" applyFill="1" applyAlignment="1">
      <alignment horizontal="left" wrapText="1"/>
    </xf>
    <xf numFmtId="0" fontId="20" fillId="4" borderId="0" xfId="14" applyFill="1" applyAlignment="1">
      <alignment horizontal="left" vertical="center"/>
    </xf>
    <xf numFmtId="0" fontId="11" fillId="33" borderId="0" xfId="0" applyFont="1" applyFill="1" applyAlignment="1">
      <alignment horizontal="center"/>
    </xf>
    <xf numFmtId="0" fontId="11" fillId="32" borderId="0" xfId="0" applyFont="1" applyFill="1" applyAlignment="1">
      <alignment horizontal="center"/>
    </xf>
    <xf numFmtId="0" fontId="4" fillId="4" borderId="0" xfId="0" applyFont="1" applyFill="1" applyAlignment="1">
      <alignment horizontal="left" wrapText="1"/>
    </xf>
    <xf numFmtId="0" fontId="9" fillId="4" borderId="0" xfId="0" applyFont="1" applyFill="1" applyAlignment="1">
      <alignment horizontal="center" vertical="center"/>
    </xf>
    <xf numFmtId="0" fontId="2" fillId="4" borderId="0" xfId="0" applyFont="1" applyFill="1" applyAlignment="1">
      <alignment horizontal="center"/>
    </xf>
    <xf numFmtId="0" fontId="4" fillId="4" borderId="0" xfId="0" applyFont="1" applyFill="1" applyAlignment="1">
      <alignment horizontal="center"/>
    </xf>
    <xf numFmtId="0" fontId="4" fillId="7" borderId="0" xfId="0" applyFont="1" applyFill="1" applyAlignment="1">
      <alignment horizontal="center"/>
    </xf>
    <xf numFmtId="10" fontId="4" fillId="4" borderId="0" xfId="1" applyNumberFormat="1" applyFont="1" applyFill="1" applyAlignment="1">
      <alignment horizontal="center"/>
    </xf>
    <xf numFmtId="0" fontId="2" fillId="5" borderId="0" xfId="0" applyFont="1" applyFill="1" applyAlignment="1">
      <alignment horizontal="center" vertical="center"/>
    </xf>
    <xf numFmtId="0" fontId="4" fillId="7" borderId="0" xfId="0" applyFont="1" applyFill="1" applyBorder="1" applyAlignment="1">
      <alignment horizontal="center"/>
    </xf>
    <xf numFmtId="2" fontId="10" fillId="8" borderId="12" xfId="4" applyNumberFormat="1" applyFont="1" applyBorder="1" applyAlignment="1">
      <alignment horizontal="center"/>
    </xf>
    <xf numFmtId="0" fontId="10" fillId="8" borderId="13" xfId="4" applyFont="1" applyBorder="1" applyAlignment="1">
      <alignment horizontal="center"/>
    </xf>
    <xf numFmtId="0" fontId="11" fillId="3" borderId="2" xfId="3" applyFont="1" applyBorder="1" applyAlignment="1">
      <alignment horizontal="center"/>
    </xf>
    <xf numFmtId="0" fontId="11" fillId="3" borderId="3" xfId="3" applyFont="1" applyBorder="1" applyAlignment="1">
      <alignment horizontal="center"/>
    </xf>
    <xf numFmtId="0" fontId="11" fillId="3" borderId="1" xfId="3" applyFont="1" applyBorder="1" applyAlignment="1">
      <alignment horizontal="center"/>
    </xf>
    <xf numFmtId="0" fontId="7" fillId="3" borderId="1" xfId="3" applyFont="1" applyBorder="1" applyAlignment="1">
      <alignment horizontal="center"/>
    </xf>
    <xf numFmtId="0" fontId="4" fillId="7" borderId="4" xfId="0" applyFont="1" applyFill="1" applyBorder="1" applyAlignment="1">
      <alignment horizontal="center"/>
    </xf>
    <xf numFmtId="0" fontId="4" fillId="4" borderId="0" xfId="0" applyFont="1" applyFill="1" applyBorder="1" applyAlignment="1">
      <alignment horizontal="center"/>
    </xf>
    <xf numFmtId="10" fontId="11" fillId="3" borderId="2" xfId="3" applyNumberFormat="1" applyFont="1" applyBorder="1" applyAlignment="1">
      <alignment horizontal="center"/>
    </xf>
    <xf numFmtId="10" fontId="11" fillId="3" borderId="3" xfId="3" applyNumberFormat="1" applyFont="1" applyBorder="1" applyAlignment="1">
      <alignment horizontal="center"/>
    </xf>
    <xf numFmtId="0" fontId="1" fillId="4" borderId="0" xfId="3" applyFill="1" applyBorder="1" applyAlignment="1">
      <alignment horizontal="center"/>
    </xf>
    <xf numFmtId="10" fontId="4" fillId="4" borderId="0" xfId="0" applyNumberFormat="1" applyFont="1" applyFill="1" applyAlignment="1">
      <alignment horizontal="center"/>
    </xf>
    <xf numFmtId="0" fontId="10" fillId="8" borderId="5" xfId="4" applyFont="1" applyAlignment="1">
      <alignment horizontal="center"/>
    </xf>
    <xf numFmtId="0" fontId="15" fillId="14" borderId="0" xfId="0" applyFont="1" applyFill="1" applyAlignment="1">
      <alignment horizontal="center" vertical="center"/>
    </xf>
    <xf numFmtId="0" fontId="2" fillId="14" borderId="0" xfId="0" applyFont="1" applyFill="1" applyAlignment="1">
      <alignment horizontal="center" vertical="center"/>
    </xf>
    <xf numFmtId="0" fontId="4" fillId="25" borderId="0" xfId="0" applyFont="1" applyFill="1" applyAlignment="1">
      <alignment horizontal="center"/>
    </xf>
    <xf numFmtId="0" fontId="15" fillId="5" borderId="0" xfId="0" applyFont="1" applyFill="1" applyAlignment="1">
      <alignment horizontal="center" vertical="center"/>
    </xf>
  </cellXfs>
  <cellStyles count="15">
    <cellStyle name="20% - Accent1" xfId="8" builtinId="30"/>
    <cellStyle name="20% - Accent2" xfId="9" builtinId="34"/>
    <cellStyle name="20% - Accent3" xfId="10" builtinId="38"/>
    <cellStyle name="20% - Accent4" xfId="11" builtinId="42"/>
    <cellStyle name="40% - Accent5" xfId="5" builtinId="47"/>
    <cellStyle name="60% - Accent2" xfId="6" builtinId="36"/>
    <cellStyle name="60% - Accent5" xfId="3" builtinId="48"/>
    <cellStyle name="Accent1" xfId="12" builtinId="29"/>
    <cellStyle name="Accent3" xfId="2" builtinId="37"/>
    <cellStyle name="Accent5" xfId="13" builtinId="45"/>
    <cellStyle name="Calculation" xfId="4" builtinId="22"/>
    <cellStyle name="Good" xfId="7" builtinId="26"/>
    <cellStyle name="Hyperlink" xfId="14" builtinId="8"/>
    <cellStyle name="Normal" xfId="0" builtinId="0"/>
    <cellStyle name="Percent" xfId="1" builtinId="5"/>
  </cellStyles>
  <dxfs count="0"/>
  <tableStyles count="0" defaultTableStyle="TableStyleMedium2" defaultPivotStyle="PivotStyleLight16"/>
  <colors>
    <mruColors>
      <color rgb="FF8D0505"/>
      <color rgb="FF36174D"/>
      <color rgb="FF292929"/>
      <color rgb="FF1C1C1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fmlaLink="$L$8" lockText="1" noThreeD="1"/>
</file>

<file path=xl/ctrlProps/ctrlProp2.xml><?xml version="1.0" encoding="utf-8"?>
<formControlPr xmlns="http://schemas.microsoft.com/office/spreadsheetml/2009/9/main" objectType="CheckBox" fmlaLink="$L$17" lockText="1" noThreeD="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CheckBox" checked="Checked" fmlaLink="$Z$6" lockText="1" noThreeD="1"/>
</file>

<file path=xl/ctrlProps/ctrlProp5.xml><?xml version="1.0" encoding="utf-8"?>
<formControlPr xmlns="http://schemas.microsoft.com/office/spreadsheetml/2009/9/main" objectType="CheckBox" fmlaLink="$L$8" lockText="1" noThreeD="1"/>
</file>

<file path=xl/ctrlProps/ctrlProp6.xml><?xml version="1.0" encoding="utf-8"?>
<formControlPr xmlns="http://schemas.microsoft.com/office/spreadsheetml/2009/9/main" objectType="CheckBox" fmlaLink="$L$17" lockText="1" noThreeD="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CheckBox" checked="Checked" fmlaLink="$Z$6" lockText="1" noThreeD="1"/>
</file>

<file path=xl/ctrlProps/ctrlProp9.xml><?xml version="1.0" encoding="utf-8"?>
<formControlPr xmlns="http://schemas.microsoft.com/office/spreadsheetml/2009/9/main" objectType="CheckBox" checked="Checked" fmlaLink="$L$8" lockText="1" noThreeD="1"/>
</file>

<file path=xl/ctrlProps/ctrlProp10.xml><?xml version="1.0" encoding="utf-8"?>
<formControlPr xmlns="http://schemas.microsoft.com/office/spreadsheetml/2009/9/main" objectType="CheckBox" fmlaLink="$L$17" lockText="1" noThreeD="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CheckBox" checked="Checked" fmlaLink="$Z$6" lockText="1" noThreeD="1"/>
</file>

<file path=xl/ctrlProps/ctrlProp13.xml><?xml version="1.0" encoding="utf-8"?>
<formControlPr xmlns="http://schemas.microsoft.com/office/spreadsheetml/2009/9/main" objectType="CheckBox" checked="Checked" fmlaLink="$L$8" lockText="1" noThreeD="1"/>
</file>

<file path=xl/ctrlProps/ctrlProp14.xml><?xml version="1.0" encoding="utf-8"?>
<formControlPr xmlns="http://schemas.microsoft.com/office/spreadsheetml/2009/9/main" objectType="CheckBox" checked="Checked" fmlaLink="$L$17"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CheckBox" checked="Checked" fmlaLink="$Z$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257175</xdr:colOff>
          <xdr:row>7</xdr:row>
          <xdr:rowOff>9525</xdr:rowOff>
        </xdr:from>
        <xdr:to>
          <xdr:col>12</xdr:col>
          <xdr:colOff>447675</xdr:colOff>
          <xdr:row>8</xdr:row>
          <xdr:rowOff>9525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257175</xdr:colOff>
          <xdr:row>15</xdr:row>
          <xdr:rowOff>171450</xdr:rowOff>
        </xdr:from>
        <xdr:to>
          <xdr:col>12</xdr:col>
          <xdr:colOff>485775</xdr:colOff>
          <xdr:row>17</xdr:row>
          <xdr:rowOff>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428625</xdr:colOff>
          <xdr:row>2</xdr:row>
          <xdr:rowOff>76200</xdr:rowOff>
        </xdr:from>
        <xdr:to>
          <xdr:col>37</xdr:col>
          <xdr:colOff>381000</xdr:colOff>
          <xdr:row>4</xdr:row>
          <xdr:rowOff>95250</xdr:rowOff>
        </xdr:to>
        <xdr:sp macro="" textlink="">
          <xdr:nvSpPr>
            <xdr:cNvPr id="1040" name="Button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228600</xdr:colOff>
          <xdr:row>4</xdr:row>
          <xdr:rowOff>171450</xdr:rowOff>
        </xdr:from>
        <xdr:to>
          <xdr:col>25</xdr:col>
          <xdr:colOff>533400</xdr:colOff>
          <xdr:row>6</xdr:row>
          <xdr:rowOff>9525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266700</xdr:colOff>
          <xdr:row>7</xdr:row>
          <xdr:rowOff>0</xdr:rowOff>
        </xdr:from>
        <xdr:to>
          <xdr:col>12</xdr:col>
          <xdr:colOff>457200</xdr:colOff>
          <xdr:row>8</xdr:row>
          <xdr:rowOff>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2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266700</xdr:colOff>
          <xdr:row>16</xdr:row>
          <xdr:rowOff>0</xdr:rowOff>
        </xdr:from>
        <xdr:to>
          <xdr:col>12</xdr:col>
          <xdr:colOff>495300</xdr:colOff>
          <xdr:row>17</xdr:row>
          <xdr:rowOff>9525</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2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371475</xdr:colOff>
          <xdr:row>2</xdr:row>
          <xdr:rowOff>85725</xdr:rowOff>
        </xdr:from>
        <xdr:to>
          <xdr:col>37</xdr:col>
          <xdr:colOff>323850</xdr:colOff>
          <xdr:row>4</xdr:row>
          <xdr:rowOff>104775</xdr:rowOff>
        </xdr:to>
        <xdr:sp macro="" textlink="">
          <xdr:nvSpPr>
            <xdr:cNvPr id="14347" name="Button 11" hidden="1">
              <a:extLst>
                <a:ext uri="{63B3BB69-23CF-44E3-9099-C40C66FF867C}">
                  <a14:compatExt spid="_x0000_s14347"/>
                </a:ext>
                <a:ext uri="{FF2B5EF4-FFF2-40B4-BE49-F238E27FC236}">
                  <a16:creationId xmlns:a16="http://schemas.microsoft.com/office/drawing/2014/main" id="{00000000-0008-0000-0200-00000B3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238125</xdr:colOff>
          <xdr:row>4</xdr:row>
          <xdr:rowOff>161925</xdr:rowOff>
        </xdr:from>
        <xdr:to>
          <xdr:col>25</xdr:col>
          <xdr:colOff>514350</xdr:colOff>
          <xdr:row>6</xdr:row>
          <xdr:rowOff>19050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2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200025</xdr:colOff>
          <xdr:row>7</xdr:row>
          <xdr:rowOff>9525</xdr:rowOff>
        </xdr:from>
        <xdr:to>
          <xdr:col>12</xdr:col>
          <xdr:colOff>390525</xdr:colOff>
          <xdr:row>8</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3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200025</xdr:colOff>
          <xdr:row>15</xdr:row>
          <xdr:rowOff>180975</xdr:rowOff>
        </xdr:from>
        <xdr:to>
          <xdr:col>12</xdr:col>
          <xdr:colOff>428625</xdr:colOff>
          <xdr:row>17</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3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371475</xdr:colOff>
          <xdr:row>2</xdr:row>
          <xdr:rowOff>85725</xdr:rowOff>
        </xdr:from>
        <xdr:to>
          <xdr:col>37</xdr:col>
          <xdr:colOff>323850</xdr:colOff>
          <xdr:row>4</xdr:row>
          <xdr:rowOff>104775</xdr:rowOff>
        </xdr:to>
        <xdr:sp macro="" textlink="">
          <xdr:nvSpPr>
            <xdr:cNvPr id="15365" name="Button 5" hidden="1">
              <a:extLst>
                <a:ext uri="{63B3BB69-23CF-44E3-9099-C40C66FF867C}">
                  <a14:compatExt spid="_x0000_s15365"/>
                </a:ext>
                <a:ext uri="{FF2B5EF4-FFF2-40B4-BE49-F238E27FC236}">
                  <a16:creationId xmlns:a16="http://schemas.microsoft.com/office/drawing/2014/main" id="{00000000-0008-0000-0300-0000053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238125</xdr:colOff>
          <xdr:row>4</xdr:row>
          <xdr:rowOff>161925</xdr:rowOff>
        </xdr:from>
        <xdr:to>
          <xdr:col>25</xdr:col>
          <xdr:colOff>514350</xdr:colOff>
          <xdr:row>6</xdr:row>
          <xdr:rowOff>19050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3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200025</xdr:colOff>
          <xdr:row>7</xdr:row>
          <xdr:rowOff>9525</xdr:rowOff>
        </xdr:from>
        <xdr:to>
          <xdr:col>12</xdr:col>
          <xdr:colOff>390525</xdr:colOff>
          <xdr:row>8</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4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200025</xdr:colOff>
          <xdr:row>15</xdr:row>
          <xdr:rowOff>180975</xdr:rowOff>
        </xdr:from>
        <xdr:to>
          <xdr:col>12</xdr:col>
          <xdr:colOff>428625</xdr:colOff>
          <xdr:row>17</xdr:row>
          <xdr:rowOff>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4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34</xdr:col>
          <xdr:colOff>371475</xdr:colOff>
          <xdr:row>2</xdr:row>
          <xdr:rowOff>85725</xdr:rowOff>
        </xdr:from>
        <xdr:to>
          <xdr:col>37</xdr:col>
          <xdr:colOff>323850</xdr:colOff>
          <xdr:row>4</xdr:row>
          <xdr:rowOff>104775</xdr:rowOff>
        </xdr:to>
        <xdr:sp macro="" textlink="">
          <xdr:nvSpPr>
            <xdr:cNvPr id="16390" name="Button 6" hidden="1">
              <a:extLst>
                <a:ext uri="{63B3BB69-23CF-44E3-9099-C40C66FF867C}">
                  <a14:compatExt spid="_x0000_s16390"/>
                </a:ext>
                <a:ext uri="{FF2B5EF4-FFF2-40B4-BE49-F238E27FC236}">
                  <a16:creationId xmlns:a16="http://schemas.microsoft.com/office/drawing/2014/main" id="{00000000-0008-0000-0400-0000064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Solve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25</xdr:col>
          <xdr:colOff>238125</xdr:colOff>
          <xdr:row>4</xdr:row>
          <xdr:rowOff>161925</xdr:rowOff>
        </xdr:from>
        <xdr:to>
          <xdr:col>25</xdr:col>
          <xdr:colOff>514350</xdr:colOff>
          <xdr:row>6</xdr:row>
          <xdr:rowOff>19050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4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trlProp" Target="../ctrlProps/ctrlProp1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trlProp" Target="../ctrlProps/ctrlProp16.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google.com/spreadsheets/d/1egOGgn9uyh6M67QqxaNefDRZME7_qPkV7-_xFea_RoM/edit?usp=sharing" TargetMode="External"/><Relationship Id="rId1" Type="http://schemas.openxmlformats.org/officeDocument/2006/relationships/hyperlink" Target="https://www.youtube.com/watch?v=MuiC4KZUac0" TargetMode="External"/><Relationship Id="rId5" Type="http://schemas.openxmlformats.org/officeDocument/2006/relationships/comments" Target="../comments1.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721D0-E17E-4C17-982A-6B9D80C07938}">
  <sheetPr codeName="Sheet1"/>
  <dimension ref="A1:AA34"/>
  <sheetViews>
    <sheetView topLeftCell="A34" workbookViewId="0">
      <selection activeCell="L64" sqref="L64"/>
    </sheetView>
  </sheetViews>
  <sheetFormatPr defaultColWidth="9.140625" defaultRowHeight="15" x14ac:dyDescent="0.25"/>
  <cols>
    <col min="1" max="22" width="9.140625" style="7"/>
    <col min="23" max="16384" width="9.140625" style="32"/>
  </cols>
  <sheetData>
    <row r="1" spans="2:27" s="7" customFormat="1" x14ac:dyDescent="0.25"/>
    <row r="2" spans="2:27" s="7" customFormat="1" x14ac:dyDescent="0.25">
      <c r="B2" s="259" t="s">
        <v>1067</v>
      </c>
      <c r="C2" s="259"/>
      <c r="D2" s="259"/>
      <c r="E2" s="259"/>
      <c r="F2" s="259"/>
      <c r="K2" s="259" t="s">
        <v>115</v>
      </c>
      <c r="L2" s="259"/>
      <c r="M2" s="259"/>
      <c r="N2" s="259"/>
      <c r="O2" s="259"/>
      <c r="Q2" s="259" t="s">
        <v>378</v>
      </c>
      <c r="R2" s="259"/>
      <c r="S2" s="259"/>
      <c r="T2" s="259"/>
      <c r="U2" s="259"/>
      <c r="W2" s="259" t="s">
        <v>381</v>
      </c>
      <c r="X2" s="259"/>
      <c r="Y2" s="259"/>
      <c r="Z2" s="259"/>
      <c r="AA2" s="259"/>
    </row>
    <row r="3" spans="2:27" s="7" customFormat="1" x14ac:dyDescent="0.25">
      <c r="B3" s="259"/>
      <c r="C3" s="259"/>
      <c r="D3" s="259"/>
      <c r="E3" s="259"/>
      <c r="F3" s="259"/>
      <c r="K3" s="259"/>
      <c r="L3" s="259"/>
      <c r="M3" s="259"/>
      <c r="N3" s="259"/>
      <c r="O3" s="259"/>
      <c r="Q3" s="259"/>
      <c r="R3" s="259"/>
      <c r="S3" s="259"/>
      <c r="T3" s="259"/>
      <c r="U3" s="259"/>
      <c r="W3" s="259"/>
      <c r="X3" s="259"/>
      <c r="Y3" s="259"/>
      <c r="Z3" s="259"/>
      <c r="AA3" s="259"/>
    </row>
    <row r="4" spans="2:27" s="7" customFormat="1" ht="15" customHeight="1" x14ac:dyDescent="0.25">
      <c r="B4" s="260" t="s">
        <v>107</v>
      </c>
      <c r="C4" s="260"/>
      <c r="D4" s="260"/>
      <c r="E4" s="260"/>
      <c r="F4" s="260"/>
      <c r="K4" s="261" t="s">
        <v>113</v>
      </c>
      <c r="L4" s="261"/>
      <c r="M4" s="7" t="s">
        <v>114</v>
      </c>
      <c r="Q4" s="258" t="s">
        <v>395</v>
      </c>
      <c r="R4" s="258"/>
      <c r="S4" s="258"/>
      <c r="T4" s="258"/>
      <c r="U4" s="258"/>
      <c r="W4" s="7" t="s">
        <v>382</v>
      </c>
    </row>
    <row r="5" spans="2:27" s="7" customFormat="1" x14ac:dyDescent="0.25">
      <c r="Q5" s="258"/>
      <c r="R5" s="258"/>
      <c r="S5" s="258"/>
      <c r="T5" s="258"/>
      <c r="U5" s="258"/>
    </row>
    <row r="6" spans="2:27" s="7" customFormat="1" ht="15" customHeight="1" x14ac:dyDescent="0.25">
      <c r="B6" s="17" t="s">
        <v>108</v>
      </c>
      <c r="K6" s="259" t="s">
        <v>1072</v>
      </c>
      <c r="L6" s="259"/>
      <c r="M6" s="259"/>
      <c r="N6" s="259"/>
      <c r="O6" s="259"/>
      <c r="R6" s="31"/>
      <c r="S6" s="31"/>
      <c r="T6" s="31"/>
      <c r="U6" s="31"/>
      <c r="V6" s="31"/>
      <c r="W6" s="32" t="s">
        <v>383</v>
      </c>
      <c r="X6" s="31"/>
    </row>
    <row r="7" spans="2:27" s="7" customFormat="1" x14ac:dyDescent="0.25">
      <c r="K7" s="259"/>
      <c r="L7" s="259"/>
      <c r="M7" s="259"/>
      <c r="N7" s="259"/>
      <c r="O7" s="259"/>
      <c r="Q7" s="258" t="s">
        <v>379</v>
      </c>
      <c r="R7" s="258"/>
      <c r="S7" s="258"/>
      <c r="T7" s="258"/>
      <c r="U7" s="258"/>
      <c r="V7" s="31"/>
      <c r="W7" s="32"/>
      <c r="X7" s="31"/>
    </row>
    <row r="8" spans="2:27" x14ac:dyDescent="0.25">
      <c r="B8" s="17" t="s">
        <v>1068</v>
      </c>
      <c r="D8" s="18"/>
      <c r="E8" s="18"/>
      <c r="F8" s="18"/>
      <c r="K8" s="7" t="s">
        <v>1073</v>
      </c>
      <c r="Q8" s="258"/>
      <c r="R8" s="258"/>
      <c r="S8" s="258"/>
      <c r="T8" s="258"/>
      <c r="U8" s="258"/>
      <c r="V8" s="32"/>
      <c r="W8" s="258" t="s">
        <v>814</v>
      </c>
      <c r="X8" s="258"/>
      <c r="Y8" s="258"/>
      <c r="Z8" s="258"/>
      <c r="AA8" s="258"/>
    </row>
    <row r="9" spans="2:27" x14ac:dyDescent="0.25">
      <c r="B9" s="7" t="s">
        <v>1069</v>
      </c>
      <c r="R9" s="31"/>
      <c r="S9" s="31"/>
      <c r="T9" s="31"/>
      <c r="U9" s="31"/>
      <c r="V9" s="31"/>
      <c r="W9" s="258"/>
      <c r="X9" s="258"/>
      <c r="Y9" s="258"/>
      <c r="Z9" s="258"/>
      <c r="AA9" s="258"/>
    </row>
    <row r="10" spans="2:27" ht="15" customHeight="1" x14ac:dyDescent="0.25">
      <c r="B10" s="7" t="s">
        <v>1070</v>
      </c>
      <c r="K10" s="259" t="s">
        <v>1074</v>
      </c>
      <c r="L10" s="259"/>
      <c r="M10" s="259"/>
      <c r="N10" s="259"/>
      <c r="O10" s="259"/>
      <c r="Q10" s="258" t="s">
        <v>380</v>
      </c>
      <c r="R10" s="258"/>
      <c r="S10" s="258"/>
      <c r="T10" s="258"/>
      <c r="U10" s="258"/>
      <c r="V10" s="31"/>
      <c r="W10" s="258"/>
      <c r="X10" s="258"/>
      <c r="Y10" s="258"/>
      <c r="Z10" s="258"/>
      <c r="AA10" s="258"/>
    </row>
    <row r="11" spans="2:27" x14ac:dyDescent="0.25">
      <c r="B11" s="7" t="s">
        <v>1142</v>
      </c>
      <c r="C11" s="18"/>
      <c r="K11" s="259"/>
      <c r="L11" s="259"/>
      <c r="M11" s="259"/>
      <c r="N11" s="259"/>
      <c r="O11" s="259"/>
      <c r="Q11" s="258"/>
      <c r="R11" s="258"/>
      <c r="S11" s="258"/>
      <c r="T11" s="258"/>
      <c r="U11" s="258"/>
      <c r="W11" s="31"/>
      <c r="X11" s="31"/>
      <c r="Y11" s="31"/>
      <c r="Z11" s="31"/>
      <c r="AA11" s="31"/>
    </row>
    <row r="12" spans="2:27" x14ac:dyDescent="0.25">
      <c r="B12" s="7" t="s">
        <v>1143</v>
      </c>
      <c r="L12" s="257" t="s">
        <v>1075</v>
      </c>
      <c r="M12" s="257"/>
      <c r="N12" s="257"/>
      <c r="Q12" s="258"/>
      <c r="R12" s="258"/>
      <c r="S12" s="258"/>
      <c r="T12" s="258"/>
      <c r="U12" s="258"/>
      <c r="W12" s="31"/>
      <c r="X12" s="31"/>
      <c r="Y12" s="31"/>
      <c r="Z12" s="31"/>
      <c r="AA12" s="31"/>
    </row>
    <row r="13" spans="2:27" x14ac:dyDescent="0.25">
      <c r="L13" s="256" t="s">
        <v>1076</v>
      </c>
      <c r="M13" s="256"/>
      <c r="N13" s="256"/>
      <c r="Q13" s="258"/>
      <c r="R13" s="258"/>
      <c r="S13" s="258"/>
      <c r="T13" s="258"/>
      <c r="U13" s="258"/>
      <c r="W13" s="31"/>
      <c r="X13" s="31"/>
      <c r="Y13" s="31"/>
      <c r="Z13" s="31"/>
      <c r="AA13" s="31"/>
    </row>
    <row r="14" spans="2:27" x14ac:dyDescent="0.25">
      <c r="B14" s="17" t="s">
        <v>804</v>
      </c>
      <c r="Q14" s="258"/>
      <c r="R14" s="258"/>
      <c r="S14" s="258"/>
      <c r="T14" s="258"/>
      <c r="U14" s="258"/>
      <c r="W14" s="31"/>
      <c r="X14" s="31"/>
      <c r="Y14" s="31"/>
      <c r="Z14" s="31"/>
      <c r="AA14" s="31"/>
    </row>
    <row r="15" spans="2:27" x14ac:dyDescent="0.25">
      <c r="B15" s="7" t="s">
        <v>805</v>
      </c>
      <c r="Q15" s="258"/>
      <c r="R15" s="258"/>
      <c r="S15" s="258"/>
      <c r="T15" s="258"/>
      <c r="U15" s="258"/>
    </row>
    <row r="16" spans="2:27" x14ac:dyDescent="0.25">
      <c r="Q16" s="258"/>
      <c r="R16" s="258"/>
      <c r="S16" s="258"/>
      <c r="T16" s="258"/>
      <c r="U16" s="258"/>
    </row>
    <row r="17" spans="2:21" x14ac:dyDescent="0.25">
      <c r="B17" s="17" t="s">
        <v>112</v>
      </c>
    </row>
    <row r="18" spans="2:21" ht="15" customHeight="1" x14ac:dyDescent="0.25">
      <c r="B18" s="7" t="s">
        <v>109</v>
      </c>
      <c r="Q18" s="258" t="s">
        <v>396</v>
      </c>
      <c r="R18" s="258"/>
      <c r="S18" s="258"/>
      <c r="T18" s="258"/>
      <c r="U18" s="258"/>
    </row>
    <row r="19" spans="2:21" x14ac:dyDescent="0.25">
      <c r="B19" s="7" t="s">
        <v>234</v>
      </c>
      <c r="Q19" s="258"/>
      <c r="R19" s="258"/>
      <c r="S19" s="258"/>
      <c r="T19" s="258"/>
      <c r="U19" s="258"/>
    </row>
    <row r="20" spans="2:21" x14ac:dyDescent="0.25">
      <c r="B20" s="7" t="s">
        <v>110</v>
      </c>
      <c r="Q20" s="258"/>
      <c r="R20" s="258"/>
      <c r="S20" s="258"/>
      <c r="T20" s="258"/>
      <c r="U20" s="258"/>
    </row>
    <row r="21" spans="2:21" x14ac:dyDescent="0.25">
      <c r="B21" s="7" t="s">
        <v>111</v>
      </c>
      <c r="Q21" s="258"/>
      <c r="R21" s="258"/>
      <c r="S21" s="258"/>
      <c r="T21" s="258"/>
      <c r="U21" s="258"/>
    </row>
    <row r="22" spans="2:21" x14ac:dyDescent="0.25">
      <c r="B22" s="7" t="s">
        <v>116</v>
      </c>
      <c r="Q22" s="258"/>
      <c r="R22" s="258"/>
      <c r="S22" s="258"/>
      <c r="T22" s="258"/>
      <c r="U22" s="258"/>
    </row>
    <row r="23" spans="2:21" x14ac:dyDescent="0.25">
      <c r="B23" s="7" t="s">
        <v>117</v>
      </c>
      <c r="Q23" s="258"/>
      <c r="R23" s="258"/>
      <c r="S23" s="258"/>
      <c r="T23" s="258"/>
      <c r="U23" s="258"/>
    </row>
    <row r="24" spans="2:21" x14ac:dyDescent="0.25">
      <c r="B24" s="7" t="s">
        <v>122</v>
      </c>
      <c r="Q24" s="31"/>
      <c r="R24" s="31"/>
      <c r="S24" s="31"/>
      <c r="T24" s="31"/>
      <c r="U24" s="31"/>
    </row>
    <row r="25" spans="2:21" x14ac:dyDescent="0.25">
      <c r="Q25" s="31"/>
      <c r="R25" s="31"/>
      <c r="S25" s="31"/>
      <c r="T25" s="31"/>
      <c r="U25" s="31"/>
    </row>
    <row r="26" spans="2:21" x14ac:dyDescent="0.25">
      <c r="B26" s="17" t="s">
        <v>148</v>
      </c>
    </row>
    <row r="27" spans="2:21" x14ac:dyDescent="0.25">
      <c r="B27" s="7" t="s">
        <v>941</v>
      </c>
    </row>
    <row r="28" spans="2:21" x14ac:dyDescent="0.25">
      <c r="B28" s="7" t="s">
        <v>1084</v>
      </c>
    </row>
    <row r="30" spans="2:21" x14ac:dyDescent="0.25">
      <c r="B30" s="17" t="s">
        <v>555</v>
      </c>
    </row>
    <row r="31" spans="2:21" x14ac:dyDescent="0.25">
      <c r="B31" s="7" t="s">
        <v>942</v>
      </c>
    </row>
    <row r="32" spans="2:21" x14ac:dyDescent="0.25">
      <c r="B32" s="7" t="s">
        <v>973</v>
      </c>
    </row>
    <row r="33" spans="2:2" x14ac:dyDescent="0.25">
      <c r="B33" s="7" t="s">
        <v>977</v>
      </c>
    </row>
    <row r="34" spans="2:2" x14ac:dyDescent="0.25">
      <c r="B34" s="7" t="s">
        <v>978</v>
      </c>
    </row>
  </sheetData>
  <mergeCells count="15">
    <mergeCell ref="Q18:U23"/>
    <mergeCell ref="Q7:U8"/>
    <mergeCell ref="Q10:U16"/>
    <mergeCell ref="Q2:U3"/>
    <mergeCell ref="Q4:U5"/>
    <mergeCell ref="L13:N13"/>
    <mergeCell ref="L12:N12"/>
    <mergeCell ref="W8:AA10"/>
    <mergeCell ref="B2:F3"/>
    <mergeCell ref="B4:F4"/>
    <mergeCell ref="K2:O3"/>
    <mergeCell ref="K4:L4"/>
    <mergeCell ref="W2:AA3"/>
    <mergeCell ref="K6:O7"/>
    <mergeCell ref="K10:O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7E6C-5B7F-4D3A-B606-56DE140CA124}">
  <sheetPr codeName="Sheet2"/>
  <dimension ref="A1:AK51"/>
  <sheetViews>
    <sheetView topLeftCell="R1" zoomScaleNormal="100" workbookViewId="0">
      <selection activeCell="AJ11" sqref="AJ11"/>
    </sheetView>
  </sheetViews>
  <sheetFormatPr defaultColWidth="9.140625" defaultRowHeight="14.45" customHeight="1"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7"/>
  </cols>
  <sheetData>
    <row r="1" spans="1:37" s="1" customFormat="1" ht="14.45" customHeight="1" x14ac:dyDescent="0.25">
      <c r="A1" s="9"/>
      <c r="B1" s="8"/>
      <c r="C1" s="7"/>
      <c r="D1" s="7"/>
      <c r="E1" s="7"/>
      <c r="F1" s="7"/>
      <c r="G1" s="8"/>
      <c r="U1" s="15"/>
    </row>
    <row r="2" spans="1:37" s="8" customFormat="1" ht="14.4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7" s="1" customFormat="1" ht="14.45" customHeight="1" x14ac:dyDescent="0.25">
      <c r="B3" s="10"/>
      <c r="C3" s="264" t="s">
        <v>184</v>
      </c>
      <c r="D3" s="264"/>
      <c r="E3" s="264"/>
      <c r="F3" s="264"/>
      <c r="G3" s="10"/>
      <c r="H3" s="6"/>
      <c r="I3" s="10"/>
      <c r="J3" s="264" t="s">
        <v>28</v>
      </c>
      <c r="K3" s="264"/>
      <c r="L3" s="264"/>
      <c r="M3" s="264"/>
      <c r="N3" s="264"/>
      <c r="O3" s="10"/>
      <c r="Q3" s="10"/>
      <c r="R3" s="264" t="s">
        <v>61</v>
      </c>
      <c r="S3" s="264"/>
      <c r="T3" s="264"/>
      <c r="U3" s="10"/>
      <c r="W3" s="10"/>
      <c r="X3" s="264" t="s">
        <v>99</v>
      </c>
      <c r="Y3" s="264"/>
      <c r="Z3" s="264"/>
      <c r="AA3" s="10"/>
      <c r="AC3" s="10"/>
      <c r="AD3" s="264" t="s">
        <v>118</v>
      </c>
      <c r="AE3" s="264"/>
      <c r="AF3" s="264"/>
      <c r="AG3" s="264"/>
      <c r="AH3" s="10"/>
    </row>
    <row r="4" spans="1:37" s="1" customFormat="1" ht="14.45" customHeight="1" x14ac:dyDescent="0.25">
      <c r="B4" s="10"/>
      <c r="C4" s="264"/>
      <c r="D4" s="264"/>
      <c r="E4" s="264"/>
      <c r="F4" s="264"/>
      <c r="G4" s="10"/>
      <c r="H4" s="6"/>
      <c r="I4" s="10"/>
      <c r="J4" s="264"/>
      <c r="K4" s="264"/>
      <c r="L4" s="264"/>
      <c r="M4" s="264"/>
      <c r="N4" s="264"/>
      <c r="O4" s="10"/>
      <c r="Q4" s="10"/>
      <c r="R4" s="264"/>
      <c r="S4" s="264"/>
      <c r="T4" s="264"/>
      <c r="U4" s="10"/>
      <c r="W4" s="10"/>
      <c r="X4" s="264"/>
      <c r="Y4" s="264"/>
      <c r="Z4" s="264"/>
      <c r="AA4" s="10"/>
      <c r="AC4" s="10"/>
      <c r="AD4" s="264"/>
      <c r="AE4" s="264"/>
      <c r="AF4" s="264"/>
      <c r="AG4" s="264"/>
      <c r="AH4" s="10"/>
    </row>
    <row r="5" spans="1:37" s="1" customFormat="1" ht="14.45" customHeight="1" x14ac:dyDescent="0.25">
      <c r="B5" s="10"/>
      <c r="C5" s="262" t="s">
        <v>50</v>
      </c>
      <c r="D5" s="265"/>
      <c r="E5" s="270" t="s">
        <v>1042</v>
      </c>
      <c r="F5" s="270"/>
      <c r="G5" s="10"/>
      <c r="I5" s="10"/>
      <c r="J5" s="262" t="s">
        <v>48</v>
      </c>
      <c r="K5" s="265"/>
      <c r="L5" s="270" t="s">
        <v>488</v>
      </c>
      <c r="M5" s="270"/>
      <c r="N5" s="270"/>
      <c r="O5" s="10"/>
      <c r="Q5" s="10"/>
      <c r="R5" s="262" t="s">
        <v>62</v>
      </c>
      <c r="S5" s="265"/>
      <c r="T5" s="19">
        <v>0</v>
      </c>
      <c r="U5" s="10"/>
      <c r="W5" s="10"/>
      <c r="X5" s="262" t="s">
        <v>106</v>
      </c>
      <c r="Y5" s="265"/>
      <c r="Z5" s="19">
        <v>40</v>
      </c>
      <c r="AA5" s="10"/>
      <c r="AC5" s="10"/>
      <c r="AD5" s="262" t="s">
        <v>119</v>
      </c>
      <c r="AE5" s="265"/>
      <c r="AF5" s="266">
        <f ca="1">'Rotation Assembler'!B293</f>
        <v>695230.12644098292</v>
      </c>
      <c r="AG5" s="267"/>
      <c r="AH5" s="10"/>
    </row>
    <row r="6" spans="1:37" s="1" customFormat="1" ht="14.45" customHeight="1" x14ac:dyDescent="0.25">
      <c r="B6" s="10"/>
      <c r="C6" s="262" t="s">
        <v>51</v>
      </c>
      <c r="D6" s="265"/>
      <c r="E6" s="270">
        <v>90</v>
      </c>
      <c r="F6" s="270"/>
      <c r="G6" s="10"/>
      <c r="I6" s="10"/>
      <c r="J6" s="262" t="s">
        <v>49</v>
      </c>
      <c r="K6" s="265"/>
      <c r="L6" s="270">
        <v>3</v>
      </c>
      <c r="M6" s="270"/>
      <c r="N6" s="270"/>
      <c r="O6" s="10"/>
      <c r="Q6" s="10"/>
      <c r="R6" s="262" t="s">
        <v>63</v>
      </c>
      <c r="S6" s="265"/>
      <c r="T6" s="19">
        <v>0</v>
      </c>
      <c r="U6" s="10"/>
      <c r="W6" s="10"/>
      <c r="X6" s="262" t="s">
        <v>976</v>
      </c>
      <c r="Y6" s="272"/>
      <c r="Z6" s="16" t="b">
        <v>1</v>
      </c>
      <c r="AA6" s="10"/>
      <c r="AC6" s="10"/>
      <c r="AD6" s="10"/>
      <c r="AE6" s="10"/>
      <c r="AF6" s="10"/>
      <c r="AG6" s="10"/>
      <c r="AH6" s="10"/>
      <c r="AJ6" s="32" t="s">
        <v>972</v>
      </c>
      <c r="AK6" s="32"/>
    </row>
    <row r="7" spans="1:37" ht="14.45" customHeight="1" x14ac:dyDescent="0.25">
      <c r="B7" s="10"/>
      <c r="C7" s="262" t="s">
        <v>52</v>
      </c>
      <c r="D7" s="265"/>
      <c r="E7" s="270">
        <v>9</v>
      </c>
      <c r="F7" s="270"/>
      <c r="G7" s="10"/>
      <c r="I7" s="10"/>
      <c r="J7" s="262" t="s">
        <v>46</v>
      </c>
      <c r="K7" s="265"/>
      <c r="L7" s="270">
        <v>0</v>
      </c>
      <c r="M7" s="270"/>
      <c r="N7" s="270"/>
      <c r="O7" s="10"/>
      <c r="Q7" s="10"/>
      <c r="R7" s="262" t="s">
        <v>64</v>
      </c>
      <c r="S7" s="265"/>
      <c r="T7" s="19">
        <v>0</v>
      </c>
      <c r="U7" s="10"/>
      <c r="W7" s="10"/>
      <c r="X7" s="262" t="s">
        <v>102</v>
      </c>
      <c r="Y7" s="272"/>
      <c r="Z7" s="19" t="s">
        <v>430</v>
      </c>
      <c r="AA7" s="10"/>
      <c r="AC7" s="8"/>
      <c r="AD7" s="8"/>
      <c r="AE7" s="8"/>
      <c r="AF7" s="8"/>
      <c r="AG7" s="8"/>
      <c r="AH7" s="8"/>
    </row>
    <row r="8" spans="1:37" ht="14.45" customHeight="1" x14ac:dyDescent="0.25">
      <c r="B8" s="10"/>
      <c r="C8" s="262" t="s">
        <v>53</v>
      </c>
      <c r="D8" s="265"/>
      <c r="E8" s="270">
        <v>9</v>
      </c>
      <c r="F8" s="270"/>
      <c r="G8" s="10"/>
      <c r="I8" s="10"/>
      <c r="J8" s="262" t="s">
        <v>47</v>
      </c>
      <c r="K8" s="265"/>
      <c r="L8" s="271" t="b">
        <v>1</v>
      </c>
      <c r="M8" s="271"/>
      <c r="N8" s="271"/>
      <c r="O8" s="10"/>
      <c r="Q8" s="10"/>
      <c r="R8" s="262" t="s">
        <v>69</v>
      </c>
      <c r="S8" s="265"/>
      <c r="T8" s="19">
        <v>0</v>
      </c>
      <c r="U8" s="10"/>
      <c r="W8" s="10"/>
      <c r="X8" s="262" t="s">
        <v>100</v>
      </c>
      <c r="Y8" s="272"/>
      <c r="Z8" s="101">
        <v>1.62</v>
      </c>
      <c r="AA8" s="10"/>
      <c r="AC8" s="10"/>
      <c r="AD8" s="10"/>
      <c r="AE8" s="10"/>
      <c r="AF8" s="10"/>
      <c r="AG8" s="10"/>
      <c r="AH8" s="10"/>
    </row>
    <row r="9" spans="1:37" ht="14.45" customHeight="1" x14ac:dyDescent="0.25">
      <c r="B9" s="10"/>
      <c r="C9" s="262" t="s">
        <v>54</v>
      </c>
      <c r="D9" s="265"/>
      <c r="E9" s="270">
        <v>9</v>
      </c>
      <c r="F9" s="270"/>
      <c r="G9" s="10"/>
      <c r="I9" s="10"/>
      <c r="J9" s="13"/>
      <c r="K9" s="13"/>
      <c r="L9" s="13"/>
      <c r="M9" s="13"/>
      <c r="N9" s="13"/>
      <c r="O9" s="10"/>
      <c r="Q9" s="10"/>
      <c r="R9" s="262" t="s">
        <v>65</v>
      </c>
      <c r="S9" s="265"/>
      <c r="T9" s="80">
        <v>0</v>
      </c>
      <c r="U9" s="10"/>
      <c r="W9" s="10"/>
      <c r="X9" s="262" t="s">
        <v>103</v>
      </c>
      <c r="Y9" s="265"/>
      <c r="Z9" s="19">
        <v>2</v>
      </c>
      <c r="AA9" s="10"/>
      <c r="AC9" s="10"/>
      <c r="AD9" s="264" t="s">
        <v>776</v>
      </c>
      <c r="AE9" s="264"/>
      <c r="AF9" s="264"/>
      <c r="AG9" s="264"/>
      <c r="AH9" s="10"/>
    </row>
    <row r="10" spans="1:37" ht="14.45" customHeight="1" x14ac:dyDescent="0.25">
      <c r="B10" s="10"/>
      <c r="C10" s="10"/>
      <c r="D10" s="10"/>
      <c r="E10" s="10"/>
      <c r="F10" s="10"/>
      <c r="G10" s="10"/>
      <c r="I10" s="8"/>
      <c r="Q10" s="10"/>
      <c r="R10" s="262" t="s">
        <v>66</v>
      </c>
      <c r="S10" s="265"/>
      <c r="T10" s="80">
        <v>0</v>
      </c>
      <c r="U10" s="10"/>
      <c r="W10" s="10"/>
      <c r="X10" s="262" t="s">
        <v>963</v>
      </c>
      <c r="Y10" s="265"/>
      <c r="Z10" s="230">
        <f>IF($Z$6 = TRUE, 10, 1000)</f>
        <v>10</v>
      </c>
      <c r="AA10" s="10"/>
      <c r="AC10" s="10"/>
      <c r="AD10" s="264"/>
      <c r="AE10" s="264"/>
      <c r="AF10" s="264"/>
      <c r="AG10" s="264"/>
      <c r="AH10" s="10"/>
    </row>
    <row r="11" spans="1:37" ht="14.45" customHeight="1" x14ac:dyDescent="0.25">
      <c r="C11" s="8"/>
      <c r="D11" s="8"/>
      <c r="E11" s="8"/>
      <c r="F11" s="8"/>
      <c r="I11" s="10"/>
      <c r="J11" s="10"/>
      <c r="K11" s="10"/>
      <c r="L11" s="10"/>
      <c r="M11" s="10"/>
      <c r="N11" s="10"/>
      <c r="O11" s="10"/>
      <c r="Q11" s="10"/>
      <c r="R11" s="262" t="s">
        <v>67</v>
      </c>
      <c r="S11" s="265"/>
      <c r="T11" s="80">
        <v>0</v>
      </c>
      <c r="U11" s="10"/>
      <c r="W11" s="10"/>
      <c r="X11" s="262" t="s">
        <v>964</v>
      </c>
      <c r="Y11" s="265"/>
      <c r="Z11" s="230">
        <f>IF($Z$6 = TRUE, 12, 1000)</f>
        <v>12</v>
      </c>
      <c r="AA11" s="10"/>
      <c r="AC11" s="10"/>
      <c r="AD11" s="262" t="s">
        <v>746</v>
      </c>
      <c r="AE11" s="265"/>
      <c r="AF11" s="261">
        <f>char1FinalHP</f>
        <v>19569.785599999999</v>
      </c>
      <c r="AG11" s="261"/>
      <c r="AH11" s="10"/>
    </row>
    <row r="12" spans="1:37" ht="14.45" customHeight="1" x14ac:dyDescent="0.25">
      <c r="B12" s="10"/>
      <c r="C12" s="10"/>
      <c r="D12" s="10"/>
      <c r="E12" s="10"/>
      <c r="F12" s="10"/>
      <c r="G12" s="10"/>
      <c r="I12" s="10"/>
      <c r="J12" s="264" t="s">
        <v>29</v>
      </c>
      <c r="K12" s="264"/>
      <c r="L12" s="264"/>
      <c r="M12" s="264"/>
      <c r="N12" s="264"/>
      <c r="O12" s="10"/>
      <c r="Q12" s="10"/>
      <c r="R12" s="262" t="s">
        <v>408</v>
      </c>
      <c r="S12" s="265"/>
      <c r="T12" s="80">
        <v>0.15</v>
      </c>
      <c r="U12" s="10"/>
      <c r="W12" s="10"/>
      <c r="X12" s="262" t="s">
        <v>965</v>
      </c>
      <c r="Y12" s="265"/>
      <c r="Z12" s="230">
        <f>IF($Z$6 = TRUE, 10, 1000)</f>
        <v>10</v>
      </c>
      <c r="AA12" s="10"/>
      <c r="AC12" s="10"/>
      <c r="AD12" s="262" t="s">
        <v>745</v>
      </c>
      <c r="AE12" s="265"/>
      <c r="AF12" s="261">
        <f>char1FinalDEF</f>
        <v>972.28000000000009</v>
      </c>
      <c r="AG12" s="261"/>
      <c r="AH12" s="10"/>
    </row>
    <row r="13" spans="1:37" ht="14.45" customHeight="1" x14ac:dyDescent="0.25">
      <c r="B13" s="10"/>
      <c r="C13" s="264" t="s">
        <v>27</v>
      </c>
      <c r="D13" s="264"/>
      <c r="E13" s="264"/>
      <c r="F13" s="264"/>
      <c r="G13" s="10"/>
      <c r="I13" s="10"/>
      <c r="J13" s="264"/>
      <c r="K13" s="264"/>
      <c r="L13" s="264"/>
      <c r="M13" s="264"/>
      <c r="N13" s="264"/>
      <c r="O13" s="10"/>
      <c r="Q13" s="10"/>
      <c r="R13" s="262" t="s">
        <v>409</v>
      </c>
      <c r="S13" s="265"/>
      <c r="T13" s="80">
        <v>0</v>
      </c>
      <c r="U13" s="10"/>
      <c r="W13" s="10"/>
      <c r="X13" s="262" t="s">
        <v>966</v>
      </c>
      <c r="Y13" s="265"/>
      <c r="Z13" s="231">
        <f>IF($Z$6 = TRUE, 12-COUNTIF($L$28:$N$34, "ATK%")*2, 1000)</f>
        <v>6</v>
      </c>
      <c r="AA13" s="10"/>
      <c r="AC13" s="10"/>
      <c r="AD13" s="262" t="s">
        <v>744</v>
      </c>
      <c r="AE13" s="265"/>
      <c r="AF13" s="261">
        <f ca="1">char1FinalATK</f>
        <v>2764.4187999999999</v>
      </c>
      <c r="AG13" s="261"/>
      <c r="AH13" s="10"/>
    </row>
    <row r="14" spans="1:37" ht="14.45" customHeight="1" x14ac:dyDescent="0.25">
      <c r="B14" s="10"/>
      <c r="C14" s="264"/>
      <c r="D14" s="264"/>
      <c r="E14" s="264"/>
      <c r="F14" s="264"/>
      <c r="G14" s="10"/>
      <c r="I14" s="10"/>
      <c r="J14" s="262" t="s">
        <v>44</v>
      </c>
      <c r="K14" s="265"/>
      <c r="L14" s="270" t="s">
        <v>577</v>
      </c>
      <c r="M14" s="270"/>
      <c r="N14" s="270"/>
      <c r="O14" s="10"/>
      <c r="Q14" s="10"/>
      <c r="R14" s="262" t="s">
        <v>68</v>
      </c>
      <c r="S14" s="265"/>
      <c r="T14" s="80">
        <v>0</v>
      </c>
      <c r="U14" s="10"/>
      <c r="W14" s="10"/>
      <c r="X14" s="262" t="s">
        <v>967</v>
      </c>
      <c r="Y14" s="265"/>
      <c r="Z14" s="231">
        <f>IF($Z$6 = TRUE, 12-COUNTIF($L$28:$N$34, "DEF%")*2, 1000)</f>
        <v>12</v>
      </c>
      <c r="AA14" s="10"/>
      <c r="AC14" s="10"/>
      <c r="AD14" s="262" t="s">
        <v>777</v>
      </c>
      <c r="AE14" s="265"/>
      <c r="AF14" s="263">
        <f>char1FinalER</f>
        <v>1.6366000000000001</v>
      </c>
      <c r="AG14" s="263"/>
      <c r="AH14" s="10"/>
    </row>
    <row r="15" spans="1:37" ht="14.45" customHeight="1" x14ac:dyDescent="0.25">
      <c r="B15" s="10"/>
      <c r="C15" s="262" t="s">
        <v>20</v>
      </c>
      <c r="D15" s="272"/>
      <c r="E15" s="268" t="s">
        <v>752</v>
      </c>
      <c r="F15" s="269"/>
      <c r="G15" s="10"/>
      <c r="I15" s="10"/>
      <c r="J15" s="262" t="s">
        <v>45</v>
      </c>
      <c r="K15" s="265"/>
      <c r="L15" s="270" t="s">
        <v>603</v>
      </c>
      <c r="M15" s="270"/>
      <c r="N15" s="270"/>
      <c r="O15" s="10"/>
      <c r="Q15" s="10"/>
      <c r="R15" s="262" t="s">
        <v>82</v>
      </c>
      <c r="S15" s="265"/>
      <c r="T15" s="80">
        <v>0</v>
      </c>
      <c r="U15" s="10"/>
      <c r="W15" s="10"/>
      <c r="X15" s="262" t="s">
        <v>968</v>
      </c>
      <c r="Y15" s="265"/>
      <c r="Z15" s="231">
        <f>IF($Z$6 = TRUE, 12-COUNTIF($L$28:$N$34, "HP%")*2, 1000)</f>
        <v>12</v>
      </c>
      <c r="AA15" s="10"/>
      <c r="AC15" s="10"/>
      <c r="AD15" s="262" t="s">
        <v>778</v>
      </c>
      <c r="AE15" s="265"/>
      <c r="AF15" s="261">
        <f>char1FinalEM</f>
        <v>39.64</v>
      </c>
      <c r="AG15" s="261"/>
      <c r="AH15" s="10"/>
    </row>
    <row r="16" spans="1:37" ht="14.45" customHeight="1" x14ac:dyDescent="0.25">
      <c r="B16" s="10"/>
      <c r="C16" s="262" t="s">
        <v>21</v>
      </c>
      <c r="D16" s="272"/>
      <c r="E16" s="268" t="s">
        <v>752</v>
      </c>
      <c r="F16" s="269"/>
      <c r="G16" s="10"/>
      <c r="I16" s="10"/>
      <c r="J16" s="262" t="s">
        <v>46</v>
      </c>
      <c r="K16" s="265"/>
      <c r="L16" s="270">
        <v>2</v>
      </c>
      <c r="M16" s="270"/>
      <c r="N16" s="270"/>
      <c r="O16" s="10"/>
      <c r="Q16" s="10"/>
      <c r="R16" s="262" t="s">
        <v>70</v>
      </c>
      <c r="S16" s="265"/>
      <c r="T16" s="80">
        <v>0</v>
      </c>
      <c r="U16" s="10"/>
      <c r="W16" s="10"/>
      <c r="X16" s="262" t="s">
        <v>969</v>
      </c>
      <c r="Y16" s="265"/>
      <c r="Z16" s="231">
        <f>IF($Z$6 = TRUE, 12-COUNTIF($L$28:$N$34, "CR%")*2, 1000)</f>
        <v>12</v>
      </c>
      <c r="AA16" s="10"/>
      <c r="AC16" s="10"/>
      <c r="AD16" s="262" t="s">
        <v>779</v>
      </c>
      <c r="AE16" s="265"/>
      <c r="AF16" s="263">
        <f ca="1">char1FinalCR</f>
        <v>0.56409999999999993</v>
      </c>
      <c r="AG16" s="263"/>
      <c r="AH16" s="10"/>
    </row>
    <row r="17" spans="2:34" ht="14.45" customHeight="1" x14ac:dyDescent="0.25">
      <c r="B17" s="10"/>
      <c r="C17" s="262" t="s">
        <v>22</v>
      </c>
      <c r="D17" s="272"/>
      <c r="E17" s="268" t="s">
        <v>752</v>
      </c>
      <c r="F17" s="269"/>
      <c r="G17" s="10"/>
      <c r="I17" s="10"/>
      <c r="J17" s="262" t="s">
        <v>47</v>
      </c>
      <c r="K17" s="265"/>
      <c r="L17" s="271" t="b">
        <v>0</v>
      </c>
      <c r="M17" s="271"/>
      <c r="N17" s="271"/>
      <c r="O17" s="10"/>
      <c r="Q17" s="10"/>
      <c r="R17" s="262" t="s">
        <v>71</v>
      </c>
      <c r="S17" s="262"/>
      <c r="T17" s="80">
        <v>0</v>
      </c>
      <c r="U17" s="10"/>
      <c r="W17" s="10"/>
      <c r="X17" s="262" t="s">
        <v>970</v>
      </c>
      <c r="Y17" s="265"/>
      <c r="Z17" s="231">
        <f>IF($Z$6 = TRUE, 12-COUNTIF($L$28:$N$34, "CDMG%")*2, 1000)</f>
        <v>12</v>
      </c>
      <c r="AA17" s="10"/>
      <c r="AC17" s="10"/>
      <c r="AD17" s="262" t="s">
        <v>780</v>
      </c>
      <c r="AE17" s="265"/>
      <c r="AF17" s="263">
        <f ca="1">char1FinalCDMG</f>
        <v>1.0958000000000001</v>
      </c>
      <c r="AG17" s="263"/>
      <c r="AH17" s="10"/>
    </row>
    <row r="18" spans="2:34" ht="14.45" customHeight="1" x14ac:dyDescent="0.25">
      <c r="B18" s="10"/>
      <c r="C18" s="262" t="s">
        <v>19</v>
      </c>
      <c r="D18" s="272"/>
      <c r="E18" s="268" t="s">
        <v>752</v>
      </c>
      <c r="F18" s="269"/>
      <c r="G18" s="10"/>
      <c r="I18" s="10"/>
      <c r="J18" s="10"/>
      <c r="K18" s="10"/>
      <c r="L18" s="10"/>
      <c r="M18" s="10"/>
      <c r="N18" s="10"/>
      <c r="O18" s="10"/>
      <c r="Q18" s="10"/>
      <c r="R18" s="262" t="s">
        <v>72</v>
      </c>
      <c r="S18" s="262"/>
      <c r="T18" s="80">
        <v>0</v>
      </c>
      <c r="U18" s="10"/>
      <c r="W18" s="10"/>
      <c r="X18" s="262" t="s">
        <v>971</v>
      </c>
      <c r="Y18" s="265"/>
      <c r="Z18" s="231">
        <f>IF($Z$6 = TRUE, 12-COUNTIF($L$28:$N$34, "ER%")*2, 1000)</f>
        <v>12</v>
      </c>
      <c r="AA18" s="10"/>
      <c r="AC18" s="10"/>
      <c r="AD18" s="262" t="s">
        <v>82</v>
      </c>
      <c r="AE18" s="262"/>
      <c r="AF18" s="263">
        <f>char1FinalDMGPercent</f>
        <v>0</v>
      </c>
      <c r="AG18" s="263"/>
      <c r="AH18" s="10"/>
    </row>
    <row r="19" spans="2:34" ht="14.45" customHeight="1" x14ac:dyDescent="0.25">
      <c r="B19" s="10"/>
      <c r="C19" s="262" t="s">
        <v>23</v>
      </c>
      <c r="D19" s="272"/>
      <c r="E19" s="268" t="s">
        <v>752</v>
      </c>
      <c r="F19" s="269"/>
      <c r="G19" s="10"/>
      <c r="I19" s="8"/>
      <c r="J19" s="261"/>
      <c r="K19" s="273"/>
      <c r="O19" s="8"/>
      <c r="Q19" s="10"/>
      <c r="R19" s="262" t="s">
        <v>73</v>
      </c>
      <c r="S19" s="262"/>
      <c r="T19" s="80">
        <v>0</v>
      </c>
      <c r="U19" s="10"/>
      <c r="W19" s="10"/>
      <c r="X19" s="262" t="s">
        <v>104</v>
      </c>
      <c r="Y19" s="265"/>
      <c r="Z19" s="231">
        <f>IF($Z$6 = TRUE, 12-COUNTIF($L$28:$N$34, "EM")*2, 1000)</f>
        <v>12</v>
      </c>
      <c r="AA19" s="10"/>
      <c r="AC19" s="10"/>
      <c r="AD19" s="262" t="s">
        <v>70</v>
      </c>
      <c r="AE19" s="262"/>
      <c r="AF19" s="263">
        <f>char1FinalPhysDMG</f>
        <v>0</v>
      </c>
      <c r="AG19" s="263"/>
      <c r="AH19" s="10"/>
    </row>
    <row r="20" spans="2:34" ht="14.45" customHeight="1" x14ac:dyDescent="0.25">
      <c r="B20" s="10"/>
      <c r="C20" s="262" t="s">
        <v>660</v>
      </c>
      <c r="D20" s="272"/>
      <c r="E20" s="268" t="s">
        <v>19</v>
      </c>
      <c r="F20" s="269"/>
      <c r="G20" s="10"/>
      <c r="I20" s="10"/>
      <c r="J20" s="10"/>
      <c r="K20" s="10"/>
      <c r="L20" s="10"/>
      <c r="M20" s="10"/>
      <c r="N20" s="10"/>
      <c r="O20" s="10"/>
      <c r="Q20" s="10"/>
      <c r="R20" s="262" t="s">
        <v>74</v>
      </c>
      <c r="S20" s="262"/>
      <c r="T20" s="80">
        <v>0</v>
      </c>
      <c r="U20" s="10"/>
      <c r="W20" s="10"/>
      <c r="X20" s="10"/>
      <c r="Y20" s="10"/>
      <c r="Z20" s="10"/>
      <c r="AA20" s="10"/>
      <c r="AC20" s="10"/>
      <c r="AD20" s="262" t="s">
        <v>71</v>
      </c>
      <c r="AE20" s="262"/>
      <c r="AF20" s="263">
        <f>char1FinalAnemoDMG</f>
        <v>0</v>
      </c>
      <c r="AG20" s="263"/>
      <c r="AH20" s="10"/>
    </row>
    <row r="21" spans="2:34" ht="14.45" customHeight="1" x14ac:dyDescent="0.25">
      <c r="B21" s="10"/>
      <c r="C21" s="262" t="s">
        <v>0</v>
      </c>
      <c r="D21" s="272"/>
      <c r="E21" s="268" t="s">
        <v>752</v>
      </c>
      <c r="F21" s="269"/>
      <c r="G21" s="10"/>
      <c r="I21" s="10"/>
      <c r="J21" s="264" t="s">
        <v>30</v>
      </c>
      <c r="K21" s="264"/>
      <c r="L21" s="264"/>
      <c r="M21" s="264"/>
      <c r="N21" s="264"/>
      <c r="O21" s="10"/>
      <c r="Q21" s="10"/>
      <c r="R21" s="262" t="s">
        <v>75</v>
      </c>
      <c r="S21" s="262"/>
      <c r="T21" s="80">
        <v>0</v>
      </c>
      <c r="U21" s="10"/>
      <c r="AC21" s="10"/>
      <c r="AD21" s="262" t="s">
        <v>72</v>
      </c>
      <c r="AE21" s="262"/>
      <c r="AF21" s="263">
        <f>char1FinalGeoDMG</f>
        <v>0</v>
      </c>
      <c r="AG21" s="263"/>
      <c r="AH21" s="10"/>
    </row>
    <row r="22" spans="2:34" ht="14.45" customHeight="1" x14ac:dyDescent="0.25">
      <c r="B22" s="10"/>
      <c r="C22" s="262" t="s">
        <v>24</v>
      </c>
      <c r="D22" s="272"/>
      <c r="E22" s="268" t="s">
        <v>752</v>
      </c>
      <c r="F22" s="269"/>
      <c r="G22" s="10"/>
      <c r="I22" s="10"/>
      <c r="J22" s="264"/>
      <c r="K22" s="264"/>
      <c r="L22" s="264"/>
      <c r="M22" s="264"/>
      <c r="N22" s="264"/>
      <c r="O22" s="10"/>
      <c r="Q22" s="10"/>
      <c r="R22" s="262" t="s">
        <v>76</v>
      </c>
      <c r="S22" s="262"/>
      <c r="T22" s="80">
        <v>0</v>
      </c>
      <c r="U22" s="10"/>
      <c r="W22" s="10"/>
      <c r="X22" s="10"/>
      <c r="Y22" s="10"/>
      <c r="Z22" s="10"/>
      <c r="AA22" s="10"/>
      <c r="AC22" s="10"/>
      <c r="AD22" s="262" t="s">
        <v>73</v>
      </c>
      <c r="AE22" s="262"/>
      <c r="AF22" s="263">
        <f>char1FinalPyroDMG</f>
        <v>0</v>
      </c>
      <c r="AG22" s="263"/>
      <c r="AH22" s="10"/>
    </row>
    <row r="23" spans="2:34" ht="14.45" customHeight="1" x14ac:dyDescent="0.25">
      <c r="B23" s="10"/>
      <c r="C23" s="262" t="s">
        <v>661</v>
      </c>
      <c r="D23" s="272"/>
      <c r="E23" s="268" t="s">
        <v>0</v>
      </c>
      <c r="F23" s="269"/>
      <c r="G23" s="10"/>
      <c r="I23" s="10"/>
      <c r="J23" s="262" t="s">
        <v>31</v>
      </c>
      <c r="K23" s="265"/>
      <c r="L23" s="270">
        <v>20</v>
      </c>
      <c r="M23" s="270"/>
      <c r="N23" s="270"/>
      <c r="O23" s="10"/>
      <c r="Q23" s="10"/>
      <c r="R23" s="262" t="s">
        <v>77</v>
      </c>
      <c r="S23" s="262"/>
      <c r="T23" s="80">
        <v>0</v>
      </c>
      <c r="U23" s="10"/>
      <c r="W23" s="10"/>
      <c r="X23" s="264" t="s">
        <v>105</v>
      </c>
      <c r="Y23" s="264"/>
      <c r="Z23" s="264"/>
      <c r="AA23" s="10"/>
      <c r="AC23" s="10"/>
      <c r="AD23" s="262" t="s">
        <v>74</v>
      </c>
      <c r="AE23" s="262"/>
      <c r="AF23" s="263">
        <f>char1FinalCryoDMG</f>
        <v>0</v>
      </c>
      <c r="AG23" s="263"/>
      <c r="AH23" s="10"/>
    </row>
    <row r="24" spans="2:34" ht="14.45" customHeight="1" x14ac:dyDescent="0.25">
      <c r="B24" s="10"/>
      <c r="C24" s="10"/>
      <c r="D24" s="10"/>
      <c r="E24" s="10"/>
      <c r="F24" s="10"/>
      <c r="G24" s="10"/>
      <c r="I24" s="10"/>
      <c r="J24" s="262" t="s">
        <v>32</v>
      </c>
      <c r="K24" s="265"/>
      <c r="L24" s="270" t="s">
        <v>791</v>
      </c>
      <c r="M24" s="270"/>
      <c r="N24" s="270"/>
      <c r="O24" s="10"/>
      <c r="Q24" s="10"/>
      <c r="R24" s="262" t="s">
        <v>78</v>
      </c>
      <c r="S24" s="262"/>
      <c r="T24" s="80">
        <v>0</v>
      </c>
      <c r="U24" s="10"/>
      <c r="W24" s="10"/>
      <c r="X24" s="264"/>
      <c r="Y24" s="264"/>
      <c r="Z24" s="264"/>
      <c r="AA24" s="10"/>
      <c r="AC24" s="10"/>
      <c r="AD24" s="262" t="s">
        <v>75</v>
      </c>
      <c r="AE24" s="262"/>
      <c r="AF24" s="263">
        <f>char1FinalHydroDMG</f>
        <v>0</v>
      </c>
      <c r="AG24" s="263"/>
      <c r="AH24" s="10"/>
    </row>
    <row r="25" spans="2:34" ht="14.45" customHeight="1" x14ac:dyDescent="0.25">
      <c r="I25" s="10"/>
      <c r="J25" s="262" t="s">
        <v>33</v>
      </c>
      <c r="K25" s="265"/>
      <c r="L25" s="270">
        <v>20</v>
      </c>
      <c r="M25" s="270"/>
      <c r="N25" s="270"/>
      <c r="O25" s="10"/>
      <c r="Q25" s="10"/>
      <c r="R25" s="262" t="s">
        <v>79</v>
      </c>
      <c r="S25" s="262"/>
      <c r="T25" s="80">
        <v>0</v>
      </c>
      <c r="U25" s="10"/>
      <c r="W25" s="10"/>
      <c r="X25" s="262" t="s">
        <v>101</v>
      </c>
      <c r="Y25" s="272"/>
      <c r="Z25" s="231">
        <f>SUM(Z26:Z35)</f>
        <v>40</v>
      </c>
      <c r="AA25" s="10"/>
      <c r="AC25" s="10"/>
      <c r="AD25" s="262" t="s">
        <v>76</v>
      </c>
      <c r="AE25" s="262"/>
      <c r="AF25" s="263">
        <f>char1FinalElectroDMG</f>
        <v>0</v>
      </c>
      <c r="AG25" s="263"/>
      <c r="AH25" s="10"/>
    </row>
    <row r="26" spans="2:34" ht="14.45" customHeight="1" x14ac:dyDescent="0.25">
      <c r="B26" s="10"/>
      <c r="C26" s="10"/>
      <c r="D26" s="10"/>
      <c r="E26" s="10"/>
      <c r="F26" s="10"/>
      <c r="G26" s="10"/>
      <c r="I26" s="10"/>
      <c r="J26" s="262" t="s">
        <v>34</v>
      </c>
      <c r="K26" s="265"/>
      <c r="L26" s="270" t="s">
        <v>791</v>
      </c>
      <c r="M26" s="270"/>
      <c r="N26" s="270"/>
      <c r="O26" s="10"/>
      <c r="Q26" s="10"/>
      <c r="R26" s="262" t="s">
        <v>80</v>
      </c>
      <c r="S26" s="262"/>
      <c r="T26" s="80">
        <v>0</v>
      </c>
      <c r="U26" s="10"/>
      <c r="W26" s="10"/>
      <c r="X26" s="262" t="s">
        <v>62</v>
      </c>
      <c r="Y26" s="272"/>
      <c r="Z26" s="231">
        <v>2</v>
      </c>
      <c r="AA26" s="10"/>
      <c r="AC26" s="10"/>
      <c r="AD26" s="262" t="s">
        <v>77</v>
      </c>
      <c r="AE26" s="262"/>
      <c r="AF26" s="263">
        <f>char1FinalNormalDMG</f>
        <v>0</v>
      </c>
      <c r="AG26" s="263"/>
      <c r="AH26" s="10"/>
    </row>
    <row r="27" spans="2:34" ht="14.45" customHeight="1" x14ac:dyDescent="0.25">
      <c r="B27" s="10"/>
      <c r="C27" s="264" t="s">
        <v>692</v>
      </c>
      <c r="D27" s="264"/>
      <c r="E27" s="264"/>
      <c r="F27" s="264"/>
      <c r="G27" s="10"/>
      <c r="I27" s="10"/>
      <c r="J27" s="262" t="s">
        <v>35</v>
      </c>
      <c r="K27" s="265"/>
      <c r="L27" s="270">
        <v>20</v>
      </c>
      <c r="M27" s="270"/>
      <c r="N27" s="270"/>
      <c r="O27" s="10"/>
      <c r="Q27" s="10"/>
      <c r="R27" s="262" t="s">
        <v>81</v>
      </c>
      <c r="S27" s="262"/>
      <c r="T27" s="80">
        <v>0</v>
      </c>
      <c r="U27" s="10"/>
      <c r="W27" s="10"/>
      <c r="X27" s="262" t="s">
        <v>63</v>
      </c>
      <c r="Y27" s="272"/>
      <c r="Z27" s="231">
        <v>2</v>
      </c>
      <c r="AA27" s="10"/>
      <c r="AC27" s="10"/>
      <c r="AD27" s="262" t="s">
        <v>78</v>
      </c>
      <c r="AE27" s="262"/>
      <c r="AF27" s="263">
        <f>char1FinalChargedDMG</f>
        <v>0</v>
      </c>
      <c r="AG27" s="263"/>
      <c r="AH27" s="10"/>
    </row>
    <row r="28" spans="2:34" ht="14.45" customHeight="1" x14ac:dyDescent="0.25">
      <c r="B28" s="10"/>
      <c r="C28" s="264"/>
      <c r="D28" s="264"/>
      <c r="E28" s="264"/>
      <c r="F28" s="264"/>
      <c r="G28" s="10"/>
      <c r="I28" s="10"/>
      <c r="J28" s="262" t="s">
        <v>36</v>
      </c>
      <c r="K28" s="265"/>
      <c r="L28" s="270" t="s">
        <v>65</v>
      </c>
      <c r="M28" s="270"/>
      <c r="N28" s="270"/>
      <c r="O28" s="10"/>
      <c r="Q28" s="10"/>
      <c r="R28" s="262" t="s">
        <v>83</v>
      </c>
      <c r="S28" s="262"/>
      <c r="T28" s="80">
        <v>0</v>
      </c>
      <c r="U28" s="10"/>
      <c r="W28" s="10"/>
      <c r="X28" s="262" t="s">
        <v>64</v>
      </c>
      <c r="Y28" s="272"/>
      <c r="Z28" s="231">
        <v>2</v>
      </c>
      <c r="AA28" s="10"/>
      <c r="AC28" s="10"/>
      <c r="AD28" s="262" t="s">
        <v>79</v>
      </c>
      <c r="AE28" s="262"/>
      <c r="AF28" s="263">
        <f>char1FinalPlungingDMG</f>
        <v>0</v>
      </c>
      <c r="AG28" s="263"/>
      <c r="AH28" s="10"/>
    </row>
    <row r="29" spans="2:34" ht="14.45" customHeight="1" x14ac:dyDescent="0.25">
      <c r="B29" s="10"/>
      <c r="C29" s="262" t="s">
        <v>25</v>
      </c>
      <c r="D29" s="272"/>
      <c r="E29" s="268">
        <v>100</v>
      </c>
      <c r="F29" s="269"/>
      <c r="G29" s="10"/>
      <c r="I29" s="10"/>
      <c r="J29" s="262" t="s">
        <v>37</v>
      </c>
      <c r="K29" s="265"/>
      <c r="L29" s="270" t="s">
        <v>791</v>
      </c>
      <c r="M29" s="270"/>
      <c r="N29" s="270"/>
      <c r="O29" s="10"/>
      <c r="Q29" s="10"/>
      <c r="R29" s="262" t="s">
        <v>84</v>
      </c>
      <c r="S29" s="265"/>
      <c r="T29" s="80">
        <v>0</v>
      </c>
      <c r="U29" s="10"/>
      <c r="W29" s="10"/>
      <c r="X29" s="262" t="s">
        <v>65</v>
      </c>
      <c r="Y29" s="272"/>
      <c r="Z29" s="231">
        <v>2</v>
      </c>
      <c r="AA29" s="10"/>
      <c r="AC29" s="10"/>
      <c r="AD29" s="262" t="s">
        <v>80</v>
      </c>
      <c r="AE29" s="262"/>
      <c r="AF29" s="263">
        <f>char1FinalSkillDMG</f>
        <v>0</v>
      </c>
      <c r="AG29" s="263"/>
      <c r="AH29" s="10"/>
    </row>
    <row r="30" spans="2:34" ht="14.45" customHeight="1" x14ac:dyDescent="0.25">
      <c r="B30" s="10"/>
      <c r="C30" s="262" t="s">
        <v>26</v>
      </c>
      <c r="D30" s="272"/>
      <c r="E30" s="274">
        <v>0.1</v>
      </c>
      <c r="F30" s="275"/>
      <c r="G30" s="10"/>
      <c r="I30" s="10"/>
      <c r="J30" s="262" t="s">
        <v>38</v>
      </c>
      <c r="K30" s="265"/>
      <c r="L30" s="270">
        <v>20</v>
      </c>
      <c r="M30" s="270"/>
      <c r="N30" s="270"/>
      <c r="O30" s="10"/>
      <c r="Q30" s="10"/>
      <c r="R30" s="262" t="s">
        <v>85</v>
      </c>
      <c r="S30" s="265"/>
      <c r="T30" s="80">
        <v>0</v>
      </c>
      <c r="U30" s="10"/>
      <c r="W30" s="10"/>
      <c r="X30" s="262" t="s">
        <v>66</v>
      </c>
      <c r="Y30" s="272"/>
      <c r="Z30" s="231">
        <v>2</v>
      </c>
      <c r="AA30" s="10"/>
      <c r="AC30" s="10"/>
      <c r="AD30" s="262" t="s">
        <v>81</v>
      </c>
      <c r="AE30" s="262"/>
      <c r="AF30" s="263">
        <f>char1FinalBurstDMG</f>
        <v>0.2</v>
      </c>
      <c r="AG30" s="263"/>
      <c r="AH30" s="10"/>
    </row>
    <row r="31" spans="2:34" ht="14.45" customHeight="1" x14ac:dyDescent="0.25">
      <c r="B31" s="10"/>
      <c r="C31" s="262" t="s">
        <v>55</v>
      </c>
      <c r="D31" s="272"/>
      <c r="E31" s="274">
        <v>0.1</v>
      </c>
      <c r="F31" s="275"/>
      <c r="G31" s="10"/>
      <c r="I31" s="10"/>
      <c r="J31" s="262" t="s">
        <v>39</v>
      </c>
      <c r="K31" s="265"/>
      <c r="L31" s="270" t="s">
        <v>65</v>
      </c>
      <c r="M31" s="270"/>
      <c r="N31" s="270"/>
      <c r="O31" s="10"/>
      <c r="Q31" s="10"/>
      <c r="R31" s="262" t="s">
        <v>86</v>
      </c>
      <c r="S31" s="265"/>
      <c r="T31" s="80">
        <v>0</v>
      </c>
      <c r="U31" s="10"/>
      <c r="W31" s="10"/>
      <c r="X31" s="262" t="s">
        <v>67</v>
      </c>
      <c r="Y31" s="272"/>
      <c r="Z31" s="231">
        <v>2</v>
      </c>
      <c r="AA31" s="10"/>
      <c r="AC31" s="10"/>
      <c r="AD31" s="262" t="s">
        <v>422</v>
      </c>
      <c r="AE31" s="262"/>
      <c r="AF31" s="263">
        <f>char1FinalHealingBonus</f>
        <v>0</v>
      </c>
      <c r="AG31" s="263"/>
      <c r="AH31" s="10"/>
    </row>
    <row r="32" spans="2:34" ht="14.45" customHeight="1" x14ac:dyDescent="0.25">
      <c r="B32" s="10"/>
      <c r="C32" s="262" t="s">
        <v>56</v>
      </c>
      <c r="D32" s="272"/>
      <c r="E32" s="274">
        <v>0.1</v>
      </c>
      <c r="F32" s="275"/>
      <c r="G32" s="10"/>
      <c r="I32" s="10"/>
      <c r="J32" s="262" t="s">
        <v>40</v>
      </c>
      <c r="K32" s="265"/>
      <c r="L32" s="270" t="s">
        <v>791</v>
      </c>
      <c r="M32" s="270"/>
      <c r="N32" s="270"/>
      <c r="O32" s="10"/>
      <c r="Q32" s="10"/>
      <c r="R32" s="262" t="s">
        <v>87</v>
      </c>
      <c r="S32" s="265"/>
      <c r="T32" s="80">
        <v>0</v>
      </c>
      <c r="U32" s="10"/>
      <c r="W32" s="10"/>
      <c r="X32" s="262" t="s">
        <v>408</v>
      </c>
      <c r="Y32" s="272"/>
      <c r="Z32" s="231">
        <v>11</v>
      </c>
      <c r="AA32" s="10"/>
      <c r="AC32" s="10"/>
      <c r="AD32" s="10"/>
      <c r="AE32" s="10"/>
      <c r="AF32" s="10"/>
      <c r="AG32" s="10"/>
      <c r="AH32" s="10"/>
    </row>
    <row r="33" spans="2:27" ht="14.45" customHeight="1" x14ac:dyDescent="0.25">
      <c r="B33" s="10"/>
      <c r="C33" s="262" t="s">
        <v>57</v>
      </c>
      <c r="D33" s="272"/>
      <c r="E33" s="274">
        <v>0.1</v>
      </c>
      <c r="F33" s="275"/>
      <c r="G33" s="10"/>
      <c r="I33" s="10"/>
      <c r="J33" s="262" t="s">
        <v>41</v>
      </c>
      <c r="K33" s="265"/>
      <c r="L33" s="270">
        <v>20</v>
      </c>
      <c r="M33" s="270"/>
      <c r="N33" s="270"/>
      <c r="O33" s="10"/>
      <c r="Q33" s="10"/>
      <c r="R33" s="262" t="s">
        <v>90</v>
      </c>
      <c r="S33" s="265"/>
      <c r="T33" s="80">
        <v>0</v>
      </c>
      <c r="U33" s="10"/>
      <c r="W33" s="10"/>
      <c r="X33" s="262" t="s">
        <v>409</v>
      </c>
      <c r="Y33" s="272"/>
      <c r="Z33" s="231">
        <v>9</v>
      </c>
      <c r="AA33" s="10"/>
    </row>
    <row r="34" spans="2:27" ht="14.45" customHeight="1" x14ac:dyDescent="0.25">
      <c r="B34" s="10"/>
      <c r="C34" s="262" t="s">
        <v>58</v>
      </c>
      <c r="D34" s="272"/>
      <c r="E34" s="274">
        <v>0.1</v>
      </c>
      <c r="F34" s="275"/>
      <c r="G34" s="10"/>
      <c r="I34" s="10"/>
      <c r="J34" s="262" t="s">
        <v>42</v>
      </c>
      <c r="K34" s="265"/>
      <c r="L34" s="270" t="s">
        <v>65</v>
      </c>
      <c r="M34" s="270"/>
      <c r="N34" s="270"/>
      <c r="O34" s="10"/>
      <c r="Q34" s="10"/>
      <c r="R34" s="262" t="s">
        <v>88</v>
      </c>
      <c r="S34" s="265"/>
      <c r="T34" s="80">
        <v>0</v>
      </c>
      <c r="U34" s="10"/>
      <c r="W34" s="10"/>
      <c r="X34" s="262" t="s">
        <v>68</v>
      </c>
      <c r="Y34" s="272"/>
      <c r="Z34" s="231">
        <v>6</v>
      </c>
      <c r="AA34" s="10"/>
    </row>
    <row r="35" spans="2:27" ht="14.45" customHeight="1" x14ac:dyDescent="0.25">
      <c r="B35" s="10"/>
      <c r="C35" s="262" t="s">
        <v>59</v>
      </c>
      <c r="D35" s="272"/>
      <c r="E35" s="274">
        <v>0.1</v>
      </c>
      <c r="F35" s="275"/>
      <c r="G35" s="10"/>
      <c r="I35" s="10"/>
      <c r="J35" s="262" t="s">
        <v>43</v>
      </c>
      <c r="K35" s="265"/>
      <c r="L35" s="270" t="s">
        <v>786</v>
      </c>
      <c r="M35" s="270"/>
      <c r="N35" s="270"/>
      <c r="O35" s="10"/>
      <c r="Q35" s="10"/>
      <c r="R35" s="262" t="s">
        <v>89</v>
      </c>
      <c r="S35" s="265"/>
      <c r="T35" s="80">
        <v>0</v>
      </c>
      <c r="U35" s="10"/>
      <c r="W35" s="10"/>
      <c r="X35" s="262" t="s">
        <v>69</v>
      </c>
      <c r="Y35" s="272"/>
      <c r="Z35" s="231">
        <v>2</v>
      </c>
      <c r="AA35" s="10"/>
    </row>
    <row r="36" spans="2:27" ht="14.45" customHeight="1" x14ac:dyDescent="0.25">
      <c r="B36" s="10"/>
      <c r="C36" s="262" t="s">
        <v>60</v>
      </c>
      <c r="D36" s="272"/>
      <c r="E36" s="274">
        <v>0.1</v>
      </c>
      <c r="F36" s="275"/>
      <c r="G36" s="10"/>
      <c r="I36" s="10"/>
      <c r="J36" s="10"/>
      <c r="K36" s="10"/>
      <c r="L36" s="10"/>
      <c r="M36" s="10"/>
      <c r="N36" s="10"/>
      <c r="O36" s="10"/>
      <c r="Q36" s="10"/>
      <c r="R36" s="262" t="s">
        <v>91</v>
      </c>
      <c r="S36" s="265"/>
      <c r="T36" s="80">
        <v>0</v>
      </c>
      <c r="U36" s="10"/>
      <c r="W36" s="10"/>
      <c r="X36" s="10"/>
      <c r="Y36" s="10"/>
      <c r="Z36" s="10"/>
      <c r="AA36" s="10"/>
    </row>
    <row r="37" spans="2:27" ht="14.45" customHeight="1" x14ac:dyDescent="0.25">
      <c r="B37" s="10"/>
      <c r="C37" s="262" t="s">
        <v>652</v>
      </c>
      <c r="D37" s="272"/>
      <c r="E37" s="274">
        <v>0.1</v>
      </c>
      <c r="F37" s="275"/>
      <c r="G37" s="10"/>
      <c r="Q37" s="10"/>
      <c r="R37" s="262" t="s">
        <v>453</v>
      </c>
      <c r="S37" s="265"/>
      <c r="T37" s="80">
        <v>0</v>
      </c>
      <c r="U37" s="10"/>
    </row>
    <row r="38" spans="2:27" ht="14.45" customHeight="1" x14ac:dyDescent="0.25">
      <c r="B38" s="10"/>
      <c r="C38" s="11"/>
      <c r="D38" s="11"/>
      <c r="E38" s="12"/>
      <c r="F38" s="12"/>
      <c r="G38" s="10"/>
      <c r="Q38" s="10"/>
      <c r="R38" s="262" t="s">
        <v>93</v>
      </c>
      <c r="S38" s="265"/>
      <c r="T38" s="80">
        <v>0</v>
      </c>
      <c r="U38" s="10"/>
    </row>
    <row r="39" spans="2:27" ht="14.45" customHeight="1" x14ac:dyDescent="0.25">
      <c r="Q39" s="10"/>
      <c r="R39" s="262" t="s">
        <v>422</v>
      </c>
      <c r="S39" s="265"/>
      <c r="T39" s="80">
        <v>0</v>
      </c>
      <c r="U39" s="10"/>
    </row>
    <row r="40" spans="2:27" ht="14.45" customHeight="1" x14ac:dyDescent="0.25">
      <c r="Q40" s="10"/>
      <c r="R40" s="262" t="s">
        <v>452</v>
      </c>
      <c r="S40" s="265"/>
      <c r="T40" s="80">
        <v>0</v>
      </c>
      <c r="U40" s="10"/>
    </row>
    <row r="41" spans="2:27" ht="14.45" customHeight="1" x14ac:dyDescent="0.25">
      <c r="C41" s="273"/>
      <c r="D41" s="273"/>
      <c r="E41" s="276"/>
      <c r="F41" s="276"/>
      <c r="Q41" s="10"/>
      <c r="R41" s="262" t="s">
        <v>92</v>
      </c>
      <c r="S41" s="265"/>
      <c r="T41" s="80">
        <v>0</v>
      </c>
      <c r="U41" s="10"/>
    </row>
    <row r="42" spans="2:27" ht="14.45" customHeight="1" x14ac:dyDescent="0.25">
      <c r="D42" s="8"/>
      <c r="Q42" s="10"/>
      <c r="R42" s="262" t="s">
        <v>94</v>
      </c>
      <c r="S42" s="265"/>
      <c r="T42" s="80">
        <v>0</v>
      </c>
      <c r="U42" s="10"/>
    </row>
    <row r="43" spans="2:27" ht="14.45" customHeight="1" x14ac:dyDescent="0.25">
      <c r="Q43" s="10"/>
      <c r="R43" s="262" t="s">
        <v>95</v>
      </c>
      <c r="S43" s="265"/>
      <c r="T43" s="80">
        <v>0</v>
      </c>
      <c r="U43" s="10"/>
    </row>
    <row r="44" spans="2:27" ht="14.45" customHeight="1" x14ac:dyDescent="0.25">
      <c r="Q44" s="10"/>
      <c r="R44" s="262" t="s">
        <v>96</v>
      </c>
      <c r="S44" s="265"/>
      <c r="T44" s="80">
        <v>0</v>
      </c>
      <c r="U44" s="10"/>
    </row>
    <row r="45" spans="2:27" ht="14.45" customHeight="1" x14ac:dyDescent="0.25">
      <c r="Q45" s="10"/>
      <c r="R45" s="262" t="s">
        <v>97</v>
      </c>
      <c r="S45" s="265"/>
      <c r="T45" s="80">
        <v>0</v>
      </c>
      <c r="U45" s="10"/>
    </row>
    <row r="46" spans="2:27" ht="14.45" customHeight="1" x14ac:dyDescent="0.25">
      <c r="Q46" s="10"/>
      <c r="R46" s="262" t="s">
        <v>98</v>
      </c>
      <c r="S46" s="265"/>
      <c r="T46" s="80">
        <v>0</v>
      </c>
      <c r="U46" s="10"/>
    </row>
    <row r="47" spans="2:27" ht="14.45" customHeight="1" x14ac:dyDescent="0.25">
      <c r="Q47" s="10"/>
      <c r="R47" s="262" t="s">
        <v>419</v>
      </c>
      <c r="S47" s="265"/>
      <c r="T47" s="80">
        <v>0</v>
      </c>
      <c r="U47" s="10"/>
    </row>
    <row r="48" spans="2:27" ht="14.45" customHeight="1" x14ac:dyDescent="0.25">
      <c r="Q48" s="10"/>
      <c r="R48" s="262" t="s">
        <v>420</v>
      </c>
      <c r="S48" s="265"/>
      <c r="T48" s="80">
        <v>0</v>
      </c>
      <c r="U48" s="10"/>
    </row>
    <row r="49" spans="17:21" ht="14.45" customHeight="1" x14ac:dyDescent="0.25">
      <c r="Q49" s="10"/>
      <c r="R49" s="262" t="s">
        <v>433</v>
      </c>
      <c r="S49" s="265"/>
      <c r="T49" s="80">
        <v>0</v>
      </c>
      <c r="U49" s="10"/>
    </row>
    <row r="50" spans="17:21" ht="14.45" customHeight="1" x14ac:dyDescent="0.25">
      <c r="Q50" s="10"/>
      <c r="R50" s="262" t="s">
        <v>421</v>
      </c>
      <c r="S50" s="265"/>
      <c r="T50" s="80">
        <v>0</v>
      </c>
      <c r="U50" s="10"/>
    </row>
    <row r="51" spans="17:21" ht="14.45" customHeight="1" x14ac:dyDescent="0.25">
      <c r="Q51" s="10"/>
      <c r="R51" s="10"/>
      <c r="S51" s="10"/>
      <c r="T51" s="10"/>
      <c r="U51" s="10"/>
    </row>
  </sheetData>
  <mergeCells count="218">
    <mergeCell ref="X34:Y34"/>
    <mergeCell ref="X35:Y35"/>
    <mergeCell ref="X13:Y13"/>
    <mergeCell ref="X14:Y14"/>
    <mergeCell ref="X15:Y15"/>
    <mergeCell ref="X16:Y16"/>
    <mergeCell ref="X17:Y17"/>
    <mergeCell ref="X18:Y18"/>
    <mergeCell ref="X19:Y19"/>
    <mergeCell ref="X23:Z24"/>
    <mergeCell ref="X33:Y33"/>
    <mergeCell ref="X31:Y31"/>
    <mergeCell ref="X32:Y32"/>
    <mergeCell ref="X25:Y25"/>
    <mergeCell ref="X26:Y26"/>
    <mergeCell ref="X28:Y28"/>
    <mergeCell ref="C21:D21"/>
    <mergeCell ref="E15:F15"/>
    <mergeCell ref="L14:N14"/>
    <mergeCell ref="L15:N15"/>
    <mergeCell ref="R28:S28"/>
    <mergeCell ref="R29:S29"/>
    <mergeCell ref="R30:S30"/>
    <mergeCell ref="X27:Y27"/>
    <mergeCell ref="R23:S23"/>
    <mergeCell ref="R24:S24"/>
    <mergeCell ref="R25:S25"/>
    <mergeCell ref="C22:D22"/>
    <mergeCell ref="C23:D23"/>
    <mergeCell ref="E22:F22"/>
    <mergeCell ref="E23:F23"/>
    <mergeCell ref="C27:F28"/>
    <mergeCell ref="J27:K27"/>
    <mergeCell ref="L27:N27"/>
    <mergeCell ref="L28:N28"/>
    <mergeCell ref="L29:N29"/>
    <mergeCell ref="C19:D19"/>
    <mergeCell ref="C20:D20"/>
    <mergeCell ref="C17:D17"/>
    <mergeCell ref="C18:D18"/>
    <mergeCell ref="X7:Y7"/>
    <mergeCell ref="X8:Y8"/>
    <mergeCell ref="X9:Y9"/>
    <mergeCell ref="X10:Y10"/>
    <mergeCell ref="X11:Y11"/>
    <mergeCell ref="X12:Y12"/>
    <mergeCell ref="J17:K17"/>
    <mergeCell ref="X29:Y29"/>
    <mergeCell ref="X30:Y30"/>
    <mergeCell ref="L16:N16"/>
    <mergeCell ref="L17:N17"/>
    <mergeCell ref="J14:K14"/>
    <mergeCell ref="J15:K15"/>
    <mergeCell ref="J16:K16"/>
    <mergeCell ref="J21:N22"/>
    <mergeCell ref="J23:K23"/>
    <mergeCell ref="J24:K24"/>
    <mergeCell ref="J25:K25"/>
    <mergeCell ref="J26:K26"/>
    <mergeCell ref="J35:K35"/>
    <mergeCell ref="L32:N32"/>
    <mergeCell ref="L33:N33"/>
    <mergeCell ref="L34:N34"/>
    <mergeCell ref="L35:N35"/>
    <mergeCell ref="J32:K32"/>
    <mergeCell ref="C41:D41"/>
    <mergeCell ref="E41:F41"/>
    <mergeCell ref="C33:D33"/>
    <mergeCell ref="E33:F33"/>
    <mergeCell ref="C37:D37"/>
    <mergeCell ref="E37:F37"/>
    <mergeCell ref="E31:F31"/>
    <mergeCell ref="E32:F32"/>
    <mergeCell ref="C29:D29"/>
    <mergeCell ref="C30:D30"/>
    <mergeCell ref="C31:D31"/>
    <mergeCell ref="C32:D32"/>
    <mergeCell ref="C34:D34"/>
    <mergeCell ref="E34:F34"/>
    <mergeCell ref="C36:D36"/>
    <mergeCell ref="E36:F36"/>
    <mergeCell ref="C35:D35"/>
    <mergeCell ref="E35:F35"/>
    <mergeCell ref="E29:F29"/>
    <mergeCell ref="E30:F30"/>
    <mergeCell ref="C13:F14"/>
    <mergeCell ref="C15:D15"/>
    <mergeCell ref="C16:D16"/>
    <mergeCell ref="J3:N4"/>
    <mergeCell ref="J5:K5"/>
    <mergeCell ref="J6:K6"/>
    <mergeCell ref="J7:K7"/>
    <mergeCell ref="J8:K8"/>
    <mergeCell ref="L5:N5"/>
    <mergeCell ref="L6:N6"/>
    <mergeCell ref="C3:F4"/>
    <mergeCell ref="C5:D5"/>
    <mergeCell ref="C6:D6"/>
    <mergeCell ref="C7:D7"/>
    <mergeCell ref="C8:D8"/>
    <mergeCell ref="C9:D9"/>
    <mergeCell ref="E5:F5"/>
    <mergeCell ref="E6:F6"/>
    <mergeCell ref="E7:F7"/>
    <mergeCell ref="E8:F8"/>
    <mergeCell ref="E9:F9"/>
    <mergeCell ref="R48:S48"/>
    <mergeCell ref="R49:S49"/>
    <mergeCell ref="R16:S16"/>
    <mergeCell ref="R10:S10"/>
    <mergeCell ref="J19:K19"/>
    <mergeCell ref="J12:N13"/>
    <mergeCell ref="R17:S17"/>
    <mergeCell ref="R18:S18"/>
    <mergeCell ref="R19:S19"/>
    <mergeCell ref="R20:S20"/>
    <mergeCell ref="R40:S40"/>
    <mergeCell ref="L25:N25"/>
    <mergeCell ref="L26:N26"/>
    <mergeCell ref="L23:N23"/>
    <mergeCell ref="L24:N24"/>
    <mergeCell ref="J33:K33"/>
    <mergeCell ref="J34:K34"/>
    <mergeCell ref="R39:S39"/>
    <mergeCell ref="J28:K28"/>
    <mergeCell ref="J29:K29"/>
    <mergeCell ref="J30:K30"/>
    <mergeCell ref="J31:K31"/>
    <mergeCell ref="L30:N30"/>
    <mergeCell ref="L31:N31"/>
    <mergeCell ref="R50:S50"/>
    <mergeCell ref="X3:Z4"/>
    <mergeCell ref="R43:S43"/>
    <mergeCell ref="R44:S44"/>
    <mergeCell ref="R45:S45"/>
    <mergeCell ref="R46:S46"/>
    <mergeCell ref="R47:S47"/>
    <mergeCell ref="R36:S36"/>
    <mergeCell ref="R37:S37"/>
    <mergeCell ref="R38:S38"/>
    <mergeCell ref="R41:S41"/>
    <mergeCell ref="R42:S42"/>
    <mergeCell ref="R31:S31"/>
    <mergeCell ref="R32:S32"/>
    <mergeCell ref="R33:S33"/>
    <mergeCell ref="R34:S34"/>
    <mergeCell ref="R35:S35"/>
    <mergeCell ref="R26:S26"/>
    <mergeCell ref="R27:S27"/>
    <mergeCell ref="R3:T4"/>
    <mergeCell ref="R5:S5"/>
    <mergeCell ref="R22:S22"/>
    <mergeCell ref="X5:Y5"/>
    <mergeCell ref="X6:Y6"/>
    <mergeCell ref="AD19:AE19"/>
    <mergeCell ref="AD20:AE20"/>
    <mergeCell ref="AD21:AE21"/>
    <mergeCell ref="AD3:AG4"/>
    <mergeCell ref="AD5:AE5"/>
    <mergeCell ref="AF5:AG5"/>
    <mergeCell ref="E16:F16"/>
    <mergeCell ref="E17:F17"/>
    <mergeCell ref="E18:F18"/>
    <mergeCell ref="E19:F19"/>
    <mergeCell ref="E20:F20"/>
    <mergeCell ref="E21:F21"/>
    <mergeCell ref="R21:S21"/>
    <mergeCell ref="L7:N7"/>
    <mergeCell ref="L8:N8"/>
    <mergeCell ref="R11:S11"/>
    <mergeCell ref="R12:S12"/>
    <mergeCell ref="R13:S13"/>
    <mergeCell ref="R14:S14"/>
    <mergeCell ref="R15:S15"/>
    <mergeCell ref="R6:S6"/>
    <mergeCell ref="R7:S7"/>
    <mergeCell ref="R8:S8"/>
    <mergeCell ref="R9:S9"/>
    <mergeCell ref="AF24:AG24"/>
    <mergeCell ref="AF25:AG25"/>
    <mergeCell ref="AF26:AG26"/>
    <mergeCell ref="AF27:AG27"/>
    <mergeCell ref="AF28:AG28"/>
    <mergeCell ref="AF29:AG29"/>
    <mergeCell ref="AF30:AG30"/>
    <mergeCell ref="AD22:AE22"/>
    <mergeCell ref="AD23:AE23"/>
    <mergeCell ref="AD24:AE24"/>
    <mergeCell ref="AD25:AE25"/>
    <mergeCell ref="AD26:AE26"/>
    <mergeCell ref="AD27:AE27"/>
    <mergeCell ref="AD28:AE28"/>
    <mergeCell ref="AD29:AE29"/>
    <mergeCell ref="AD30:AE30"/>
    <mergeCell ref="AD31:AE31"/>
    <mergeCell ref="AF31:AG31"/>
    <mergeCell ref="AD9:AG10"/>
    <mergeCell ref="AF11:AG11"/>
    <mergeCell ref="AF12:AG12"/>
    <mergeCell ref="AF13:AG13"/>
    <mergeCell ref="AF14:AG14"/>
    <mergeCell ref="AF15:AG15"/>
    <mergeCell ref="AF16:AG16"/>
    <mergeCell ref="AF17:AG17"/>
    <mergeCell ref="AF18:AG18"/>
    <mergeCell ref="AD13:AE13"/>
    <mergeCell ref="AD14:AE14"/>
    <mergeCell ref="AD15:AE15"/>
    <mergeCell ref="AD16:AE16"/>
    <mergeCell ref="AD17:AE17"/>
    <mergeCell ref="AD18:AE18"/>
    <mergeCell ref="AD11:AE11"/>
    <mergeCell ref="AD12:AE12"/>
    <mergeCell ref="AF19:AG19"/>
    <mergeCell ref="AF20:AG20"/>
    <mergeCell ref="AF21:AG21"/>
    <mergeCell ref="AF22:AG22"/>
    <mergeCell ref="AF23:AG23"/>
  </mergeCells>
  <dataValidations count="1">
    <dataValidation type="list" allowBlank="1" showInputMessage="1" showErrorMessage="1" sqref="E21:E22 E15:E19" xr:uid="{A49890BB-1A54-4864-8574-23F9051FFABC}">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3" r:id="rId4" name="Check Box 9">
              <controlPr defaultSize="0" autoFill="0" autoLine="0" autoPict="0">
                <anchor moveWithCells="1">
                  <from>
                    <xdr:col>12</xdr:col>
                    <xdr:colOff>257175</xdr:colOff>
                    <xdr:row>7</xdr:row>
                    <xdr:rowOff>9525</xdr:rowOff>
                  </from>
                  <to>
                    <xdr:col>12</xdr:col>
                    <xdr:colOff>447675</xdr:colOff>
                    <xdr:row>8</xdr:row>
                    <xdr:rowOff>9525</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12</xdr:col>
                    <xdr:colOff>257175</xdr:colOff>
                    <xdr:row>15</xdr:row>
                    <xdr:rowOff>171450</xdr:rowOff>
                  </from>
                  <to>
                    <xdr:col>12</xdr:col>
                    <xdr:colOff>485775</xdr:colOff>
                    <xdr:row>17</xdr:row>
                    <xdr:rowOff>0</xdr:rowOff>
                  </to>
                </anchor>
              </controlPr>
            </control>
          </mc:Choice>
        </mc:AlternateContent>
        <mc:AlternateContent xmlns:mc="http://schemas.openxmlformats.org/markup-compatibility/2006">
          <mc:Choice Requires="x14">
            <control shapeId="1040" r:id="rId6" name="Button 16">
              <controlPr defaultSize="0" print="0" autoFill="0" autoPict="0" macro="[0]!char1Solver">
                <anchor moveWithCells="1" sizeWithCells="1">
                  <from>
                    <xdr:col>34</xdr:col>
                    <xdr:colOff>428625</xdr:colOff>
                    <xdr:row>2</xdr:row>
                    <xdr:rowOff>76200</xdr:rowOff>
                  </from>
                  <to>
                    <xdr:col>37</xdr:col>
                    <xdr:colOff>381000</xdr:colOff>
                    <xdr:row>4</xdr:row>
                    <xdr:rowOff>95250</xdr:rowOff>
                  </to>
                </anchor>
              </controlPr>
            </control>
          </mc:Choice>
        </mc:AlternateContent>
        <mc:AlternateContent xmlns:mc="http://schemas.openxmlformats.org/markup-compatibility/2006">
          <mc:Choice Requires="x14">
            <control shapeId="1051" r:id="rId7" name="Check Box 27">
              <controlPr defaultSize="0" autoFill="0" autoLine="0" autoPict="0">
                <anchor moveWithCells="1">
                  <from>
                    <xdr:col>25</xdr:col>
                    <xdr:colOff>228600</xdr:colOff>
                    <xdr:row>4</xdr:row>
                    <xdr:rowOff>171450</xdr:rowOff>
                  </from>
                  <to>
                    <xdr:col>25</xdr:col>
                    <xdr:colOff>533400</xdr:colOff>
                    <xdr:row>6</xdr:row>
                    <xdr:rowOff>9525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2B144F1C-B544-44CB-A8B5-0750C45A2489}">
          <x14:formula1>
            <xm:f>'Data Val'!$A$8:$A$21</xm:f>
          </x14:formula1>
          <xm:sqref>E6:F6</xm:sqref>
        </x14:dataValidation>
        <x14:dataValidation type="list" allowBlank="1" showInputMessage="1" showErrorMessage="1" xr:uid="{7ADAFA0B-91CF-4152-AC7A-645DA71F74BA}">
          <x14:formula1>
            <xm:f>'Artifact Database'!$B$1:$D$1</xm:f>
          </x14:formula1>
          <xm:sqref>Z7</xm:sqref>
        </x14:dataValidation>
        <x14:dataValidation type="list" allowBlank="1" showInputMessage="1" showErrorMessage="1" xr:uid="{C63D75C1-F7B6-4BBB-92F4-2C1DFA2F4DE5}">
          <x14:formula1>
            <xm:f>'Artifact Database'!$Y$16:$AC$16</xm:f>
          </x14:formula1>
          <xm:sqref>L24:N24 L26:N26 L29:N29 L32:N32 L35:N35</xm:sqref>
        </x14:dataValidation>
        <x14:dataValidation type="list" allowBlank="1" showInputMessage="1" showErrorMessage="1" xr:uid="{BED788B0-4477-4882-9481-356D618147A1}">
          <x14:formula1>
            <xm:f>'Artifact Database'!$Y$3:$Y$7</xm:f>
          </x14:formula1>
          <xm:sqref>L28:N28</xm:sqref>
        </x14:dataValidation>
        <x14:dataValidation type="list" allowBlank="1" showInputMessage="1" showErrorMessage="1" xr:uid="{86A7219A-0502-4F6F-BF5C-7538832F931A}">
          <x14:formula1>
            <xm:f>'Artifact Database'!$Z$3:$Z$13</xm:f>
          </x14:formula1>
          <xm:sqref>L31:N31</xm:sqref>
        </x14:dataValidation>
        <x14:dataValidation type="list" allowBlank="1" showInputMessage="1" showErrorMessage="1" xr:uid="{541C2DEB-33F6-4157-BB9E-851012432DCB}">
          <x14:formula1>
            <xm:f>'Artifact Database'!$AA$3:$AA$9</xm:f>
          </x14:formula1>
          <xm:sqref>L34:N34</xm:sqref>
        </x14:dataValidation>
        <x14:dataValidation type="list" allowBlank="1" showInputMessage="1" showErrorMessage="1" xr:uid="{71FD5FAE-DF94-4C45-973A-16D13E489790}">
          <x14:formula1>
            <xm:f>weapons!$B$1:$CV$1</xm:f>
          </x14:formula1>
          <xm:sqref>L5:N5</xm:sqref>
        </x14:dataValidation>
        <x14:dataValidation type="list" allowBlank="1" showInputMessage="1" showErrorMessage="1" xr:uid="{A2A26E98-F631-4C48-B2AD-46648F39048A}">
          <x14:formula1>
            <xm:f>artisDB!$A$2:$A$27</xm:f>
          </x14:formula1>
          <xm:sqref>L14:N14</xm:sqref>
        </x14:dataValidation>
        <x14:dataValidation type="list" allowBlank="1" showInputMessage="1" showErrorMessage="1" xr:uid="{B87F079C-0B5A-4311-B303-E55FCC5F87C2}">
          <x14:formula1>
            <xm:f>artisDB!$A$2:$A$53</xm:f>
          </x14:formula1>
          <xm:sqref>L15:N15</xm:sqref>
        </x14:dataValidation>
        <x14:dataValidation type="list" allowBlank="1" showInputMessage="1" showErrorMessage="1" xr:uid="{DE1CC219-9AA4-4ABC-A20F-9361A10DE8BF}">
          <x14:formula1>
            <xm:f>'Data Val'!$C$2:$C$6</xm:f>
          </x14:formula1>
          <xm:sqref>E20:F20 E23:F23</xm:sqref>
        </x14:dataValidation>
        <x14:dataValidation type="whole" allowBlank="1" showInputMessage="1" showErrorMessage="1" xr:uid="{C3796129-5D31-495F-ADE3-B14811CCD13B}">
          <x14:formula1>
            <xm:f>0</xm:f>
          </x14:formula1>
          <x14:formula2>
            <xm:f>'Artifact Database'!Z61</xm:f>
          </x14:formula2>
          <xm:sqref>L23:N23</xm:sqref>
        </x14:dataValidation>
        <x14:dataValidation type="whole" allowBlank="1" showInputMessage="1" showErrorMessage="1" xr:uid="{41BF324D-9594-4594-B99C-557726B2790B}">
          <x14:formula1>
            <xm:f>0</xm:f>
          </x14:formula1>
          <x14:formula2>
            <xm:f>'Artifact Database'!AA61</xm:f>
          </x14:formula2>
          <xm:sqref>L25:N25</xm:sqref>
        </x14:dataValidation>
        <x14:dataValidation type="whole" allowBlank="1" showInputMessage="1" showErrorMessage="1" xr:uid="{0C3CB993-6549-4EC9-A247-024FB090DC58}">
          <x14:formula1>
            <xm:f>0</xm:f>
          </x14:formula1>
          <x14:formula2>
            <xm:f>'Artifact Database'!AB61</xm:f>
          </x14:formula2>
          <xm:sqref>L27:N27</xm:sqref>
        </x14:dataValidation>
        <x14:dataValidation type="whole" allowBlank="1" showInputMessage="1" showErrorMessage="1" xr:uid="{C46239EA-9E7A-44DA-8C87-340C45EBEC90}">
          <x14:formula1>
            <xm:f>0</xm:f>
          </x14:formula1>
          <x14:formula2>
            <xm:f>'Artifact Database'!AC61</xm:f>
          </x14:formula2>
          <xm:sqref>L30:N30</xm:sqref>
        </x14:dataValidation>
        <x14:dataValidation type="whole" allowBlank="1" showInputMessage="1" showErrorMessage="1" xr:uid="{3857BCDE-C074-48C8-A931-B7DEF804A711}">
          <x14:formula1>
            <xm:f>0</xm:f>
          </x14:formula1>
          <x14:formula2>
            <xm:f>'Artifact Database'!AD61</xm:f>
          </x14:formula2>
          <xm:sqref>L33:N33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9EA29-783E-4090-9071-F4C9AB013583}">
  <sheetPr codeName="Sheet3"/>
  <dimension ref="A1:AH51"/>
  <sheetViews>
    <sheetView topLeftCell="U1" zoomScaleNormal="100" workbookViewId="0">
      <selection activeCell="AE7" sqref="AE7"/>
    </sheetView>
  </sheetViews>
  <sheetFormatPr defaultColWidth="9.140625" defaultRowHeight="14.45" customHeight="1"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4.45" customHeight="1" x14ac:dyDescent="0.25">
      <c r="A1" s="9"/>
      <c r="C1" s="7"/>
      <c r="D1" s="7"/>
      <c r="E1" s="7"/>
      <c r="F1" s="7"/>
    </row>
    <row r="2" spans="1:34" s="8" customFormat="1" ht="14.4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ht="14.45" customHeight="1" x14ac:dyDescent="0.25">
      <c r="B3" s="10"/>
      <c r="C3" s="264" t="s">
        <v>740</v>
      </c>
      <c r="D3" s="264"/>
      <c r="E3" s="264"/>
      <c r="F3" s="264"/>
      <c r="G3" s="10"/>
      <c r="H3" s="6"/>
      <c r="I3" s="10"/>
      <c r="J3" s="264" t="s">
        <v>28</v>
      </c>
      <c r="K3" s="264"/>
      <c r="L3" s="264"/>
      <c r="M3" s="264"/>
      <c r="N3" s="264"/>
      <c r="O3" s="10"/>
      <c r="Q3" s="10"/>
      <c r="R3" s="264" t="s">
        <v>61</v>
      </c>
      <c r="S3" s="264"/>
      <c r="T3" s="264"/>
      <c r="U3" s="10"/>
      <c r="W3" s="10"/>
      <c r="X3" s="264" t="s">
        <v>99</v>
      </c>
      <c r="Y3" s="264"/>
      <c r="Z3" s="264"/>
      <c r="AA3" s="10"/>
      <c r="AC3" s="10"/>
      <c r="AD3" s="264" t="s">
        <v>118</v>
      </c>
      <c r="AE3" s="264"/>
      <c r="AF3" s="264"/>
      <c r="AG3" s="264"/>
      <c r="AH3" s="10"/>
    </row>
    <row r="4" spans="1:34" ht="14.45" customHeight="1" x14ac:dyDescent="0.25">
      <c r="B4" s="10"/>
      <c r="C4" s="264"/>
      <c r="D4" s="264"/>
      <c r="E4" s="264"/>
      <c r="F4" s="264"/>
      <c r="G4" s="10"/>
      <c r="H4" s="6"/>
      <c r="I4" s="10"/>
      <c r="J4" s="264"/>
      <c r="K4" s="264"/>
      <c r="L4" s="264"/>
      <c r="M4" s="264"/>
      <c r="N4" s="264"/>
      <c r="O4" s="10"/>
      <c r="Q4" s="10"/>
      <c r="R4" s="264"/>
      <c r="S4" s="264"/>
      <c r="T4" s="264"/>
      <c r="U4" s="10"/>
      <c r="W4" s="10"/>
      <c r="X4" s="264"/>
      <c r="Y4" s="264"/>
      <c r="Z4" s="264"/>
      <c r="AA4" s="10"/>
      <c r="AC4" s="10"/>
      <c r="AD4" s="264"/>
      <c r="AE4" s="264"/>
      <c r="AF4" s="264"/>
      <c r="AG4" s="264"/>
      <c r="AH4" s="10"/>
    </row>
    <row r="5" spans="1:34" ht="14.45" customHeight="1" x14ac:dyDescent="0.25">
      <c r="B5" s="10"/>
      <c r="C5" s="262" t="s">
        <v>50</v>
      </c>
      <c r="D5" s="265"/>
      <c r="E5" s="270" t="s">
        <v>213</v>
      </c>
      <c r="F5" s="270"/>
      <c r="G5" s="10"/>
      <c r="I5" s="10"/>
      <c r="J5" s="262" t="s">
        <v>48</v>
      </c>
      <c r="K5" s="265"/>
      <c r="L5" s="270" t="s">
        <v>545</v>
      </c>
      <c r="M5" s="270"/>
      <c r="N5" s="270"/>
      <c r="O5" s="10"/>
      <c r="Q5" s="10"/>
      <c r="R5" s="262" t="s">
        <v>62</v>
      </c>
      <c r="S5" s="265"/>
      <c r="T5" s="19">
        <v>0</v>
      </c>
      <c r="U5" s="10"/>
      <c r="W5" s="10"/>
      <c r="X5" s="262" t="s">
        <v>106</v>
      </c>
      <c r="Y5" s="265"/>
      <c r="Z5" s="19">
        <v>40</v>
      </c>
      <c r="AA5" s="10"/>
      <c r="AC5" s="10"/>
      <c r="AD5" s="262" t="s">
        <v>119</v>
      </c>
      <c r="AE5" s="265"/>
      <c r="AF5" s="278">
        <f ca="1">'Rotation Assembler'!B300</f>
        <v>441627.06234500848</v>
      </c>
      <c r="AG5" s="278"/>
      <c r="AH5" s="10"/>
    </row>
    <row r="6" spans="1:34" ht="14.45" customHeight="1" x14ac:dyDescent="0.25">
      <c r="B6" s="10"/>
      <c r="C6" s="262" t="s">
        <v>51</v>
      </c>
      <c r="D6" s="265"/>
      <c r="E6" s="270">
        <v>90</v>
      </c>
      <c r="F6" s="270"/>
      <c r="G6" s="10"/>
      <c r="I6" s="10"/>
      <c r="J6" s="262" t="s">
        <v>49</v>
      </c>
      <c r="K6" s="265"/>
      <c r="L6" s="270">
        <v>5</v>
      </c>
      <c r="M6" s="270"/>
      <c r="N6" s="270"/>
      <c r="O6" s="10"/>
      <c r="Q6" s="10"/>
      <c r="R6" s="262" t="s">
        <v>63</v>
      </c>
      <c r="S6" s="265"/>
      <c r="T6" s="19">
        <v>0</v>
      </c>
      <c r="U6" s="10"/>
      <c r="W6" s="10"/>
      <c r="X6" s="262" t="s">
        <v>976</v>
      </c>
      <c r="Y6" s="272"/>
      <c r="Z6" s="16" t="b">
        <v>1</v>
      </c>
      <c r="AA6" s="10"/>
      <c r="AC6" s="10"/>
      <c r="AD6" s="10"/>
      <c r="AE6" s="10"/>
      <c r="AF6" s="10"/>
      <c r="AG6" s="10"/>
      <c r="AH6" s="10"/>
    </row>
    <row r="7" spans="1:34" ht="14.45" customHeight="1" x14ac:dyDescent="0.25">
      <c r="B7" s="10"/>
      <c r="C7" s="262" t="s">
        <v>52</v>
      </c>
      <c r="D7" s="265"/>
      <c r="E7" s="270">
        <v>9</v>
      </c>
      <c r="F7" s="270"/>
      <c r="G7" s="10"/>
      <c r="I7" s="10"/>
      <c r="J7" s="262" t="s">
        <v>46</v>
      </c>
      <c r="K7" s="265"/>
      <c r="L7" s="270">
        <v>0</v>
      </c>
      <c r="M7" s="270"/>
      <c r="N7" s="270"/>
      <c r="O7" s="10"/>
      <c r="Q7" s="10"/>
      <c r="R7" s="262" t="s">
        <v>64</v>
      </c>
      <c r="S7" s="265"/>
      <c r="T7" s="19">
        <v>0</v>
      </c>
      <c r="U7" s="10"/>
      <c r="W7" s="10"/>
      <c r="X7" s="262" t="s">
        <v>102</v>
      </c>
      <c r="Y7" s="265"/>
      <c r="Z7" s="19" t="s">
        <v>430</v>
      </c>
      <c r="AA7" s="10"/>
      <c r="AC7" s="8"/>
      <c r="AD7" s="8"/>
      <c r="AE7" s="8"/>
      <c r="AF7" s="8"/>
      <c r="AG7" s="8"/>
      <c r="AH7" s="8"/>
    </row>
    <row r="8" spans="1:34" ht="14.45" customHeight="1" x14ac:dyDescent="0.25">
      <c r="B8" s="10"/>
      <c r="C8" s="262" t="s">
        <v>53</v>
      </c>
      <c r="D8" s="265"/>
      <c r="E8" s="270">
        <v>9</v>
      </c>
      <c r="F8" s="270"/>
      <c r="G8" s="10"/>
      <c r="I8" s="10"/>
      <c r="J8" s="262" t="s">
        <v>47</v>
      </c>
      <c r="K8" s="265"/>
      <c r="L8" s="271" t="b">
        <v>0</v>
      </c>
      <c r="M8" s="271"/>
      <c r="N8" s="271"/>
      <c r="O8" s="10"/>
      <c r="Q8" s="10"/>
      <c r="R8" s="262" t="s">
        <v>69</v>
      </c>
      <c r="S8" s="265"/>
      <c r="T8" s="19">
        <v>0</v>
      </c>
      <c r="U8" s="10"/>
      <c r="W8" s="10"/>
      <c r="X8" s="262" t="s">
        <v>100</v>
      </c>
      <c r="Y8" s="265"/>
      <c r="Z8" s="101">
        <v>1.0900000000000001</v>
      </c>
      <c r="AA8" s="10"/>
      <c r="AC8" s="10"/>
      <c r="AD8" s="10"/>
      <c r="AE8" s="10"/>
      <c r="AF8" s="10"/>
      <c r="AG8" s="10"/>
      <c r="AH8" s="10"/>
    </row>
    <row r="9" spans="1:34" ht="14.45" customHeight="1" x14ac:dyDescent="0.25">
      <c r="B9" s="10"/>
      <c r="C9" s="262" t="s">
        <v>54</v>
      </c>
      <c r="D9" s="265"/>
      <c r="E9" s="270">
        <v>9</v>
      </c>
      <c r="F9" s="270"/>
      <c r="G9" s="10"/>
      <c r="I9" s="10"/>
      <c r="J9" s="13"/>
      <c r="K9" s="13"/>
      <c r="L9" s="13"/>
      <c r="M9" s="13"/>
      <c r="N9" s="13"/>
      <c r="O9" s="10"/>
      <c r="Q9" s="10"/>
      <c r="R9" s="262" t="s">
        <v>65</v>
      </c>
      <c r="S9" s="265"/>
      <c r="T9" s="80">
        <v>0</v>
      </c>
      <c r="U9" s="10"/>
      <c r="W9" s="10"/>
      <c r="X9" s="262" t="s">
        <v>103</v>
      </c>
      <c r="Y9" s="265"/>
      <c r="Z9" s="19">
        <v>2</v>
      </c>
      <c r="AA9" s="10"/>
      <c r="AC9" s="10"/>
      <c r="AD9" s="264" t="s">
        <v>776</v>
      </c>
      <c r="AE9" s="264"/>
      <c r="AF9" s="264"/>
      <c r="AG9" s="264"/>
      <c r="AH9" s="10"/>
    </row>
    <row r="10" spans="1:34" ht="14.45" customHeight="1" x14ac:dyDescent="0.25">
      <c r="B10" s="10"/>
      <c r="C10" s="10"/>
      <c r="D10" s="10"/>
      <c r="E10" s="10"/>
      <c r="F10" s="10"/>
      <c r="G10" s="10"/>
      <c r="I10" s="8"/>
      <c r="Q10" s="10"/>
      <c r="R10" s="262" t="s">
        <v>66</v>
      </c>
      <c r="S10" s="265"/>
      <c r="T10" s="80">
        <v>0</v>
      </c>
      <c r="U10" s="10"/>
      <c r="W10" s="10"/>
      <c r="X10" s="262" t="s">
        <v>963</v>
      </c>
      <c r="Y10" s="265"/>
      <c r="Z10" s="230">
        <f>IF(Z6, 10, 1000)</f>
        <v>10</v>
      </c>
      <c r="AA10" s="10"/>
      <c r="AC10" s="10"/>
      <c r="AD10" s="264"/>
      <c r="AE10" s="264"/>
      <c r="AF10" s="264"/>
      <c r="AG10" s="264"/>
      <c r="AH10" s="10"/>
    </row>
    <row r="11" spans="1:34" ht="14.45" customHeight="1" x14ac:dyDescent="0.25">
      <c r="C11" s="8"/>
      <c r="D11" s="8"/>
      <c r="E11" s="8"/>
      <c r="F11" s="8"/>
      <c r="I11" s="10"/>
      <c r="J11" s="10"/>
      <c r="K11" s="10"/>
      <c r="L11" s="10"/>
      <c r="M11" s="10"/>
      <c r="N11" s="10"/>
      <c r="O11" s="10"/>
      <c r="Q11" s="10"/>
      <c r="R11" s="262" t="s">
        <v>67</v>
      </c>
      <c r="S11" s="265"/>
      <c r="T11" s="80">
        <v>0</v>
      </c>
      <c r="U11" s="10"/>
      <c r="W11" s="10"/>
      <c r="X11" s="262" t="s">
        <v>964</v>
      </c>
      <c r="Y11" s="265"/>
      <c r="Z11" s="230">
        <f>IF(Z6, 12, 1000)</f>
        <v>12</v>
      </c>
      <c r="AA11" s="10"/>
      <c r="AC11" s="10"/>
      <c r="AD11" s="262" t="s">
        <v>746</v>
      </c>
      <c r="AE11" s="265"/>
      <c r="AF11" s="261">
        <f>char2FinalHP</f>
        <v>16056.742399999999</v>
      </c>
      <c r="AG11" s="261"/>
      <c r="AH11" s="10"/>
    </row>
    <row r="12" spans="1:34" ht="14.45" customHeight="1" x14ac:dyDescent="0.25">
      <c r="B12" s="10"/>
      <c r="C12" s="10"/>
      <c r="D12" s="10"/>
      <c r="E12" s="10"/>
      <c r="F12" s="10"/>
      <c r="G12" s="10"/>
      <c r="I12" s="10"/>
      <c r="J12" s="264" t="s">
        <v>29</v>
      </c>
      <c r="K12" s="264"/>
      <c r="L12" s="264"/>
      <c r="M12" s="264"/>
      <c r="N12" s="264"/>
      <c r="O12" s="10"/>
      <c r="Q12" s="10"/>
      <c r="R12" s="262" t="s">
        <v>408</v>
      </c>
      <c r="S12" s="265"/>
      <c r="T12" s="80">
        <v>0.15</v>
      </c>
      <c r="U12" s="10"/>
      <c r="W12" s="10"/>
      <c r="X12" s="262" t="s">
        <v>965</v>
      </c>
      <c r="Y12" s="265"/>
      <c r="Z12" s="231">
        <f>IF(Z6, 10, 1000)</f>
        <v>10</v>
      </c>
      <c r="AA12" s="10"/>
      <c r="AC12" s="10"/>
      <c r="AD12" s="262" t="s">
        <v>745</v>
      </c>
      <c r="AE12" s="265"/>
      <c r="AF12" s="261">
        <f>char2FinalDEF</f>
        <v>747.48000000000013</v>
      </c>
      <c r="AG12" s="261"/>
      <c r="AH12" s="10"/>
    </row>
    <row r="13" spans="1:34" ht="14.45" customHeight="1" x14ac:dyDescent="0.25">
      <c r="B13" s="10"/>
      <c r="C13" s="264" t="s">
        <v>27</v>
      </c>
      <c r="D13" s="264"/>
      <c r="E13" s="264"/>
      <c r="F13" s="264"/>
      <c r="G13" s="10"/>
      <c r="I13" s="10"/>
      <c r="J13" s="264"/>
      <c r="K13" s="264"/>
      <c r="L13" s="264"/>
      <c r="M13" s="264"/>
      <c r="N13" s="264"/>
      <c r="O13" s="10"/>
      <c r="Q13" s="10"/>
      <c r="R13" s="262" t="s">
        <v>409</v>
      </c>
      <c r="S13" s="265"/>
      <c r="T13" s="80">
        <v>0</v>
      </c>
      <c r="U13" s="10"/>
      <c r="W13" s="10"/>
      <c r="X13" s="262" t="s">
        <v>966</v>
      </c>
      <c r="Y13" s="265"/>
      <c r="Z13" s="231">
        <f>IF(Z6, 12-COUNTIF($L$28:$N$34, "ATK%")*2, 1000)</f>
        <v>10</v>
      </c>
      <c r="AA13" s="10"/>
      <c r="AC13" s="10"/>
      <c r="AD13" s="262" t="s">
        <v>744</v>
      </c>
      <c r="AE13" s="265"/>
      <c r="AF13" s="261">
        <f>char2FinalATK</f>
        <v>2099.4830000000002</v>
      </c>
      <c r="AG13" s="261"/>
      <c r="AH13" s="10"/>
    </row>
    <row r="14" spans="1:34" ht="14.45" customHeight="1" x14ac:dyDescent="0.25">
      <c r="B14" s="10"/>
      <c r="C14" s="264"/>
      <c r="D14" s="264"/>
      <c r="E14" s="264"/>
      <c r="F14" s="264"/>
      <c r="G14" s="10"/>
      <c r="I14" s="10"/>
      <c r="J14" s="262" t="s">
        <v>44</v>
      </c>
      <c r="K14" s="265"/>
      <c r="L14" s="270" t="s">
        <v>583</v>
      </c>
      <c r="M14" s="270"/>
      <c r="N14" s="270"/>
      <c r="O14" s="10"/>
      <c r="Q14" s="10"/>
      <c r="R14" s="262" t="s">
        <v>68</v>
      </c>
      <c r="S14" s="265"/>
      <c r="T14" s="80">
        <v>0</v>
      </c>
      <c r="U14" s="10"/>
      <c r="W14" s="10"/>
      <c r="X14" s="262" t="s">
        <v>967</v>
      </c>
      <c r="Y14" s="265"/>
      <c r="Z14" s="231">
        <f>IF($Z$6 = TRUE, 12-COUNTIF($L$28:$N$34, "DEF%")*2, 1000)</f>
        <v>12</v>
      </c>
      <c r="AA14" s="10"/>
      <c r="AC14" s="10"/>
      <c r="AD14" s="262" t="s">
        <v>777</v>
      </c>
      <c r="AE14" s="265"/>
      <c r="AF14" s="277">
        <f>Calcs!K67</f>
        <v>1.1102000000000001</v>
      </c>
      <c r="AG14" s="261"/>
      <c r="AH14" s="10"/>
    </row>
    <row r="15" spans="1:34" ht="14.45" customHeight="1" x14ac:dyDescent="0.25">
      <c r="B15" s="10"/>
      <c r="C15" s="262" t="s">
        <v>20</v>
      </c>
      <c r="D15" s="272"/>
      <c r="E15" s="268" t="s">
        <v>752</v>
      </c>
      <c r="F15" s="269"/>
      <c r="G15" s="10"/>
      <c r="I15" s="10"/>
      <c r="J15" s="262" t="s">
        <v>45</v>
      </c>
      <c r="K15" s="265"/>
      <c r="L15" s="270" t="s">
        <v>609</v>
      </c>
      <c r="M15" s="270"/>
      <c r="N15" s="270"/>
      <c r="O15" s="10"/>
      <c r="Q15" s="10"/>
      <c r="R15" s="262" t="s">
        <v>82</v>
      </c>
      <c r="S15" s="265"/>
      <c r="T15" s="80">
        <v>0</v>
      </c>
      <c r="U15" s="10"/>
      <c r="W15" s="10"/>
      <c r="X15" s="262" t="s">
        <v>968</v>
      </c>
      <c r="Y15" s="265"/>
      <c r="Z15" s="231">
        <f>IF($Z$6 = TRUE, 12-COUNTIF($L$28:$N$34, "HP%")*2, 1000)</f>
        <v>12</v>
      </c>
      <c r="AA15" s="10"/>
      <c r="AC15" s="10"/>
      <c r="AD15" s="262" t="s">
        <v>778</v>
      </c>
      <c r="AE15" s="265"/>
      <c r="AF15" s="261">
        <f>Calcs!K61</f>
        <v>39.64</v>
      </c>
      <c r="AG15" s="261"/>
      <c r="AH15" s="10"/>
    </row>
    <row r="16" spans="1:34" ht="14.45" customHeight="1" x14ac:dyDescent="0.25">
      <c r="B16" s="10"/>
      <c r="C16" s="262" t="s">
        <v>21</v>
      </c>
      <c r="D16" s="272"/>
      <c r="E16" s="268" t="s">
        <v>752</v>
      </c>
      <c r="F16" s="269"/>
      <c r="G16" s="10"/>
      <c r="I16" s="10"/>
      <c r="J16" s="262" t="s">
        <v>46</v>
      </c>
      <c r="K16" s="265"/>
      <c r="L16" s="270"/>
      <c r="M16" s="270"/>
      <c r="N16" s="270"/>
      <c r="O16" s="10"/>
      <c r="Q16" s="10"/>
      <c r="R16" s="262" t="s">
        <v>70</v>
      </c>
      <c r="S16" s="265"/>
      <c r="T16" s="80">
        <v>0</v>
      </c>
      <c r="U16" s="10"/>
      <c r="W16" s="10"/>
      <c r="X16" s="262" t="s">
        <v>969</v>
      </c>
      <c r="Y16" s="265"/>
      <c r="Z16" s="231">
        <f>IF($Z$6 = TRUE, 12-COUNTIF($L$28:$N$34, "CR%")*2, 1000)</f>
        <v>12</v>
      </c>
      <c r="AA16" s="10"/>
      <c r="AC16" s="10"/>
      <c r="AD16" s="262" t="s">
        <v>779</v>
      </c>
      <c r="AE16" s="265"/>
      <c r="AF16" s="277">
        <f ca="1">Calcs!K65</f>
        <v>0.59719999999999995</v>
      </c>
      <c r="AG16" s="261"/>
      <c r="AH16" s="10"/>
    </row>
    <row r="17" spans="2:34" ht="14.45" customHeight="1" x14ac:dyDescent="0.25">
      <c r="B17" s="10"/>
      <c r="C17" s="262" t="s">
        <v>22</v>
      </c>
      <c r="D17" s="272"/>
      <c r="E17" s="268" t="s">
        <v>752</v>
      </c>
      <c r="F17" s="269"/>
      <c r="G17" s="10"/>
      <c r="I17" s="10"/>
      <c r="J17" s="262" t="s">
        <v>47</v>
      </c>
      <c r="K17" s="265"/>
      <c r="L17" s="271" t="b">
        <v>0</v>
      </c>
      <c r="M17" s="271"/>
      <c r="N17" s="271"/>
      <c r="O17" s="10"/>
      <c r="Q17" s="10"/>
      <c r="R17" s="262" t="s">
        <v>71</v>
      </c>
      <c r="S17" s="262"/>
      <c r="T17" s="80">
        <v>0</v>
      </c>
      <c r="U17" s="10"/>
      <c r="W17" s="10"/>
      <c r="X17" s="262" t="s">
        <v>970</v>
      </c>
      <c r="Y17" s="265"/>
      <c r="Z17" s="231">
        <f>IF($Z$6 = TRUE, 12-COUNTIF($L$28:$N$34, "CDMG%")*2, 1000)</f>
        <v>10</v>
      </c>
      <c r="AA17" s="10"/>
      <c r="AC17" s="10"/>
      <c r="AD17" s="262" t="s">
        <v>780</v>
      </c>
      <c r="AE17" s="265"/>
      <c r="AF17" s="277">
        <f ca="1">Calcs!K66</f>
        <v>2.1680000000000001</v>
      </c>
      <c r="AG17" s="261"/>
      <c r="AH17" s="10"/>
    </row>
    <row r="18" spans="2:34" ht="14.45" customHeight="1" x14ac:dyDescent="0.25">
      <c r="B18" s="10"/>
      <c r="C18" s="262" t="s">
        <v>19</v>
      </c>
      <c r="D18" s="272"/>
      <c r="E18" s="268" t="s">
        <v>752</v>
      </c>
      <c r="F18" s="269"/>
      <c r="G18" s="10"/>
      <c r="I18" s="10"/>
      <c r="J18" s="10"/>
      <c r="K18" s="10"/>
      <c r="L18" s="10"/>
      <c r="M18" s="10"/>
      <c r="N18" s="10"/>
      <c r="O18" s="10"/>
      <c r="Q18" s="10"/>
      <c r="R18" s="262" t="s">
        <v>72</v>
      </c>
      <c r="S18" s="262"/>
      <c r="T18" s="80">
        <v>0</v>
      </c>
      <c r="U18" s="10"/>
      <c r="W18" s="10"/>
      <c r="X18" s="262" t="s">
        <v>971</v>
      </c>
      <c r="Y18" s="265"/>
      <c r="Z18" s="231">
        <f>IF($Z$6 = TRUE, 12-COUNTIF($L$28:$N$34, "ER%")*2, 1000)</f>
        <v>12</v>
      </c>
      <c r="AA18" s="10"/>
      <c r="AC18" s="10"/>
      <c r="AD18" s="262" t="s">
        <v>82</v>
      </c>
      <c r="AE18" s="262"/>
      <c r="AF18" s="277">
        <f>Calcs!K68</f>
        <v>0</v>
      </c>
      <c r="AG18" s="261"/>
      <c r="AH18" s="10"/>
    </row>
    <row r="19" spans="2:34" ht="14.45" customHeight="1" x14ac:dyDescent="0.25">
      <c r="B19" s="10"/>
      <c r="C19" s="262" t="s">
        <v>23</v>
      </c>
      <c r="D19" s="272"/>
      <c r="E19" s="268" t="s">
        <v>752</v>
      </c>
      <c r="F19" s="269"/>
      <c r="G19" s="10"/>
      <c r="I19" s="8"/>
      <c r="J19" s="261"/>
      <c r="K19" s="273"/>
      <c r="O19" s="8"/>
      <c r="Q19" s="10"/>
      <c r="R19" s="262" t="s">
        <v>73</v>
      </c>
      <c r="S19" s="262"/>
      <c r="T19" s="80">
        <v>0</v>
      </c>
      <c r="U19" s="10"/>
      <c r="W19" s="10"/>
      <c r="X19" s="262" t="s">
        <v>104</v>
      </c>
      <c r="Y19" s="265"/>
      <c r="Z19" s="231">
        <f>IF($Z$6 = TRUE, 12-COUNTIF($L$28:$N$34, "EM")*2, 1000)</f>
        <v>12</v>
      </c>
      <c r="AA19" s="10"/>
      <c r="AC19" s="10"/>
      <c r="AD19" s="262" t="s">
        <v>70</v>
      </c>
      <c r="AE19" s="262"/>
      <c r="AF19" s="277">
        <f>Calcs!K69</f>
        <v>0</v>
      </c>
      <c r="AG19" s="261"/>
      <c r="AH19" s="10"/>
    </row>
    <row r="20" spans="2:34" ht="14.45" customHeight="1" x14ac:dyDescent="0.25">
      <c r="B20" s="10"/>
      <c r="C20" s="262" t="s">
        <v>660</v>
      </c>
      <c r="D20" s="272"/>
      <c r="E20" s="268" t="s">
        <v>19</v>
      </c>
      <c r="F20" s="269"/>
      <c r="G20" s="10"/>
      <c r="I20" s="10"/>
      <c r="J20" s="10"/>
      <c r="K20" s="10"/>
      <c r="L20" s="10"/>
      <c r="M20" s="10"/>
      <c r="N20" s="10"/>
      <c r="O20" s="10"/>
      <c r="Q20" s="10"/>
      <c r="R20" s="262" t="s">
        <v>74</v>
      </c>
      <c r="S20" s="262"/>
      <c r="T20" s="80">
        <v>0</v>
      </c>
      <c r="U20" s="10"/>
      <c r="W20" s="10"/>
      <c r="X20" s="10"/>
      <c r="Y20" s="10"/>
      <c r="Z20" s="10"/>
      <c r="AA20" s="10"/>
      <c r="AC20" s="10"/>
      <c r="AD20" s="262" t="s">
        <v>71</v>
      </c>
      <c r="AE20" s="262"/>
      <c r="AF20" s="277">
        <f>Calcs!K70</f>
        <v>0</v>
      </c>
      <c r="AG20" s="261"/>
      <c r="AH20" s="10"/>
    </row>
    <row r="21" spans="2:34" ht="14.45" customHeight="1" x14ac:dyDescent="0.25">
      <c r="B21" s="10"/>
      <c r="C21" s="262" t="s">
        <v>0</v>
      </c>
      <c r="D21" s="272"/>
      <c r="E21" s="268" t="s">
        <v>752</v>
      </c>
      <c r="F21" s="269"/>
      <c r="G21" s="10"/>
      <c r="I21" s="10"/>
      <c r="J21" s="264" t="s">
        <v>30</v>
      </c>
      <c r="K21" s="264"/>
      <c r="L21" s="264"/>
      <c r="M21" s="264"/>
      <c r="N21" s="264"/>
      <c r="O21" s="10"/>
      <c r="Q21" s="10"/>
      <c r="R21" s="262" t="s">
        <v>75</v>
      </c>
      <c r="S21" s="262"/>
      <c r="T21" s="80">
        <v>0</v>
      </c>
      <c r="U21" s="10"/>
      <c r="AC21" s="10"/>
      <c r="AD21" s="262" t="s">
        <v>72</v>
      </c>
      <c r="AE21" s="262"/>
      <c r="AF21" s="277">
        <f>Calcs!K71</f>
        <v>0</v>
      </c>
      <c r="AG21" s="261"/>
      <c r="AH21" s="10"/>
    </row>
    <row r="22" spans="2:34" ht="14.45" customHeight="1" x14ac:dyDescent="0.25">
      <c r="B22" s="10"/>
      <c r="C22" s="262" t="s">
        <v>24</v>
      </c>
      <c r="D22" s="272"/>
      <c r="E22" s="268" t="s">
        <v>752</v>
      </c>
      <c r="F22" s="269"/>
      <c r="G22" s="10"/>
      <c r="I22" s="10"/>
      <c r="J22" s="264"/>
      <c r="K22" s="264"/>
      <c r="L22" s="264"/>
      <c r="M22" s="264"/>
      <c r="N22" s="264"/>
      <c r="O22" s="10"/>
      <c r="Q22" s="10"/>
      <c r="R22" s="262" t="s">
        <v>76</v>
      </c>
      <c r="S22" s="262"/>
      <c r="T22" s="80">
        <v>0</v>
      </c>
      <c r="U22" s="10"/>
      <c r="W22" s="10"/>
      <c r="X22" s="10"/>
      <c r="Y22" s="10"/>
      <c r="Z22" s="10"/>
      <c r="AA22" s="10"/>
      <c r="AC22" s="10"/>
      <c r="AD22" s="262" t="s">
        <v>73</v>
      </c>
      <c r="AE22" s="262"/>
      <c r="AF22" s="277">
        <f>Calcs!K72</f>
        <v>0</v>
      </c>
      <c r="AG22" s="261"/>
      <c r="AH22" s="10"/>
    </row>
    <row r="23" spans="2:34" ht="14.45" customHeight="1" x14ac:dyDescent="0.25">
      <c r="B23" s="10"/>
      <c r="C23" s="262" t="s">
        <v>661</v>
      </c>
      <c r="D23" s="272"/>
      <c r="E23" s="268" t="s">
        <v>0</v>
      </c>
      <c r="F23" s="269"/>
      <c r="G23" s="10"/>
      <c r="I23" s="10"/>
      <c r="J23" s="262" t="s">
        <v>31</v>
      </c>
      <c r="K23" s="265"/>
      <c r="L23" s="270">
        <v>20</v>
      </c>
      <c r="M23" s="270"/>
      <c r="N23" s="270"/>
      <c r="O23" s="10"/>
      <c r="Q23" s="10"/>
      <c r="R23" s="262" t="s">
        <v>77</v>
      </c>
      <c r="S23" s="262"/>
      <c r="T23" s="80">
        <v>0</v>
      </c>
      <c r="U23" s="10"/>
      <c r="W23" s="10"/>
      <c r="X23" s="264" t="s">
        <v>105</v>
      </c>
      <c r="Y23" s="264"/>
      <c r="Z23" s="264"/>
      <c r="AA23" s="10"/>
      <c r="AC23" s="10"/>
      <c r="AD23" s="262" t="s">
        <v>74</v>
      </c>
      <c r="AE23" s="262"/>
      <c r="AF23" s="277">
        <f>Calcs!K73</f>
        <v>0.61599999999999999</v>
      </c>
      <c r="AG23" s="261"/>
      <c r="AH23" s="10"/>
    </row>
    <row r="24" spans="2:34" ht="14.45" customHeight="1" x14ac:dyDescent="0.25">
      <c r="B24" s="10"/>
      <c r="C24" s="10"/>
      <c r="D24" s="10"/>
      <c r="E24" s="10"/>
      <c r="F24" s="10"/>
      <c r="G24" s="10"/>
      <c r="I24" s="10"/>
      <c r="J24" s="262" t="s">
        <v>32</v>
      </c>
      <c r="K24" s="265"/>
      <c r="L24" s="270" t="s">
        <v>791</v>
      </c>
      <c r="M24" s="270"/>
      <c r="N24" s="270"/>
      <c r="O24" s="10"/>
      <c r="Q24" s="10"/>
      <c r="R24" s="262" t="s">
        <v>78</v>
      </c>
      <c r="S24" s="262"/>
      <c r="T24" s="80">
        <v>0</v>
      </c>
      <c r="U24" s="10"/>
      <c r="W24" s="10"/>
      <c r="X24" s="264"/>
      <c r="Y24" s="264"/>
      <c r="Z24" s="264"/>
      <c r="AA24" s="10"/>
      <c r="AC24" s="10"/>
      <c r="AD24" s="262" t="s">
        <v>75</v>
      </c>
      <c r="AE24" s="262"/>
      <c r="AF24" s="277">
        <f>Calcs!K74</f>
        <v>0</v>
      </c>
      <c r="AG24" s="261"/>
      <c r="AH24" s="10"/>
    </row>
    <row r="25" spans="2:34" ht="14.45" customHeight="1" x14ac:dyDescent="0.25">
      <c r="C25" s="8"/>
      <c r="D25" s="8"/>
      <c r="E25" s="8"/>
      <c r="F25" s="8"/>
      <c r="I25" s="10"/>
      <c r="J25" s="262" t="s">
        <v>33</v>
      </c>
      <c r="K25" s="265"/>
      <c r="L25" s="270">
        <v>20</v>
      </c>
      <c r="M25" s="270"/>
      <c r="N25" s="270"/>
      <c r="O25" s="10"/>
      <c r="Q25" s="10"/>
      <c r="R25" s="262" t="s">
        <v>79</v>
      </c>
      <c r="S25" s="262"/>
      <c r="T25" s="80">
        <v>0</v>
      </c>
      <c r="U25" s="10"/>
      <c r="W25" s="10"/>
      <c r="X25" s="262" t="s">
        <v>101</v>
      </c>
      <c r="Y25" s="272"/>
      <c r="Z25" s="231">
        <f>SUM(Z26:Z35)</f>
        <v>40</v>
      </c>
      <c r="AA25" s="10"/>
      <c r="AC25" s="10"/>
      <c r="AD25" s="262" t="s">
        <v>76</v>
      </c>
      <c r="AE25" s="262"/>
      <c r="AF25" s="277">
        <f>Calcs!K75</f>
        <v>0</v>
      </c>
      <c r="AG25" s="261"/>
      <c r="AH25" s="10"/>
    </row>
    <row r="26" spans="2:34" ht="14.45" customHeight="1" x14ac:dyDescent="0.25">
      <c r="C26" s="8"/>
      <c r="D26" s="8"/>
      <c r="E26" s="8"/>
      <c r="F26" s="8"/>
      <c r="I26" s="10"/>
      <c r="J26" s="262" t="s">
        <v>34</v>
      </c>
      <c r="K26" s="265"/>
      <c r="L26" s="270" t="s">
        <v>791</v>
      </c>
      <c r="M26" s="270"/>
      <c r="N26" s="270"/>
      <c r="O26" s="10"/>
      <c r="Q26" s="10"/>
      <c r="R26" s="262" t="s">
        <v>80</v>
      </c>
      <c r="S26" s="262"/>
      <c r="T26" s="80">
        <v>0</v>
      </c>
      <c r="U26" s="10"/>
      <c r="W26" s="10"/>
      <c r="X26" s="262" t="s">
        <v>62</v>
      </c>
      <c r="Y26" s="272"/>
      <c r="Z26" s="231">
        <v>2</v>
      </c>
      <c r="AA26" s="10"/>
      <c r="AC26" s="10"/>
      <c r="AD26" s="262" t="s">
        <v>77</v>
      </c>
      <c r="AE26" s="262"/>
      <c r="AF26" s="277">
        <f>Calcs!K76</f>
        <v>0</v>
      </c>
      <c r="AG26" s="261"/>
      <c r="AH26" s="10"/>
    </row>
    <row r="27" spans="2:34" ht="14.45" customHeight="1" x14ac:dyDescent="0.25">
      <c r="C27" s="8"/>
      <c r="D27" s="8"/>
      <c r="E27" s="8"/>
      <c r="F27" s="8"/>
      <c r="I27" s="10"/>
      <c r="J27" s="262" t="s">
        <v>35</v>
      </c>
      <c r="K27" s="265"/>
      <c r="L27" s="270">
        <v>20</v>
      </c>
      <c r="M27" s="270"/>
      <c r="N27" s="270"/>
      <c r="O27" s="10"/>
      <c r="Q27" s="10"/>
      <c r="R27" s="262" t="s">
        <v>81</v>
      </c>
      <c r="S27" s="262"/>
      <c r="T27" s="80">
        <v>0</v>
      </c>
      <c r="U27" s="10"/>
      <c r="W27" s="10"/>
      <c r="X27" s="262" t="s">
        <v>63</v>
      </c>
      <c r="Y27" s="272"/>
      <c r="Z27" s="231">
        <v>2</v>
      </c>
      <c r="AA27" s="10"/>
      <c r="AC27" s="10"/>
      <c r="AD27" s="262" t="s">
        <v>78</v>
      </c>
      <c r="AE27" s="262"/>
      <c r="AF27" s="277">
        <f>Calcs!K77</f>
        <v>0</v>
      </c>
      <c r="AG27" s="261"/>
      <c r="AH27" s="10"/>
    </row>
    <row r="28" spans="2:34" ht="14.45" customHeight="1" x14ac:dyDescent="0.25">
      <c r="C28" s="8"/>
      <c r="D28" s="8"/>
      <c r="E28" s="8"/>
      <c r="F28" s="8"/>
      <c r="I28" s="10"/>
      <c r="J28" s="262" t="s">
        <v>36</v>
      </c>
      <c r="K28" s="265"/>
      <c r="L28" s="270" t="s">
        <v>65</v>
      </c>
      <c r="M28" s="270"/>
      <c r="N28" s="270"/>
      <c r="O28" s="10"/>
      <c r="Q28" s="10"/>
      <c r="R28" s="262" t="s">
        <v>83</v>
      </c>
      <c r="S28" s="262"/>
      <c r="T28" s="80">
        <v>0</v>
      </c>
      <c r="U28" s="10"/>
      <c r="W28" s="10"/>
      <c r="X28" s="262" t="s">
        <v>64</v>
      </c>
      <c r="Y28" s="272"/>
      <c r="Z28" s="231">
        <v>2</v>
      </c>
      <c r="AA28" s="10"/>
      <c r="AC28" s="10"/>
      <c r="AD28" s="262" t="s">
        <v>79</v>
      </c>
      <c r="AE28" s="262"/>
      <c r="AF28" s="277">
        <f>Calcs!K78</f>
        <v>0</v>
      </c>
      <c r="AG28" s="261"/>
      <c r="AH28" s="10"/>
    </row>
    <row r="29" spans="2:34" ht="14.45" customHeight="1" x14ac:dyDescent="0.25">
      <c r="C29" s="8"/>
      <c r="D29" s="8"/>
      <c r="E29" s="8"/>
      <c r="F29" s="8"/>
      <c r="I29" s="10"/>
      <c r="J29" s="262" t="s">
        <v>37</v>
      </c>
      <c r="K29" s="265"/>
      <c r="L29" s="270" t="s">
        <v>791</v>
      </c>
      <c r="M29" s="270"/>
      <c r="N29" s="270"/>
      <c r="O29" s="10"/>
      <c r="Q29" s="10"/>
      <c r="R29" s="262" t="s">
        <v>84</v>
      </c>
      <c r="S29" s="265"/>
      <c r="T29" s="80">
        <v>0</v>
      </c>
      <c r="U29" s="10"/>
      <c r="W29" s="10"/>
      <c r="X29" s="262" t="s">
        <v>65</v>
      </c>
      <c r="Y29" s="272"/>
      <c r="Z29" s="231">
        <v>4</v>
      </c>
      <c r="AA29" s="10"/>
      <c r="AC29" s="10"/>
      <c r="AD29" s="262" t="s">
        <v>80</v>
      </c>
      <c r="AE29" s="262"/>
      <c r="AF29" s="277">
        <f>Calcs!K79</f>
        <v>0</v>
      </c>
      <c r="AG29" s="261"/>
      <c r="AH29" s="10"/>
    </row>
    <row r="30" spans="2:34" ht="14.45" customHeight="1" x14ac:dyDescent="0.25">
      <c r="C30" s="8"/>
      <c r="D30" s="8"/>
      <c r="E30" s="8"/>
      <c r="F30" s="8"/>
      <c r="I30" s="10"/>
      <c r="J30" s="262" t="s">
        <v>38</v>
      </c>
      <c r="K30" s="265"/>
      <c r="L30" s="270">
        <v>20</v>
      </c>
      <c r="M30" s="270"/>
      <c r="N30" s="270"/>
      <c r="O30" s="10"/>
      <c r="Q30" s="10"/>
      <c r="R30" s="262" t="s">
        <v>85</v>
      </c>
      <c r="S30" s="265"/>
      <c r="T30" s="80">
        <v>0</v>
      </c>
      <c r="U30" s="10"/>
      <c r="W30" s="10"/>
      <c r="X30" s="262" t="s">
        <v>66</v>
      </c>
      <c r="Y30" s="272"/>
      <c r="Z30" s="231">
        <v>2</v>
      </c>
      <c r="AA30" s="10"/>
      <c r="AC30" s="10"/>
      <c r="AD30" s="262" t="s">
        <v>81</v>
      </c>
      <c r="AE30" s="262"/>
      <c r="AF30" s="277">
        <f>Calcs!K80</f>
        <v>0</v>
      </c>
      <c r="AG30" s="261"/>
      <c r="AH30" s="10"/>
    </row>
    <row r="31" spans="2:34" ht="14.45" customHeight="1" x14ac:dyDescent="0.25">
      <c r="C31" s="8"/>
      <c r="D31" s="8"/>
      <c r="E31" s="8"/>
      <c r="F31" s="8"/>
      <c r="I31" s="10"/>
      <c r="J31" s="262" t="s">
        <v>39</v>
      </c>
      <c r="K31" s="265"/>
      <c r="L31" s="270" t="s">
        <v>74</v>
      </c>
      <c r="M31" s="270"/>
      <c r="N31" s="270"/>
      <c r="O31" s="10"/>
      <c r="Q31" s="10"/>
      <c r="R31" s="262" t="s">
        <v>86</v>
      </c>
      <c r="S31" s="265"/>
      <c r="T31" s="80">
        <v>0</v>
      </c>
      <c r="U31" s="10"/>
      <c r="W31" s="10"/>
      <c r="X31" s="262" t="s">
        <v>67</v>
      </c>
      <c r="Y31" s="272"/>
      <c r="Z31" s="231">
        <v>2</v>
      </c>
      <c r="AA31" s="10"/>
      <c r="AC31" s="10"/>
      <c r="AD31" s="262" t="s">
        <v>422</v>
      </c>
      <c r="AE31" s="262"/>
      <c r="AF31" s="263">
        <f>char2FinalHealingBonus</f>
        <v>0</v>
      </c>
      <c r="AG31" s="263"/>
      <c r="AH31" s="10"/>
    </row>
    <row r="32" spans="2:34" ht="14.45" customHeight="1" x14ac:dyDescent="0.25">
      <c r="C32" s="8"/>
      <c r="D32" s="8"/>
      <c r="E32" s="8"/>
      <c r="F32" s="8"/>
      <c r="I32" s="10"/>
      <c r="J32" s="262" t="s">
        <v>40</v>
      </c>
      <c r="K32" s="265"/>
      <c r="L32" s="270" t="s">
        <v>791</v>
      </c>
      <c r="M32" s="270"/>
      <c r="N32" s="270"/>
      <c r="O32" s="10"/>
      <c r="Q32" s="10"/>
      <c r="R32" s="262" t="s">
        <v>87</v>
      </c>
      <c r="S32" s="265"/>
      <c r="T32" s="80">
        <v>0</v>
      </c>
      <c r="U32" s="10"/>
      <c r="W32" s="10"/>
      <c r="X32" s="262" t="s">
        <v>408</v>
      </c>
      <c r="Y32" s="272"/>
      <c r="Z32" s="231">
        <v>12</v>
      </c>
      <c r="AA32" s="10"/>
      <c r="AC32" s="10"/>
      <c r="AD32" s="10"/>
      <c r="AE32" s="10"/>
      <c r="AF32" s="10"/>
      <c r="AG32" s="10"/>
      <c r="AH32" s="10"/>
    </row>
    <row r="33" spans="3:27" ht="14.45" customHeight="1" x14ac:dyDescent="0.25">
      <c r="C33" s="8"/>
      <c r="D33" s="8"/>
      <c r="E33" s="8"/>
      <c r="F33" s="8"/>
      <c r="I33" s="10"/>
      <c r="J33" s="262" t="s">
        <v>41</v>
      </c>
      <c r="K33" s="265"/>
      <c r="L33" s="270">
        <v>20</v>
      </c>
      <c r="M33" s="270"/>
      <c r="N33" s="270"/>
      <c r="O33" s="10"/>
      <c r="Q33" s="10"/>
      <c r="R33" s="262" t="s">
        <v>90</v>
      </c>
      <c r="S33" s="265"/>
      <c r="T33" s="80">
        <v>0</v>
      </c>
      <c r="U33" s="10"/>
      <c r="W33" s="10"/>
      <c r="X33" s="262" t="s">
        <v>409</v>
      </c>
      <c r="Y33" s="272"/>
      <c r="Z33" s="231">
        <v>10</v>
      </c>
      <c r="AA33" s="10"/>
    </row>
    <row r="34" spans="3:27" ht="14.45" customHeight="1" x14ac:dyDescent="0.25">
      <c r="C34" s="8"/>
      <c r="D34" s="8"/>
      <c r="E34" s="8"/>
      <c r="F34" s="8"/>
      <c r="I34" s="10"/>
      <c r="J34" s="262" t="s">
        <v>42</v>
      </c>
      <c r="K34" s="265"/>
      <c r="L34" s="270" t="s">
        <v>409</v>
      </c>
      <c r="M34" s="270"/>
      <c r="N34" s="270"/>
      <c r="O34" s="10"/>
      <c r="Q34" s="10"/>
      <c r="R34" s="262" t="s">
        <v>88</v>
      </c>
      <c r="S34" s="265"/>
      <c r="T34" s="80">
        <v>0</v>
      </c>
      <c r="U34" s="10"/>
      <c r="W34" s="10"/>
      <c r="X34" s="262" t="s">
        <v>68</v>
      </c>
      <c r="Y34" s="272"/>
      <c r="Z34" s="231">
        <v>2</v>
      </c>
      <c r="AA34" s="10"/>
    </row>
    <row r="35" spans="3:27" ht="14.45" customHeight="1" x14ac:dyDescent="0.25">
      <c r="C35" s="8"/>
      <c r="D35" s="8"/>
      <c r="E35" s="8"/>
      <c r="F35" s="8"/>
      <c r="I35" s="10"/>
      <c r="J35" s="262" t="s">
        <v>43</v>
      </c>
      <c r="K35" s="265"/>
      <c r="L35" s="270" t="s">
        <v>791</v>
      </c>
      <c r="M35" s="270"/>
      <c r="N35" s="270"/>
      <c r="O35" s="10"/>
      <c r="Q35" s="10"/>
      <c r="R35" s="262" t="s">
        <v>89</v>
      </c>
      <c r="S35" s="265"/>
      <c r="T35" s="80">
        <v>0</v>
      </c>
      <c r="U35" s="10"/>
      <c r="W35" s="10"/>
      <c r="X35" s="262" t="s">
        <v>69</v>
      </c>
      <c r="Y35" s="272"/>
      <c r="Z35" s="231">
        <v>2</v>
      </c>
      <c r="AA35" s="10"/>
    </row>
    <row r="36" spans="3:27" ht="14.45" customHeight="1" x14ac:dyDescent="0.25">
      <c r="C36" s="8"/>
      <c r="D36" s="8"/>
      <c r="E36" s="8"/>
      <c r="F36" s="8"/>
      <c r="I36" s="10"/>
      <c r="J36" s="10"/>
      <c r="K36" s="10"/>
      <c r="L36" s="10"/>
      <c r="M36" s="10"/>
      <c r="N36" s="10"/>
      <c r="O36" s="10"/>
      <c r="Q36" s="10"/>
      <c r="R36" s="262" t="s">
        <v>91</v>
      </c>
      <c r="S36" s="265"/>
      <c r="T36" s="80">
        <v>0</v>
      </c>
      <c r="U36" s="10"/>
      <c r="W36" s="10"/>
      <c r="X36" s="10"/>
      <c r="Y36" s="10"/>
      <c r="Z36" s="10"/>
      <c r="AA36" s="10"/>
    </row>
    <row r="37" spans="3:27" ht="14.45" customHeight="1" x14ac:dyDescent="0.25">
      <c r="C37" s="8"/>
      <c r="D37" s="8"/>
      <c r="E37" s="8"/>
      <c r="F37" s="8"/>
      <c r="Q37" s="10"/>
      <c r="R37" s="262" t="s">
        <v>453</v>
      </c>
      <c r="S37" s="265"/>
      <c r="T37" s="80">
        <v>0</v>
      </c>
      <c r="U37" s="10"/>
    </row>
    <row r="38" spans="3:27" ht="14.45" customHeight="1" x14ac:dyDescent="0.25">
      <c r="C38" s="8"/>
      <c r="D38" s="8"/>
      <c r="E38" s="8"/>
      <c r="F38" s="8"/>
      <c r="Q38" s="10"/>
      <c r="R38" s="262" t="s">
        <v>93</v>
      </c>
      <c r="S38" s="265"/>
      <c r="T38" s="80">
        <v>0</v>
      </c>
      <c r="U38" s="10"/>
    </row>
    <row r="39" spans="3:27" ht="14.45" customHeight="1" x14ac:dyDescent="0.25">
      <c r="C39" s="8"/>
      <c r="D39" s="8"/>
      <c r="E39" s="8"/>
      <c r="F39" s="8"/>
      <c r="Q39" s="10"/>
      <c r="R39" s="262" t="s">
        <v>422</v>
      </c>
      <c r="S39" s="265"/>
      <c r="T39" s="80">
        <v>0</v>
      </c>
      <c r="U39" s="10"/>
    </row>
    <row r="40" spans="3:27" ht="14.45" customHeight="1" x14ac:dyDescent="0.25">
      <c r="C40" s="8"/>
      <c r="D40" s="8"/>
      <c r="E40" s="8"/>
      <c r="F40" s="8"/>
      <c r="Q40" s="10"/>
      <c r="R40" s="262" t="s">
        <v>452</v>
      </c>
      <c r="S40" s="265"/>
      <c r="T40" s="80">
        <v>0</v>
      </c>
      <c r="U40" s="10"/>
    </row>
    <row r="41" spans="3:27" ht="14.45" customHeight="1" x14ac:dyDescent="0.25">
      <c r="C41" s="273"/>
      <c r="D41" s="273"/>
      <c r="E41" s="276"/>
      <c r="F41" s="276"/>
      <c r="Q41" s="10"/>
      <c r="R41" s="262" t="s">
        <v>92</v>
      </c>
      <c r="S41" s="265"/>
      <c r="T41" s="80">
        <v>0</v>
      </c>
      <c r="U41" s="10"/>
    </row>
    <row r="42" spans="3:27" ht="14.45" customHeight="1" x14ac:dyDescent="0.25">
      <c r="D42" s="8"/>
      <c r="Q42" s="10"/>
      <c r="R42" s="262" t="s">
        <v>94</v>
      </c>
      <c r="S42" s="265"/>
      <c r="T42" s="80">
        <v>0</v>
      </c>
      <c r="U42" s="10"/>
    </row>
    <row r="43" spans="3:27" ht="14.45" customHeight="1" x14ac:dyDescent="0.25">
      <c r="Q43" s="10"/>
      <c r="R43" s="262" t="s">
        <v>95</v>
      </c>
      <c r="S43" s="265"/>
      <c r="T43" s="80">
        <v>0</v>
      </c>
      <c r="U43" s="10"/>
    </row>
    <row r="44" spans="3:27" ht="14.45" customHeight="1" x14ac:dyDescent="0.25">
      <c r="Q44" s="10"/>
      <c r="R44" s="262" t="s">
        <v>96</v>
      </c>
      <c r="S44" s="265"/>
      <c r="T44" s="80">
        <v>0</v>
      </c>
      <c r="U44" s="10"/>
    </row>
    <row r="45" spans="3:27" ht="14.45" customHeight="1" x14ac:dyDescent="0.25">
      <c r="Q45" s="10"/>
      <c r="R45" s="262" t="s">
        <v>97</v>
      </c>
      <c r="S45" s="265"/>
      <c r="T45" s="80">
        <v>0</v>
      </c>
      <c r="U45" s="10"/>
    </row>
    <row r="46" spans="3:27" ht="14.45" customHeight="1" x14ac:dyDescent="0.25">
      <c r="Q46" s="10"/>
      <c r="R46" s="262" t="s">
        <v>98</v>
      </c>
      <c r="S46" s="265"/>
      <c r="T46" s="80">
        <v>0</v>
      </c>
      <c r="U46" s="10"/>
    </row>
    <row r="47" spans="3:27" ht="14.45" customHeight="1" x14ac:dyDescent="0.25">
      <c r="Q47" s="10"/>
      <c r="R47" s="262" t="s">
        <v>419</v>
      </c>
      <c r="S47" s="265"/>
      <c r="T47" s="80">
        <v>0</v>
      </c>
      <c r="U47" s="10"/>
    </row>
    <row r="48" spans="3:27" ht="14.45" customHeight="1" x14ac:dyDescent="0.25">
      <c r="Q48" s="10"/>
      <c r="R48" s="262" t="s">
        <v>420</v>
      </c>
      <c r="S48" s="265"/>
      <c r="T48" s="80">
        <v>0</v>
      </c>
      <c r="U48" s="10"/>
    </row>
    <row r="49" spans="17:21" ht="14.45" customHeight="1" x14ac:dyDescent="0.25">
      <c r="Q49" s="10"/>
      <c r="R49" s="262" t="s">
        <v>433</v>
      </c>
      <c r="S49" s="265"/>
      <c r="T49" s="80">
        <v>0</v>
      </c>
      <c r="U49" s="10"/>
    </row>
    <row r="50" spans="17:21" ht="14.45" customHeight="1" x14ac:dyDescent="0.25">
      <c r="Q50" s="10"/>
      <c r="R50" s="262" t="s">
        <v>421</v>
      </c>
      <c r="S50" s="265"/>
      <c r="T50" s="80">
        <v>0</v>
      </c>
      <c r="U50" s="10"/>
    </row>
    <row r="51" spans="17:21" ht="14.45" customHeight="1" x14ac:dyDescent="0.25">
      <c r="Q51" s="10"/>
      <c r="R51" s="10"/>
      <c r="S51" s="10"/>
      <c r="T51" s="10"/>
      <c r="U51" s="10"/>
    </row>
  </sheetData>
  <mergeCells count="199">
    <mergeCell ref="X33:Y33"/>
    <mergeCell ref="X34:Y34"/>
    <mergeCell ref="X35:Y35"/>
    <mergeCell ref="X14:Y14"/>
    <mergeCell ref="X15:Y15"/>
    <mergeCell ref="X16:Y16"/>
    <mergeCell ref="X17:Y17"/>
    <mergeCell ref="X23:Z24"/>
    <mergeCell ref="X29:Y29"/>
    <mergeCell ref="X30:Y30"/>
    <mergeCell ref="X31:Y31"/>
    <mergeCell ref="X32:Y32"/>
    <mergeCell ref="R45:S45"/>
    <mergeCell ref="R46:S46"/>
    <mergeCell ref="R47:S47"/>
    <mergeCell ref="R48:S48"/>
    <mergeCell ref="R49:S49"/>
    <mergeCell ref="R50:S50"/>
    <mergeCell ref="C41:D41"/>
    <mergeCell ref="E41:F41"/>
    <mergeCell ref="R41:S41"/>
    <mergeCell ref="R42:S42"/>
    <mergeCell ref="R43:S43"/>
    <mergeCell ref="R44:S44"/>
    <mergeCell ref="R37:S37"/>
    <mergeCell ref="R38:S38"/>
    <mergeCell ref="R39:S39"/>
    <mergeCell ref="R40:S40"/>
    <mergeCell ref="J35:K35"/>
    <mergeCell ref="L35:N35"/>
    <mergeCell ref="R35:S35"/>
    <mergeCell ref="R36:S36"/>
    <mergeCell ref="J33:K33"/>
    <mergeCell ref="L33:N33"/>
    <mergeCell ref="R33:S33"/>
    <mergeCell ref="J34:K34"/>
    <mergeCell ref="L34:N34"/>
    <mergeCell ref="R34:S34"/>
    <mergeCell ref="J32:K32"/>
    <mergeCell ref="L32:N32"/>
    <mergeCell ref="R32:S32"/>
    <mergeCell ref="J31:K31"/>
    <mergeCell ref="L31:N31"/>
    <mergeCell ref="R31:S31"/>
    <mergeCell ref="J30:K30"/>
    <mergeCell ref="L30:N30"/>
    <mergeCell ref="R30:S30"/>
    <mergeCell ref="J27:K27"/>
    <mergeCell ref="L27:N27"/>
    <mergeCell ref="R27:S27"/>
    <mergeCell ref="X27:Y27"/>
    <mergeCell ref="J29:K29"/>
    <mergeCell ref="L29:N29"/>
    <mergeCell ref="R29:S29"/>
    <mergeCell ref="J28:K28"/>
    <mergeCell ref="L28:N28"/>
    <mergeCell ref="R28:S28"/>
    <mergeCell ref="X28:Y28"/>
    <mergeCell ref="J24:K24"/>
    <mergeCell ref="L24:N24"/>
    <mergeCell ref="R24:S24"/>
    <mergeCell ref="J25:K25"/>
    <mergeCell ref="L25:N25"/>
    <mergeCell ref="R25:S25"/>
    <mergeCell ref="X25:Y25"/>
    <mergeCell ref="J26:K26"/>
    <mergeCell ref="L26:N26"/>
    <mergeCell ref="R26:S26"/>
    <mergeCell ref="X26:Y26"/>
    <mergeCell ref="C23:D23"/>
    <mergeCell ref="E23:F23"/>
    <mergeCell ref="J23:K23"/>
    <mergeCell ref="L23:N23"/>
    <mergeCell ref="R23:S23"/>
    <mergeCell ref="C21:D21"/>
    <mergeCell ref="E21:F21"/>
    <mergeCell ref="J21:N22"/>
    <mergeCell ref="R21:S21"/>
    <mergeCell ref="C22:D22"/>
    <mergeCell ref="E22:F22"/>
    <mergeCell ref="R22:S22"/>
    <mergeCell ref="C20:D20"/>
    <mergeCell ref="E20:F20"/>
    <mergeCell ref="R20:S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15:D15"/>
    <mergeCell ref="E15:F15"/>
    <mergeCell ref="J15:K15"/>
    <mergeCell ref="L15:N15"/>
    <mergeCell ref="R15:S15"/>
    <mergeCell ref="C13:F14"/>
    <mergeCell ref="R13:S13"/>
    <mergeCell ref="J14:K14"/>
    <mergeCell ref="L14:N14"/>
    <mergeCell ref="R14:S14"/>
    <mergeCell ref="R11:S11"/>
    <mergeCell ref="X11:Y11"/>
    <mergeCell ref="J12:N13"/>
    <mergeCell ref="R12:S12"/>
    <mergeCell ref="X12:Y12"/>
    <mergeCell ref="C9:D9"/>
    <mergeCell ref="E9:F9"/>
    <mergeCell ref="R9:S9"/>
    <mergeCell ref="X9:Y9"/>
    <mergeCell ref="R10:S10"/>
    <mergeCell ref="X10:Y10"/>
    <mergeCell ref="X13:Y13"/>
    <mergeCell ref="L8:N8"/>
    <mergeCell ref="R8:S8"/>
    <mergeCell ref="X8:Y8"/>
    <mergeCell ref="C7:D7"/>
    <mergeCell ref="E7:F7"/>
    <mergeCell ref="J7:K7"/>
    <mergeCell ref="L7:N7"/>
    <mergeCell ref="R7:S7"/>
    <mergeCell ref="X7:Y7"/>
    <mergeCell ref="AD20:AE20"/>
    <mergeCell ref="AF20:AG20"/>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L6:N6"/>
    <mergeCell ref="R6:S6"/>
    <mergeCell ref="X6:Y6"/>
    <mergeCell ref="C8:D8"/>
    <mergeCell ref="E8:F8"/>
    <mergeCell ref="J8:K8"/>
    <mergeCell ref="AD15:AE15"/>
    <mergeCell ref="AF15:AG15"/>
    <mergeCell ref="AD16:AE16"/>
    <mergeCell ref="AF16:AG16"/>
    <mergeCell ref="AD17:AE17"/>
    <mergeCell ref="AF17:AG17"/>
    <mergeCell ref="AD18:AE18"/>
    <mergeCell ref="AF18:AG18"/>
    <mergeCell ref="AD19:AE19"/>
    <mergeCell ref="AF19:AG19"/>
    <mergeCell ref="AD9:AG10"/>
    <mergeCell ref="AD11:AE11"/>
    <mergeCell ref="AF11:AG11"/>
    <mergeCell ref="AD12:AE12"/>
    <mergeCell ref="AF12:AG12"/>
    <mergeCell ref="AD13:AE13"/>
    <mergeCell ref="AF13:AG13"/>
    <mergeCell ref="AD14:AE14"/>
    <mergeCell ref="AF14:AG14"/>
    <mergeCell ref="AD21:AE21"/>
    <mergeCell ref="AF21:AG21"/>
    <mergeCell ref="AD22:AE22"/>
    <mergeCell ref="AF22:AG22"/>
    <mergeCell ref="AD23:AE23"/>
    <mergeCell ref="AF23:AG23"/>
    <mergeCell ref="AD24:AE24"/>
    <mergeCell ref="AF24:AG24"/>
    <mergeCell ref="AD25:AE25"/>
    <mergeCell ref="AF25:AG25"/>
    <mergeCell ref="AD31:AE31"/>
    <mergeCell ref="AF31:AG31"/>
    <mergeCell ref="AD26:AE26"/>
    <mergeCell ref="AF26:AG26"/>
    <mergeCell ref="AD27:AE27"/>
    <mergeCell ref="AF27:AG27"/>
    <mergeCell ref="AD28:AE28"/>
    <mergeCell ref="AF28:AG28"/>
    <mergeCell ref="AD29:AE29"/>
    <mergeCell ref="AF29:AG29"/>
    <mergeCell ref="AD30:AE30"/>
    <mergeCell ref="AF30:AG30"/>
  </mergeCells>
  <dataValidations count="1">
    <dataValidation type="list" allowBlank="1" showInputMessage="1" showErrorMessage="1" sqref="E15:E19 E21:E22" xr:uid="{AE14DD1E-2354-423B-A528-18B94BEF8B19}">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8" r:id="rId4" name="Check Box 2">
              <controlPr defaultSize="0" autoFill="0" autoLine="0" autoPict="0">
                <anchor moveWithCells="1">
                  <from>
                    <xdr:col>12</xdr:col>
                    <xdr:colOff>266700</xdr:colOff>
                    <xdr:row>7</xdr:row>
                    <xdr:rowOff>0</xdr:rowOff>
                  </from>
                  <to>
                    <xdr:col>12</xdr:col>
                    <xdr:colOff>457200</xdr:colOff>
                    <xdr:row>8</xdr:row>
                    <xdr:rowOff>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12</xdr:col>
                    <xdr:colOff>266700</xdr:colOff>
                    <xdr:row>16</xdr:row>
                    <xdr:rowOff>0</xdr:rowOff>
                  </from>
                  <to>
                    <xdr:col>12</xdr:col>
                    <xdr:colOff>495300</xdr:colOff>
                    <xdr:row>17</xdr:row>
                    <xdr:rowOff>9525</xdr:rowOff>
                  </to>
                </anchor>
              </controlPr>
            </control>
          </mc:Choice>
        </mc:AlternateContent>
        <mc:AlternateContent xmlns:mc="http://schemas.openxmlformats.org/markup-compatibility/2006">
          <mc:Choice Requires="x14">
            <control shapeId="14347" r:id="rId6" name="Button 11">
              <controlPr defaultSize="0" print="0" autoFill="0" autoPict="0" macro="[0]!char2Solver">
                <anchor moveWithCells="1" sizeWithCells="1">
                  <from>
                    <xdr:col>34</xdr:col>
                    <xdr:colOff>371475</xdr:colOff>
                    <xdr:row>2</xdr:row>
                    <xdr:rowOff>85725</xdr:rowOff>
                  </from>
                  <to>
                    <xdr:col>37</xdr:col>
                    <xdr:colOff>323850</xdr:colOff>
                    <xdr:row>4</xdr:row>
                    <xdr:rowOff>104775</xdr:rowOff>
                  </to>
                </anchor>
              </controlPr>
            </control>
          </mc:Choice>
        </mc:AlternateContent>
        <mc:AlternateContent xmlns:mc="http://schemas.openxmlformats.org/markup-compatibility/2006">
          <mc:Choice Requires="x14">
            <control shapeId="14349" r:id="rId7" name="Check Box 13">
              <controlPr defaultSize="0" autoFill="0" autoLine="0" autoPict="0">
                <anchor moveWithCells="1">
                  <from>
                    <xdr:col>25</xdr:col>
                    <xdr:colOff>238125</xdr:colOff>
                    <xdr:row>4</xdr:row>
                    <xdr:rowOff>161925</xdr:rowOff>
                  </from>
                  <to>
                    <xdr:col>25</xdr:col>
                    <xdr:colOff>514350</xdr:colOff>
                    <xdr:row>6</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F17DCD50-828B-49C8-B452-DB0EA8FE5B92}">
          <x14:formula1>
            <xm:f>'Data Val'!$C$2:$C$6</xm:f>
          </x14:formula1>
          <xm:sqref>E20:F20 E23:F23</xm:sqref>
        </x14:dataValidation>
        <x14:dataValidation type="list" allowBlank="1" showInputMessage="1" showErrorMessage="1" xr:uid="{9A435EB5-9E79-491E-A756-B9AEC596E89D}">
          <x14:formula1>
            <xm:f>artisDB!$A$2:$A$53</xm:f>
          </x14:formula1>
          <xm:sqref>L15:N15</xm:sqref>
        </x14:dataValidation>
        <x14:dataValidation type="list" allowBlank="1" showInputMessage="1" showErrorMessage="1" xr:uid="{6F9DBE10-F5B9-41A3-A156-B27E530BEE4B}">
          <x14:formula1>
            <xm:f>artisDB!$A$2:$A$27</xm:f>
          </x14:formula1>
          <xm:sqref>L14:N14</xm:sqref>
        </x14:dataValidation>
        <x14:dataValidation type="list" allowBlank="1" showInputMessage="1" showErrorMessage="1" xr:uid="{F11B8EA0-BC4F-466F-B973-CC8BA7CD36CB}">
          <x14:formula1>
            <xm:f>weapons!$B$1:$CV$1</xm:f>
          </x14:formula1>
          <xm:sqref>L5:N5</xm:sqref>
        </x14:dataValidation>
        <x14:dataValidation type="list" allowBlank="1" showInputMessage="1" showErrorMessage="1" xr:uid="{B54A2CFB-7BD1-425E-8A71-8CE560E6F0F0}">
          <x14:formula1>
            <xm:f>'Artifact Database'!$AA$3:$AA$9</xm:f>
          </x14:formula1>
          <xm:sqref>L34:N34</xm:sqref>
        </x14:dataValidation>
        <x14:dataValidation type="list" allowBlank="1" showInputMessage="1" showErrorMessage="1" xr:uid="{C0B501CE-8304-4279-BA82-D0A2A731E8D2}">
          <x14:formula1>
            <xm:f>'Artifact Database'!$Z$3:$Z$13</xm:f>
          </x14:formula1>
          <xm:sqref>L31:N31</xm:sqref>
        </x14:dataValidation>
        <x14:dataValidation type="list" allowBlank="1" showInputMessage="1" showErrorMessage="1" xr:uid="{DBE5C3C7-5C5D-49ED-BB37-B2DC41B527DA}">
          <x14:formula1>
            <xm:f>'Artifact Database'!$Y$3:$Y$7</xm:f>
          </x14:formula1>
          <xm:sqref>L28:N28</xm:sqref>
        </x14:dataValidation>
        <x14:dataValidation type="list" allowBlank="1" showInputMessage="1" showErrorMessage="1" xr:uid="{E3CA26D2-B297-4275-A21D-5E923E815E36}">
          <x14:formula1>
            <xm:f>'Artifact Database'!$Y$16:$AC$16</xm:f>
          </x14:formula1>
          <xm:sqref>L24:N24 L26:N26 L29:N29 L32:N32 L35:N35</xm:sqref>
        </x14:dataValidation>
        <x14:dataValidation type="list" allowBlank="1" showInputMessage="1" showErrorMessage="1" xr:uid="{83D91232-F85C-4049-91EC-ADF7461409A0}">
          <x14:formula1>
            <xm:f>'Artifact Database'!$B$1:$D$1</xm:f>
          </x14:formula1>
          <xm:sqref>Z7</xm:sqref>
        </x14:dataValidation>
        <x14:dataValidation type="list" allowBlank="1" showInputMessage="1" showErrorMessage="1" xr:uid="{5BE33A8B-7D4B-4645-BFAF-7334C99B5B02}">
          <x14:formula1>
            <xm:f>'Data Val'!$A$8:$A$21</xm:f>
          </x14:formula1>
          <xm:sqref>E6:F6</xm:sqref>
        </x14:dataValidation>
        <x14:dataValidation type="whole" allowBlank="1" showInputMessage="1" showErrorMessage="1" xr:uid="{9AC16CD3-F019-458D-BB64-93C5E75E95E9}">
          <x14:formula1>
            <xm:f>0</xm:f>
          </x14:formula1>
          <x14:formula2>
            <xm:f>'Artifact Database'!Z62</xm:f>
          </x14:formula2>
          <xm:sqref>L23:N23</xm:sqref>
        </x14:dataValidation>
        <x14:dataValidation type="whole" allowBlank="1" showInputMessage="1" showErrorMessage="1" xr:uid="{581B9AB4-9B3B-410C-9ADF-800411A90874}">
          <x14:formula1>
            <xm:f>0</xm:f>
          </x14:formula1>
          <x14:formula2>
            <xm:f>'Artifact Database'!AA62</xm:f>
          </x14:formula2>
          <xm:sqref>L25:N25</xm:sqref>
        </x14:dataValidation>
        <x14:dataValidation type="whole" allowBlank="1" showInputMessage="1" showErrorMessage="1" xr:uid="{497E79DA-85A4-472A-B438-762718E97EA0}">
          <x14:formula1>
            <xm:f>0</xm:f>
          </x14:formula1>
          <x14:formula2>
            <xm:f>'Artifact Database'!AB62</xm:f>
          </x14:formula2>
          <xm:sqref>L27:N27</xm:sqref>
        </x14:dataValidation>
        <x14:dataValidation type="whole" allowBlank="1" showInputMessage="1" showErrorMessage="1" xr:uid="{91C9638F-AB0C-4F22-BF58-72CE830877D1}">
          <x14:formula1>
            <xm:f>0</xm:f>
          </x14:formula1>
          <x14:formula2>
            <xm:f>'Artifact Database'!AC62</xm:f>
          </x14:formula2>
          <xm:sqref>L30:N30</xm:sqref>
        </x14:dataValidation>
        <x14:dataValidation type="whole" allowBlank="1" showInputMessage="1" showErrorMessage="1" xr:uid="{E2497006-E771-48EB-9880-7E30CF85EE12}">
          <x14:formula1>
            <xm:f>0</xm:f>
          </x14:formula1>
          <x14:formula2>
            <xm:f>'Artifact Database'!AD62</xm:f>
          </x14:formula2>
          <xm:sqref>L33:N33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4EAB-C7B2-44A5-BCEA-8E8B7D349E6B}">
  <sheetPr codeName="Sheet4"/>
  <dimension ref="A1:AH51"/>
  <sheetViews>
    <sheetView topLeftCell="U1" zoomScaleNormal="100" workbookViewId="0">
      <selection activeCell="AF5" sqref="AF5:AG5"/>
    </sheetView>
  </sheetViews>
  <sheetFormatPr defaultColWidth="9.140625" defaultRowHeight="14.45" customHeight="1"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4" ht="14.45" customHeight="1" x14ac:dyDescent="0.25">
      <c r="A1" s="9"/>
      <c r="C1" s="7"/>
      <c r="D1" s="7"/>
      <c r="E1" s="7"/>
      <c r="F1" s="7"/>
    </row>
    <row r="2" spans="1:34" s="8" customFormat="1" ht="14.4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4" ht="14.45" customHeight="1" x14ac:dyDescent="0.25">
      <c r="B3" s="10"/>
      <c r="C3" s="264" t="s">
        <v>741</v>
      </c>
      <c r="D3" s="264"/>
      <c r="E3" s="264"/>
      <c r="F3" s="264"/>
      <c r="G3" s="10"/>
      <c r="H3" s="6"/>
      <c r="I3" s="10"/>
      <c r="J3" s="264" t="s">
        <v>28</v>
      </c>
      <c r="K3" s="264"/>
      <c r="L3" s="264"/>
      <c r="M3" s="264"/>
      <c r="N3" s="264"/>
      <c r="O3" s="10"/>
      <c r="Q3" s="10"/>
      <c r="R3" s="264" t="s">
        <v>61</v>
      </c>
      <c r="S3" s="264"/>
      <c r="T3" s="264"/>
      <c r="U3" s="10"/>
      <c r="W3" s="10"/>
      <c r="X3" s="264" t="s">
        <v>99</v>
      </c>
      <c r="Y3" s="264"/>
      <c r="Z3" s="264"/>
      <c r="AA3" s="10"/>
      <c r="AC3" s="10"/>
      <c r="AD3" s="264" t="s">
        <v>118</v>
      </c>
      <c r="AE3" s="264"/>
      <c r="AF3" s="264"/>
      <c r="AG3" s="264"/>
      <c r="AH3" s="10"/>
    </row>
    <row r="4" spans="1:34" ht="14.45" customHeight="1" x14ac:dyDescent="0.25">
      <c r="B4" s="10"/>
      <c r="C4" s="264"/>
      <c r="D4" s="264"/>
      <c r="E4" s="264"/>
      <c r="F4" s="264"/>
      <c r="G4" s="10"/>
      <c r="H4" s="6"/>
      <c r="I4" s="10"/>
      <c r="J4" s="264"/>
      <c r="K4" s="264"/>
      <c r="L4" s="264"/>
      <c r="M4" s="264"/>
      <c r="N4" s="264"/>
      <c r="O4" s="10"/>
      <c r="Q4" s="10"/>
      <c r="R4" s="264"/>
      <c r="S4" s="264"/>
      <c r="T4" s="264"/>
      <c r="U4" s="10"/>
      <c r="W4" s="10"/>
      <c r="X4" s="264"/>
      <c r="Y4" s="264"/>
      <c r="Z4" s="264"/>
      <c r="AA4" s="10"/>
      <c r="AC4" s="10"/>
      <c r="AD4" s="264"/>
      <c r="AE4" s="264"/>
      <c r="AF4" s="264"/>
      <c r="AG4" s="264"/>
      <c r="AH4" s="10"/>
    </row>
    <row r="5" spans="1:34" ht="14.45" customHeight="1" x14ac:dyDescent="0.25">
      <c r="B5" s="10"/>
      <c r="C5" s="262" t="s">
        <v>50</v>
      </c>
      <c r="D5" s="265"/>
      <c r="E5" s="270" t="s">
        <v>261</v>
      </c>
      <c r="F5" s="270"/>
      <c r="G5" s="10"/>
      <c r="I5" s="10"/>
      <c r="J5" s="262" t="s">
        <v>48</v>
      </c>
      <c r="K5" s="265"/>
      <c r="L5" s="270" t="s">
        <v>529</v>
      </c>
      <c r="M5" s="270"/>
      <c r="N5" s="270"/>
      <c r="O5" s="10"/>
      <c r="Q5" s="10"/>
      <c r="R5" s="262" t="s">
        <v>62</v>
      </c>
      <c r="S5" s="265"/>
      <c r="T5" s="19">
        <v>0</v>
      </c>
      <c r="U5" s="10"/>
      <c r="W5" s="10"/>
      <c r="X5" s="262" t="s">
        <v>106</v>
      </c>
      <c r="Y5" s="265"/>
      <c r="Z5" s="19">
        <v>40</v>
      </c>
      <c r="AA5" s="10"/>
      <c r="AC5" s="10"/>
      <c r="AD5" s="262" t="s">
        <v>119</v>
      </c>
      <c r="AE5" s="265"/>
      <c r="AF5" s="278">
        <f ca="1">'Rotation Assembler'!B301</f>
        <v>44763.110247552366</v>
      </c>
      <c r="AG5" s="278"/>
      <c r="AH5" s="10"/>
    </row>
    <row r="6" spans="1:34" ht="14.45" customHeight="1" x14ac:dyDescent="0.25">
      <c r="B6" s="10"/>
      <c r="C6" s="262" t="s">
        <v>51</v>
      </c>
      <c r="D6" s="265"/>
      <c r="E6" s="270">
        <v>90</v>
      </c>
      <c r="F6" s="270"/>
      <c r="G6" s="10"/>
      <c r="I6" s="10"/>
      <c r="J6" s="262" t="s">
        <v>49</v>
      </c>
      <c r="K6" s="265"/>
      <c r="L6" s="270">
        <v>5</v>
      </c>
      <c r="M6" s="270"/>
      <c r="N6" s="270"/>
      <c r="O6" s="10"/>
      <c r="Q6" s="10"/>
      <c r="R6" s="262" t="s">
        <v>63</v>
      </c>
      <c r="S6" s="265"/>
      <c r="T6" s="19">
        <v>0</v>
      </c>
      <c r="U6" s="10"/>
      <c r="W6" s="10"/>
      <c r="X6" s="262" t="s">
        <v>976</v>
      </c>
      <c r="Y6" s="272"/>
      <c r="Z6" s="16" t="b">
        <v>1</v>
      </c>
      <c r="AA6" s="10"/>
      <c r="AC6" s="10"/>
      <c r="AD6" s="10"/>
      <c r="AE6" s="10"/>
      <c r="AF6" s="10"/>
      <c r="AG6" s="10"/>
      <c r="AH6" s="10"/>
    </row>
    <row r="7" spans="1:34" ht="14.45" customHeight="1" x14ac:dyDescent="0.25">
      <c r="B7" s="10"/>
      <c r="C7" s="262" t="s">
        <v>52</v>
      </c>
      <c r="D7" s="265"/>
      <c r="E7" s="270">
        <v>9</v>
      </c>
      <c r="F7" s="270"/>
      <c r="G7" s="10"/>
      <c r="I7" s="10"/>
      <c r="J7" s="262" t="s">
        <v>46</v>
      </c>
      <c r="K7" s="265"/>
      <c r="L7" s="270">
        <v>0</v>
      </c>
      <c r="M7" s="270"/>
      <c r="N7" s="270"/>
      <c r="O7" s="10"/>
      <c r="Q7" s="10"/>
      <c r="R7" s="262" t="s">
        <v>64</v>
      </c>
      <c r="S7" s="265"/>
      <c r="T7" s="19">
        <v>0</v>
      </c>
      <c r="U7" s="10"/>
      <c r="W7" s="10"/>
      <c r="X7" s="262" t="s">
        <v>102</v>
      </c>
      <c r="Y7" s="265"/>
      <c r="Z7" s="19" t="s">
        <v>430</v>
      </c>
      <c r="AA7" s="10"/>
      <c r="AC7" s="8"/>
      <c r="AD7" s="8"/>
      <c r="AE7" s="8"/>
      <c r="AF7" s="8"/>
      <c r="AG7" s="8"/>
      <c r="AH7" s="8"/>
    </row>
    <row r="8" spans="1:34" ht="14.45" customHeight="1" x14ac:dyDescent="0.25">
      <c r="B8" s="10"/>
      <c r="C8" s="262" t="s">
        <v>53</v>
      </c>
      <c r="D8" s="265"/>
      <c r="E8" s="270">
        <v>9</v>
      </c>
      <c r="F8" s="270"/>
      <c r="G8" s="10"/>
      <c r="I8" s="10"/>
      <c r="J8" s="262" t="s">
        <v>47</v>
      </c>
      <c r="K8" s="265"/>
      <c r="L8" s="271" t="b">
        <v>1</v>
      </c>
      <c r="M8" s="271"/>
      <c r="N8" s="271"/>
      <c r="O8" s="10"/>
      <c r="Q8" s="10"/>
      <c r="R8" s="262" t="s">
        <v>69</v>
      </c>
      <c r="S8" s="265"/>
      <c r="T8" s="19">
        <v>0</v>
      </c>
      <c r="U8" s="10"/>
      <c r="W8" s="10"/>
      <c r="X8" s="262" t="s">
        <v>100</v>
      </c>
      <c r="Y8" s="265"/>
      <c r="Z8" s="101">
        <v>1.66</v>
      </c>
      <c r="AA8" s="10"/>
      <c r="AC8" s="10"/>
      <c r="AD8" s="10"/>
      <c r="AE8" s="10"/>
      <c r="AF8" s="10"/>
      <c r="AG8" s="10"/>
      <c r="AH8" s="10"/>
    </row>
    <row r="9" spans="1:34" ht="14.45" customHeight="1" x14ac:dyDescent="0.25">
      <c r="B9" s="10"/>
      <c r="C9" s="262" t="s">
        <v>54</v>
      </c>
      <c r="D9" s="265"/>
      <c r="E9" s="270">
        <v>9</v>
      </c>
      <c r="F9" s="270"/>
      <c r="G9" s="10"/>
      <c r="I9" s="10"/>
      <c r="J9" s="13"/>
      <c r="K9" s="13"/>
      <c r="L9" s="13"/>
      <c r="M9" s="13"/>
      <c r="N9" s="13"/>
      <c r="O9" s="10"/>
      <c r="Q9" s="10"/>
      <c r="R9" s="262" t="s">
        <v>65</v>
      </c>
      <c r="S9" s="265"/>
      <c r="T9" s="80">
        <v>0</v>
      </c>
      <c r="U9" s="10"/>
      <c r="W9" s="10"/>
      <c r="X9" s="262" t="s">
        <v>103</v>
      </c>
      <c r="Y9" s="265"/>
      <c r="Z9" s="19">
        <v>2</v>
      </c>
      <c r="AA9" s="10"/>
      <c r="AC9" s="10"/>
      <c r="AD9" s="264" t="s">
        <v>776</v>
      </c>
      <c r="AE9" s="264"/>
      <c r="AF9" s="264"/>
      <c r="AG9" s="264"/>
      <c r="AH9" s="10"/>
    </row>
    <row r="10" spans="1:34" ht="14.45" customHeight="1" x14ac:dyDescent="0.25">
      <c r="B10" s="10"/>
      <c r="C10" s="10"/>
      <c r="D10" s="10"/>
      <c r="E10" s="10"/>
      <c r="F10" s="10"/>
      <c r="G10" s="10"/>
      <c r="I10" s="8"/>
      <c r="Q10" s="10"/>
      <c r="R10" s="262" t="s">
        <v>66</v>
      </c>
      <c r="S10" s="265"/>
      <c r="T10" s="80">
        <v>0</v>
      </c>
      <c r="U10" s="10"/>
      <c r="W10" s="10"/>
      <c r="X10" s="262" t="s">
        <v>963</v>
      </c>
      <c r="Y10" s="265"/>
      <c r="Z10" s="230">
        <f>IF(Z6, 10, 1000)</f>
        <v>10</v>
      </c>
      <c r="AA10" s="10"/>
      <c r="AC10" s="10"/>
      <c r="AD10" s="264"/>
      <c r="AE10" s="264"/>
      <c r="AF10" s="264"/>
      <c r="AG10" s="264"/>
      <c r="AH10" s="10"/>
    </row>
    <row r="11" spans="1:34" ht="14.45" customHeight="1" x14ac:dyDescent="0.25">
      <c r="C11" s="8"/>
      <c r="D11" s="8"/>
      <c r="E11" s="8"/>
      <c r="F11" s="8"/>
      <c r="I11" s="10"/>
      <c r="J11" s="10"/>
      <c r="K11" s="10"/>
      <c r="L11" s="10"/>
      <c r="M11" s="10"/>
      <c r="N11" s="10"/>
      <c r="O11" s="10"/>
      <c r="Q11" s="10"/>
      <c r="R11" s="262" t="s">
        <v>67</v>
      </c>
      <c r="S11" s="265"/>
      <c r="T11" s="80">
        <v>0</v>
      </c>
      <c r="U11" s="10"/>
      <c r="W11" s="10"/>
      <c r="X11" s="262" t="s">
        <v>964</v>
      </c>
      <c r="Y11" s="265"/>
      <c r="Z11" s="230">
        <f>IF(Z6, 12, 1000)</f>
        <v>12</v>
      </c>
      <c r="AA11" s="10"/>
      <c r="AC11" s="10"/>
      <c r="AD11" s="262" t="s">
        <v>746</v>
      </c>
      <c r="AE11" s="265"/>
      <c r="AF11" s="261">
        <f>char3FinalHP</f>
        <v>23110.1698</v>
      </c>
      <c r="AG11" s="261"/>
      <c r="AH11" s="10"/>
    </row>
    <row r="12" spans="1:34" ht="14.45" customHeight="1" x14ac:dyDescent="0.25">
      <c r="B12" s="10"/>
      <c r="C12" s="10"/>
      <c r="D12" s="10"/>
      <c r="E12" s="10"/>
      <c r="F12" s="10"/>
      <c r="G12" s="10"/>
      <c r="I12" s="10"/>
      <c r="J12" s="264" t="s">
        <v>29</v>
      </c>
      <c r="K12" s="264"/>
      <c r="L12" s="264"/>
      <c r="M12" s="264"/>
      <c r="N12" s="264"/>
      <c r="O12" s="10"/>
      <c r="Q12" s="10"/>
      <c r="R12" s="262" t="s">
        <v>408</v>
      </c>
      <c r="S12" s="265"/>
      <c r="T12" s="80">
        <v>0.15</v>
      </c>
      <c r="U12" s="10"/>
      <c r="W12" s="10"/>
      <c r="X12" s="262" t="s">
        <v>965</v>
      </c>
      <c r="Y12" s="265"/>
      <c r="Z12" s="231">
        <f>IF(Z6, 10, 1000)</f>
        <v>10</v>
      </c>
      <c r="AA12" s="10"/>
      <c r="AC12" s="10"/>
      <c r="AD12" s="262" t="s">
        <v>745</v>
      </c>
      <c r="AE12" s="265"/>
      <c r="AF12" s="261">
        <f>char3FinalDEF</f>
        <v>773.33200000000011</v>
      </c>
      <c r="AG12" s="261"/>
      <c r="AH12" s="10"/>
    </row>
    <row r="13" spans="1:34" ht="14.45" customHeight="1" x14ac:dyDescent="0.25">
      <c r="B13" s="10"/>
      <c r="C13" s="264" t="s">
        <v>27</v>
      </c>
      <c r="D13" s="264"/>
      <c r="E13" s="264"/>
      <c r="F13" s="264"/>
      <c r="G13" s="10"/>
      <c r="I13" s="10"/>
      <c r="J13" s="264"/>
      <c r="K13" s="264"/>
      <c r="L13" s="264"/>
      <c r="M13" s="264"/>
      <c r="N13" s="264"/>
      <c r="O13" s="10"/>
      <c r="Q13" s="10"/>
      <c r="R13" s="262" t="s">
        <v>409</v>
      </c>
      <c r="S13" s="265"/>
      <c r="T13" s="80">
        <v>0</v>
      </c>
      <c r="U13" s="10"/>
      <c r="W13" s="10"/>
      <c r="X13" s="262" t="s">
        <v>966</v>
      </c>
      <c r="Y13" s="265"/>
      <c r="Z13" s="231">
        <f>IF(Z6, 12-COUNTIF($L$28:$N$34, "ATK%")*2, 1000)</f>
        <v>10</v>
      </c>
      <c r="AA13" s="10"/>
      <c r="AC13" s="10"/>
      <c r="AD13" s="262" t="s">
        <v>744</v>
      </c>
      <c r="AE13" s="265"/>
      <c r="AF13" s="261">
        <f>char3FinalATK</f>
        <v>1631.0755999999999</v>
      </c>
      <c r="AG13" s="261"/>
      <c r="AH13" s="10"/>
    </row>
    <row r="14" spans="1:34" ht="14.45" customHeight="1" x14ac:dyDescent="0.25">
      <c r="B14" s="10"/>
      <c r="C14" s="264"/>
      <c r="D14" s="264"/>
      <c r="E14" s="264"/>
      <c r="F14" s="264"/>
      <c r="G14" s="10"/>
      <c r="I14" s="10"/>
      <c r="J14" s="262" t="s">
        <v>44</v>
      </c>
      <c r="K14" s="265"/>
      <c r="L14" s="270" t="s">
        <v>586</v>
      </c>
      <c r="M14" s="270"/>
      <c r="N14" s="270"/>
      <c r="O14" s="10"/>
      <c r="Q14" s="10"/>
      <c r="R14" s="262" t="s">
        <v>68</v>
      </c>
      <c r="S14" s="265"/>
      <c r="T14" s="80">
        <v>0</v>
      </c>
      <c r="U14" s="10"/>
      <c r="W14" s="10"/>
      <c r="X14" s="262" t="s">
        <v>967</v>
      </c>
      <c r="Y14" s="265"/>
      <c r="Z14" s="231">
        <f>IF($Z$6 = TRUE, 12-COUNTIF($L$28:$N$34, "DEF%")*2, 1000)</f>
        <v>12</v>
      </c>
      <c r="AA14" s="10"/>
      <c r="AC14" s="10"/>
      <c r="AD14" s="262" t="s">
        <v>777</v>
      </c>
      <c r="AE14" s="265"/>
      <c r="AF14" s="263">
        <f ca="1">char3FinalER</f>
        <v>1.7057</v>
      </c>
      <c r="AG14" s="263"/>
      <c r="AH14" s="10"/>
    </row>
    <row r="15" spans="1:34" ht="14.45" customHeight="1" x14ac:dyDescent="0.25">
      <c r="B15" s="10"/>
      <c r="C15" s="262" t="s">
        <v>20</v>
      </c>
      <c r="D15" s="272"/>
      <c r="E15" s="268" t="s">
        <v>753</v>
      </c>
      <c r="F15" s="269"/>
      <c r="G15" s="10"/>
      <c r="I15" s="10"/>
      <c r="J15" s="262" t="s">
        <v>45</v>
      </c>
      <c r="K15" s="265"/>
      <c r="L15" s="270" t="s">
        <v>612</v>
      </c>
      <c r="M15" s="270"/>
      <c r="N15" s="270"/>
      <c r="O15" s="10"/>
      <c r="Q15" s="10"/>
      <c r="R15" s="262" t="s">
        <v>82</v>
      </c>
      <c r="S15" s="265"/>
      <c r="T15" s="80">
        <v>0</v>
      </c>
      <c r="U15" s="10"/>
      <c r="W15" s="10"/>
      <c r="X15" s="262" t="s">
        <v>968</v>
      </c>
      <c r="Y15" s="265"/>
      <c r="Z15" s="231">
        <f>IF($Z$6 = TRUE, 12-COUNTIF($L$28:$N$34, "HP%")*2, 1000)</f>
        <v>12</v>
      </c>
      <c r="AA15" s="10"/>
      <c r="AC15" s="10"/>
      <c r="AD15" s="262" t="s">
        <v>778</v>
      </c>
      <c r="AE15" s="265"/>
      <c r="AF15" s="261">
        <f>Calcs!K113</f>
        <v>39.64</v>
      </c>
      <c r="AG15" s="261"/>
      <c r="AH15" s="10"/>
    </row>
    <row r="16" spans="1:34" ht="14.45" customHeight="1" x14ac:dyDescent="0.25">
      <c r="B16" s="10"/>
      <c r="C16" s="262" t="s">
        <v>21</v>
      </c>
      <c r="D16" s="272"/>
      <c r="E16" s="268" t="s">
        <v>753</v>
      </c>
      <c r="F16" s="269"/>
      <c r="G16" s="10"/>
      <c r="I16" s="10"/>
      <c r="J16" s="262" t="s">
        <v>46</v>
      </c>
      <c r="K16" s="265"/>
      <c r="L16" s="270">
        <v>0</v>
      </c>
      <c r="M16" s="270"/>
      <c r="N16" s="270"/>
      <c r="O16" s="10"/>
      <c r="Q16" s="10"/>
      <c r="R16" s="262" t="s">
        <v>70</v>
      </c>
      <c r="S16" s="265"/>
      <c r="T16" s="80">
        <v>0</v>
      </c>
      <c r="U16" s="10"/>
      <c r="W16" s="10"/>
      <c r="X16" s="262" t="s">
        <v>969</v>
      </c>
      <c r="Y16" s="265"/>
      <c r="Z16" s="231">
        <f>IF($Z$6 = TRUE, 12-COUNTIF($L$28:$N$34, "CR%")*2, 1000)</f>
        <v>10</v>
      </c>
      <c r="AA16" s="10"/>
      <c r="AC16" s="10"/>
      <c r="AD16" s="262" t="s">
        <v>779</v>
      </c>
      <c r="AE16" s="265"/>
      <c r="AF16" s="277">
        <f ca="1">Calcs!K117</f>
        <v>0.70960000000000001</v>
      </c>
      <c r="AG16" s="261"/>
      <c r="AH16" s="10"/>
    </row>
    <row r="17" spans="2:34" ht="14.45" customHeight="1" x14ac:dyDescent="0.25">
      <c r="B17" s="10"/>
      <c r="C17" s="262" t="s">
        <v>22</v>
      </c>
      <c r="D17" s="272"/>
      <c r="E17" s="268" t="s">
        <v>753</v>
      </c>
      <c r="F17" s="269"/>
      <c r="G17" s="10"/>
      <c r="I17" s="10"/>
      <c r="J17" s="262" t="s">
        <v>47</v>
      </c>
      <c r="K17" s="265"/>
      <c r="L17" s="271" t="b">
        <v>0</v>
      </c>
      <c r="M17" s="271"/>
      <c r="N17" s="271"/>
      <c r="O17" s="10"/>
      <c r="Q17" s="10"/>
      <c r="R17" s="262" t="s">
        <v>71</v>
      </c>
      <c r="S17" s="262"/>
      <c r="T17" s="80">
        <v>0</v>
      </c>
      <c r="U17" s="10"/>
      <c r="W17" s="10"/>
      <c r="X17" s="262" t="s">
        <v>970</v>
      </c>
      <c r="Y17" s="265"/>
      <c r="Z17" s="231">
        <f>IF($Z$6 = TRUE, 12-COUNTIF($L$28:$N$34, "CDMG%")*2, 1000)</f>
        <v>12</v>
      </c>
      <c r="AA17" s="10"/>
      <c r="AC17" s="10"/>
      <c r="AD17" s="262" t="s">
        <v>780</v>
      </c>
      <c r="AE17" s="265"/>
      <c r="AF17" s="277">
        <f ca="1">Calcs!K118</f>
        <v>1.2944</v>
      </c>
      <c r="AG17" s="261"/>
      <c r="AH17" s="10"/>
    </row>
    <row r="18" spans="2:34" ht="14.45" customHeight="1" x14ac:dyDescent="0.25">
      <c r="B18" s="10"/>
      <c r="C18" s="262" t="s">
        <v>19</v>
      </c>
      <c r="D18" s="272"/>
      <c r="E18" s="268" t="s">
        <v>753</v>
      </c>
      <c r="F18" s="269"/>
      <c r="G18" s="10"/>
      <c r="I18" s="10"/>
      <c r="J18" s="10"/>
      <c r="K18" s="10"/>
      <c r="L18" s="10"/>
      <c r="M18" s="10"/>
      <c r="N18" s="10"/>
      <c r="O18" s="10"/>
      <c r="Q18" s="10"/>
      <c r="R18" s="262" t="s">
        <v>72</v>
      </c>
      <c r="S18" s="262"/>
      <c r="T18" s="80">
        <v>0</v>
      </c>
      <c r="U18" s="10"/>
      <c r="W18" s="10"/>
      <c r="X18" s="262" t="s">
        <v>971</v>
      </c>
      <c r="Y18" s="265"/>
      <c r="Z18" s="231">
        <f>IF($Z$6 = TRUE, 12-COUNTIF($L$28:$N$34, "ER%")*2, 1000)</f>
        <v>12</v>
      </c>
      <c r="AA18" s="10"/>
      <c r="AC18" s="10"/>
      <c r="AD18" s="262" t="s">
        <v>82</v>
      </c>
      <c r="AE18" s="262"/>
      <c r="AF18" s="277">
        <f>Calcs!K120</f>
        <v>0</v>
      </c>
      <c r="AG18" s="261"/>
      <c r="AH18" s="10"/>
    </row>
    <row r="19" spans="2:34" ht="14.45" customHeight="1" x14ac:dyDescent="0.25">
      <c r="B19" s="10"/>
      <c r="C19" s="262" t="s">
        <v>23</v>
      </c>
      <c r="D19" s="272"/>
      <c r="E19" s="268" t="s">
        <v>753</v>
      </c>
      <c r="F19" s="269"/>
      <c r="G19" s="10"/>
      <c r="I19" s="8"/>
      <c r="J19" s="261"/>
      <c r="K19" s="273"/>
      <c r="O19" s="8"/>
      <c r="Q19" s="10"/>
      <c r="R19" s="262" t="s">
        <v>73</v>
      </c>
      <c r="S19" s="262"/>
      <c r="T19" s="80">
        <v>0</v>
      </c>
      <c r="U19" s="10"/>
      <c r="W19" s="10"/>
      <c r="X19" s="262" t="s">
        <v>104</v>
      </c>
      <c r="Y19" s="265"/>
      <c r="Z19" s="231">
        <f>IF($Z$6 = TRUE, 12-COUNTIF($L$28:$N$34, "EM")*2, 1000)</f>
        <v>12</v>
      </c>
      <c r="AA19" s="10"/>
      <c r="AC19" s="10"/>
      <c r="AD19" s="262" t="s">
        <v>70</v>
      </c>
      <c r="AE19" s="262"/>
      <c r="AF19" s="277">
        <f>Calcs!K121</f>
        <v>0</v>
      </c>
      <c r="AG19" s="261"/>
      <c r="AH19" s="10"/>
    </row>
    <row r="20" spans="2:34" ht="14.45" customHeight="1" x14ac:dyDescent="0.25">
      <c r="B20" s="10"/>
      <c r="C20" s="262" t="s">
        <v>660</v>
      </c>
      <c r="D20" s="272"/>
      <c r="E20" s="268" t="s">
        <v>689</v>
      </c>
      <c r="F20" s="269"/>
      <c r="G20" s="10"/>
      <c r="I20" s="10"/>
      <c r="J20" s="10"/>
      <c r="K20" s="10"/>
      <c r="L20" s="10"/>
      <c r="M20" s="10"/>
      <c r="N20" s="10"/>
      <c r="O20" s="10"/>
      <c r="Q20" s="10"/>
      <c r="R20" s="262" t="s">
        <v>74</v>
      </c>
      <c r="S20" s="262"/>
      <c r="T20" s="80">
        <v>0</v>
      </c>
      <c r="U20" s="10"/>
      <c r="W20" s="10"/>
      <c r="X20" s="10"/>
      <c r="Y20" s="10"/>
      <c r="Z20" s="10"/>
      <c r="AA20" s="10"/>
      <c r="AC20" s="10"/>
      <c r="AD20" s="262" t="s">
        <v>71</v>
      </c>
      <c r="AE20" s="262"/>
      <c r="AF20" s="277">
        <f>Calcs!K122</f>
        <v>0</v>
      </c>
      <c r="AG20" s="261"/>
      <c r="AH20" s="10"/>
    </row>
    <row r="21" spans="2:34" ht="14.45" customHeight="1" x14ac:dyDescent="0.25">
      <c r="B21" s="10"/>
      <c r="C21" s="262" t="s">
        <v>0</v>
      </c>
      <c r="D21" s="272"/>
      <c r="E21" s="268" t="s">
        <v>753</v>
      </c>
      <c r="F21" s="269"/>
      <c r="G21" s="10"/>
      <c r="I21" s="10"/>
      <c r="J21" s="264" t="s">
        <v>30</v>
      </c>
      <c r="K21" s="264"/>
      <c r="L21" s="264"/>
      <c r="M21" s="264"/>
      <c r="N21" s="264"/>
      <c r="O21" s="10"/>
      <c r="Q21" s="10"/>
      <c r="R21" s="262" t="s">
        <v>75</v>
      </c>
      <c r="S21" s="262"/>
      <c r="T21" s="80">
        <f ca="1">20%*char3FinalER</f>
        <v>0.34114</v>
      </c>
      <c r="U21" s="10"/>
      <c r="AC21" s="10"/>
      <c r="AD21" s="262" t="s">
        <v>72</v>
      </c>
      <c r="AE21" s="262"/>
      <c r="AF21" s="277">
        <f>Calcs!K123</f>
        <v>0</v>
      </c>
      <c r="AG21" s="261"/>
      <c r="AH21" s="10"/>
    </row>
    <row r="22" spans="2:34" ht="14.45" customHeight="1" x14ac:dyDescent="0.25">
      <c r="B22" s="10"/>
      <c r="C22" s="262" t="s">
        <v>24</v>
      </c>
      <c r="D22" s="272"/>
      <c r="E22" s="268" t="s">
        <v>753</v>
      </c>
      <c r="F22" s="269"/>
      <c r="G22" s="10"/>
      <c r="I22" s="10"/>
      <c r="J22" s="264"/>
      <c r="K22" s="264"/>
      <c r="L22" s="264"/>
      <c r="M22" s="264"/>
      <c r="N22" s="264"/>
      <c r="O22" s="10"/>
      <c r="Q22" s="10"/>
      <c r="R22" s="262" t="s">
        <v>76</v>
      </c>
      <c r="S22" s="262"/>
      <c r="T22" s="80">
        <v>0</v>
      </c>
      <c r="U22" s="10"/>
      <c r="W22" s="10"/>
      <c r="X22" s="10"/>
      <c r="Y22" s="10"/>
      <c r="Z22" s="10"/>
      <c r="AA22" s="10"/>
      <c r="AC22" s="10"/>
      <c r="AD22" s="262" t="s">
        <v>73</v>
      </c>
      <c r="AE22" s="262"/>
      <c r="AF22" s="277">
        <f>Calcs!K124</f>
        <v>0</v>
      </c>
      <c r="AG22" s="261"/>
      <c r="AH22" s="10"/>
    </row>
    <row r="23" spans="2:34" ht="14.45" customHeight="1" x14ac:dyDescent="0.25">
      <c r="B23" s="10"/>
      <c r="C23" s="262" t="s">
        <v>661</v>
      </c>
      <c r="D23" s="272"/>
      <c r="E23" s="268" t="s">
        <v>690</v>
      </c>
      <c r="F23" s="269"/>
      <c r="G23" s="10"/>
      <c r="I23" s="10"/>
      <c r="J23" s="262" t="s">
        <v>31</v>
      </c>
      <c r="K23" s="265"/>
      <c r="L23" s="270">
        <v>20</v>
      </c>
      <c r="M23" s="270"/>
      <c r="N23" s="270"/>
      <c r="O23" s="10"/>
      <c r="Q23" s="10"/>
      <c r="R23" s="262" t="s">
        <v>77</v>
      </c>
      <c r="S23" s="262"/>
      <c r="T23" s="80">
        <v>0</v>
      </c>
      <c r="U23" s="10"/>
      <c r="W23" s="10"/>
      <c r="X23" s="264" t="s">
        <v>105</v>
      </c>
      <c r="Y23" s="264"/>
      <c r="Z23" s="264"/>
      <c r="AA23" s="10"/>
      <c r="AC23" s="10"/>
      <c r="AD23" s="262" t="s">
        <v>74</v>
      </c>
      <c r="AE23" s="262"/>
      <c r="AF23" s="277">
        <f>Calcs!K125</f>
        <v>0</v>
      </c>
      <c r="AG23" s="261"/>
      <c r="AH23" s="10"/>
    </row>
    <row r="24" spans="2:34" ht="14.45" customHeight="1" x14ac:dyDescent="0.25">
      <c r="B24" s="10"/>
      <c r="C24" s="10"/>
      <c r="D24" s="10"/>
      <c r="E24" s="10"/>
      <c r="F24" s="10"/>
      <c r="G24" s="10"/>
      <c r="I24" s="10"/>
      <c r="J24" s="262" t="s">
        <v>32</v>
      </c>
      <c r="K24" s="265"/>
      <c r="L24" s="270" t="s">
        <v>791</v>
      </c>
      <c r="M24" s="270"/>
      <c r="N24" s="270"/>
      <c r="O24" s="10"/>
      <c r="Q24" s="10"/>
      <c r="R24" s="262" t="s">
        <v>78</v>
      </c>
      <c r="S24" s="262"/>
      <c r="T24" s="80">
        <v>0</v>
      </c>
      <c r="U24" s="10"/>
      <c r="W24" s="10"/>
      <c r="X24" s="264"/>
      <c r="Y24" s="264"/>
      <c r="Z24" s="264"/>
      <c r="AA24" s="10"/>
      <c r="AC24" s="10"/>
      <c r="AD24" s="262" t="s">
        <v>75</v>
      </c>
      <c r="AE24" s="262"/>
      <c r="AF24" s="277">
        <f ca="1">Calcs!K126</f>
        <v>0.80713999999999997</v>
      </c>
      <c r="AG24" s="261"/>
      <c r="AH24" s="10"/>
    </row>
    <row r="25" spans="2:34" ht="14.45" customHeight="1" x14ac:dyDescent="0.25">
      <c r="C25" s="8"/>
      <c r="D25" s="8"/>
      <c r="E25" s="8"/>
      <c r="F25" s="8"/>
      <c r="I25" s="10"/>
      <c r="J25" s="262" t="s">
        <v>33</v>
      </c>
      <c r="K25" s="265"/>
      <c r="L25" s="270">
        <v>20</v>
      </c>
      <c r="M25" s="270"/>
      <c r="N25" s="270"/>
      <c r="O25" s="10"/>
      <c r="Q25" s="10"/>
      <c r="R25" s="262" t="s">
        <v>79</v>
      </c>
      <c r="S25" s="262"/>
      <c r="T25" s="80">
        <v>0</v>
      </c>
      <c r="U25" s="10"/>
      <c r="W25" s="10"/>
      <c r="X25" s="262" t="s">
        <v>101</v>
      </c>
      <c r="Y25" s="272"/>
      <c r="Z25" s="231">
        <f>SUM(Z26:Z35)</f>
        <v>40</v>
      </c>
      <c r="AA25" s="10"/>
      <c r="AC25" s="10"/>
      <c r="AD25" s="262" t="s">
        <v>76</v>
      </c>
      <c r="AE25" s="262"/>
      <c r="AF25" s="277">
        <f>Calcs!K127</f>
        <v>0</v>
      </c>
      <c r="AG25" s="261"/>
      <c r="AH25" s="10"/>
    </row>
    <row r="26" spans="2:34" ht="14.45" customHeight="1" x14ac:dyDescent="0.25">
      <c r="C26" s="8"/>
      <c r="D26" s="8"/>
      <c r="E26" s="8"/>
      <c r="F26" s="8"/>
      <c r="I26" s="10"/>
      <c r="J26" s="262" t="s">
        <v>34</v>
      </c>
      <c r="K26" s="265"/>
      <c r="L26" s="270" t="s">
        <v>791</v>
      </c>
      <c r="M26" s="270"/>
      <c r="N26" s="270"/>
      <c r="O26" s="10"/>
      <c r="Q26" s="10"/>
      <c r="R26" s="262" t="s">
        <v>80</v>
      </c>
      <c r="S26" s="262"/>
      <c r="T26" s="80">
        <v>0</v>
      </c>
      <c r="U26" s="10"/>
      <c r="W26" s="10"/>
      <c r="X26" s="262" t="s">
        <v>62</v>
      </c>
      <c r="Y26" s="272"/>
      <c r="Z26" s="231">
        <v>2</v>
      </c>
      <c r="AA26" s="10"/>
      <c r="AC26" s="10"/>
      <c r="AD26" s="262" t="s">
        <v>77</v>
      </c>
      <c r="AE26" s="262"/>
      <c r="AF26" s="277">
        <f>Calcs!K128</f>
        <v>0</v>
      </c>
      <c r="AG26" s="261"/>
      <c r="AH26" s="10"/>
    </row>
    <row r="27" spans="2:34" ht="14.45" customHeight="1" x14ac:dyDescent="0.25">
      <c r="C27" s="8"/>
      <c r="D27" s="8"/>
      <c r="E27" s="8"/>
      <c r="F27" s="8"/>
      <c r="I27" s="10"/>
      <c r="J27" s="262" t="s">
        <v>35</v>
      </c>
      <c r="K27" s="265"/>
      <c r="L27" s="270">
        <v>20</v>
      </c>
      <c r="M27" s="270"/>
      <c r="N27" s="270"/>
      <c r="O27" s="10"/>
      <c r="Q27" s="10"/>
      <c r="R27" s="262" t="s">
        <v>81</v>
      </c>
      <c r="S27" s="262"/>
      <c r="T27" s="80">
        <v>0</v>
      </c>
      <c r="U27" s="10"/>
      <c r="W27" s="10"/>
      <c r="X27" s="262" t="s">
        <v>63</v>
      </c>
      <c r="Y27" s="272"/>
      <c r="Z27" s="231">
        <v>2</v>
      </c>
      <c r="AA27" s="10"/>
      <c r="AC27" s="10"/>
      <c r="AD27" s="262" t="s">
        <v>78</v>
      </c>
      <c r="AE27" s="262"/>
      <c r="AF27" s="277">
        <f>Calcs!K129</f>
        <v>0</v>
      </c>
      <c r="AG27" s="261"/>
      <c r="AH27" s="10"/>
    </row>
    <row r="28" spans="2:34" ht="14.45" customHeight="1" x14ac:dyDescent="0.25">
      <c r="C28" s="8"/>
      <c r="D28" s="8"/>
      <c r="E28" s="8"/>
      <c r="F28" s="8"/>
      <c r="I28" s="10"/>
      <c r="J28" s="262" t="s">
        <v>36</v>
      </c>
      <c r="K28" s="265"/>
      <c r="L28" s="270" t="s">
        <v>65</v>
      </c>
      <c r="M28" s="270"/>
      <c r="N28" s="270"/>
      <c r="O28" s="10"/>
      <c r="Q28" s="10"/>
      <c r="R28" s="262" t="s">
        <v>83</v>
      </c>
      <c r="S28" s="262"/>
      <c r="T28" s="80">
        <v>0</v>
      </c>
      <c r="U28" s="10"/>
      <c r="W28" s="10"/>
      <c r="X28" s="262" t="s">
        <v>64</v>
      </c>
      <c r="Y28" s="272"/>
      <c r="Z28" s="231">
        <v>2</v>
      </c>
      <c r="AA28" s="10"/>
      <c r="AC28" s="10"/>
      <c r="AD28" s="262" t="s">
        <v>79</v>
      </c>
      <c r="AE28" s="262"/>
      <c r="AF28" s="277">
        <f>Calcs!K130</f>
        <v>0</v>
      </c>
      <c r="AG28" s="261"/>
      <c r="AH28" s="10"/>
    </row>
    <row r="29" spans="2:34" ht="14.45" customHeight="1" x14ac:dyDescent="0.25">
      <c r="C29" s="8"/>
      <c r="D29" s="8"/>
      <c r="E29" s="8"/>
      <c r="F29" s="8"/>
      <c r="I29" s="10"/>
      <c r="J29" s="262" t="s">
        <v>37</v>
      </c>
      <c r="K29" s="265"/>
      <c r="L29" s="270" t="s">
        <v>791</v>
      </c>
      <c r="M29" s="270"/>
      <c r="N29" s="270"/>
      <c r="O29" s="10"/>
      <c r="Q29" s="10"/>
      <c r="R29" s="262" t="s">
        <v>84</v>
      </c>
      <c r="S29" s="265"/>
      <c r="T29" s="80">
        <v>0</v>
      </c>
      <c r="U29" s="10"/>
      <c r="W29" s="10"/>
      <c r="X29" s="262" t="s">
        <v>65</v>
      </c>
      <c r="Y29" s="272"/>
      <c r="Z29" s="231">
        <v>3</v>
      </c>
      <c r="AA29" s="10"/>
      <c r="AC29" s="10"/>
      <c r="AD29" s="262" t="s">
        <v>80</v>
      </c>
      <c r="AE29" s="262"/>
      <c r="AF29" s="277">
        <f>Calcs!K131</f>
        <v>0</v>
      </c>
      <c r="AG29" s="261"/>
      <c r="AH29" s="10"/>
    </row>
    <row r="30" spans="2:34" ht="14.45" customHeight="1" x14ac:dyDescent="0.25">
      <c r="C30" s="8"/>
      <c r="D30" s="8"/>
      <c r="E30" s="8"/>
      <c r="F30" s="8"/>
      <c r="I30" s="10"/>
      <c r="J30" s="262" t="s">
        <v>38</v>
      </c>
      <c r="K30" s="265"/>
      <c r="L30" s="270">
        <v>20</v>
      </c>
      <c r="M30" s="270"/>
      <c r="N30" s="270"/>
      <c r="O30" s="10"/>
      <c r="Q30" s="10"/>
      <c r="R30" s="262" t="s">
        <v>85</v>
      </c>
      <c r="S30" s="265"/>
      <c r="T30" s="80">
        <v>0</v>
      </c>
      <c r="U30" s="10"/>
      <c r="W30" s="10"/>
      <c r="X30" s="262" t="s">
        <v>66</v>
      </c>
      <c r="Y30" s="272"/>
      <c r="Z30" s="231">
        <v>2</v>
      </c>
      <c r="AA30" s="10"/>
      <c r="AC30" s="10"/>
      <c r="AD30" s="262" t="s">
        <v>422</v>
      </c>
      <c r="AE30" s="262"/>
      <c r="AF30" s="277">
        <f>char3FinalHealingBonus</f>
        <v>0</v>
      </c>
      <c r="AG30" s="261"/>
      <c r="AH30" s="10"/>
    </row>
    <row r="31" spans="2:34" ht="14.45" customHeight="1" x14ac:dyDescent="0.25">
      <c r="C31" s="8"/>
      <c r="D31" s="8"/>
      <c r="E31" s="8"/>
      <c r="F31" s="8"/>
      <c r="I31" s="10"/>
      <c r="J31" s="262" t="s">
        <v>39</v>
      </c>
      <c r="K31" s="265"/>
      <c r="L31" s="270" t="s">
        <v>75</v>
      </c>
      <c r="M31" s="270"/>
      <c r="N31" s="270"/>
      <c r="O31" s="10"/>
      <c r="Q31" s="10"/>
      <c r="R31" s="262" t="s">
        <v>86</v>
      </c>
      <c r="S31" s="265"/>
      <c r="T31" s="80">
        <v>0</v>
      </c>
      <c r="U31" s="10"/>
      <c r="W31" s="10"/>
      <c r="X31" s="262" t="s">
        <v>67</v>
      </c>
      <c r="Y31" s="272"/>
      <c r="Z31" s="231">
        <v>2</v>
      </c>
      <c r="AA31" s="10"/>
      <c r="AC31" s="10"/>
      <c r="AD31" s="10"/>
      <c r="AE31" s="10"/>
      <c r="AF31" s="10"/>
      <c r="AG31" s="10"/>
      <c r="AH31" s="10"/>
    </row>
    <row r="32" spans="2:34" ht="14.45" customHeight="1" x14ac:dyDescent="0.25">
      <c r="C32" s="8"/>
      <c r="D32" s="8"/>
      <c r="E32" s="8"/>
      <c r="F32" s="8"/>
      <c r="I32" s="10"/>
      <c r="J32" s="262" t="s">
        <v>40</v>
      </c>
      <c r="K32" s="265"/>
      <c r="L32" s="270" t="s">
        <v>791</v>
      </c>
      <c r="M32" s="270"/>
      <c r="N32" s="270"/>
      <c r="O32" s="10"/>
      <c r="Q32" s="10"/>
      <c r="R32" s="262" t="s">
        <v>87</v>
      </c>
      <c r="S32" s="265"/>
      <c r="T32" s="80">
        <v>0</v>
      </c>
      <c r="U32" s="10"/>
      <c r="W32" s="10"/>
      <c r="X32" s="262" t="s">
        <v>408</v>
      </c>
      <c r="Y32" s="272"/>
      <c r="Z32" s="231">
        <v>6</v>
      </c>
      <c r="AA32" s="10"/>
      <c r="AC32" s="8"/>
      <c r="AD32" s="8"/>
      <c r="AE32" s="8"/>
      <c r="AF32" s="8"/>
      <c r="AG32" s="8"/>
      <c r="AH32" s="8"/>
    </row>
    <row r="33" spans="3:34" ht="14.45" customHeight="1" x14ac:dyDescent="0.25">
      <c r="C33" s="8"/>
      <c r="D33" s="8"/>
      <c r="E33" s="8"/>
      <c r="F33" s="8"/>
      <c r="I33" s="10"/>
      <c r="J33" s="262" t="s">
        <v>41</v>
      </c>
      <c r="K33" s="265"/>
      <c r="L33" s="270">
        <v>20</v>
      </c>
      <c r="M33" s="270"/>
      <c r="N33" s="270"/>
      <c r="O33" s="10"/>
      <c r="Q33" s="10"/>
      <c r="R33" s="262" t="s">
        <v>90</v>
      </c>
      <c r="S33" s="265"/>
      <c r="T33" s="80">
        <v>0</v>
      </c>
      <c r="U33" s="10"/>
      <c r="W33" s="10"/>
      <c r="X33" s="262" t="s">
        <v>409</v>
      </c>
      <c r="Y33" s="272"/>
      <c r="Z33" s="231">
        <v>12</v>
      </c>
      <c r="AA33" s="10"/>
      <c r="AC33" s="8"/>
      <c r="AD33" s="8"/>
      <c r="AE33" s="8"/>
      <c r="AF33" s="8"/>
      <c r="AG33" s="8"/>
      <c r="AH33" s="8"/>
    </row>
    <row r="34" spans="3:34" ht="14.45" customHeight="1" x14ac:dyDescent="0.25">
      <c r="C34" s="8"/>
      <c r="D34" s="8"/>
      <c r="E34" s="8"/>
      <c r="F34" s="8"/>
      <c r="I34" s="10"/>
      <c r="J34" s="262" t="s">
        <v>42</v>
      </c>
      <c r="K34" s="265"/>
      <c r="L34" s="270" t="s">
        <v>408</v>
      </c>
      <c r="M34" s="270"/>
      <c r="N34" s="270"/>
      <c r="O34" s="10"/>
      <c r="Q34" s="10"/>
      <c r="R34" s="262" t="s">
        <v>88</v>
      </c>
      <c r="S34" s="265"/>
      <c r="T34" s="80">
        <v>0</v>
      </c>
      <c r="U34" s="10"/>
      <c r="W34" s="10"/>
      <c r="X34" s="262" t="s">
        <v>68</v>
      </c>
      <c r="Y34" s="272"/>
      <c r="Z34" s="231">
        <v>7</v>
      </c>
      <c r="AA34" s="10"/>
    </row>
    <row r="35" spans="3:34" ht="14.45" customHeight="1" x14ac:dyDescent="0.25">
      <c r="C35" s="8"/>
      <c r="D35" s="8"/>
      <c r="E35" s="8"/>
      <c r="F35" s="8"/>
      <c r="I35" s="10"/>
      <c r="J35" s="262" t="s">
        <v>43</v>
      </c>
      <c r="K35" s="265"/>
      <c r="L35" s="270" t="s">
        <v>791</v>
      </c>
      <c r="M35" s="270"/>
      <c r="N35" s="270"/>
      <c r="O35" s="10"/>
      <c r="Q35" s="10"/>
      <c r="R35" s="262" t="s">
        <v>89</v>
      </c>
      <c r="S35" s="265"/>
      <c r="T35" s="80">
        <v>0</v>
      </c>
      <c r="U35" s="10"/>
      <c r="W35" s="10"/>
      <c r="X35" s="262" t="s">
        <v>69</v>
      </c>
      <c r="Y35" s="272"/>
      <c r="Z35" s="231">
        <v>2</v>
      </c>
      <c r="AA35" s="10"/>
    </row>
    <row r="36" spans="3:34" ht="14.45" customHeight="1" x14ac:dyDescent="0.25">
      <c r="C36" s="8"/>
      <c r="D36" s="8"/>
      <c r="E36" s="8"/>
      <c r="F36" s="8"/>
      <c r="I36" s="10"/>
      <c r="J36" s="10"/>
      <c r="K36" s="10"/>
      <c r="L36" s="10"/>
      <c r="M36" s="10"/>
      <c r="N36" s="10"/>
      <c r="O36" s="10"/>
      <c r="Q36" s="10"/>
      <c r="R36" s="262" t="s">
        <v>91</v>
      </c>
      <c r="S36" s="265"/>
      <c r="T36" s="80">
        <v>0</v>
      </c>
      <c r="U36" s="10"/>
      <c r="W36" s="10"/>
      <c r="X36" s="10"/>
      <c r="Y36" s="10"/>
      <c r="Z36" s="10"/>
      <c r="AA36" s="10"/>
    </row>
    <row r="37" spans="3:34" ht="14.45" customHeight="1" x14ac:dyDescent="0.25">
      <c r="C37" s="8"/>
      <c r="D37" s="8"/>
      <c r="E37" s="8"/>
      <c r="F37" s="8"/>
      <c r="Q37" s="10"/>
      <c r="R37" s="262" t="s">
        <v>453</v>
      </c>
      <c r="S37" s="265"/>
      <c r="T37" s="80">
        <v>0</v>
      </c>
      <c r="U37" s="10"/>
    </row>
    <row r="38" spans="3:34" ht="14.45" customHeight="1" x14ac:dyDescent="0.25">
      <c r="C38" s="8"/>
      <c r="D38" s="8"/>
      <c r="E38" s="8"/>
      <c r="F38" s="8"/>
      <c r="Q38" s="10"/>
      <c r="R38" s="262" t="s">
        <v>93</v>
      </c>
      <c r="S38" s="265"/>
      <c r="T38" s="80">
        <v>0</v>
      </c>
      <c r="U38" s="10"/>
    </row>
    <row r="39" spans="3:34" ht="14.45" customHeight="1" x14ac:dyDescent="0.25">
      <c r="C39" s="8"/>
      <c r="D39" s="8"/>
      <c r="E39" s="8"/>
      <c r="F39" s="8"/>
      <c r="Q39" s="10"/>
      <c r="R39" s="262" t="s">
        <v>422</v>
      </c>
      <c r="S39" s="265"/>
      <c r="T39" s="80">
        <v>0</v>
      </c>
      <c r="U39" s="10"/>
    </row>
    <row r="40" spans="3:34" ht="14.45" customHeight="1" x14ac:dyDescent="0.25">
      <c r="C40" s="8"/>
      <c r="D40" s="8"/>
      <c r="E40" s="8"/>
      <c r="F40" s="8"/>
      <c r="Q40" s="10"/>
      <c r="R40" s="262" t="s">
        <v>452</v>
      </c>
      <c r="S40" s="265"/>
      <c r="T40" s="80">
        <v>0</v>
      </c>
      <c r="U40" s="10"/>
    </row>
    <row r="41" spans="3:34" ht="14.45" customHeight="1" x14ac:dyDescent="0.25">
      <c r="C41" s="273"/>
      <c r="D41" s="273"/>
      <c r="E41" s="276"/>
      <c r="F41" s="276"/>
      <c r="Q41" s="10"/>
      <c r="R41" s="262" t="s">
        <v>92</v>
      </c>
      <c r="S41" s="265"/>
      <c r="T41" s="80">
        <v>0</v>
      </c>
      <c r="U41" s="10"/>
    </row>
    <row r="42" spans="3:34" ht="14.45" customHeight="1" x14ac:dyDescent="0.25">
      <c r="D42" s="8"/>
      <c r="Q42" s="10"/>
      <c r="R42" s="262" t="s">
        <v>94</v>
      </c>
      <c r="S42" s="265"/>
      <c r="T42" s="80">
        <v>0</v>
      </c>
      <c r="U42" s="10"/>
    </row>
    <row r="43" spans="3:34" ht="14.45" customHeight="1" x14ac:dyDescent="0.25">
      <c r="Q43" s="10"/>
      <c r="R43" s="262" t="s">
        <v>95</v>
      </c>
      <c r="S43" s="265"/>
      <c r="T43" s="80">
        <v>0</v>
      </c>
      <c r="U43" s="10"/>
    </row>
    <row r="44" spans="3:34" ht="14.45" customHeight="1" x14ac:dyDescent="0.25">
      <c r="Q44" s="10"/>
      <c r="R44" s="262" t="s">
        <v>96</v>
      </c>
      <c r="S44" s="265"/>
      <c r="T44" s="80">
        <v>0</v>
      </c>
      <c r="U44" s="10"/>
    </row>
    <row r="45" spans="3:34" ht="14.45" customHeight="1" x14ac:dyDescent="0.25">
      <c r="Q45" s="10"/>
      <c r="R45" s="262" t="s">
        <v>97</v>
      </c>
      <c r="S45" s="265"/>
      <c r="T45" s="80">
        <v>0</v>
      </c>
      <c r="U45" s="10"/>
    </row>
    <row r="46" spans="3:34" ht="14.45" customHeight="1" x14ac:dyDescent="0.25">
      <c r="Q46" s="10"/>
      <c r="R46" s="262" t="s">
        <v>98</v>
      </c>
      <c r="S46" s="265"/>
      <c r="T46" s="80">
        <v>0</v>
      </c>
      <c r="U46" s="10"/>
    </row>
    <row r="47" spans="3:34" ht="14.45" customHeight="1" x14ac:dyDescent="0.25">
      <c r="Q47" s="10"/>
      <c r="R47" s="262" t="s">
        <v>419</v>
      </c>
      <c r="S47" s="265"/>
      <c r="T47" s="80">
        <v>0</v>
      </c>
      <c r="U47" s="10"/>
    </row>
    <row r="48" spans="3:34" ht="14.45" customHeight="1" x14ac:dyDescent="0.25">
      <c r="Q48" s="10"/>
      <c r="R48" s="262" t="s">
        <v>420</v>
      </c>
      <c r="S48" s="265"/>
      <c r="T48" s="80">
        <v>0</v>
      </c>
      <c r="U48" s="10"/>
    </row>
    <row r="49" spans="17:21" ht="14.45" customHeight="1" x14ac:dyDescent="0.25">
      <c r="Q49" s="10"/>
      <c r="R49" s="262" t="s">
        <v>433</v>
      </c>
      <c r="S49" s="265"/>
      <c r="T49" s="80">
        <v>0</v>
      </c>
      <c r="U49" s="10"/>
    </row>
    <row r="50" spans="17:21" ht="14.45" customHeight="1" x14ac:dyDescent="0.25">
      <c r="Q50" s="10"/>
      <c r="R50" s="262" t="s">
        <v>421</v>
      </c>
      <c r="S50" s="265"/>
      <c r="T50" s="80">
        <v>0</v>
      </c>
      <c r="U50" s="10"/>
    </row>
    <row r="51" spans="17:21" ht="14.45" customHeight="1" x14ac:dyDescent="0.25">
      <c r="Q51" s="10"/>
      <c r="R51" s="10"/>
      <c r="S51" s="10"/>
      <c r="T51" s="10"/>
      <c r="U51" s="10"/>
    </row>
  </sheetData>
  <mergeCells count="197">
    <mergeCell ref="X33:Y33"/>
    <mergeCell ref="X34:Y34"/>
    <mergeCell ref="X35:Y35"/>
    <mergeCell ref="X14:Y14"/>
    <mergeCell ref="X15:Y15"/>
    <mergeCell ref="X16:Y16"/>
    <mergeCell ref="X17:Y17"/>
    <mergeCell ref="X23:Z24"/>
    <mergeCell ref="X29:Y29"/>
    <mergeCell ref="X30:Y30"/>
    <mergeCell ref="X31:Y31"/>
    <mergeCell ref="X32:Y32"/>
    <mergeCell ref="R48:S48"/>
    <mergeCell ref="R49:S49"/>
    <mergeCell ref="R50:S50"/>
    <mergeCell ref="R42:S42"/>
    <mergeCell ref="R43:S43"/>
    <mergeCell ref="R44:S44"/>
    <mergeCell ref="R45:S45"/>
    <mergeCell ref="R46:S46"/>
    <mergeCell ref="R47:S47"/>
    <mergeCell ref="R36:S36"/>
    <mergeCell ref="R37:S37"/>
    <mergeCell ref="R38:S38"/>
    <mergeCell ref="R39:S39"/>
    <mergeCell ref="R40:S40"/>
    <mergeCell ref="C41:D41"/>
    <mergeCell ref="E41:F41"/>
    <mergeCell ref="R41:S41"/>
    <mergeCell ref="J34:K34"/>
    <mergeCell ref="L34:N34"/>
    <mergeCell ref="R34:S34"/>
    <mergeCell ref="J35:K35"/>
    <mergeCell ref="L35:N35"/>
    <mergeCell ref="R35:S35"/>
    <mergeCell ref="J32:K32"/>
    <mergeCell ref="L32:N32"/>
    <mergeCell ref="R32:S32"/>
    <mergeCell ref="J33:K33"/>
    <mergeCell ref="L33:N33"/>
    <mergeCell ref="R33:S33"/>
    <mergeCell ref="J30:K30"/>
    <mergeCell ref="L30:N30"/>
    <mergeCell ref="R30:S30"/>
    <mergeCell ref="J31:K31"/>
    <mergeCell ref="L31:N31"/>
    <mergeCell ref="R31:S31"/>
    <mergeCell ref="J27:K27"/>
    <mergeCell ref="L27:N27"/>
    <mergeCell ref="R27:S27"/>
    <mergeCell ref="X27:Y27"/>
    <mergeCell ref="J28:K28"/>
    <mergeCell ref="L28:N28"/>
    <mergeCell ref="R28:S28"/>
    <mergeCell ref="X28:Y28"/>
    <mergeCell ref="J29:K29"/>
    <mergeCell ref="L29:N29"/>
    <mergeCell ref="R29:S29"/>
    <mergeCell ref="J24:K24"/>
    <mergeCell ref="L24:N24"/>
    <mergeCell ref="R24:S24"/>
    <mergeCell ref="J25:K25"/>
    <mergeCell ref="L25:N25"/>
    <mergeCell ref="R25:S25"/>
    <mergeCell ref="X25:Y25"/>
    <mergeCell ref="J26:K26"/>
    <mergeCell ref="L26:N26"/>
    <mergeCell ref="R26:S26"/>
    <mergeCell ref="X26:Y26"/>
    <mergeCell ref="C23:D23"/>
    <mergeCell ref="E23:F23"/>
    <mergeCell ref="J23:K23"/>
    <mergeCell ref="L23:N23"/>
    <mergeCell ref="R23:S23"/>
    <mergeCell ref="C21:D21"/>
    <mergeCell ref="E21:F21"/>
    <mergeCell ref="J21:N22"/>
    <mergeCell ref="R21:S21"/>
    <mergeCell ref="C22:D22"/>
    <mergeCell ref="E22:F22"/>
    <mergeCell ref="R22:S22"/>
    <mergeCell ref="C20:D20"/>
    <mergeCell ref="E20:F20"/>
    <mergeCell ref="R20:S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15:D15"/>
    <mergeCell ref="E15:F15"/>
    <mergeCell ref="J15:K15"/>
    <mergeCell ref="L15:N15"/>
    <mergeCell ref="R15:S15"/>
    <mergeCell ref="C13:F14"/>
    <mergeCell ref="R13:S13"/>
    <mergeCell ref="J14:K14"/>
    <mergeCell ref="L14:N14"/>
    <mergeCell ref="R14:S14"/>
    <mergeCell ref="R11:S11"/>
    <mergeCell ref="X11:Y11"/>
    <mergeCell ref="J12:N13"/>
    <mergeCell ref="R12:S12"/>
    <mergeCell ref="X12:Y12"/>
    <mergeCell ref="C9:D9"/>
    <mergeCell ref="E9:F9"/>
    <mergeCell ref="R9:S9"/>
    <mergeCell ref="X9:Y9"/>
    <mergeCell ref="R10:S10"/>
    <mergeCell ref="X10:Y10"/>
    <mergeCell ref="X13:Y13"/>
    <mergeCell ref="L8:N8"/>
    <mergeCell ref="R8:S8"/>
    <mergeCell ref="X8:Y8"/>
    <mergeCell ref="C7:D7"/>
    <mergeCell ref="E7:F7"/>
    <mergeCell ref="J7:K7"/>
    <mergeCell ref="L7:N7"/>
    <mergeCell ref="R7:S7"/>
    <mergeCell ref="X7:Y7"/>
    <mergeCell ref="AD20:AE20"/>
    <mergeCell ref="AF20:AG20"/>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L6:N6"/>
    <mergeCell ref="R6:S6"/>
    <mergeCell ref="X6:Y6"/>
    <mergeCell ref="C8:D8"/>
    <mergeCell ref="E8:F8"/>
    <mergeCell ref="J8:K8"/>
    <mergeCell ref="AD15:AE15"/>
    <mergeCell ref="AF15:AG15"/>
    <mergeCell ref="AD16:AE16"/>
    <mergeCell ref="AF16:AG16"/>
    <mergeCell ref="AD17:AE17"/>
    <mergeCell ref="AF17:AG17"/>
    <mergeCell ref="AD18:AE18"/>
    <mergeCell ref="AF18:AG18"/>
    <mergeCell ref="AD19:AE19"/>
    <mergeCell ref="AF19:AG19"/>
    <mergeCell ref="AD9:AG10"/>
    <mergeCell ref="AD11:AE11"/>
    <mergeCell ref="AF11:AG11"/>
    <mergeCell ref="AD12:AE12"/>
    <mergeCell ref="AF12:AG12"/>
    <mergeCell ref="AD13:AE13"/>
    <mergeCell ref="AF13:AG13"/>
    <mergeCell ref="AD14:AE14"/>
    <mergeCell ref="AF14:AG14"/>
    <mergeCell ref="AD21:AE21"/>
    <mergeCell ref="AF21:AG21"/>
    <mergeCell ref="AD22:AE22"/>
    <mergeCell ref="AF22:AG22"/>
    <mergeCell ref="AD23:AE23"/>
    <mergeCell ref="AF23:AG23"/>
    <mergeCell ref="AD24:AE24"/>
    <mergeCell ref="AF24:AG24"/>
    <mergeCell ref="AD25:AE25"/>
    <mergeCell ref="AF25:AG25"/>
    <mergeCell ref="AD26:AE26"/>
    <mergeCell ref="AF26:AG26"/>
    <mergeCell ref="AD27:AE27"/>
    <mergeCell ref="AF27:AG27"/>
    <mergeCell ref="AD28:AE28"/>
    <mergeCell ref="AF28:AG28"/>
    <mergeCell ref="AD29:AE29"/>
    <mergeCell ref="AF29:AG29"/>
    <mergeCell ref="AD30:AE30"/>
    <mergeCell ref="AF30:AG30"/>
  </mergeCells>
  <dataValidations count="1">
    <dataValidation type="list" allowBlank="1" showInputMessage="1" showErrorMessage="1" sqref="E21:E22 E15:E19" xr:uid="{CBF48354-D6F4-4BE1-89A7-F32BBBF28068}">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2" r:id="rId4" name="Check Box 2">
              <controlPr defaultSize="0" autoFill="0" autoLine="0" autoPict="0">
                <anchor moveWithCells="1">
                  <from>
                    <xdr:col>12</xdr:col>
                    <xdr:colOff>200025</xdr:colOff>
                    <xdr:row>7</xdr:row>
                    <xdr:rowOff>9525</xdr:rowOff>
                  </from>
                  <to>
                    <xdr:col>12</xdr:col>
                    <xdr:colOff>390525</xdr:colOff>
                    <xdr:row>8</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12</xdr:col>
                    <xdr:colOff>200025</xdr:colOff>
                    <xdr:row>15</xdr:row>
                    <xdr:rowOff>180975</xdr:rowOff>
                  </from>
                  <to>
                    <xdr:col>12</xdr:col>
                    <xdr:colOff>428625</xdr:colOff>
                    <xdr:row>17</xdr:row>
                    <xdr:rowOff>0</xdr:rowOff>
                  </to>
                </anchor>
              </controlPr>
            </control>
          </mc:Choice>
        </mc:AlternateContent>
        <mc:AlternateContent xmlns:mc="http://schemas.openxmlformats.org/markup-compatibility/2006">
          <mc:Choice Requires="x14">
            <control shapeId="15365" r:id="rId6" name="Button 5">
              <controlPr defaultSize="0" print="0" autoFill="0" autoPict="0" macro="[0]!char3Solver">
                <anchor moveWithCells="1" sizeWithCells="1">
                  <from>
                    <xdr:col>34</xdr:col>
                    <xdr:colOff>371475</xdr:colOff>
                    <xdr:row>2</xdr:row>
                    <xdr:rowOff>85725</xdr:rowOff>
                  </from>
                  <to>
                    <xdr:col>37</xdr:col>
                    <xdr:colOff>323850</xdr:colOff>
                    <xdr:row>4</xdr:row>
                    <xdr:rowOff>104775</xdr:rowOff>
                  </to>
                </anchor>
              </controlPr>
            </control>
          </mc:Choice>
        </mc:AlternateContent>
        <mc:AlternateContent xmlns:mc="http://schemas.openxmlformats.org/markup-compatibility/2006">
          <mc:Choice Requires="x14">
            <control shapeId="15371" r:id="rId7" name="Check Box 11">
              <controlPr defaultSize="0" autoFill="0" autoLine="0" autoPict="0">
                <anchor moveWithCells="1">
                  <from>
                    <xdr:col>25</xdr:col>
                    <xdr:colOff>238125</xdr:colOff>
                    <xdr:row>4</xdr:row>
                    <xdr:rowOff>161925</xdr:rowOff>
                  </from>
                  <to>
                    <xdr:col>25</xdr:col>
                    <xdr:colOff>514350</xdr:colOff>
                    <xdr:row>6</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321DE90B-A3B9-4789-83CE-6D0077158FF9}">
          <x14:formula1>
            <xm:f>'Data Val'!$A$8:$A$21</xm:f>
          </x14:formula1>
          <xm:sqref>E6:F6</xm:sqref>
        </x14:dataValidation>
        <x14:dataValidation type="list" allowBlank="1" showInputMessage="1" showErrorMessage="1" xr:uid="{50F2C854-66AA-4E0F-A7CA-5DBF114B1417}">
          <x14:formula1>
            <xm:f>'Artifact Database'!$B$1:$D$1</xm:f>
          </x14:formula1>
          <xm:sqref>Z7</xm:sqref>
        </x14:dataValidation>
        <x14:dataValidation type="list" allowBlank="1" showInputMessage="1" showErrorMessage="1" xr:uid="{71754775-F13B-4DEA-B341-A3089158E9C5}">
          <x14:formula1>
            <xm:f>'Artifact Database'!$Y$16:$AC$16</xm:f>
          </x14:formula1>
          <xm:sqref>L24:N24 L26:N26 L29:N29 L32:N32 L35:N35</xm:sqref>
        </x14:dataValidation>
        <x14:dataValidation type="list" allowBlank="1" showInputMessage="1" showErrorMessage="1" xr:uid="{3750A5A9-332B-45DB-B971-7C70442063FF}">
          <x14:formula1>
            <xm:f>'Artifact Database'!$Y$3:$Y$7</xm:f>
          </x14:formula1>
          <xm:sqref>L28:N28</xm:sqref>
        </x14:dataValidation>
        <x14:dataValidation type="list" allowBlank="1" showInputMessage="1" showErrorMessage="1" xr:uid="{D2AB371A-F267-4F81-A1D8-E4F245EFF1E4}">
          <x14:formula1>
            <xm:f>'Artifact Database'!$Z$3:$Z$13</xm:f>
          </x14:formula1>
          <xm:sqref>L31:N31</xm:sqref>
        </x14:dataValidation>
        <x14:dataValidation type="list" allowBlank="1" showInputMessage="1" showErrorMessage="1" xr:uid="{B32BDCAA-D72A-4CEC-A712-AC04EB2565A4}">
          <x14:formula1>
            <xm:f>'Artifact Database'!$AA$3:$AA$9</xm:f>
          </x14:formula1>
          <xm:sqref>L34:N34</xm:sqref>
        </x14:dataValidation>
        <x14:dataValidation type="list" allowBlank="1" showInputMessage="1" showErrorMessage="1" xr:uid="{A83A533A-A805-470F-AA57-36B5EC3CE99E}">
          <x14:formula1>
            <xm:f>weapons!$B$1:$CV$1</xm:f>
          </x14:formula1>
          <xm:sqref>L5:N5</xm:sqref>
        </x14:dataValidation>
        <x14:dataValidation type="list" allowBlank="1" showInputMessage="1" showErrorMessage="1" xr:uid="{3D8E0118-C01A-4381-9B35-0FD1EF04F680}">
          <x14:formula1>
            <xm:f>artisDB!$A$2:$A$27</xm:f>
          </x14:formula1>
          <xm:sqref>L14:N14</xm:sqref>
        </x14:dataValidation>
        <x14:dataValidation type="list" allowBlank="1" showInputMessage="1" showErrorMessage="1" xr:uid="{779F9D03-01AB-4A2B-865F-44F474356D2B}">
          <x14:formula1>
            <xm:f>artisDB!$A$2:$A$53</xm:f>
          </x14:formula1>
          <xm:sqref>L15:N15</xm:sqref>
        </x14:dataValidation>
        <x14:dataValidation type="list" allowBlank="1" showInputMessage="1" showErrorMessage="1" xr:uid="{78C7E440-85A0-483B-A48B-1D5C76823455}">
          <x14:formula1>
            <xm:f>'Data Val'!$C$2:$C$6</xm:f>
          </x14:formula1>
          <xm:sqref>E20:F20 E23:F23</xm:sqref>
        </x14:dataValidation>
        <x14:dataValidation type="whole" allowBlank="1" showInputMessage="1" showErrorMessage="1" xr:uid="{DFC385A7-08F2-4774-914A-DF7652E4C7F9}">
          <x14:formula1>
            <xm:f>0</xm:f>
          </x14:formula1>
          <x14:formula2>
            <xm:f>'Artifact Database'!Z63</xm:f>
          </x14:formula2>
          <xm:sqref>L23:N23</xm:sqref>
        </x14:dataValidation>
        <x14:dataValidation type="whole" allowBlank="1" showInputMessage="1" showErrorMessage="1" xr:uid="{849DB1FA-4576-413E-9920-9916FBB5FD81}">
          <x14:formula1>
            <xm:f>0</xm:f>
          </x14:formula1>
          <x14:formula2>
            <xm:f>'Artifact Database'!AA63</xm:f>
          </x14:formula2>
          <xm:sqref>L25:N25</xm:sqref>
        </x14:dataValidation>
        <x14:dataValidation type="whole" allowBlank="1" showInputMessage="1" showErrorMessage="1" xr:uid="{9EEB52E2-607B-45DE-AA3A-34BC896C1057}">
          <x14:formula1>
            <xm:f>0</xm:f>
          </x14:formula1>
          <x14:formula2>
            <xm:f>'Artifact Database'!AB63</xm:f>
          </x14:formula2>
          <xm:sqref>L27:N27</xm:sqref>
        </x14:dataValidation>
        <x14:dataValidation type="whole" allowBlank="1" showInputMessage="1" showErrorMessage="1" xr:uid="{F6646539-2629-4E15-92F8-43416A52737B}">
          <x14:formula1>
            <xm:f>0</xm:f>
          </x14:formula1>
          <x14:formula2>
            <xm:f>'Artifact Database'!AC63</xm:f>
          </x14:formula2>
          <xm:sqref>L30:N30</xm:sqref>
        </x14:dataValidation>
        <x14:dataValidation type="whole" allowBlank="1" showInputMessage="1" showErrorMessage="1" xr:uid="{35535326-27CC-4D4C-8F75-80115B209C11}">
          <x14:formula1>
            <xm:f>0</xm:f>
          </x14:formula1>
          <x14:formula2>
            <xm:f>'Artifact Database'!AD63</xm:f>
          </x14:formula2>
          <xm:sqref>L33:N33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37BF-9467-452E-978F-E6B74F75E288}">
  <sheetPr codeName="Sheet5"/>
  <dimension ref="A1:AI51"/>
  <sheetViews>
    <sheetView topLeftCell="U1" zoomScaleNormal="100" workbookViewId="0">
      <selection activeCell="U43" sqref="U43"/>
    </sheetView>
  </sheetViews>
  <sheetFormatPr defaultColWidth="9.140625" defaultRowHeight="14.45" customHeight="1" x14ac:dyDescent="0.25"/>
  <cols>
    <col min="1" max="1" width="2.7109375" style="1" customWidth="1"/>
    <col min="2" max="2" width="2.7109375" style="8" customWidth="1"/>
    <col min="3" max="3" width="9.85546875" style="1" customWidth="1"/>
    <col min="4" max="6" width="9.140625" style="1"/>
    <col min="7" max="7" width="2.7109375" style="8" customWidth="1"/>
    <col min="8" max="9" width="2.7109375" style="1" customWidth="1"/>
    <col min="10" max="11" width="9.140625" style="1"/>
    <col min="12" max="14" width="10.7109375" style="1" customWidth="1"/>
    <col min="15" max="17" width="2.7109375" style="1" customWidth="1"/>
    <col min="18" max="20" width="9.140625" style="1"/>
    <col min="21" max="21" width="2.7109375" style="15" customWidth="1"/>
    <col min="22" max="23" width="2.7109375" style="1" customWidth="1"/>
    <col min="24" max="25" width="9.140625" style="1"/>
    <col min="26" max="26" width="9.140625" style="1" customWidth="1"/>
    <col min="27" max="29" width="2.7109375" style="1" customWidth="1"/>
    <col min="30" max="33" width="9.140625" style="1"/>
    <col min="34" max="34" width="2.7109375" style="1" customWidth="1"/>
    <col min="35" max="16384" width="9.140625" style="1"/>
  </cols>
  <sheetData>
    <row r="1" spans="1:35" ht="14.45" customHeight="1" x14ac:dyDescent="0.25">
      <c r="A1" s="9"/>
      <c r="C1" s="7"/>
      <c r="D1" s="7"/>
      <c r="E1" s="7"/>
      <c r="F1" s="7"/>
    </row>
    <row r="2" spans="1:35" s="8" customFormat="1" ht="14.45" customHeight="1" x14ac:dyDescent="0.25">
      <c r="B2" s="10"/>
      <c r="C2" s="10"/>
      <c r="D2" s="10"/>
      <c r="E2" s="10"/>
      <c r="F2" s="10"/>
      <c r="G2" s="10"/>
      <c r="I2" s="10"/>
      <c r="J2" s="10"/>
      <c r="K2" s="10"/>
      <c r="L2" s="10"/>
      <c r="M2" s="10"/>
      <c r="N2" s="10"/>
      <c r="O2" s="10"/>
      <c r="Q2" s="10"/>
      <c r="R2" s="10"/>
      <c r="S2" s="10"/>
      <c r="T2" s="10"/>
      <c r="U2" s="10"/>
      <c r="W2" s="10"/>
      <c r="X2" s="10"/>
      <c r="Y2" s="10"/>
      <c r="Z2" s="10"/>
      <c r="AA2" s="10"/>
      <c r="AC2" s="10"/>
      <c r="AD2" s="10"/>
      <c r="AE2" s="10"/>
      <c r="AF2" s="10"/>
      <c r="AG2" s="10"/>
      <c r="AH2" s="10"/>
    </row>
    <row r="3" spans="1:35" ht="14.45" customHeight="1" x14ac:dyDescent="0.25">
      <c r="B3" s="10"/>
      <c r="C3" s="264" t="s">
        <v>742</v>
      </c>
      <c r="D3" s="264"/>
      <c r="E3" s="264"/>
      <c r="F3" s="264"/>
      <c r="G3" s="10"/>
      <c r="H3" s="6"/>
      <c r="I3" s="10"/>
      <c r="J3" s="264" t="s">
        <v>28</v>
      </c>
      <c r="K3" s="264"/>
      <c r="L3" s="264"/>
      <c r="M3" s="264"/>
      <c r="N3" s="264"/>
      <c r="O3" s="10"/>
      <c r="Q3" s="10"/>
      <c r="R3" s="264" t="s">
        <v>61</v>
      </c>
      <c r="S3" s="264"/>
      <c r="T3" s="264"/>
      <c r="U3" s="10"/>
      <c r="W3" s="10"/>
      <c r="X3" s="264" t="s">
        <v>99</v>
      </c>
      <c r="Y3" s="264"/>
      <c r="Z3" s="264"/>
      <c r="AA3" s="10"/>
      <c r="AC3" s="10"/>
      <c r="AD3" s="264" t="s">
        <v>118</v>
      </c>
      <c r="AE3" s="264"/>
      <c r="AF3" s="264"/>
      <c r="AG3" s="264"/>
      <c r="AH3" s="10"/>
    </row>
    <row r="4" spans="1:35" ht="14.45" customHeight="1" x14ac:dyDescent="0.25">
      <c r="B4" s="10"/>
      <c r="C4" s="264"/>
      <c r="D4" s="264"/>
      <c r="E4" s="264"/>
      <c r="F4" s="264"/>
      <c r="G4" s="10"/>
      <c r="H4" s="6"/>
      <c r="I4" s="10"/>
      <c r="J4" s="264"/>
      <c r="K4" s="264"/>
      <c r="L4" s="264"/>
      <c r="M4" s="264"/>
      <c r="N4" s="264"/>
      <c r="O4" s="10"/>
      <c r="Q4" s="10"/>
      <c r="R4" s="264"/>
      <c r="S4" s="264"/>
      <c r="T4" s="264"/>
      <c r="U4" s="10"/>
      <c r="W4" s="10"/>
      <c r="X4" s="264"/>
      <c r="Y4" s="264"/>
      <c r="Z4" s="264"/>
      <c r="AA4" s="10"/>
      <c r="AC4" s="10"/>
      <c r="AD4" s="264"/>
      <c r="AE4" s="264"/>
      <c r="AF4" s="264"/>
      <c r="AG4" s="264"/>
      <c r="AH4" s="10"/>
    </row>
    <row r="5" spans="1:35" ht="14.45" customHeight="1" x14ac:dyDescent="0.25">
      <c r="B5" s="10"/>
      <c r="C5" s="262" t="s">
        <v>50</v>
      </c>
      <c r="D5" s="265"/>
      <c r="E5" s="270" t="s">
        <v>333</v>
      </c>
      <c r="F5" s="270"/>
      <c r="G5" s="10"/>
      <c r="I5" s="10"/>
      <c r="J5" s="262" t="s">
        <v>48</v>
      </c>
      <c r="K5" s="265"/>
      <c r="L5" s="270" t="s">
        <v>546</v>
      </c>
      <c r="M5" s="270"/>
      <c r="N5" s="270"/>
      <c r="O5" s="10"/>
      <c r="Q5" s="10"/>
      <c r="R5" s="262" t="s">
        <v>62</v>
      </c>
      <c r="S5" s="265"/>
      <c r="T5" s="19">
        <v>0</v>
      </c>
      <c r="U5" s="10"/>
      <c r="W5" s="10"/>
      <c r="X5" s="262" t="s">
        <v>106</v>
      </c>
      <c r="Y5" s="265"/>
      <c r="Z5" s="19">
        <v>40</v>
      </c>
      <c r="AA5" s="10"/>
      <c r="AC5" s="10"/>
      <c r="AD5" s="262" t="s">
        <v>119</v>
      </c>
      <c r="AE5" s="265"/>
      <c r="AF5" s="278">
        <f ca="1">'Rotation Assembler'!B302</f>
        <v>142540.5671196027</v>
      </c>
      <c r="AG5" s="278"/>
      <c r="AH5" s="10"/>
    </row>
    <row r="6" spans="1:35" ht="14.45" customHeight="1" x14ac:dyDescent="0.25">
      <c r="B6" s="10"/>
      <c r="C6" s="262" t="s">
        <v>51</v>
      </c>
      <c r="D6" s="265"/>
      <c r="E6" s="270">
        <v>90</v>
      </c>
      <c r="F6" s="270"/>
      <c r="G6" s="10"/>
      <c r="I6" s="10"/>
      <c r="J6" s="262" t="s">
        <v>49</v>
      </c>
      <c r="K6" s="265"/>
      <c r="L6" s="270">
        <v>3</v>
      </c>
      <c r="M6" s="270"/>
      <c r="N6" s="270"/>
      <c r="O6" s="10"/>
      <c r="Q6" s="10"/>
      <c r="R6" s="262" t="s">
        <v>63</v>
      </c>
      <c r="S6" s="265"/>
      <c r="T6" s="19">
        <v>0</v>
      </c>
      <c r="U6" s="10"/>
      <c r="W6" s="10"/>
      <c r="X6" s="262" t="s">
        <v>976</v>
      </c>
      <c r="Y6" s="272"/>
      <c r="Z6" s="16" t="b">
        <v>1</v>
      </c>
      <c r="AA6" s="10"/>
      <c r="AC6" s="10"/>
      <c r="AD6" s="10"/>
      <c r="AE6" s="10"/>
      <c r="AF6" s="10"/>
      <c r="AG6" s="10"/>
      <c r="AH6" s="10"/>
    </row>
    <row r="7" spans="1:35" ht="14.45" customHeight="1" x14ac:dyDescent="0.25">
      <c r="B7" s="10"/>
      <c r="C7" s="262" t="s">
        <v>52</v>
      </c>
      <c r="D7" s="265"/>
      <c r="E7" s="270">
        <v>9</v>
      </c>
      <c r="F7" s="270"/>
      <c r="G7" s="10"/>
      <c r="I7" s="10"/>
      <c r="J7" s="262" t="s">
        <v>46</v>
      </c>
      <c r="K7" s="265"/>
      <c r="L7" s="270">
        <v>2</v>
      </c>
      <c r="M7" s="270"/>
      <c r="N7" s="270"/>
      <c r="O7" s="10"/>
      <c r="Q7" s="10"/>
      <c r="R7" s="262" t="s">
        <v>64</v>
      </c>
      <c r="S7" s="265"/>
      <c r="T7" s="19">
        <v>0</v>
      </c>
      <c r="U7" s="10"/>
      <c r="W7" s="10"/>
      <c r="X7" s="262" t="s">
        <v>102</v>
      </c>
      <c r="Y7" s="265"/>
      <c r="Z7" s="19" t="s">
        <v>430</v>
      </c>
      <c r="AA7" s="10"/>
      <c r="AC7" s="8"/>
      <c r="AD7" s="8"/>
      <c r="AE7" s="8"/>
      <c r="AF7" s="8"/>
      <c r="AG7" s="8"/>
      <c r="AH7" s="8"/>
      <c r="AI7" s="1" t="s">
        <v>1126</v>
      </c>
    </row>
    <row r="8" spans="1:35" ht="14.45" customHeight="1" x14ac:dyDescent="0.25">
      <c r="B8" s="10"/>
      <c r="C8" s="262" t="s">
        <v>53</v>
      </c>
      <c r="D8" s="265"/>
      <c r="E8" s="270">
        <v>9</v>
      </c>
      <c r="F8" s="270"/>
      <c r="G8" s="10"/>
      <c r="I8" s="10"/>
      <c r="J8" s="262" t="s">
        <v>47</v>
      </c>
      <c r="K8" s="265"/>
      <c r="L8" s="271" t="b">
        <v>1</v>
      </c>
      <c r="M8" s="271"/>
      <c r="N8" s="271"/>
      <c r="O8" s="10"/>
      <c r="Q8" s="10"/>
      <c r="R8" s="262" t="s">
        <v>69</v>
      </c>
      <c r="S8" s="265"/>
      <c r="T8" s="19">
        <v>0</v>
      </c>
      <c r="U8" s="10"/>
      <c r="W8" s="10"/>
      <c r="X8" s="262" t="s">
        <v>100</v>
      </c>
      <c r="Y8" s="265"/>
      <c r="Z8" s="101">
        <v>1.36</v>
      </c>
      <c r="AA8" s="10"/>
      <c r="AC8" s="10"/>
      <c r="AD8" s="10"/>
      <c r="AE8" s="10"/>
      <c r="AF8" s="10"/>
      <c r="AG8" s="10"/>
      <c r="AH8" s="10"/>
    </row>
    <row r="9" spans="1:35" ht="14.45" customHeight="1" x14ac:dyDescent="0.25">
      <c r="B9" s="10"/>
      <c r="C9" s="262" t="s">
        <v>54</v>
      </c>
      <c r="D9" s="265"/>
      <c r="E9" s="270">
        <v>9</v>
      </c>
      <c r="F9" s="270"/>
      <c r="G9" s="10"/>
      <c r="I9" s="10"/>
      <c r="J9" s="13"/>
      <c r="K9" s="13"/>
      <c r="L9" s="13"/>
      <c r="M9" s="13"/>
      <c r="N9" s="13"/>
      <c r="O9" s="10"/>
      <c r="Q9" s="10"/>
      <c r="R9" s="262" t="s">
        <v>65</v>
      </c>
      <c r="S9" s="265"/>
      <c r="T9" s="80">
        <v>0</v>
      </c>
      <c r="U9" s="10"/>
      <c r="W9" s="10"/>
      <c r="X9" s="262" t="s">
        <v>103</v>
      </c>
      <c r="Y9" s="265"/>
      <c r="Z9" s="19">
        <v>2</v>
      </c>
      <c r="AA9" s="10"/>
      <c r="AC9" s="10"/>
      <c r="AD9" s="264" t="s">
        <v>776</v>
      </c>
      <c r="AE9" s="264"/>
      <c r="AF9" s="264"/>
      <c r="AG9" s="264"/>
      <c r="AH9" s="10"/>
    </row>
    <row r="10" spans="1:35" ht="14.45" customHeight="1" x14ac:dyDescent="0.25">
      <c r="B10" s="10"/>
      <c r="C10" s="10"/>
      <c r="D10" s="10"/>
      <c r="E10" s="10"/>
      <c r="F10" s="10"/>
      <c r="G10" s="10"/>
      <c r="I10" s="8"/>
      <c r="Q10" s="10"/>
      <c r="R10" s="262" t="s">
        <v>66</v>
      </c>
      <c r="S10" s="265"/>
      <c r="T10" s="80">
        <v>0</v>
      </c>
      <c r="U10" s="10"/>
      <c r="W10" s="10"/>
      <c r="X10" s="262" t="s">
        <v>963</v>
      </c>
      <c r="Y10" s="265"/>
      <c r="Z10" s="230">
        <f>IF(Z6, 10, 1000)</f>
        <v>10</v>
      </c>
      <c r="AA10" s="10"/>
      <c r="AC10" s="10"/>
      <c r="AD10" s="264"/>
      <c r="AE10" s="264"/>
      <c r="AF10" s="264"/>
      <c r="AG10" s="264"/>
      <c r="AH10" s="10"/>
    </row>
    <row r="11" spans="1:35" ht="14.45" customHeight="1" x14ac:dyDescent="0.25">
      <c r="C11" s="8"/>
      <c r="D11" s="8"/>
      <c r="E11" s="8"/>
      <c r="F11" s="8"/>
      <c r="I11" s="10"/>
      <c r="J11" s="10"/>
      <c r="K11" s="10"/>
      <c r="L11" s="10"/>
      <c r="M11" s="10"/>
      <c r="N11" s="10"/>
      <c r="O11" s="10"/>
      <c r="Q11" s="10"/>
      <c r="R11" s="262" t="s">
        <v>67</v>
      </c>
      <c r="S11" s="265"/>
      <c r="T11" s="80">
        <v>0</v>
      </c>
      <c r="U11" s="10"/>
      <c r="W11" s="10"/>
      <c r="X11" s="262" t="s">
        <v>964</v>
      </c>
      <c r="Y11" s="265"/>
      <c r="Z11" s="230">
        <f>IF(Z6, 12, 1000)</f>
        <v>12</v>
      </c>
      <c r="AA11" s="10"/>
      <c r="AC11" s="10"/>
      <c r="AD11" s="262" t="s">
        <v>746</v>
      </c>
      <c r="AE11" s="265"/>
      <c r="AF11" s="261">
        <f>char4FinalHP</f>
        <v>16863.555199999999</v>
      </c>
      <c r="AG11" s="261"/>
      <c r="AH11" s="10"/>
    </row>
    <row r="12" spans="1:35" ht="14.45" customHeight="1" x14ac:dyDescent="0.25">
      <c r="B12" s="10"/>
      <c r="C12" s="10"/>
      <c r="D12" s="10"/>
      <c r="E12" s="10"/>
      <c r="F12" s="10"/>
      <c r="G12" s="10"/>
      <c r="I12" s="10"/>
      <c r="J12" s="264" t="s">
        <v>29</v>
      </c>
      <c r="K12" s="264"/>
      <c r="L12" s="264"/>
      <c r="M12" s="264"/>
      <c r="N12" s="264"/>
      <c r="O12" s="10"/>
      <c r="Q12" s="10"/>
      <c r="R12" s="262" t="s">
        <v>408</v>
      </c>
      <c r="S12" s="265"/>
      <c r="T12" s="80">
        <v>0.15</v>
      </c>
      <c r="U12" s="10"/>
      <c r="W12" s="10"/>
      <c r="X12" s="262" t="s">
        <v>965</v>
      </c>
      <c r="Y12" s="265"/>
      <c r="Z12" s="231">
        <f>IF(Z6, 10, 1000)</f>
        <v>10</v>
      </c>
      <c r="AA12" s="10"/>
      <c r="AC12" s="10"/>
      <c r="AD12" s="262" t="s">
        <v>745</v>
      </c>
      <c r="AE12" s="265"/>
      <c r="AF12" s="261">
        <f>char4FinalDEF</f>
        <v>791.31600000000003</v>
      </c>
      <c r="AG12" s="261"/>
      <c r="AH12" s="10"/>
    </row>
    <row r="13" spans="1:35" ht="14.45" customHeight="1" x14ac:dyDescent="0.25">
      <c r="B13" s="10"/>
      <c r="C13" s="264" t="s">
        <v>27</v>
      </c>
      <c r="D13" s="264"/>
      <c r="E13" s="264"/>
      <c r="F13" s="264"/>
      <c r="G13" s="10"/>
      <c r="I13" s="10"/>
      <c r="J13" s="264"/>
      <c r="K13" s="264"/>
      <c r="L13" s="264"/>
      <c r="M13" s="264"/>
      <c r="N13" s="264"/>
      <c r="O13" s="10"/>
      <c r="Q13" s="10"/>
      <c r="R13" s="262" t="s">
        <v>409</v>
      </c>
      <c r="S13" s="265"/>
      <c r="T13" s="80">
        <v>0</v>
      </c>
      <c r="U13" s="10"/>
      <c r="W13" s="10"/>
      <c r="X13" s="262" t="s">
        <v>966</v>
      </c>
      <c r="Y13" s="265"/>
      <c r="Z13" s="231">
        <f>IF(Z6, 12-COUNTIF($L$28:$N$34, "ATK%")*2, 1000)</f>
        <v>12</v>
      </c>
      <c r="AA13" s="10"/>
      <c r="AC13" s="10"/>
      <c r="AD13" s="262" t="s">
        <v>744</v>
      </c>
      <c r="AE13" s="265"/>
      <c r="AF13" s="261">
        <f>char4FinalATK</f>
        <v>1487.8383999999999</v>
      </c>
      <c r="AG13" s="261"/>
      <c r="AH13" s="10"/>
    </row>
    <row r="14" spans="1:35" ht="14.45" customHeight="1" x14ac:dyDescent="0.25">
      <c r="B14" s="10"/>
      <c r="C14" s="264"/>
      <c r="D14" s="264"/>
      <c r="E14" s="264"/>
      <c r="F14" s="264"/>
      <c r="G14" s="10"/>
      <c r="I14" s="10"/>
      <c r="J14" s="262" t="s">
        <v>44</v>
      </c>
      <c r="K14" s="265"/>
      <c r="L14" s="270" t="s">
        <v>581</v>
      </c>
      <c r="M14" s="270"/>
      <c r="N14" s="270"/>
      <c r="O14" s="10"/>
      <c r="Q14" s="10"/>
      <c r="R14" s="262" t="s">
        <v>68</v>
      </c>
      <c r="S14" s="265"/>
      <c r="T14" s="80">
        <v>0</v>
      </c>
      <c r="U14" s="10"/>
      <c r="W14" s="10"/>
      <c r="X14" s="262" t="s">
        <v>967</v>
      </c>
      <c r="Y14" s="265"/>
      <c r="Z14" s="231">
        <f>IF($Z$6 = TRUE, 12-COUNTIF($L$28:$N$34, "DEF%")*2, 1000)</f>
        <v>12</v>
      </c>
      <c r="AA14" s="10"/>
      <c r="AC14" s="10"/>
      <c r="AD14" s="262" t="s">
        <v>777</v>
      </c>
      <c r="AE14" s="265"/>
      <c r="AF14" s="263">
        <f ca="1">char4FinalER</f>
        <v>2.0432000000000001</v>
      </c>
      <c r="AG14" s="263"/>
      <c r="AH14" s="10"/>
    </row>
    <row r="15" spans="1:35" ht="14.45" customHeight="1" x14ac:dyDescent="0.25">
      <c r="B15" s="10"/>
      <c r="C15" s="262" t="s">
        <v>20</v>
      </c>
      <c r="D15" s="272"/>
      <c r="E15" s="268" t="s">
        <v>715</v>
      </c>
      <c r="F15" s="269"/>
      <c r="G15" s="10"/>
      <c r="I15" s="10"/>
      <c r="J15" s="262" t="s">
        <v>45</v>
      </c>
      <c r="K15" s="265"/>
      <c r="L15" s="270" t="s">
        <v>607</v>
      </c>
      <c r="M15" s="270"/>
      <c r="N15" s="270"/>
      <c r="O15" s="10"/>
      <c r="Q15" s="10"/>
      <c r="R15" s="262" t="s">
        <v>82</v>
      </c>
      <c r="S15" s="265"/>
      <c r="T15" s="80">
        <v>0</v>
      </c>
      <c r="U15" s="10"/>
      <c r="W15" s="10"/>
      <c r="X15" s="262" t="s">
        <v>968</v>
      </c>
      <c r="Y15" s="265"/>
      <c r="Z15" s="231">
        <f>IF($Z$6 = TRUE, 12-COUNTIF($L$28:$N$34, "HP%")*2, 1000)</f>
        <v>12</v>
      </c>
      <c r="AA15" s="10"/>
      <c r="AC15" s="10"/>
      <c r="AD15" s="262" t="s">
        <v>778</v>
      </c>
      <c r="AE15" s="265"/>
      <c r="AF15" s="261">
        <f>Calcs!K165</f>
        <v>679.92</v>
      </c>
      <c r="AG15" s="261"/>
      <c r="AH15" s="10"/>
    </row>
    <row r="16" spans="1:35" ht="14.45" customHeight="1" x14ac:dyDescent="0.25">
      <c r="B16" s="10"/>
      <c r="C16" s="262" t="s">
        <v>21</v>
      </c>
      <c r="D16" s="272"/>
      <c r="E16" s="268" t="s">
        <v>715</v>
      </c>
      <c r="F16" s="269"/>
      <c r="G16" s="10"/>
      <c r="I16" s="10"/>
      <c r="J16" s="262" t="s">
        <v>46</v>
      </c>
      <c r="K16" s="265"/>
      <c r="L16" s="270">
        <v>0</v>
      </c>
      <c r="M16" s="270"/>
      <c r="N16" s="270"/>
      <c r="O16" s="10"/>
      <c r="Q16" s="10"/>
      <c r="R16" s="262" t="s">
        <v>70</v>
      </c>
      <c r="S16" s="265"/>
      <c r="T16" s="80">
        <v>0</v>
      </c>
      <c r="U16" s="10"/>
      <c r="W16" s="10"/>
      <c r="X16" s="262" t="s">
        <v>969</v>
      </c>
      <c r="Y16" s="265"/>
      <c r="Z16" s="231">
        <f>IF($Z$6 = TRUE, 12-COUNTIF($L$28:$N$34, "CR%")*2, 1000)</f>
        <v>12</v>
      </c>
      <c r="AA16" s="10"/>
      <c r="AC16" s="10"/>
      <c r="AD16" s="262" t="s">
        <v>779</v>
      </c>
      <c r="AE16" s="265"/>
      <c r="AF16" s="277">
        <f ca="1">Calcs!K169</f>
        <v>0.39859999999999995</v>
      </c>
      <c r="AG16" s="261"/>
      <c r="AH16" s="10"/>
    </row>
    <row r="17" spans="2:34" ht="14.45" customHeight="1" x14ac:dyDescent="0.25">
      <c r="B17" s="10"/>
      <c r="C17" s="262" t="s">
        <v>22</v>
      </c>
      <c r="D17" s="272"/>
      <c r="E17" s="268" t="s">
        <v>755</v>
      </c>
      <c r="F17" s="269"/>
      <c r="G17" s="10"/>
      <c r="I17" s="10"/>
      <c r="J17" s="262" t="s">
        <v>47</v>
      </c>
      <c r="K17" s="265"/>
      <c r="L17" s="271" t="b">
        <v>1</v>
      </c>
      <c r="M17" s="271"/>
      <c r="N17" s="271"/>
      <c r="O17" s="10"/>
      <c r="Q17" s="10"/>
      <c r="R17" s="262" t="s">
        <v>71</v>
      </c>
      <c r="S17" s="262"/>
      <c r="T17" s="80">
        <v>0</v>
      </c>
      <c r="U17" s="10"/>
      <c r="W17" s="10"/>
      <c r="X17" s="262" t="s">
        <v>970</v>
      </c>
      <c r="Y17" s="265"/>
      <c r="Z17" s="231">
        <f>IF($Z$6 = TRUE, 12-COUNTIF($L$28:$N$34, "CDMG%")*2, 1000)</f>
        <v>12</v>
      </c>
      <c r="AA17" s="10"/>
      <c r="AC17" s="10"/>
      <c r="AD17" s="262" t="s">
        <v>780</v>
      </c>
      <c r="AE17" s="265"/>
      <c r="AF17" s="277">
        <f ca="1">Calcs!K170</f>
        <v>0.76479999999999992</v>
      </c>
      <c r="AG17" s="261"/>
      <c r="AH17" s="10"/>
    </row>
    <row r="18" spans="2:34" ht="14.45" customHeight="1" x14ac:dyDescent="0.25">
      <c r="B18" s="10"/>
      <c r="C18" s="262" t="s">
        <v>19</v>
      </c>
      <c r="D18" s="272"/>
      <c r="E18" s="268" t="s">
        <v>755</v>
      </c>
      <c r="F18" s="269"/>
      <c r="G18" s="10"/>
      <c r="I18" s="10"/>
      <c r="J18" s="10"/>
      <c r="K18" s="10"/>
      <c r="L18" s="10"/>
      <c r="M18" s="10"/>
      <c r="N18" s="10"/>
      <c r="O18" s="10"/>
      <c r="Q18" s="10"/>
      <c r="R18" s="262" t="s">
        <v>72</v>
      </c>
      <c r="S18" s="262"/>
      <c r="T18" s="80">
        <v>0</v>
      </c>
      <c r="U18" s="10"/>
      <c r="W18" s="10"/>
      <c r="X18" s="262" t="s">
        <v>971</v>
      </c>
      <c r="Y18" s="265"/>
      <c r="Z18" s="231">
        <f>IF($Z$6 = TRUE, 12-COUNTIF($L$28:$N$34, "ER%")*2, 1000)</f>
        <v>12</v>
      </c>
      <c r="AA18" s="10"/>
      <c r="AC18" s="10"/>
      <c r="AD18" s="262" t="s">
        <v>82</v>
      </c>
      <c r="AE18" s="262"/>
      <c r="AF18" s="277">
        <f>Calcs!K172</f>
        <v>0</v>
      </c>
      <c r="AG18" s="261"/>
      <c r="AH18" s="10"/>
    </row>
    <row r="19" spans="2:34" ht="14.45" customHeight="1" x14ac:dyDescent="0.25">
      <c r="B19" s="10"/>
      <c r="C19" s="262" t="s">
        <v>23</v>
      </c>
      <c r="D19" s="272"/>
      <c r="E19" s="268" t="s">
        <v>752</v>
      </c>
      <c r="F19" s="269"/>
      <c r="G19" s="10"/>
      <c r="I19" s="8"/>
      <c r="J19" s="261"/>
      <c r="K19" s="273"/>
      <c r="O19" s="8"/>
      <c r="Q19" s="10"/>
      <c r="R19" s="262" t="s">
        <v>73</v>
      </c>
      <c r="S19" s="262"/>
      <c r="T19" s="80">
        <v>0</v>
      </c>
      <c r="U19" s="10"/>
      <c r="W19" s="10"/>
      <c r="X19" s="262" t="s">
        <v>104</v>
      </c>
      <c r="Y19" s="265"/>
      <c r="Z19" s="231">
        <f>IF($Z$6 = TRUE, 12-COUNTIF($L$28:$N$34, "EM")*2, 1000)</f>
        <v>6</v>
      </c>
      <c r="AA19" s="10"/>
      <c r="AC19" s="10"/>
      <c r="AD19" s="262" t="s">
        <v>70</v>
      </c>
      <c r="AE19" s="262"/>
      <c r="AF19" s="277">
        <f>Calcs!K173</f>
        <v>0</v>
      </c>
      <c r="AG19" s="261"/>
      <c r="AH19" s="10"/>
    </row>
    <row r="20" spans="2:34" ht="14.45" customHeight="1" x14ac:dyDescent="0.25">
      <c r="B20" s="10"/>
      <c r="C20" s="262" t="s">
        <v>660</v>
      </c>
      <c r="D20" s="272"/>
      <c r="E20" s="268" t="s">
        <v>3</v>
      </c>
      <c r="F20" s="269"/>
      <c r="G20" s="10"/>
      <c r="I20" s="10"/>
      <c r="J20" s="10"/>
      <c r="K20" s="10"/>
      <c r="L20" s="10"/>
      <c r="M20" s="10"/>
      <c r="N20" s="10"/>
      <c r="O20" s="10"/>
      <c r="Q20" s="10"/>
      <c r="R20" s="262" t="s">
        <v>74</v>
      </c>
      <c r="S20" s="262"/>
      <c r="T20" s="80">
        <v>0</v>
      </c>
      <c r="U20" s="10"/>
      <c r="W20" s="10"/>
      <c r="X20" s="10"/>
      <c r="Y20" s="10"/>
      <c r="Z20" s="10"/>
      <c r="AA20" s="10"/>
      <c r="AC20" s="10"/>
      <c r="AD20" s="262" t="s">
        <v>71</v>
      </c>
      <c r="AE20" s="262"/>
      <c r="AF20" s="277">
        <f>Calcs!K174</f>
        <v>0.15</v>
      </c>
      <c r="AG20" s="261"/>
      <c r="AH20" s="10"/>
    </row>
    <row r="21" spans="2:34" ht="14.45" customHeight="1" x14ac:dyDescent="0.25">
      <c r="B21" s="10"/>
      <c r="C21" s="262" t="s">
        <v>0</v>
      </c>
      <c r="D21" s="272"/>
      <c r="E21" s="268" t="s">
        <v>755</v>
      </c>
      <c r="F21" s="269"/>
      <c r="G21" s="10"/>
      <c r="I21" s="10"/>
      <c r="J21" s="264" t="s">
        <v>30</v>
      </c>
      <c r="K21" s="264"/>
      <c r="L21" s="264"/>
      <c r="M21" s="264"/>
      <c r="N21" s="264"/>
      <c r="O21" s="10"/>
      <c r="Q21" s="10"/>
      <c r="R21" s="262" t="s">
        <v>75</v>
      </c>
      <c r="S21" s="262"/>
      <c r="T21" s="80">
        <v>0</v>
      </c>
      <c r="U21" s="10"/>
      <c r="AC21" s="10"/>
      <c r="AD21" s="262" t="s">
        <v>72</v>
      </c>
      <c r="AE21" s="262"/>
      <c r="AF21" s="277">
        <f>Calcs!K175</f>
        <v>0</v>
      </c>
      <c r="AG21" s="261"/>
      <c r="AH21" s="10"/>
    </row>
    <row r="22" spans="2:34" ht="14.45" customHeight="1" x14ac:dyDescent="0.25">
      <c r="B22" s="10"/>
      <c r="C22" s="262" t="s">
        <v>24</v>
      </c>
      <c r="D22" s="272"/>
      <c r="E22" s="268" t="s">
        <v>752</v>
      </c>
      <c r="F22" s="269"/>
      <c r="G22" s="10"/>
      <c r="I22" s="10"/>
      <c r="J22" s="264"/>
      <c r="K22" s="264"/>
      <c r="L22" s="264"/>
      <c r="M22" s="264"/>
      <c r="N22" s="264"/>
      <c r="O22" s="10"/>
      <c r="Q22" s="10"/>
      <c r="R22" s="262" t="s">
        <v>76</v>
      </c>
      <c r="S22" s="262"/>
      <c r="T22" s="80">
        <v>0</v>
      </c>
      <c r="U22" s="10"/>
      <c r="W22" s="10"/>
      <c r="X22" s="10"/>
      <c r="Y22" s="10"/>
      <c r="Z22" s="10"/>
      <c r="AA22" s="10"/>
      <c r="AC22" s="10"/>
      <c r="AD22" s="262" t="s">
        <v>73</v>
      </c>
      <c r="AE22" s="262"/>
      <c r="AF22" s="277">
        <f>Calcs!K176</f>
        <v>0</v>
      </c>
      <c r="AG22" s="261"/>
      <c r="AH22" s="10"/>
    </row>
    <row r="23" spans="2:34" ht="14.45" customHeight="1" x14ac:dyDescent="0.25">
      <c r="B23" s="10"/>
      <c r="C23" s="262" t="s">
        <v>661</v>
      </c>
      <c r="D23" s="272"/>
      <c r="E23" s="268" t="s">
        <v>0</v>
      </c>
      <c r="F23" s="269"/>
      <c r="G23" s="10"/>
      <c r="I23" s="10"/>
      <c r="J23" s="262" t="s">
        <v>31</v>
      </c>
      <c r="K23" s="265"/>
      <c r="L23" s="270">
        <v>20</v>
      </c>
      <c r="M23" s="270"/>
      <c r="N23" s="270"/>
      <c r="O23" s="10"/>
      <c r="Q23" s="10"/>
      <c r="R23" s="262" t="s">
        <v>77</v>
      </c>
      <c r="S23" s="262"/>
      <c r="T23" s="80">
        <v>0</v>
      </c>
      <c r="U23" s="10"/>
      <c r="W23" s="10"/>
      <c r="X23" s="264" t="s">
        <v>105</v>
      </c>
      <c r="Y23" s="264"/>
      <c r="Z23" s="264"/>
      <c r="AA23" s="10"/>
      <c r="AC23" s="10"/>
      <c r="AD23" s="262" t="s">
        <v>74</v>
      </c>
      <c r="AE23" s="262"/>
      <c r="AF23" s="277">
        <f>Calcs!K177</f>
        <v>0</v>
      </c>
      <c r="AG23" s="261"/>
      <c r="AH23" s="10"/>
    </row>
    <row r="24" spans="2:34" ht="14.45" customHeight="1" x14ac:dyDescent="0.25">
      <c r="B24" s="10"/>
      <c r="C24" s="10"/>
      <c r="D24" s="10"/>
      <c r="E24" s="10"/>
      <c r="F24" s="10"/>
      <c r="G24" s="10"/>
      <c r="I24" s="10"/>
      <c r="J24" s="262" t="s">
        <v>32</v>
      </c>
      <c r="K24" s="265"/>
      <c r="L24" s="270" t="s">
        <v>791</v>
      </c>
      <c r="M24" s="270"/>
      <c r="N24" s="270"/>
      <c r="O24" s="10"/>
      <c r="Q24" s="10"/>
      <c r="R24" s="262" t="s">
        <v>78</v>
      </c>
      <c r="S24" s="262"/>
      <c r="T24" s="80">
        <v>0</v>
      </c>
      <c r="U24" s="10"/>
      <c r="W24" s="10"/>
      <c r="X24" s="264"/>
      <c r="Y24" s="264"/>
      <c r="Z24" s="264"/>
      <c r="AA24" s="10"/>
      <c r="AC24" s="10"/>
      <c r="AD24" s="262" t="s">
        <v>75</v>
      </c>
      <c r="AE24" s="262"/>
      <c r="AF24" s="277">
        <f>Calcs!K178</f>
        <v>0</v>
      </c>
      <c r="AG24" s="261"/>
      <c r="AH24" s="10"/>
    </row>
    <row r="25" spans="2:34" ht="14.45" customHeight="1" x14ac:dyDescent="0.25">
      <c r="C25" s="8"/>
      <c r="D25" s="8"/>
      <c r="E25" s="8"/>
      <c r="F25" s="8"/>
      <c r="I25" s="10"/>
      <c r="J25" s="262" t="s">
        <v>33</v>
      </c>
      <c r="K25" s="265"/>
      <c r="L25" s="270">
        <v>20</v>
      </c>
      <c r="M25" s="270"/>
      <c r="N25" s="270"/>
      <c r="O25" s="10"/>
      <c r="Q25" s="10"/>
      <c r="R25" s="262" t="s">
        <v>79</v>
      </c>
      <c r="S25" s="262"/>
      <c r="T25" s="80">
        <v>0</v>
      </c>
      <c r="U25" s="10"/>
      <c r="W25" s="10"/>
      <c r="X25" s="262" t="s">
        <v>101</v>
      </c>
      <c r="Y25" s="272"/>
      <c r="Z25" s="231">
        <f>SUM(Z26:Z35)</f>
        <v>40</v>
      </c>
      <c r="AA25" s="10"/>
      <c r="AC25" s="10"/>
      <c r="AD25" s="262" t="s">
        <v>76</v>
      </c>
      <c r="AE25" s="262"/>
      <c r="AF25" s="277">
        <f>Calcs!K179</f>
        <v>0</v>
      </c>
      <c r="AG25" s="261"/>
      <c r="AH25" s="10"/>
    </row>
    <row r="26" spans="2:34" ht="14.45" customHeight="1" x14ac:dyDescent="0.25">
      <c r="C26" s="8"/>
      <c r="D26" s="8"/>
      <c r="E26" s="8"/>
      <c r="F26" s="8"/>
      <c r="I26" s="10"/>
      <c r="J26" s="262" t="s">
        <v>34</v>
      </c>
      <c r="K26" s="265"/>
      <c r="L26" s="270" t="s">
        <v>791</v>
      </c>
      <c r="M26" s="270"/>
      <c r="N26" s="270"/>
      <c r="O26" s="10"/>
      <c r="Q26" s="10"/>
      <c r="R26" s="262" t="s">
        <v>80</v>
      </c>
      <c r="S26" s="262"/>
      <c r="T26" s="80">
        <v>0</v>
      </c>
      <c r="U26" s="10"/>
      <c r="W26" s="10"/>
      <c r="X26" s="262" t="s">
        <v>62</v>
      </c>
      <c r="Y26" s="272"/>
      <c r="Z26" s="231">
        <v>2</v>
      </c>
      <c r="AA26" s="10"/>
      <c r="AC26" s="10"/>
      <c r="AD26" s="262" t="s">
        <v>77</v>
      </c>
      <c r="AE26" s="262"/>
      <c r="AF26" s="277">
        <f>Calcs!K180</f>
        <v>0</v>
      </c>
      <c r="AG26" s="261"/>
      <c r="AH26" s="10"/>
    </row>
    <row r="27" spans="2:34" ht="14.45" customHeight="1" x14ac:dyDescent="0.25">
      <c r="C27" s="8"/>
      <c r="D27" s="8"/>
      <c r="E27" s="8"/>
      <c r="F27" s="8"/>
      <c r="I27" s="10"/>
      <c r="J27" s="262" t="s">
        <v>35</v>
      </c>
      <c r="K27" s="265"/>
      <c r="L27" s="270">
        <v>20</v>
      </c>
      <c r="M27" s="270"/>
      <c r="N27" s="270"/>
      <c r="O27" s="10"/>
      <c r="Q27" s="10"/>
      <c r="R27" s="262" t="s">
        <v>81</v>
      </c>
      <c r="S27" s="262"/>
      <c r="T27" s="80">
        <v>0</v>
      </c>
      <c r="U27" s="10"/>
      <c r="W27" s="10"/>
      <c r="X27" s="262" t="s">
        <v>63</v>
      </c>
      <c r="Y27" s="272"/>
      <c r="Z27" s="231">
        <v>2</v>
      </c>
      <c r="AA27" s="10"/>
      <c r="AC27" s="10"/>
      <c r="AD27" s="262" t="s">
        <v>78</v>
      </c>
      <c r="AE27" s="262"/>
      <c r="AF27" s="277">
        <f>Calcs!K181</f>
        <v>0</v>
      </c>
      <c r="AG27" s="261"/>
      <c r="AH27" s="10"/>
    </row>
    <row r="28" spans="2:34" ht="14.45" customHeight="1" x14ac:dyDescent="0.25">
      <c r="C28" s="8"/>
      <c r="D28" s="8"/>
      <c r="E28" s="8"/>
      <c r="F28" s="8"/>
      <c r="I28" s="10"/>
      <c r="J28" s="262" t="s">
        <v>36</v>
      </c>
      <c r="K28" s="265"/>
      <c r="L28" s="270" t="s">
        <v>69</v>
      </c>
      <c r="M28" s="270"/>
      <c r="N28" s="270"/>
      <c r="O28" s="10"/>
      <c r="Q28" s="10"/>
      <c r="R28" s="262" t="s">
        <v>83</v>
      </c>
      <c r="S28" s="262"/>
      <c r="T28" s="80">
        <v>0</v>
      </c>
      <c r="U28" s="10"/>
      <c r="W28" s="10"/>
      <c r="X28" s="262" t="s">
        <v>64</v>
      </c>
      <c r="Y28" s="272"/>
      <c r="Z28" s="231">
        <v>2</v>
      </c>
      <c r="AA28" s="10"/>
      <c r="AC28" s="10"/>
      <c r="AD28" s="262" t="s">
        <v>79</v>
      </c>
      <c r="AE28" s="262"/>
      <c r="AF28" s="277">
        <f>Calcs!K182</f>
        <v>0</v>
      </c>
      <c r="AG28" s="261"/>
      <c r="AH28" s="10"/>
    </row>
    <row r="29" spans="2:34" ht="14.45" customHeight="1" x14ac:dyDescent="0.25">
      <c r="C29" s="8"/>
      <c r="D29" s="8"/>
      <c r="E29" s="8"/>
      <c r="F29" s="8"/>
      <c r="I29" s="10"/>
      <c r="J29" s="262" t="s">
        <v>37</v>
      </c>
      <c r="K29" s="265"/>
      <c r="L29" s="270" t="s">
        <v>791</v>
      </c>
      <c r="M29" s="270"/>
      <c r="N29" s="270"/>
      <c r="O29" s="10"/>
      <c r="Q29" s="10"/>
      <c r="R29" s="262" t="s">
        <v>84</v>
      </c>
      <c r="S29" s="265"/>
      <c r="T29" s="80">
        <v>0</v>
      </c>
      <c r="U29" s="10"/>
      <c r="W29" s="10"/>
      <c r="X29" s="262" t="s">
        <v>65</v>
      </c>
      <c r="Y29" s="272"/>
      <c r="Z29" s="231">
        <v>12</v>
      </c>
      <c r="AA29" s="10"/>
      <c r="AC29" s="10"/>
      <c r="AD29" s="262" t="s">
        <v>80</v>
      </c>
      <c r="AE29" s="262"/>
      <c r="AF29" s="277">
        <f>Calcs!K183</f>
        <v>0</v>
      </c>
      <c r="AG29" s="261"/>
      <c r="AH29" s="10"/>
    </row>
    <row r="30" spans="2:34" ht="14.45" customHeight="1" x14ac:dyDescent="0.25">
      <c r="C30" s="8"/>
      <c r="D30" s="8"/>
      <c r="E30" s="8"/>
      <c r="F30" s="8"/>
      <c r="I30" s="10"/>
      <c r="J30" s="262" t="s">
        <v>38</v>
      </c>
      <c r="K30" s="265"/>
      <c r="L30" s="270">
        <v>20</v>
      </c>
      <c r="M30" s="270"/>
      <c r="N30" s="270"/>
      <c r="O30" s="10"/>
      <c r="Q30" s="10"/>
      <c r="R30" s="262" t="s">
        <v>85</v>
      </c>
      <c r="S30" s="265"/>
      <c r="T30" s="80">
        <v>0</v>
      </c>
      <c r="U30" s="10"/>
      <c r="W30" s="10"/>
      <c r="X30" s="262" t="s">
        <v>66</v>
      </c>
      <c r="Y30" s="272"/>
      <c r="Z30" s="231">
        <v>2</v>
      </c>
      <c r="AA30" s="10"/>
      <c r="AC30" s="10"/>
      <c r="AD30" s="262" t="s">
        <v>81</v>
      </c>
      <c r="AE30" s="262"/>
      <c r="AF30" s="277">
        <f>Calcs!K184</f>
        <v>0</v>
      </c>
      <c r="AG30" s="261"/>
      <c r="AH30" s="10"/>
    </row>
    <row r="31" spans="2:34" ht="14.45" customHeight="1" x14ac:dyDescent="0.25">
      <c r="C31" s="8"/>
      <c r="D31" s="8"/>
      <c r="E31" s="8"/>
      <c r="F31" s="8"/>
      <c r="I31" s="10"/>
      <c r="J31" s="262" t="s">
        <v>39</v>
      </c>
      <c r="K31" s="265"/>
      <c r="L31" s="270" t="s">
        <v>69</v>
      </c>
      <c r="M31" s="270"/>
      <c r="N31" s="270"/>
      <c r="O31" s="10"/>
      <c r="Q31" s="10"/>
      <c r="R31" s="262" t="s">
        <v>86</v>
      </c>
      <c r="S31" s="265"/>
      <c r="T31" s="80">
        <v>0</v>
      </c>
      <c r="U31" s="10"/>
      <c r="W31" s="10"/>
      <c r="X31" s="262" t="s">
        <v>67</v>
      </c>
      <c r="Y31" s="272"/>
      <c r="Z31" s="231">
        <v>2</v>
      </c>
      <c r="AA31" s="10"/>
      <c r="AC31" s="10"/>
      <c r="AD31" s="262" t="s">
        <v>422</v>
      </c>
      <c r="AE31" s="262"/>
      <c r="AF31" s="277">
        <f>char4FinalHealingBonus</f>
        <v>0</v>
      </c>
      <c r="AG31" s="261"/>
      <c r="AH31" s="10"/>
    </row>
    <row r="32" spans="2:34" ht="14.45" customHeight="1" x14ac:dyDescent="0.25">
      <c r="C32" s="8"/>
      <c r="D32" s="8"/>
      <c r="E32" s="8"/>
      <c r="F32" s="8"/>
      <c r="I32" s="10"/>
      <c r="J32" s="262" t="s">
        <v>40</v>
      </c>
      <c r="K32" s="265"/>
      <c r="L32" s="270" t="s">
        <v>791</v>
      </c>
      <c r="M32" s="270"/>
      <c r="N32" s="270"/>
      <c r="O32" s="10"/>
      <c r="Q32" s="10"/>
      <c r="R32" s="262" t="s">
        <v>87</v>
      </c>
      <c r="S32" s="265"/>
      <c r="T32" s="80">
        <v>0</v>
      </c>
      <c r="U32" s="10"/>
      <c r="W32" s="10"/>
      <c r="X32" s="262" t="s">
        <v>408</v>
      </c>
      <c r="Y32" s="272"/>
      <c r="Z32" s="231">
        <v>6</v>
      </c>
      <c r="AA32" s="10"/>
      <c r="AC32" s="10"/>
      <c r="AD32" s="10"/>
      <c r="AE32" s="10"/>
      <c r="AF32" s="10"/>
      <c r="AG32" s="10"/>
      <c r="AH32" s="10"/>
    </row>
    <row r="33" spans="3:33" ht="14.45" customHeight="1" x14ac:dyDescent="0.25">
      <c r="C33" s="8"/>
      <c r="D33" s="8"/>
      <c r="E33" s="8"/>
      <c r="F33" s="8"/>
      <c r="I33" s="10"/>
      <c r="J33" s="262" t="s">
        <v>41</v>
      </c>
      <c r="K33" s="265"/>
      <c r="L33" s="270">
        <v>20</v>
      </c>
      <c r="M33" s="270"/>
      <c r="N33" s="270"/>
      <c r="O33" s="10"/>
      <c r="Q33" s="10"/>
      <c r="R33" s="262" t="s">
        <v>90</v>
      </c>
      <c r="S33" s="265"/>
      <c r="T33" s="80">
        <v>0</v>
      </c>
      <c r="U33" s="10"/>
      <c r="W33" s="10"/>
      <c r="X33" s="262" t="s">
        <v>409</v>
      </c>
      <c r="Y33" s="272"/>
      <c r="Z33" s="231">
        <v>4</v>
      </c>
      <c r="AA33" s="10"/>
    </row>
    <row r="34" spans="3:33" ht="14.45" customHeight="1" x14ac:dyDescent="0.25">
      <c r="C34" s="8"/>
      <c r="D34" s="8"/>
      <c r="E34" s="8"/>
      <c r="F34" s="8"/>
      <c r="I34" s="10"/>
      <c r="J34" s="262" t="s">
        <v>42</v>
      </c>
      <c r="K34" s="265"/>
      <c r="L34" s="270" t="s">
        <v>69</v>
      </c>
      <c r="M34" s="270"/>
      <c r="N34" s="270"/>
      <c r="O34" s="10"/>
      <c r="Q34" s="10"/>
      <c r="R34" s="262" t="s">
        <v>88</v>
      </c>
      <c r="S34" s="265"/>
      <c r="T34" s="80">
        <v>0</v>
      </c>
      <c r="U34" s="10"/>
      <c r="W34" s="10"/>
      <c r="X34" s="262" t="s">
        <v>68</v>
      </c>
      <c r="Y34" s="272"/>
      <c r="Z34" s="231">
        <v>2</v>
      </c>
      <c r="AA34" s="10"/>
    </row>
    <row r="35" spans="3:33" ht="14.45" customHeight="1" x14ac:dyDescent="0.25">
      <c r="C35" s="8"/>
      <c r="D35" s="8"/>
      <c r="E35" s="8"/>
      <c r="F35" s="8"/>
      <c r="I35" s="10"/>
      <c r="J35" s="262" t="s">
        <v>43</v>
      </c>
      <c r="K35" s="265"/>
      <c r="L35" s="270" t="s">
        <v>791</v>
      </c>
      <c r="M35" s="270"/>
      <c r="N35" s="270"/>
      <c r="O35" s="10"/>
      <c r="Q35" s="10"/>
      <c r="R35" s="262" t="s">
        <v>89</v>
      </c>
      <c r="S35" s="265"/>
      <c r="T35" s="80">
        <v>0</v>
      </c>
      <c r="U35" s="10"/>
      <c r="W35" s="10"/>
      <c r="X35" s="262" t="s">
        <v>69</v>
      </c>
      <c r="Y35" s="272"/>
      <c r="Z35" s="231">
        <v>6</v>
      </c>
      <c r="AA35" s="10"/>
    </row>
    <row r="36" spans="3:33" ht="14.45" customHeight="1" x14ac:dyDescent="0.25">
      <c r="C36" s="8"/>
      <c r="D36" s="8"/>
      <c r="E36" s="8"/>
      <c r="F36" s="8"/>
      <c r="I36" s="10"/>
      <c r="J36" s="10"/>
      <c r="K36" s="10"/>
      <c r="L36" s="10"/>
      <c r="M36" s="10"/>
      <c r="N36" s="10"/>
      <c r="O36" s="10"/>
      <c r="Q36" s="10"/>
      <c r="R36" s="262" t="s">
        <v>91</v>
      </c>
      <c r="S36" s="265"/>
      <c r="T36" s="80">
        <v>0</v>
      </c>
      <c r="U36" s="10"/>
      <c r="W36" s="10"/>
      <c r="X36" s="10"/>
      <c r="Y36" s="10"/>
      <c r="Z36" s="10"/>
      <c r="AA36" s="10"/>
    </row>
    <row r="37" spans="3:33" ht="14.45" customHeight="1" x14ac:dyDescent="0.25">
      <c r="C37" s="8"/>
      <c r="D37" s="8"/>
      <c r="E37" s="8"/>
      <c r="F37" s="8"/>
      <c r="Q37" s="10"/>
      <c r="R37" s="262" t="s">
        <v>453</v>
      </c>
      <c r="S37" s="265"/>
      <c r="T37" s="80">
        <v>0</v>
      </c>
      <c r="U37" s="10"/>
    </row>
    <row r="38" spans="3:33" ht="14.45" customHeight="1" x14ac:dyDescent="0.25">
      <c r="C38" s="8"/>
      <c r="D38" s="8"/>
      <c r="E38" s="8"/>
      <c r="F38" s="8"/>
      <c r="Q38" s="10"/>
      <c r="R38" s="262" t="s">
        <v>93</v>
      </c>
      <c r="S38" s="265"/>
      <c r="T38" s="80">
        <v>0</v>
      </c>
      <c r="U38" s="10"/>
    </row>
    <row r="39" spans="3:33" ht="14.45" customHeight="1" x14ac:dyDescent="0.25">
      <c r="C39" s="8"/>
      <c r="D39" s="8"/>
      <c r="E39" s="8"/>
      <c r="F39" s="8"/>
      <c r="Q39" s="10"/>
      <c r="R39" s="262" t="s">
        <v>422</v>
      </c>
      <c r="S39" s="265"/>
      <c r="T39" s="80">
        <v>0</v>
      </c>
      <c r="U39" s="10"/>
    </row>
    <row r="40" spans="3:33" ht="14.45" customHeight="1" x14ac:dyDescent="0.25">
      <c r="C40" s="8"/>
      <c r="D40" s="8"/>
      <c r="E40" s="8"/>
      <c r="F40" s="8"/>
      <c r="Q40" s="10"/>
      <c r="R40" s="262" t="s">
        <v>452</v>
      </c>
      <c r="S40" s="265"/>
      <c r="T40" s="80">
        <v>0</v>
      </c>
      <c r="U40" s="10"/>
    </row>
    <row r="41" spans="3:33" ht="14.45" customHeight="1" x14ac:dyDescent="0.25">
      <c r="C41" s="273"/>
      <c r="D41" s="273"/>
      <c r="E41" s="276"/>
      <c r="F41" s="276"/>
      <c r="Q41" s="10"/>
      <c r="R41" s="262" t="s">
        <v>92</v>
      </c>
      <c r="S41" s="265"/>
      <c r="T41" s="80">
        <v>0</v>
      </c>
      <c r="U41" s="10"/>
      <c r="AG41" s="1" t="s">
        <v>423</v>
      </c>
    </row>
    <row r="42" spans="3:33" ht="14.45" customHeight="1" x14ac:dyDescent="0.25">
      <c r="D42" s="8"/>
      <c r="Q42" s="10"/>
      <c r="R42" s="262" t="s">
        <v>94</v>
      </c>
      <c r="S42" s="265"/>
      <c r="T42" s="80">
        <v>0</v>
      </c>
      <c r="U42" s="10"/>
    </row>
    <row r="43" spans="3:33" ht="14.45" customHeight="1" x14ac:dyDescent="0.25">
      <c r="Q43" s="10"/>
      <c r="R43" s="262" t="s">
        <v>95</v>
      </c>
      <c r="S43" s="265"/>
      <c r="T43" s="80">
        <v>0</v>
      </c>
      <c r="U43" s="10"/>
    </row>
    <row r="44" spans="3:33" ht="14.45" customHeight="1" x14ac:dyDescent="0.25">
      <c r="Q44" s="10"/>
      <c r="R44" s="262" t="s">
        <v>96</v>
      </c>
      <c r="S44" s="265"/>
      <c r="T44" s="80">
        <v>0</v>
      </c>
      <c r="U44" s="10"/>
    </row>
    <row r="45" spans="3:33" ht="14.45" customHeight="1" x14ac:dyDescent="0.25">
      <c r="Q45" s="10"/>
      <c r="R45" s="262" t="s">
        <v>97</v>
      </c>
      <c r="S45" s="265"/>
      <c r="T45" s="80">
        <v>0</v>
      </c>
      <c r="U45" s="10"/>
    </row>
    <row r="46" spans="3:33" ht="14.45" customHeight="1" x14ac:dyDescent="0.25">
      <c r="Q46" s="10"/>
      <c r="R46" s="262" t="s">
        <v>98</v>
      </c>
      <c r="S46" s="265"/>
      <c r="T46" s="80">
        <v>0</v>
      </c>
      <c r="U46" s="10"/>
    </row>
    <row r="47" spans="3:33" ht="14.45" customHeight="1" x14ac:dyDescent="0.25">
      <c r="Q47" s="10"/>
      <c r="R47" s="262" t="s">
        <v>419</v>
      </c>
      <c r="S47" s="265"/>
      <c r="T47" s="80">
        <v>0</v>
      </c>
      <c r="U47" s="10"/>
    </row>
    <row r="48" spans="3:33" ht="14.45" customHeight="1" x14ac:dyDescent="0.25">
      <c r="Q48" s="10"/>
      <c r="R48" s="262" t="s">
        <v>420</v>
      </c>
      <c r="S48" s="265"/>
      <c r="T48" s="80">
        <v>0</v>
      </c>
      <c r="U48" s="10"/>
    </row>
    <row r="49" spans="17:21" ht="14.45" customHeight="1" x14ac:dyDescent="0.25">
      <c r="Q49" s="10"/>
      <c r="R49" s="262" t="s">
        <v>433</v>
      </c>
      <c r="S49" s="265"/>
      <c r="T49" s="80">
        <v>0</v>
      </c>
      <c r="U49" s="10"/>
    </row>
    <row r="50" spans="17:21" ht="14.45" customHeight="1" x14ac:dyDescent="0.25">
      <c r="Q50" s="10"/>
      <c r="R50" s="262" t="s">
        <v>421</v>
      </c>
      <c r="S50" s="265"/>
      <c r="T50" s="80">
        <v>0</v>
      </c>
      <c r="U50" s="10"/>
    </row>
    <row r="51" spans="17:21" ht="14.45" customHeight="1" x14ac:dyDescent="0.25">
      <c r="Q51" s="10"/>
      <c r="R51" s="10"/>
      <c r="S51" s="10"/>
      <c r="T51" s="10"/>
      <c r="U51" s="10"/>
    </row>
  </sheetData>
  <mergeCells count="199">
    <mergeCell ref="X33:Y33"/>
    <mergeCell ref="X34:Y34"/>
    <mergeCell ref="X35:Y35"/>
    <mergeCell ref="X14:Y14"/>
    <mergeCell ref="X15:Y15"/>
    <mergeCell ref="X16:Y16"/>
    <mergeCell ref="X17:Y17"/>
    <mergeCell ref="X23:Z24"/>
    <mergeCell ref="X29:Y29"/>
    <mergeCell ref="X30:Y30"/>
    <mergeCell ref="X31:Y31"/>
    <mergeCell ref="X32:Y32"/>
    <mergeCell ref="R48:S48"/>
    <mergeCell ref="R49:S49"/>
    <mergeCell ref="R50:S50"/>
    <mergeCell ref="R42:S42"/>
    <mergeCell ref="R43:S43"/>
    <mergeCell ref="R44:S44"/>
    <mergeCell ref="R45:S45"/>
    <mergeCell ref="R46:S46"/>
    <mergeCell ref="R47:S47"/>
    <mergeCell ref="R36:S36"/>
    <mergeCell ref="R37:S37"/>
    <mergeCell ref="R38:S38"/>
    <mergeCell ref="R39:S39"/>
    <mergeCell ref="R40:S40"/>
    <mergeCell ref="C41:D41"/>
    <mergeCell ref="E41:F41"/>
    <mergeCell ref="R41:S41"/>
    <mergeCell ref="J34:K34"/>
    <mergeCell ref="L34:N34"/>
    <mergeCell ref="R34:S34"/>
    <mergeCell ref="J35:K35"/>
    <mergeCell ref="L35:N35"/>
    <mergeCell ref="R35:S35"/>
    <mergeCell ref="J32:K32"/>
    <mergeCell ref="L32:N32"/>
    <mergeCell ref="R32:S32"/>
    <mergeCell ref="J33:K33"/>
    <mergeCell ref="L33:N33"/>
    <mergeCell ref="R33:S33"/>
    <mergeCell ref="J30:K30"/>
    <mergeCell ref="L30:N30"/>
    <mergeCell ref="R30:S30"/>
    <mergeCell ref="J31:K31"/>
    <mergeCell ref="L31:N31"/>
    <mergeCell ref="R31:S31"/>
    <mergeCell ref="J27:K27"/>
    <mergeCell ref="L27:N27"/>
    <mergeCell ref="R27:S27"/>
    <mergeCell ref="X27:Y27"/>
    <mergeCell ref="J28:K28"/>
    <mergeCell ref="L28:N28"/>
    <mergeCell ref="R28:S28"/>
    <mergeCell ref="X28:Y28"/>
    <mergeCell ref="J29:K29"/>
    <mergeCell ref="L29:N29"/>
    <mergeCell ref="R29:S29"/>
    <mergeCell ref="J24:K24"/>
    <mergeCell ref="L24:N24"/>
    <mergeCell ref="R24:S24"/>
    <mergeCell ref="J25:K25"/>
    <mergeCell ref="L25:N25"/>
    <mergeCell ref="R25:S25"/>
    <mergeCell ref="X25:Y25"/>
    <mergeCell ref="J26:K26"/>
    <mergeCell ref="L26:N26"/>
    <mergeCell ref="R26:S26"/>
    <mergeCell ref="X26:Y26"/>
    <mergeCell ref="C23:D23"/>
    <mergeCell ref="E23:F23"/>
    <mergeCell ref="J23:K23"/>
    <mergeCell ref="L23:N23"/>
    <mergeCell ref="R23:S23"/>
    <mergeCell ref="C21:D21"/>
    <mergeCell ref="E21:F21"/>
    <mergeCell ref="J21:N22"/>
    <mergeCell ref="R21:S21"/>
    <mergeCell ref="C22:D22"/>
    <mergeCell ref="E22:F22"/>
    <mergeCell ref="R22:S22"/>
    <mergeCell ref="C20:D20"/>
    <mergeCell ref="E20:F20"/>
    <mergeCell ref="R20:S20"/>
    <mergeCell ref="C18:D18"/>
    <mergeCell ref="E18:F18"/>
    <mergeCell ref="R18:S18"/>
    <mergeCell ref="X18:Y18"/>
    <mergeCell ref="C19:D19"/>
    <mergeCell ref="E19:F19"/>
    <mergeCell ref="J19:K19"/>
    <mergeCell ref="R19:S19"/>
    <mergeCell ref="X19:Y19"/>
    <mergeCell ref="C17:D17"/>
    <mergeCell ref="E17:F17"/>
    <mergeCell ref="J17:K17"/>
    <mergeCell ref="L17:N17"/>
    <mergeCell ref="R17:S17"/>
    <mergeCell ref="C16:D16"/>
    <mergeCell ref="E16:F16"/>
    <mergeCell ref="J16:K16"/>
    <mergeCell ref="L16:N16"/>
    <mergeCell ref="R16:S16"/>
    <mergeCell ref="C15:D15"/>
    <mergeCell ref="E15:F15"/>
    <mergeCell ref="J15:K15"/>
    <mergeCell ref="L15:N15"/>
    <mergeCell ref="R15:S15"/>
    <mergeCell ref="C13:F14"/>
    <mergeCell ref="R13:S13"/>
    <mergeCell ref="J14:K14"/>
    <mergeCell ref="L14:N14"/>
    <mergeCell ref="R14:S14"/>
    <mergeCell ref="R11:S11"/>
    <mergeCell ref="X11:Y11"/>
    <mergeCell ref="J12:N13"/>
    <mergeCell ref="R12:S12"/>
    <mergeCell ref="X12:Y12"/>
    <mergeCell ref="C9:D9"/>
    <mergeCell ref="E9:F9"/>
    <mergeCell ref="R9:S9"/>
    <mergeCell ref="X9:Y9"/>
    <mergeCell ref="R10:S10"/>
    <mergeCell ref="X10:Y10"/>
    <mergeCell ref="X13:Y13"/>
    <mergeCell ref="L6:N6"/>
    <mergeCell ref="R6:S6"/>
    <mergeCell ref="X6:Y6"/>
    <mergeCell ref="C8:D8"/>
    <mergeCell ref="E8:F8"/>
    <mergeCell ref="J8:K8"/>
    <mergeCell ref="L8:N8"/>
    <mergeCell ref="R8:S8"/>
    <mergeCell ref="X8:Y8"/>
    <mergeCell ref="C7:D7"/>
    <mergeCell ref="E7:F7"/>
    <mergeCell ref="J7:K7"/>
    <mergeCell ref="L7:N7"/>
    <mergeCell ref="R7:S7"/>
    <mergeCell ref="X7:Y7"/>
    <mergeCell ref="AD11:AE11"/>
    <mergeCell ref="AD12:AE12"/>
    <mergeCell ref="AD13:AE13"/>
    <mergeCell ref="AD14:AE14"/>
    <mergeCell ref="AD15:AE15"/>
    <mergeCell ref="AD16:AE16"/>
    <mergeCell ref="AD17:AE17"/>
    <mergeCell ref="AD18:AE18"/>
    <mergeCell ref="C3:F4"/>
    <mergeCell ref="J3:N4"/>
    <mergeCell ref="R3:T4"/>
    <mergeCell ref="X3:Z4"/>
    <mergeCell ref="AD3:AG4"/>
    <mergeCell ref="C5:D5"/>
    <mergeCell ref="E5:F5"/>
    <mergeCell ref="J5:K5"/>
    <mergeCell ref="L5:N5"/>
    <mergeCell ref="R5:S5"/>
    <mergeCell ref="X5:Y5"/>
    <mergeCell ref="AD5:AE5"/>
    <mergeCell ref="AF5:AG5"/>
    <mergeCell ref="C6:D6"/>
    <mergeCell ref="E6:F6"/>
    <mergeCell ref="J6:K6"/>
    <mergeCell ref="AF29:AG29"/>
    <mergeCell ref="AF30:AG30"/>
    <mergeCell ref="AD19:AE19"/>
    <mergeCell ref="AD20:AE20"/>
    <mergeCell ref="AD21:AE21"/>
    <mergeCell ref="AD22:AE22"/>
    <mergeCell ref="AD23:AE23"/>
    <mergeCell ref="AD24:AE24"/>
    <mergeCell ref="AD25:AE25"/>
    <mergeCell ref="AD26:AE26"/>
    <mergeCell ref="AD27:AE27"/>
    <mergeCell ref="AD31:AE31"/>
    <mergeCell ref="AF31:AG31"/>
    <mergeCell ref="AD28:AE28"/>
    <mergeCell ref="AD29:AE29"/>
    <mergeCell ref="AD30:AE30"/>
    <mergeCell ref="AD9:AG10"/>
    <mergeCell ref="AF11:AG11"/>
    <mergeCell ref="AF12:AG12"/>
    <mergeCell ref="AF13:AG13"/>
    <mergeCell ref="AF14:AG14"/>
    <mergeCell ref="AF15:AG15"/>
    <mergeCell ref="AF16:AG16"/>
    <mergeCell ref="AF17:AG17"/>
    <mergeCell ref="AF18:AG18"/>
    <mergeCell ref="AF19:AG19"/>
    <mergeCell ref="AF20:AG20"/>
    <mergeCell ref="AF21:AG21"/>
    <mergeCell ref="AF22:AG22"/>
    <mergeCell ref="AF23:AG23"/>
    <mergeCell ref="AF24:AG24"/>
    <mergeCell ref="AF25:AG25"/>
    <mergeCell ref="AF26:AG26"/>
    <mergeCell ref="AF27:AG27"/>
    <mergeCell ref="AF28:AG28"/>
  </mergeCells>
  <dataValidations count="1">
    <dataValidation type="list" allowBlank="1" showInputMessage="1" showErrorMessage="1" sqref="E15:E19 E21:E22" xr:uid="{17A5D408-D7E4-4E90-AA3B-DAB4325851E2}">
      <formula1>"Pyro, Cryo, Hydro, Electro, Anemo, Geo, Dendro, Phys"</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6" r:id="rId4" name="Check Box 2">
              <controlPr defaultSize="0" autoFill="0" autoLine="0" autoPict="0">
                <anchor moveWithCells="1">
                  <from>
                    <xdr:col>12</xdr:col>
                    <xdr:colOff>200025</xdr:colOff>
                    <xdr:row>7</xdr:row>
                    <xdr:rowOff>9525</xdr:rowOff>
                  </from>
                  <to>
                    <xdr:col>12</xdr:col>
                    <xdr:colOff>390525</xdr:colOff>
                    <xdr:row>8</xdr:row>
                    <xdr:rowOff>9525</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12</xdr:col>
                    <xdr:colOff>200025</xdr:colOff>
                    <xdr:row>15</xdr:row>
                    <xdr:rowOff>180975</xdr:rowOff>
                  </from>
                  <to>
                    <xdr:col>12</xdr:col>
                    <xdr:colOff>428625</xdr:colOff>
                    <xdr:row>17</xdr:row>
                    <xdr:rowOff>0</xdr:rowOff>
                  </to>
                </anchor>
              </controlPr>
            </control>
          </mc:Choice>
        </mc:AlternateContent>
        <mc:AlternateContent xmlns:mc="http://schemas.openxmlformats.org/markup-compatibility/2006">
          <mc:Choice Requires="x14">
            <control shapeId="16390" r:id="rId6" name="Button 6">
              <controlPr defaultSize="0" print="0" autoFill="0" autoPict="0" macro="[0]!char4Solver">
                <anchor moveWithCells="1" sizeWithCells="1">
                  <from>
                    <xdr:col>34</xdr:col>
                    <xdr:colOff>371475</xdr:colOff>
                    <xdr:row>2</xdr:row>
                    <xdr:rowOff>85725</xdr:rowOff>
                  </from>
                  <to>
                    <xdr:col>37</xdr:col>
                    <xdr:colOff>323850</xdr:colOff>
                    <xdr:row>4</xdr:row>
                    <xdr:rowOff>104775</xdr:rowOff>
                  </to>
                </anchor>
              </controlPr>
            </control>
          </mc:Choice>
        </mc:AlternateContent>
        <mc:AlternateContent xmlns:mc="http://schemas.openxmlformats.org/markup-compatibility/2006">
          <mc:Choice Requires="x14">
            <control shapeId="16393" r:id="rId7" name="Check Box 9">
              <controlPr defaultSize="0" autoFill="0" autoLine="0" autoPict="0">
                <anchor moveWithCells="1">
                  <from>
                    <xdr:col>25</xdr:col>
                    <xdr:colOff>238125</xdr:colOff>
                    <xdr:row>4</xdr:row>
                    <xdr:rowOff>161925</xdr:rowOff>
                  </from>
                  <to>
                    <xdr:col>25</xdr:col>
                    <xdr:colOff>514350</xdr:colOff>
                    <xdr:row>6</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5">
        <x14:dataValidation type="list" allowBlank="1" showInputMessage="1" showErrorMessage="1" xr:uid="{CD4A7D27-0FD1-49B6-B108-BEF17CC6F688}">
          <x14:formula1>
            <xm:f>'Data Val'!$C$2:$C$6</xm:f>
          </x14:formula1>
          <xm:sqref>E20:F20 E23:F23</xm:sqref>
        </x14:dataValidation>
        <x14:dataValidation type="list" allowBlank="1" showInputMessage="1" showErrorMessage="1" xr:uid="{7D3DFA93-DBCE-4E6D-8406-12A141CFC0D2}">
          <x14:formula1>
            <xm:f>artisDB!$A$2:$A$53</xm:f>
          </x14:formula1>
          <xm:sqref>L15:N15</xm:sqref>
        </x14:dataValidation>
        <x14:dataValidation type="list" allowBlank="1" showInputMessage="1" showErrorMessage="1" xr:uid="{18E37E88-BD84-46AF-A4E3-E823341024B0}">
          <x14:formula1>
            <xm:f>artisDB!$A$2:$A$27</xm:f>
          </x14:formula1>
          <xm:sqref>L14:N14</xm:sqref>
        </x14:dataValidation>
        <x14:dataValidation type="list" allowBlank="1" showInputMessage="1" showErrorMessage="1" xr:uid="{DBB4AFA1-7F0F-475F-BDD5-E07E9ED3E118}">
          <x14:formula1>
            <xm:f>weapons!$B$1:$CV$1</xm:f>
          </x14:formula1>
          <xm:sqref>L5:N5</xm:sqref>
        </x14:dataValidation>
        <x14:dataValidation type="list" allowBlank="1" showInputMessage="1" showErrorMessage="1" xr:uid="{81C7F70E-98E3-4A21-ABA7-2E8482DED2DC}">
          <x14:formula1>
            <xm:f>'Artifact Database'!$AA$3:$AA$9</xm:f>
          </x14:formula1>
          <xm:sqref>L34:N34</xm:sqref>
        </x14:dataValidation>
        <x14:dataValidation type="list" allowBlank="1" showInputMessage="1" showErrorMessage="1" xr:uid="{A9518E72-432B-42ED-B431-C699FE44E653}">
          <x14:formula1>
            <xm:f>'Artifact Database'!$Z$3:$Z$13</xm:f>
          </x14:formula1>
          <xm:sqref>L31:N31</xm:sqref>
        </x14:dataValidation>
        <x14:dataValidation type="list" allowBlank="1" showInputMessage="1" showErrorMessage="1" xr:uid="{690C34DE-2CFA-4E7A-8596-01C58CC896A5}">
          <x14:formula1>
            <xm:f>'Artifact Database'!$Y$3:$Y$7</xm:f>
          </x14:formula1>
          <xm:sqref>L28:N28</xm:sqref>
        </x14:dataValidation>
        <x14:dataValidation type="list" allowBlank="1" showInputMessage="1" showErrorMessage="1" xr:uid="{8A336F66-984C-49AA-A09F-6CE2D37DC030}">
          <x14:formula1>
            <xm:f>'Artifact Database'!$Y$16:$AC$16</xm:f>
          </x14:formula1>
          <xm:sqref>L24:N24 L26:N26 L29:N29 L32:N32 L35:N35</xm:sqref>
        </x14:dataValidation>
        <x14:dataValidation type="list" allowBlank="1" showInputMessage="1" showErrorMessage="1" xr:uid="{3316C32E-DE9F-4E2B-899F-EBDD34A216DC}">
          <x14:formula1>
            <xm:f>'Artifact Database'!$B$1:$D$1</xm:f>
          </x14:formula1>
          <xm:sqref>Z7</xm:sqref>
        </x14:dataValidation>
        <x14:dataValidation type="list" allowBlank="1" showInputMessage="1" showErrorMessage="1" xr:uid="{958238F6-6FD4-40F2-B055-36402CCEF5CC}">
          <x14:formula1>
            <xm:f>'Data Val'!$A$8:$A$21</xm:f>
          </x14:formula1>
          <xm:sqref>E6:F6</xm:sqref>
        </x14:dataValidation>
        <x14:dataValidation type="whole" allowBlank="1" showInputMessage="1" showErrorMessage="1" xr:uid="{AF9B6C74-8B38-451E-9919-F2FE4BECE26F}">
          <x14:formula1>
            <xm:f>0</xm:f>
          </x14:formula1>
          <x14:formula2>
            <xm:f>'Artifact Database'!Z64</xm:f>
          </x14:formula2>
          <xm:sqref>L23:N23</xm:sqref>
        </x14:dataValidation>
        <x14:dataValidation type="whole" allowBlank="1" showInputMessage="1" showErrorMessage="1" xr:uid="{3F30A28A-7E4D-4709-98F8-5A94189AE747}">
          <x14:formula1>
            <xm:f>0</xm:f>
          </x14:formula1>
          <x14:formula2>
            <xm:f>'Artifact Database'!AA64</xm:f>
          </x14:formula2>
          <xm:sqref>L25:N25</xm:sqref>
        </x14:dataValidation>
        <x14:dataValidation type="whole" allowBlank="1" showInputMessage="1" showErrorMessage="1" xr:uid="{84E34DEB-4E01-44EB-A4B8-6564CAD54DA5}">
          <x14:formula1>
            <xm:f>0</xm:f>
          </x14:formula1>
          <x14:formula2>
            <xm:f>'Artifact Database'!AB64</xm:f>
          </x14:formula2>
          <xm:sqref>L27:N27</xm:sqref>
        </x14:dataValidation>
        <x14:dataValidation type="whole" allowBlank="1" showInputMessage="1" showErrorMessage="1" xr:uid="{C2A24A2F-6DF6-4334-990E-27B96CC868EE}">
          <x14:formula1>
            <xm:f>0</xm:f>
          </x14:formula1>
          <x14:formula2>
            <xm:f>'Artifact Database'!AC64</xm:f>
          </x14:formula2>
          <xm:sqref>L30:N30</xm:sqref>
        </x14:dataValidation>
        <x14:dataValidation type="whole" allowBlank="1" showInputMessage="1" showErrorMessage="1" xr:uid="{CFC2DDB9-9312-462E-B4E3-8E5C366EA8A3}">
          <x14:formula1>
            <xm:f>0</xm:f>
          </x14:formula1>
          <x14:formula2>
            <xm:f>'Artifact Database'!L33</xm:f>
          </x14:formula2>
          <xm:sqref>L33:N33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2B761-A075-4698-8348-B314936A6EBC}">
  <sheetPr codeName="Sheet6"/>
  <dimension ref="A1:V73"/>
  <sheetViews>
    <sheetView workbookViewId="0">
      <selection activeCell="N73" sqref="N73"/>
    </sheetView>
  </sheetViews>
  <sheetFormatPr defaultRowHeight="15" x14ac:dyDescent="0.25"/>
  <cols>
    <col min="1" max="1" width="10.85546875" bestFit="1" customWidth="1"/>
    <col min="9" max="9" width="21" bestFit="1" customWidth="1"/>
  </cols>
  <sheetData>
    <row r="1" spans="1:22" x14ac:dyDescent="0.25">
      <c r="A1" t="s">
        <v>372</v>
      </c>
      <c r="B1" t="s">
        <v>623</v>
      </c>
      <c r="C1" t="s">
        <v>662</v>
      </c>
      <c r="D1" t="s">
        <v>680</v>
      </c>
      <c r="G1" t="s">
        <v>747</v>
      </c>
      <c r="H1" t="s">
        <v>750</v>
      </c>
      <c r="J1" t="s">
        <v>757</v>
      </c>
      <c r="K1" t="str">
        <f>VLOOKUP(A2,$G$1:$H$49,2,0)&amp;" DMG%"</f>
        <v>Cryo DMG%</v>
      </c>
      <c r="P1" t="s">
        <v>6</v>
      </c>
      <c r="Q1" t="s">
        <v>5</v>
      </c>
      <c r="R1" t="s">
        <v>3</v>
      </c>
      <c r="S1" t="s">
        <v>19</v>
      </c>
      <c r="T1" t="s">
        <v>23</v>
      </c>
      <c r="U1" t="s">
        <v>0</v>
      </c>
      <c r="V1" t="s">
        <v>24</v>
      </c>
    </row>
    <row r="2" spans="1:22" x14ac:dyDescent="0.25">
      <c r="A2" t="str">
        <f>'Char 1'!E5</f>
        <v>Shenhe</v>
      </c>
      <c r="B2" t="s">
        <v>624</v>
      </c>
      <c r="C2" t="s">
        <v>6</v>
      </c>
      <c r="D2" t="s">
        <v>681</v>
      </c>
      <c r="E2">
        <v>2</v>
      </c>
      <c r="G2" t="s">
        <v>18</v>
      </c>
      <c r="H2" t="s">
        <v>751</v>
      </c>
      <c r="J2" t="s">
        <v>756</v>
      </c>
      <c r="K2" t="str">
        <f>VLOOKUP(A3,$G$1:$H$49,2,0)&amp;" DMG%"</f>
        <v>Cryo DMG%</v>
      </c>
      <c r="O2" t="s">
        <v>624</v>
      </c>
      <c r="P2" t="str">
        <f>char1NAElement</f>
        <v>Cryo</v>
      </c>
      <c r="Q2" t="str">
        <f>char1CAElement</f>
        <v>Cryo</v>
      </c>
      <c r="R2" t="str">
        <f>char1PlungeElement</f>
        <v>Cryo</v>
      </c>
      <c r="S2" t="str">
        <f>char1SkillElement</f>
        <v>Cryo</v>
      </c>
      <c r="T2" t="str">
        <f>char1SkillEchoElement</f>
        <v>Cryo</v>
      </c>
      <c r="U2" t="str">
        <f>char1BurstElement</f>
        <v>Cryo</v>
      </c>
      <c r="V2" t="str">
        <f>char1BurstEchoElement</f>
        <v>Cryo</v>
      </c>
    </row>
    <row r="3" spans="1:22" x14ac:dyDescent="0.25">
      <c r="A3" t="str">
        <f>'Char 2'!E5</f>
        <v>Ganyu</v>
      </c>
      <c r="B3" t="s">
        <v>625</v>
      </c>
      <c r="C3" t="s">
        <v>5</v>
      </c>
      <c r="D3" t="s">
        <v>682</v>
      </c>
      <c r="E3">
        <v>2</v>
      </c>
      <c r="G3" t="s">
        <v>428</v>
      </c>
      <c r="H3" t="s">
        <v>752</v>
      </c>
      <c r="J3" t="s">
        <v>758</v>
      </c>
      <c r="K3" t="str">
        <f>VLOOKUP(A4,$G$1:$H$49, 2, 0)&amp;" DMG%"</f>
        <v>Hydro DMG%</v>
      </c>
      <c r="O3" t="s">
        <v>625</v>
      </c>
      <c r="P3" t="str">
        <f>char2NAElement</f>
        <v>Cryo</v>
      </c>
      <c r="Q3" t="str">
        <f>char2CAElement</f>
        <v>Cryo</v>
      </c>
      <c r="R3" t="str">
        <f>char2PlungeElement</f>
        <v>Cryo</v>
      </c>
      <c r="S3" t="str">
        <f>char2SkillElement</f>
        <v>Cryo</v>
      </c>
      <c r="T3" t="str">
        <f>char2SkillEchoElement</f>
        <v>Cryo</v>
      </c>
      <c r="U3" t="str">
        <f>char2BurstElement</f>
        <v>Cryo</v>
      </c>
      <c r="V3" t="str">
        <f>char2BurstEchoElement</f>
        <v>Cryo</v>
      </c>
    </row>
    <row r="4" spans="1:22" x14ac:dyDescent="0.25">
      <c r="A4" t="str">
        <f>char3Name</f>
        <v>Mona</v>
      </c>
      <c r="B4" t="s">
        <v>626</v>
      </c>
      <c r="C4" t="s">
        <v>3</v>
      </c>
      <c r="D4" t="s">
        <v>683</v>
      </c>
      <c r="E4">
        <v>1.5</v>
      </c>
      <c r="G4" t="s">
        <v>135</v>
      </c>
      <c r="H4" t="s">
        <v>691</v>
      </c>
      <c r="J4" t="s">
        <v>759</v>
      </c>
      <c r="K4" t="str">
        <f>VLOOKUP(A5,$G$1:$H$49, 2, 0)&amp;" DMG%"</f>
        <v>Anemo DMG%</v>
      </c>
      <c r="O4" t="s">
        <v>626</v>
      </c>
      <c r="P4" t="str">
        <f>char3NAElement</f>
        <v>Hydro</v>
      </c>
      <c r="Q4" t="str">
        <f>char3CAElement</f>
        <v>Hydro</v>
      </c>
      <c r="R4" t="str">
        <f>char3PlungeElement</f>
        <v>Hydro</v>
      </c>
      <c r="S4" t="str">
        <f>char3SkillElement</f>
        <v>Hydro</v>
      </c>
      <c r="T4" t="str">
        <f>char3SkillEchoElement</f>
        <v>Hydro</v>
      </c>
      <c r="U4" t="str">
        <f>char3BurstElement</f>
        <v>Hydro</v>
      </c>
      <c r="V4" t="str">
        <f>char3BurstEchoElement</f>
        <v>Hydro</v>
      </c>
    </row>
    <row r="5" spans="1:22" x14ac:dyDescent="0.25">
      <c r="A5" t="str">
        <f>char4Name</f>
        <v>Venti</v>
      </c>
      <c r="B5" t="s">
        <v>627</v>
      </c>
      <c r="C5" t="s">
        <v>19</v>
      </c>
      <c r="D5" t="s">
        <v>684</v>
      </c>
      <c r="E5">
        <v>1.5</v>
      </c>
      <c r="G5" t="s">
        <v>151</v>
      </c>
      <c r="H5" t="s">
        <v>753</v>
      </c>
      <c r="O5" t="s">
        <v>627</v>
      </c>
      <c r="P5" t="str">
        <f>char4NAElement</f>
        <v>Phys</v>
      </c>
      <c r="Q5" t="str">
        <f>char4CAElement</f>
        <v>Phys</v>
      </c>
      <c r="R5" t="str">
        <f>char4PlungeElement</f>
        <v>Anemo</v>
      </c>
      <c r="S5" t="str">
        <f>char4SkillElement</f>
        <v>Anemo</v>
      </c>
      <c r="T5" t="str">
        <f>char4SkillEchoElement</f>
        <v>Cryo</v>
      </c>
      <c r="U5" t="str">
        <f>char4BurstElement</f>
        <v>Anemo</v>
      </c>
      <c r="V5" t="str">
        <f>char4BurstEchoElement</f>
        <v>Cryo</v>
      </c>
    </row>
    <row r="6" spans="1:22" x14ac:dyDescent="0.25">
      <c r="C6" t="s">
        <v>0</v>
      </c>
      <c r="D6" t="s">
        <v>246</v>
      </c>
      <c r="E6">
        <v>1</v>
      </c>
      <c r="G6" t="s">
        <v>156</v>
      </c>
      <c r="H6" t="s">
        <v>754</v>
      </c>
      <c r="J6" t="s">
        <v>766</v>
      </c>
    </row>
    <row r="7" spans="1:22" x14ac:dyDescent="0.25">
      <c r="A7" t="s">
        <v>418</v>
      </c>
      <c r="G7" t="s">
        <v>162</v>
      </c>
      <c r="H7" t="s">
        <v>691</v>
      </c>
      <c r="I7" t="s">
        <v>770</v>
      </c>
      <c r="J7" t="s">
        <v>624</v>
      </c>
      <c r="K7" t="s">
        <v>625</v>
      </c>
      <c r="L7" t="s">
        <v>626</v>
      </c>
      <c r="M7" t="s">
        <v>627</v>
      </c>
      <c r="O7" t="s">
        <v>797</v>
      </c>
      <c r="P7" t="s">
        <v>125</v>
      </c>
      <c r="Q7" t="s">
        <v>128</v>
      </c>
      <c r="R7" t="s">
        <v>223</v>
      </c>
    </row>
    <row r="8" spans="1:22" x14ac:dyDescent="0.25">
      <c r="A8">
        <v>1</v>
      </c>
      <c r="G8" t="s">
        <v>171</v>
      </c>
      <c r="H8" t="s">
        <v>752</v>
      </c>
      <c r="I8" t="s">
        <v>767</v>
      </c>
      <c r="J8">
        <f>INDEX(char1Weapons, MATCH("Proc 1 Name",weapons!$A$1:$A$65, 0), MATCH(char1WeaponName, weapons!$A$1:$CV$1, 0))</f>
        <v>0</v>
      </c>
      <c r="K8">
        <f>INDEX(char2Weapons, MATCH("Proc 1 Name",weapons!$A$67:$A$131, 0), MATCH(char2WeaponName, weapons!$A$67:$CV$67, 0))</f>
        <v>0</v>
      </c>
      <c r="L8" t="str">
        <f>INDEX(char3Weapons, MATCH("Proc 1 Name",weapons!$A$133:$A$197, 0), MATCH(char3WeaponName, weapons!$A$133:$CV$133, 0))</f>
        <v>Prototype Amber Healing</v>
      </c>
      <c r="M8">
        <f>INDEX(char4Weapons, MATCH("Proc 1 Name",weapons!$A$199:$A$263, 0), MATCH(char4WeaponName, weapons!$A$199:$CV$199, 0))</f>
        <v>0</v>
      </c>
      <c r="O8" t="s">
        <v>624</v>
      </c>
      <c r="P8">
        <f ca="1">char1FinalATK</f>
        <v>2764.4187999999999</v>
      </c>
      <c r="Q8">
        <f>char1FinalDEF</f>
        <v>972.28000000000009</v>
      </c>
      <c r="R8">
        <f>char1FinalHP</f>
        <v>19569.785599999999</v>
      </c>
    </row>
    <row r="9" spans="1:22" x14ac:dyDescent="0.25">
      <c r="A9">
        <v>20</v>
      </c>
      <c r="G9" t="s">
        <v>173</v>
      </c>
      <c r="H9" t="s">
        <v>691</v>
      </c>
      <c r="I9" t="s">
        <v>768</v>
      </c>
      <c r="J9">
        <f>INDEX(char1Weapons, MATCH("Proc 2 Name",weapons!$A$1:$A$65, 0), MATCH(char1WeaponName, weapons!$A$1:$CV$1, 0))</f>
        <v>0</v>
      </c>
      <c r="K9">
        <f>INDEX(char2Weapons, MATCH("Proc 2 Name",weapons!$A$67:$A$131, 0), MATCH(char2WeaponName, weapons!$A$67:$CV$67, 0))</f>
        <v>0</v>
      </c>
      <c r="L9">
        <f>INDEX(char3Weapons, MATCH("Proc 2 Name",weapons!$A$133:$A$197, 0), MATCH(char3WeaponName, weapons!$A$133:$CV$133, 0))</f>
        <v>0</v>
      </c>
      <c r="M9">
        <f>INDEX(char4Weapons, MATCH("Proc 2 Name",weapons!$A$199:$A$263, 0), MATCH(char4WeaponName, weapons!$A$199:$CV$199, 0))</f>
        <v>0</v>
      </c>
      <c r="O9" t="s">
        <v>625</v>
      </c>
      <c r="P9">
        <f>char2FinalATK</f>
        <v>2099.4830000000002</v>
      </c>
      <c r="Q9">
        <f>char2FinalDEF</f>
        <v>747.48000000000013</v>
      </c>
      <c r="R9">
        <f>char2FinalHP</f>
        <v>16056.742399999999</v>
      </c>
    </row>
    <row r="10" spans="1:22" x14ac:dyDescent="0.25">
      <c r="A10" t="s">
        <v>410</v>
      </c>
      <c r="G10" t="s">
        <v>183</v>
      </c>
      <c r="H10" t="s">
        <v>752</v>
      </c>
      <c r="I10" t="s">
        <v>769</v>
      </c>
      <c r="J10">
        <f>INDEX(char1Weapons, MATCH("Proc 3 Name",weapons!$A$1:$A$65, 0), MATCH(char1WeaponName, weapons!$A$1:$CV$1, 0))</f>
        <v>0</v>
      </c>
      <c r="K10">
        <f>INDEX(char2Weapons, MATCH("Proc 3 Name",weapons!$A$67:$A$131, 0), MATCH(char2WeaponName, weapons!$A$67:$CV$67, 0))</f>
        <v>0</v>
      </c>
      <c r="L10">
        <f>INDEX(char3Weapons, MATCH("Proc 3 Name",weapons!$A$133:$A$197, 0), MATCH(char3WeaponName, weapons!$A$133:$CV$133, 0))</f>
        <v>0</v>
      </c>
      <c r="M10">
        <f>INDEX(char4Weapons, MATCH("Proc 3 Name",weapons!$A$199:$A$263, 0), MATCH(char4WeaponName, weapons!$A$199:$CV$199, 0))</f>
        <v>0</v>
      </c>
      <c r="O10" t="s">
        <v>626</v>
      </c>
      <c r="P10">
        <f>char3FinalATK</f>
        <v>1631.0755999999999</v>
      </c>
      <c r="Q10">
        <f>char3FinalDEF</f>
        <v>773.33200000000011</v>
      </c>
      <c r="R10">
        <f>char3FinalHP</f>
        <v>23110.1698</v>
      </c>
    </row>
    <row r="11" spans="1:22" x14ac:dyDescent="0.25">
      <c r="A11">
        <v>40</v>
      </c>
      <c r="G11" t="s">
        <v>189</v>
      </c>
      <c r="H11" t="s">
        <v>752</v>
      </c>
      <c r="O11" t="s">
        <v>627</v>
      </c>
      <c r="P11">
        <f>char4FinalATK</f>
        <v>1487.8383999999999</v>
      </c>
      <c r="Q11">
        <f>char4FinalDEF</f>
        <v>791.31600000000003</v>
      </c>
      <c r="R11">
        <f>char4FinalHP</f>
        <v>16863.555199999999</v>
      </c>
    </row>
    <row r="12" spans="1:22" x14ac:dyDescent="0.25">
      <c r="A12" t="s">
        <v>411</v>
      </c>
      <c r="G12" t="s">
        <v>204</v>
      </c>
      <c r="H12" t="s">
        <v>204</v>
      </c>
    </row>
    <row r="13" spans="1:22" x14ac:dyDescent="0.25">
      <c r="A13">
        <v>50</v>
      </c>
      <c r="G13" t="s">
        <v>213</v>
      </c>
      <c r="H13" t="s">
        <v>752</v>
      </c>
      <c r="I13" t="s">
        <v>624</v>
      </c>
      <c r="J13" t="s">
        <v>11</v>
      </c>
      <c r="K13" t="s">
        <v>772</v>
      </c>
      <c r="L13" t="s">
        <v>124</v>
      </c>
      <c r="M13" t="s">
        <v>750</v>
      </c>
      <c r="O13" t="s">
        <v>1055</v>
      </c>
      <c r="P13" t="s">
        <v>51</v>
      </c>
      <c r="Q13" t="s">
        <v>25</v>
      </c>
    </row>
    <row r="14" spans="1:22" x14ac:dyDescent="0.25">
      <c r="A14" t="s">
        <v>412</v>
      </c>
      <c r="G14" t="s">
        <v>748</v>
      </c>
      <c r="H14" t="s">
        <v>691</v>
      </c>
      <c r="I14">
        <f>INDEX(char1Weapons, MATCH("Proc 1 Name",weapons!$A$1:$A$65, 0), MATCH(char1WeaponName, weapons!$A$1:$CV$1, 0))</f>
        <v>0</v>
      </c>
      <c r="J14">
        <f>INDEX(INDEX(char1Weapons, 0, MATCH(char1WeaponName, INDEX(char1Weapons, 1, 0), 0)), MATCH("Proc 1 Damage Type", INDEX(char1Weapons, 0, 1), 0), 1)</f>
        <v>0</v>
      </c>
      <c r="K14">
        <f>INDEX(INDEX(char1Weapons, 0, MATCH(char1WeaponName, INDEX(char1Weapons, 1, 0), 0)), MATCH("Proc 1 Talent%", INDEX(char1Weapons, 0, 1), 0), 1)</f>
        <v>0</v>
      </c>
      <c r="L14">
        <f>INDEX(INDEX(char1Weapons, 0, MATCH(char1WeaponName, INDEX(char1Weapons, 1, 0), 0)), MATCH("Proc 1 Scaling Stat", INDEX(char1Weapons, 0, 1), 0), 1)</f>
        <v>0</v>
      </c>
      <c r="M14">
        <f>INDEX(INDEX(char1Weapons, 0, MATCH(char1WeaponName, INDEX(char1Weapons, 1, 0), 0)), MATCH("Proc 1 Element", INDEX(char1Weapons, 0, 1), 0), 1)</f>
        <v>0</v>
      </c>
      <c r="O14" t="s">
        <v>624</v>
      </c>
      <c r="P14">
        <f>char1LevelNum</f>
        <v>90</v>
      </c>
      <c r="Q14">
        <f>enemyLevel</f>
        <v>100</v>
      </c>
    </row>
    <row r="15" spans="1:22" x14ac:dyDescent="0.25">
      <c r="A15">
        <v>60</v>
      </c>
      <c r="G15" t="s">
        <v>225</v>
      </c>
      <c r="H15" t="s">
        <v>755</v>
      </c>
      <c r="I15">
        <f>INDEX(char1Weapons, MATCH("Proc 2 Name",weapons!$A$1:$A$65, 0), MATCH(char1WeaponName, weapons!$A$1:$CV$1, 0))</f>
        <v>0</v>
      </c>
      <c r="J15">
        <f>INDEX(INDEX(char1Weapons, 0, MATCH(char1WeaponName, INDEX(char1Weapons, 1, 0), 0)), MATCH("Proc 2 Damage Type", INDEX(char1Weapons, 0, 1), 0), 1)</f>
        <v>0</v>
      </c>
      <c r="K15">
        <f>INDEX(INDEX(char1Weapons, 0, MATCH(char1WeaponName, INDEX(char1Weapons, 1, 0), 0)), MATCH("Proc 2 Talent%", INDEX(char1Weapons, 0, 1), 0), 1)</f>
        <v>0</v>
      </c>
      <c r="L15">
        <f>INDEX(INDEX(char1Weapons, 0, MATCH(char1WeaponName, INDEX(char1Weapons, 1, 0), 0)), MATCH("Proc 2 Scaling Stat", INDEX(char1Weapons, 0, 1), 0), 1)</f>
        <v>0</v>
      </c>
      <c r="M15">
        <f>INDEX(INDEX(char1Weapons, 0, MATCH(char1WeaponName, INDEX(char1Weapons, 1, 0), 0)), MATCH("Proc 2 Element", INDEX(char1Weapons, 0, 1), 0), 1)</f>
        <v>0</v>
      </c>
      <c r="O15" t="s">
        <v>625</v>
      </c>
      <c r="P15">
        <f>char2LevelNum</f>
        <v>90</v>
      </c>
      <c r="Q15">
        <f>enemyLevel</f>
        <v>100</v>
      </c>
    </row>
    <row r="16" spans="1:22" x14ac:dyDescent="0.25">
      <c r="A16" t="s">
        <v>413</v>
      </c>
      <c r="G16" t="s">
        <v>229</v>
      </c>
      <c r="H16" t="s">
        <v>755</v>
      </c>
      <c r="I16">
        <f>INDEX(char1Weapons, MATCH("Proc 3 Name",weapons!$A$1:$A$65, 0), MATCH(char1WeaponName, weapons!$A$1:$CV$1, 0))</f>
        <v>0</v>
      </c>
      <c r="J16">
        <f>INDEX(INDEX(char1Weapons, 0, MATCH(char1WeaponName, INDEX(char1Weapons, 1, 0), 0)), MATCH("Proc 3 Damage Type", INDEX(char1Weapons, 0, 1), 0), 1)</f>
        <v>0</v>
      </c>
      <c r="K16">
        <f>INDEX(INDEX(char1Weapons, 0, MATCH(char1WeaponName, INDEX(char1Weapons, 1, 0), 0)), MATCH("Proc 3 Talent%", INDEX(char1Weapons, 0, 1), 0), 1)</f>
        <v>0</v>
      </c>
      <c r="L16">
        <f>INDEX(INDEX(char1Weapons, 0, MATCH(char1WeaponName, INDEX(char1Weapons, 1, 0), 0)), MATCH("Proc 3 Scaling Stat", INDEX(char1Weapons, 0, 1), 0), 1)</f>
        <v>0</v>
      </c>
      <c r="M16">
        <f>INDEX(INDEX(char1Weapons, 0, MATCH(char1WeaponName, INDEX(char1Weapons, 1, 0), 0)), MATCH("Proc 3 Element", INDEX(char1Weapons, 0, 1), 0), 1)</f>
        <v>0</v>
      </c>
      <c r="O16" t="s">
        <v>626</v>
      </c>
      <c r="P16">
        <f>char3LevelNum</f>
        <v>90</v>
      </c>
      <c r="Q16">
        <f>enemyLevel</f>
        <v>100</v>
      </c>
    </row>
    <row r="17" spans="1:22" x14ac:dyDescent="0.25">
      <c r="A17">
        <v>70</v>
      </c>
      <c r="G17" t="s">
        <v>227</v>
      </c>
      <c r="H17" t="s">
        <v>752</v>
      </c>
      <c r="I17" t="s">
        <v>625</v>
      </c>
      <c r="J17" t="s">
        <v>11</v>
      </c>
      <c r="K17" t="s">
        <v>772</v>
      </c>
      <c r="L17" t="s">
        <v>124</v>
      </c>
      <c r="M17" t="s">
        <v>750</v>
      </c>
      <c r="O17" t="s">
        <v>627</v>
      </c>
      <c r="P17">
        <f>char4LevelNum</f>
        <v>90</v>
      </c>
      <c r="Q17">
        <f>enemyLevel</f>
        <v>100</v>
      </c>
    </row>
    <row r="18" spans="1:22" x14ac:dyDescent="0.25">
      <c r="A18" t="s">
        <v>414</v>
      </c>
      <c r="G18" t="s">
        <v>12</v>
      </c>
      <c r="H18" t="s">
        <v>752</v>
      </c>
      <c r="I18">
        <f>INDEX(char2Weapons, MATCH("Proc 1 Name",weapons!$A$67:$A$131, 0), MATCH(char2WeaponName, weapons!$A$67:$CV$67, 0))</f>
        <v>0</v>
      </c>
      <c r="J18">
        <f>INDEX(INDEX(char2Weapons, 0, MATCH(char2WeaponName, INDEX(char2Weapons, 1, 0), 0)), MATCH("Proc 1 Damage Type", INDEX(char2Weapons, 0, 1), 0), 1)</f>
        <v>0</v>
      </c>
      <c r="K18">
        <f>INDEX(INDEX(char2Weapons, 0, MATCH(char2WeaponName, INDEX(char2Weapons, 1, 0), 0)), MATCH("Proc 1 Talent%", INDEX(char2Weapons, 0, 1), 0), 1)</f>
        <v>0</v>
      </c>
      <c r="L18">
        <f>INDEX(INDEX(char2Weapons, 0, MATCH(char2WeaponName, INDEX(char2Weapons, 1, 0), 0)), MATCH("Proc 1 Scaling Stat", INDEX(char2Weapons, 0, 1), 0), 1)</f>
        <v>0</v>
      </c>
      <c r="M18">
        <f>INDEX(INDEX(char2Weapons, 0, MATCH(char2WeaponName, INDEX(char2Weapons, 1, 0), 0)), MATCH("Proc 1 Element", INDEX(char2Weapons, 0, 1), 0), 1)</f>
        <v>0</v>
      </c>
    </row>
    <row r="19" spans="1:22" x14ac:dyDescent="0.25">
      <c r="A19">
        <v>80</v>
      </c>
      <c r="G19" t="s">
        <v>236</v>
      </c>
      <c r="H19" t="s">
        <v>754</v>
      </c>
      <c r="I19">
        <f>INDEX(char2Weapons, MATCH("Proc 2 Name",weapons!$A$67:$A$131, 0), MATCH(char2WeaponName, weapons!$A$67:$CV$67, 0))</f>
        <v>0</v>
      </c>
      <c r="J19">
        <f>INDEX(INDEX(char2Weapons, 0, MATCH(char2WeaponName, INDEX(char2Weapons, 1, 0), 0)), MATCH("Proc 2 Damage Type", INDEX(char2Weapons, 0, 1), 0), 1)</f>
        <v>0</v>
      </c>
      <c r="K19">
        <f>INDEX(INDEX(char2Weapons, 0, MATCH(char2WeaponName, INDEX(char2Weapons, 1, 0), 0)), MATCH("Proc 2 Talent%", INDEX(char2Weapons, 0, 1), 0), 1)</f>
        <v>0</v>
      </c>
      <c r="L19">
        <f>INDEX(INDEX(char2Weapons, 0, MATCH(char2WeaponName, INDEX(char2Weapons, 1, 0), 0)), MATCH("Proc 2 Scaling Stat", INDEX(char2Weapons, 0, 1), 0), 1)</f>
        <v>0</v>
      </c>
      <c r="M19">
        <f>INDEX(INDEX(char2Weapons, 0, MATCH(char2WeaponName, INDEX(char2Weapons, 1, 0), 0)), MATCH("Proc 2 Element", INDEX(char2Weapons, 0, 1), 0), 1)</f>
        <v>0</v>
      </c>
      <c r="O19" t="s">
        <v>806</v>
      </c>
    </row>
    <row r="20" spans="1:22" x14ac:dyDescent="0.25">
      <c r="A20" t="s">
        <v>415</v>
      </c>
      <c r="G20" t="s">
        <v>247</v>
      </c>
      <c r="H20" t="s">
        <v>691</v>
      </c>
      <c r="I20">
        <f>INDEX(char2Weapons, MATCH("Proc 3 Name",weapons!$A$67:$A$131, 0), MATCH(char2WeaponName, weapons!$A$67:$CV$67, 0))</f>
        <v>0</v>
      </c>
      <c r="J20">
        <f>INDEX(INDEX(char2Weapons, 0, MATCH(char2WeaponName, INDEX(char2Weapons, 1, 0), 0)), MATCH("Proc 3 Damage Type", INDEX(char2Weapons, 0, 1), 0), 1)</f>
        <v>0</v>
      </c>
      <c r="K20">
        <f>INDEX(INDEX(char2Weapons, 0, MATCH(char2WeaponName, INDEX(char2Weapons, 1, 0), 0)), MATCH("Proc 3 Talent%", INDEX(char2Weapons, 0, 1), 0), 1)</f>
        <v>0</v>
      </c>
      <c r="L20">
        <f>INDEX(INDEX(char2Weapons, 0, MATCH(char2WeaponName, INDEX(char2Weapons, 1, 0), 0)), MATCH("Proc 3 Scaling Stat", INDEX(char2Weapons, 0, 1), 0), 1)</f>
        <v>0</v>
      </c>
      <c r="M20">
        <f>INDEX(INDEX(char2Weapons, 0, MATCH(char2WeaponName, INDEX(char2Weapons, 1, 0), 0)), MATCH("Proc 3 Element", INDEX(char2Weapons, 0, 1), 0), 1)</f>
        <v>0</v>
      </c>
      <c r="O20" t="s">
        <v>624</v>
      </c>
      <c r="P20">
        <v>1</v>
      </c>
    </row>
    <row r="21" spans="1:22" x14ac:dyDescent="0.25">
      <c r="A21">
        <v>90</v>
      </c>
      <c r="G21" t="s">
        <v>303</v>
      </c>
      <c r="H21" t="s">
        <v>754</v>
      </c>
      <c r="I21" t="s">
        <v>626</v>
      </c>
      <c r="J21" t="s">
        <v>11</v>
      </c>
      <c r="K21" t="s">
        <v>772</v>
      </c>
      <c r="L21" t="s">
        <v>124</v>
      </c>
      <c r="M21" t="s">
        <v>750</v>
      </c>
      <c r="O21" t="s">
        <v>625</v>
      </c>
      <c r="P21">
        <v>5</v>
      </c>
    </row>
    <row r="22" spans="1:22" x14ac:dyDescent="0.25">
      <c r="G22" t="s">
        <v>255</v>
      </c>
      <c r="H22" t="s">
        <v>754</v>
      </c>
      <c r="I22" t="str">
        <f>INDEX(char3Weapons, MATCH("Proc 1 Name",weapons!$A$133:$A$197, 0), MATCH(char3WeaponName, weapons!$A$133:$CV$133, 0))</f>
        <v>Prototype Amber Healing</v>
      </c>
      <c r="J22" t="str">
        <f>INDEX(INDEX(char3Weapons, 0, MATCH(char3WeaponName, INDEX(char3Weapons, 1, 0), 0)), MATCH("Proc 1 Damage Type", INDEX(char3Weapons, 0, 1), 0), 1)</f>
        <v>Healing</v>
      </c>
      <c r="K22">
        <f>INDEX(INDEX(char3Weapons, 0, MATCH(char3WeaponName, INDEX(char3Weapons, 1, 0), 0)), MATCH("Proc 1 Talent%", INDEX(char3Weapons, 0, 1), 0), 1)</f>
        <v>0.06</v>
      </c>
      <c r="L22" t="str">
        <f>INDEX(INDEX(char3Weapons, 0, MATCH(char3WeaponName, INDEX(char3Weapons, 1, 0), 0)), MATCH("Proc 1 Scaling Stat", INDEX(char3Weapons, 0, 1), 0), 1)</f>
        <v>HP</v>
      </c>
      <c r="M22" t="str">
        <f>INDEX(INDEX(char3Weapons, 0, MATCH(char3WeaponName, INDEX(char3Weapons, 1, 0), 0)), MATCH("Proc 1 Element", INDEX(char3Weapons, 0, 1), 0), 1)</f>
        <v>None</v>
      </c>
      <c r="O22" t="s">
        <v>626</v>
      </c>
      <c r="P22">
        <v>9</v>
      </c>
    </row>
    <row r="23" spans="1:22" x14ac:dyDescent="0.25">
      <c r="G23" t="s">
        <v>261</v>
      </c>
      <c r="H23" t="s">
        <v>753</v>
      </c>
      <c r="I23">
        <f>INDEX(char3Weapons, MATCH("Proc 2 Name",weapons!$A$133:$A$197, 0), MATCH(char3WeaponName, weapons!$A$133:$CV$133, 0))</f>
        <v>0</v>
      </c>
      <c r="J23">
        <f>INDEX(INDEX(char3Weapons, 0, MATCH(char3WeaponName, INDEX(char3Weapons, 1, 0), 0)), MATCH("Proc 2 Damage Type", INDEX(char3Weapons, 0, 1), 0), 1)</f>
        <v>0</v>
      </c>
      <c r="K23">
        <f>INDEX(INDEX(char3Weapons, 0, MATCH(char3WeaponName, INDEX(char3Weapons, 1, 0), 0)), MATCH("Proc 2 Talent%", INDEX(char3Weapons, 0, 1), 0), 1)</f>
        <v>0</v>
      </c>
      <c r="L23">
        <f>INDEX(INDEX(char3Weapons, 0, MATCH(char3WeaponName, INDEX(char3Weapons, 1, 0), 0)), MATCH("Proc 2 Scaling Stat", INDEX(char3Weapons, 0, 1), 0), 1)</f>
        <v>0</v>
      </c>
      <c r="M23">
        <f>INDEX(INDEX(char3Weapons, 0, MATCH(char3WeaponName, INDEX(char3Weapons, 1, 0), 0)), MATCH("Proc 2 Element", INDEX(char3Weapons, 0, 1), 0), 1)</f>
        <v>0</v>
      </c>
      <c r="O23" t="s">
        <v>627</v>
      </c>
      <c r="P23">
        <v>13</v>
      </c>
    </row>
    <row r="24" spans="1:22" x14ac:dyDescent="0.25">
      <c r="G24" t="s">
        <v>267</v>
      </c>
      <c r="H24" t="s">
        <v>751</v>
      </c>
      <c r="I24">
        <f>INDEX(char3Weapons, MATCH("Proc 3 Name",weapons!$A$133:$A$197, 0), MATCH(char3WeaponName, weapons!$A$133:$CV$133, 0))</f>
        <v>0</v>
      </c>
      <c r="J24">
        <f>INDEX(INDEX(char3Weapons, 0, MATCH(char3WeaponName, INDEX(char3Weapons, 1, 0), 0)), MATCH("Proc 3 Damage Type", INDEX(char3Weapons, 0, 1), 0), 1)</f>
        <v>0</v>
      </c>
      <c r="K24">
        <f>INDEX(INDEX(char3Weapons, 0, MATCH(char3WeaponName, INDEX(char3Weapons, 1, 0), 0)), MATCH("Proc 3 Talent%", INDEX(char3Weapons, 0, 1), 0), 1)</f>
        <v>0</v>
      </c>
      <c r="L24">
        <f>INDEX(INDEX(char3Weapons, 0, MATCH(char3WeaponName, INDEX(char3Weapons, 1, 0), 0)), MATCH("Proc 3 Scaling Stat", INDEX(char3Weapons, 0, 1), 0), 1)</f>
        <v>0</v>
      </c>
      <c r="M24">
        <f>INDEX(INDEX(char3Weapons, 0, MATCH(char3WeaponName, INDEX(char3Weapons, 1, 0), 0)), MATCH("Proc 3 Element", INDEX(char3Weapons, 0, 1), 0), 1)</f>
        <v>0</v>
      </c>
    </row>
    <row r="25" spans="1:22" x14ac:dyDescent="0.25">
      <c r="G25" t="s">
        <v>269</v>
      </c>
      <c r="H25" t="s">
        <v>751</v>
      </c>
      <c r="I25" t="s">
        <v>627</v>
      </c>
      <c r="J25" t="s">
        <v>11</v>
      </c>
      <c r="K25" t="s">
        <v>772</v>
      </c>
      <c r="L25" t="s">
        <v>124</v>
      </c>
      <c r="M25" t="s">
        <v>750</v>
      </c>
    </row>
    <row r="26" spans="1:22" x14ac:dyDescent="0.25">
      <c r="G26" t="s">
        <v>273</v>
      </c>
      <c r="H26" t="s">
        <v>752</v>
      </c>
      <c r="I26">
        <f>INDEX(char4Weapons, MATCH("Proc 1 Name",weapons!$A$199:$A$263, 0), MATCH(char4WeaponName, weapons!$A$199:$CV$199, 0))</f>
        <v>0</v>
      </c>
      <c r="J26">
        <f>INDEX(INDEX(char4Weapons, 0, MATCH(char4WeaponName, INDEX(char4Weapons, 1, 0), 0)), MATCH("Proc 1 Damage Type", INDEX(char4Weapons, 0, 1), 0), 1)</f>
        <v>0</v>
      </c>
      <c r="K26">
        <f>INDEX(INDEX(char4Weapons, 0, MATCH(char4WeaponName, INDEX(char4Weapons, 1, 0), 0)), MATCH("Proc 1 Talent%", INDEX(char4Weapons, 0, 1), 0), 1)</f>
        <v>0</v>
      </c>
      <c r="L26">
        <f>INDEX(INDEX(char4Weapons, 0, MATCH(char4WeaponName, INDEX(char4Weapons, 1, 0), 0)), MATCH("Proc 1 Scaling Stat", INDEX(char4Weapons, 0, 1), 0), 1)</f>
        <v>0</v>
      </c>
      <c r="M26">
        <f>INDEX(INDEX(char4Weapons, 0, MATCH(char4WeaponName, INDEX(char4Weapons, 1, 0), 0)), MATCH("Proc 1 Element", INDEX(char4Weapons, 0, 1), 0), 1)</f>
        <v>0</v>
      </c>
    </row>
    <row r="27" spans="1:22" x14ac:dyDescent="0.25">
      <c r="G27" t="s">
        <v>281</v>
      </c>
      <c r="H27" t="s">
        <v>754</v>
      </c>
      <c r="I27">
        <f>INDEX(char4Weapons, MATCH("Proc 2 Name",weapons!$A$199:$A$263, 0), MATCH(char4WeaponName, weapons!$A$199:$CV$199, 0))</f>
        <v>0</v>
      </c>
      <c r="J27">
        <f>INDEX(INDEX(char4Weapons, 0, MATCH(char4WeaponName, INDEX(char4Weapons, 1, 0), 0)), MATCH("Proc 2 Damage Type", INDEX(char4Weapons, 0, 1), 0), 1)</f>
        <v>0</v>
      </c>
      <c r="K27">
        <f>INDEX(INDEX(char4Weapons, 0, MATCH(char4WeaponName, INDEX(char4Weapons, 1, 0), 0)), MATCH("Proc 2 Talent%", INDEX(char4Weapons, 0, 1), 0), 1)</f>
        <v>0</v>
      </c>
      <c r="L27">
        <f>INDEX(INDEX(char4Weapons, 0, MATCH(char4WeaponName, INDEX(char4Weapons, 1, 0), 0)), MATCH("Proc 2 Scaling Stat", INDEX(char4Weapons, 0, 1), 0), 1)</f>
        <v>0</v>
      </c>
      <c r="M27">
        <f>INDEX(INDEX(char4Weapons, 0, MATCH(char4WeaponName, INDEX(char4Weapons, 1, 0), 0)), MATCH("Proc 2 Element", INDEX(char4Weapons, 0, 1), 0), 1)</f>
        <v>0</v>
      </c>
    </row>
    <row r="28" spans="1:22" x14ac:dyDescent="0.25">
      <c r="G28" t="s">
        <v>279</v>
      </c>
      <c r="H28" t="s">
        <v>754</v>
      </c>
      <c r="I28">
        <f>INDEX(char4Weapons, MATCH("Proc 3 Name",weapons!$A$199:$A$263, 0), MATCH(char4WeaponName, weapons!$A$199:$CV$199, 0))</f>
        <v>0</v>
      </c>
      <c r="J28">
        <f>INDEX(INDEX(char4Weapons, 0, MATCH(char4WeaponName, INDEX(char4Weapons, 1, 0), 0)), MATCH("Proc 3 Damage Type", INDEX(char4Weapons, 0, 1), 0), 1)</f>
        <v>0</v>
      </c>
      <c r="K28">
        <f>INDEX(INDEX(char4Weapons, 0, MATCH(char4WeaponName, INDEX(char4Weapons, 1, 0), 0)), MATCH("Proc 3 Talent%", INDEX(char4Weapons, 0, 1), 0), 1)</f>
        <v>0</v>
      </c>
      <c r="L28">
        <f>INDEX(INDEX(char4Weapons, 0, MATCH(char4WeaponName, INDEX(char4Weapons, 1, 0), 0)), MATCH("Proc 3 Scaling Stat", INDEX(char4Weapons, 0, 1), 0), 1)</f>
        <v>0</v>
      </c>
      <c r="M28">
        <f>INDEX(INDEX(char4Weapons, 0, MATCH(char4WeaponName, INDEX(char4Weapons, 1, 0), 0)), MATCH("Proc 3 Element", INDEX(char4Weapons, 0, 1), 0), 1)</f>
        <v>0</v>
      </c>
    </row>
    <row r="29" spans="1:22" x14ac:dyDescent="0.25">
      <c r="G29" t="s">
        <v>297</v>
      </c>
      <c r="H29" t="s">
        <v>752</v>
      </c>
      <c r="O29" t="s">
        <v>802</v>
      </c>
      <c r="P29" t="s">
        <v>6</v>
      </c>
      <c r="Q29" t="s">
        <v>5</v>
      </c>
      <c r="R29" t="s">
        <v>3</v>
      </c>
      <c r="S29" t="s">
        <v>19</v>
      </c>
      <c r="T29" t="s">
        <v>0</v>
      </c>
      <c r="U29" t="s">
        <v>23</v>
      </c>
      <c r="V29" t="s">
        <v>24</v>
      </c>
    </row>
    <row r="30" spans="1:22" x14ac:dyDescent="0.25">
      <c r="G30" t="s">
        <v>254</v>
      </c>
      <c r="H30" t="s">
        <v>753</v>
      </c>
      <c r="I30" t="s">
        <v>801</v>
      </c>
      <c r="J30" t="s">
        <v>624</v>
      </c>
      <c r="K30" t="s">
        <v>625</v>
      </c>
      <c r="L30" t="s">
        <v>626</v>
      </c>
      <c r="M30" t="s">
        <v>627</v>
      </c>
      <c r="O30" t="s">
        <v>624</v>
      </c>
      <c r="P30">
        <f>char1NATalentLevel</f>
        <v>9</v>
      </c>
      <c r="Q30">
        <f>char1NATalentLevel</f>
        <v>9</v>
      </c>
      <c r="R30">
        <f>char1NATalentLevel</f>
        <v>9</v>
      </c>
      <c r="S30">
        <f>char1SkillTalentLevel</f>
        <v>9</v>
      </c>
      <c r="T30">
        <f>char1BurstTalentLevel</f>
        <v>9</v>
      </c>
      <c r="U30">
        <f>INDEX($O$29:$T$33, MATCH($O30, $O$29:$O$33, 0), MATCH($J$31, $O$29:$T$29, 0))</f>
        <v>9</v>
      </c>
      <c r="V30">
        <f>INDEX($O$29:$T$33, MATCH($O30, $O$29:$O$33, 0), MATCH($J$32, $O$29:$T$29, 0))</f>
        <v>9</v>
      </c>
    </row>
    <row r="31" spans="1:22" x14ac:dyDescent="0.25">
      <c r="G31" t="s">
        <v>308</v>
      </c>
      <c r="H31" t="s">
        <v>755</v>
      </c>
      <c r="I31" t="s">
        <v>23</v>
      </c>
      <c r="J31" t="str">
        <f>char1SkillEchoDMGType</f>
        <v>Skill</v>
      </c>
      <c r="K31" t="str">
        <f>char2SkillEchoDamageType</f>
        <v>Skill</v>
      </c>
      <c r="L31" t="str">
        <f>char3SkillEchoDamageType</f>
        <v>skill</v>
      </c>
      <c r="M31" t="str">
        <f>char4SkillEchoDamageType</f>
        <v>Plunge</v>
      </c>
      <c r="O31" t="s">
        <v>625</v>
      </c>
      <c r="P31">
        <f>char2NATalentLevel</f>
        <v>9</v>
      </c>
      <c r="Q31">
        <f>char2NATalentLevel</f>
        <v>9</v>
      </c>
      <c r="R31">
        <f>char2NATalentLevel</f>
        <v>9</v>
      </c>
      <c r="S31">
        <f>char2SkillTalentLevel</f>
        <v>9</v>
      </c>
      <c r="T31">
        <f>char2BurstTalentLevel</f>
        <v>9</v>
      </c>
      <c r="U31">
        <f>INDEX($O$29:$T$33, MATCH($O31, $O$29:$O$33, 0), MATCH($K$31, $O$29:$T$29, 0))</f>
        <v>9</v>
      </c>
      <c r="V31">
        <f>INDEX($O$29:$T$33, MATCH($O31, $O$29:$O$33, 0), MATCH($K$32, $O$29:$T$29, 0))</f>
        <v>9</v>
      </c>
    </row>
    <row r="32" spans="1:22" x14ac:dyDescent="0.25">
      <c r="G32" t="s">
        <v>316</v>
      </c>
      <c r="H32" t="s">
        <v>755</v>
      </c>
      <c r="I32" t="s">
        <v>24</v>
      </c>
      <c r="J32" t="str">
        <f>char1BurstEchoDMGType</f>
        <v>Burst</v>
      </c>
      <c r="K32" t="str" cm="1">
        <f t="array" ref="K32">char2BurstEchoDMGType</f>
        <v>Burst</v>
      </c>
      <c r="L32" t="str" cm="1">
        <f t="array" ref="L32">char3BurstEchoDMGType</f>
        <v>burst</v>
      </c>
      <c r="M32" t="str" cm="1">
        <f t="array" ref="M32">char4BurstEchoDMGType</f>
        <v>Burst</v>
      </c>
      <c r="O32" t="s">
        <v>626</v>
      </c>
      <c r="P32">
        <f>char3NATalentLevel</f>
        <v>9</v>
      </c>
      <c r="Q32">
        <f>char3NATalentLevel</f>
        <v>9</v>
      </c>
      <c r="R32">
        <f>char3NATalentLevel</f>
        <v>9</v>
      </c>
      <c r="S32">
        <f>char3SkillTalentLevel</f>
        <v>9</v>
      </c>
      <c r="T32">
        <f>char3BurstTalentLevel</f>
        <v>9</v>
      </c>
      <c r="U32">
        <f>INDEX($O$29:$T$33, MATCH($O32, $O$29:$O$33, 0), MATCH($L$31, $O$29:$T$29, 0))</f>
        <v>9</v>
      </c>
      <c r="V32">
        <f>INDEX($O$29:$T$33, MATCH($O32, $O$29:$O$33, 0), MATCH($L$32, $O$29:$T$29, 0))</f>
        <v>9</v>
      </c>
    </row>
    <row r="33" spans="7:22" x14ac:dyDescent="0.25">
      <c r="G33" t="s">
        <v>318</v>
      </c>
      <c r="H33" t="s">
        <v>753</v>
      </c>
      <c r="O33" t="s">
        <v>627</v>
      </c>
      <c r="P33">
        <f>char4NATalentLevel</f>
        <v>9</v>
      </c>
      <c r="Q33">
        <f>char4NATalentLevel</f>
        <v>9</v>
      </c>
      <c r="R33">
        <f>char4NATalentLevel</f>
        <v>9</v>
      </c>
      <c r="S33">
        <f>char4SkillTalentLevel</f>
        <v>9</v>
      </c>
      <c r="T33">
        <f>char4BurstTalentLevel</f>
        <v>9</v>
      </c>
      <c r="U33">
        <f>INDEX($O$29:$T$33, MATCH($O33, $O$29:$O$33, 0), MATCH($M$31, $O$29:$T$29, 0))</f>
        <v>9</v>
      </c>
      <c r="V33">
        <f>INDEX($O$29:$T$33, MATCH($O33, $O$29:$O$33, 0), MATCH($M$32, $O$29:$T$29, 0))</f>
        <v>9</v>
      </c>
    </row>
    <row r="34" spans="7:22" x14ac:dyDescent="0.25">
      <c r="G34" t="s">
        <v>749</v>
      </c>
      <c r="H34" t="s">
        <v>691</v>
      </c>
    </row>
    <row r="35" spans="7:22" x14ac:dyDescent="0.25">
      <c r="G35" t="s">
        <v>425</v>
      </c>
      <c r="H35" t="s">
        <v>751</v>
      </c>
      <c r="O35" t="s">
        <v>947</v>
      </c>
      <c r="P35" t="s">
        <v>948</v>
      </c>
      <c r="Q35" t="s">
        <v>949</v>
      </c>
    </row>
    <row r="36" spans="7:22" x14ac:dyDescent="0.25">
      <c r="G36" t="s">
        <v>426</v>
      </c>
      <c r="H36" t="s">
        <v>755</v>
      </c>
      <c r="O36" t="str">
        <f>char1Name</f>
        <v>Shenhe</v>
      </c>
      <c r="P36">
        <f>char1FinalHealingBonus</f>
        <v>0</v>
      </c>
      <c r="Q36">
        <f>char1FinalHealingReceived</f>
        <v>0</v>
      </c>
    </row>
    <row r="37" spans="7:22" x14ac:dyDescent="0.25">
      <c r="G37" t="s">
        <v>427</v>
      </c>
      <c r="H37" t="s">
        <v>754</v>
      </c>
      <c r="I37" t="s">
        <v>800</v>
      </c>
      <c r="J37" t="s">
        <v>624</v>
      </c>
      <c r="K37" t="s">
        <v>625</v>
      </c>
      <c r="L37" t="s">
        <v>626</v>
      </c>
      <c r="M37" t="s">
        <v>627</v>
      </c>
      <c r="O37" t="str">
        <f>char2Name</f>
        <v>Ganyu</v>
      </c>
      <c r="P37">
        <f>char2FinalHealingBonus</f>
        <v>0</v>
      </c>
      <c r="Q37">
        <f>char2FinalHealingReceived</f>
        <v>0</v>
      </c>
    </row>
    <row r="38" spans="7:22" x14ac:dyDescent="0.25">
      <c r="G38" t="s">
        <v>333</v>
      </c>
      <c r="H38" t="s">
        <v>755</v>
      </c>
      <c r="I38" t="s">
        <v>23</v>
      </c>
      <c r="J38">
        <f t="shared" ref="J38:M39" si="0">INDEX($O$29:$T$33, MATCH(J$37, $O$29:$O$33, 0), MATCH(J31, $O$29:$T$29, 0))</f>
        <v>9</v>
      </c>
      <c r="K38">
        <f t="shared" si="0"/>
        <v>9</v>
      </c>
      <c r="L38">
        <f t="shared" si="0"/>
        <v>9</v>
      </c>
      <c r="M38">
        <f t="shared" si="0"/>
        <v>9</v>
      </c>
      <c r="O38" t="str">
        <f>char3Name</f>
        <v>Mona</v>
      </c>
      <c r="P38">
        <f>char3FinalHealingBonus</f>
        <v>0</v>
      </c>
      <c r="Q38">
        <f>char3FinalHealingReceived</f>
        <v>0</v>
      </c>
    </row>
    <row r="39" spans="7:22" x14ac:dyDescent="0.25">
      <c r="G39" t="s">
        <v>337</v>
      </c>
      <c r="H39" t="s">
        <v>691</v>
      </c>
      <c r="I39" t="s">
        <v>24</v>
      </c>
      <c r="J39">
        <f t="shared" si="0"/>
        <v>9</v>
      </c>
      <c r="K39">
        <f t="shared" si="0"/>
        <v>9</v>
      </c>
      <c r="L39">
        <f t="shared" si="0"/>
        <v>9</v>
      </c>
      <c r="M39">
        <f t="shared" si="0"/>
        <v>9</v>
      </c>
      <c r="O39" t="str">
        <f>char4Name</f>
        <v>Venti</v>
      </c>
      <c r="P39">
        <f>char4FinalHealingBonus</f>
        <v>0</v>
      </c>
      <c r="Q39">
        <f>char4FinalHealingReceived</f>
        <v>0</v>
      </c>
    </row>
    <row r="40" spans="7:22" x14ac:dyDescent="0.25">
      <c r="G40" t="s">
        <v>344</v>
      </c>
      <c r="H40" t="s">
        <v>755</v>
      </c>
    </row>
    <row r="41" spans="7:22" x14ac:dyDescent="0.25">
      <c r="G41" t="s">
        <v>346</v>
      </c>
      <c r="H41" t="s">
        <v>753</v>
      </c>
    </row>
    <row r="42" spans="7:22" x14ac:dyDescent="0.25">
      <c r="G42" t="s">
        <v>349</v>
      </c>
      <c r="H42" t="s">
        <v>691</v>
      </c>
      <c r="I42" t="s">
        <v>803</v>
      </c>
    </row>
    <row r="43" spans="7:22" x14ac:dyDescent="0.25">
      <c r="G43" t="s">
        <v>353</v>
      </c>
      <c r="H43" t="s">
        <v>691</v>
      </c>
      <c r="I43" t="s">
        <v>624</v>
      </c>
      <c r="J43">
        <f>char1TransformativeMult</f>
        <v>725.3599999999999</v>
      </c>
    </row>
    <row r="44" spans="7:22" x14ac:dyDescent="0.25">
      <c r="G44" t="s">
        <v>360</v>
      </c>
      <c r="H44" t="s">
        <v>691</v>
      </c>
      <c r="I44" t="s">
        <v>625</v>
      </c>
      <c r="J44">
        <f>char2TransformativeMult</f>
        <v>725.3599999999999</v>
      </c>
    </row>
    <row r="45" spans="7:22" x14ac:dyDescent="0.25">
      <c r="G45" t="s">
        <v>363</v>
      </c>
      <c r="H45" t="s">
        <v>751</v>
      </c>
      <c r="I45" t="s">
        <v>626</v>
      </c>
      <c r="J45">
        <f>char3TransformativeMult</f>
        <v>725.3599999999999</v>
      </c>
    </row>
    <row r="46" spans="7:22" x14ac:dyDescent="0.25">
      <c r="G46" t="s">
        <v>429</v>
      </c>
      <c r="H46" t="s">
        <v>751</v>
      </c>
      <c r="I46" t="s">
        <v>627</v>
      </c>
      <c r="J46">
        <f>char4TransformativeMult</f>
        <v>725.3599999999999</v>
      </c>
    </row>
    <row r="47" spans="7:22" x14ac:dyDescent="0.25">
      <c r="G47" t="s">
        <v>1042</v>
      </c>
      <c r="H47" t="s">
        <v>752</v>
      </c>
    </row>
    <row r="48" spans="7:22" x14ac:dyDescent="0.25">
      <c r="G48" t="s">
        <v>1047</v>
      </c>
      <c r="H48" t="s">
        <v>751</v>
      </c>
    </row>
    <row r="49" spans="1:18" x14ac:dyDescent="0.25">
      <c r="G49" t="s">
        <v>807</v>
      </c>
      <c r="H49" t="s">
        <v>751</v>
      </c>
      <c r="I49" t="s">
        <v>961</v>
      </c>
    </row>
    <row r="50" spans="1:18" x14ac:dyDescent="0.25">
      <c r="I50" t="s">
        <v>385</v>
      </c>
      <c r="J50" t="s">
        <v>752</v>
      </c>
    </row>
    <row r="51" spans="1:18" x14ac:dyDescent="0.25">
      <c r="I51" t="s">
        <v>389</v>
      </c>
      <c r="J51" t="s">
        <v>754</v>
      </c>
    </row>
    <row r="52" spans="1:18" x14ac:dyDescent="0.25">
      <c r="I52" t="s">
        <v>386</v>
      </c>
      <c r="J52" t="s">
        <v>691</v>
      </c>
    </row>
    <row r="53" spans="1:18" x14ac:dyDescent="0.25">
      <c r="I53" t="s">
        <v>388</v>
      </c>
      <c r="J53" t="s">
        <v>962</v>
      </c>
    </row>
    <row r="54" spans="1:18" x14ac:dyDescent="0.25">
      <c r="I54" t="s">
        <v>387</v>
      </c>
      <c r="J54" t="s">
        <v>691</v>
      </c>
    </row>
    <row r="55" spans="1:18" x14ac:dyDescent="0.25">
      <c r="I55" t="s">
        <v>391</v>
      </c>
      <c r="J55" t="s">
        <v>753</v>
      </c>
    </row>
    <row r="56" spans="1:18" x14ac:dyDescent="0.25">
      <c r="I56" t="s">
        <v>390</v>
      </c>
      <c r="J56" t="s">
        <v>752</v>
      </c>
    </row>
    <row r="57" spans="1:18" x14ac:dyDescent="0.25">
      <c r="I57" t="s">
        <v>393</v>
      </c>
      <c r="J57" t="s">
        <v>754</v>
      </c>
    </row>
    <row r="59" spans="1:18" x14ac:dyDescent="0.25">
      <c r="A59" s="207" t="s">
        <v>1048</v>
      </c>
      <c r="B59">
        <v>1</v>
      </c>
      <c r="C59">
        <v>2</v>
      </c>
      <c r="D59">
        <v>3</v>
      </c>
      <c r="E59">
        <v>4</v>
      </c>
      <c r="F59">
        <v>5</v>
      </c>
      <c r="G59">
        <v>6</v>
      </c>
      <c r="H59">
        <v>7</v>
      </c>
      <c r="I59">
        <v>8</v>
      </c>
      <c r="J59">
        <v>9</v>
      </c>
      <c r="K59">
        <v>10</v>
      </c>
      <c r="L59">
        <v>11</v>
      </c>
      <c r="M59">
        <v>12</v>
      </c>
      <c r="N59">
        <v>13</v>
      </c>
      <c r="O59">
        <v>14</v>
      </c>
      <c r="P59">
        <v>15</v>
      </c>
      <c r="Q59" t="s">
        <v>124</v>
      </c>
      <c r="R59" t="s">
        <v>1052</v>
      </c>
    </row>
    <row r="60" spans="1:18" x14ac:dyDescent="0.25">
      <c r="A60" t="s">
        <v>1049</v>
      </c>
      <c r="B60" s="29">
        <v>0.45660000000000001</v>
      </c>
      <c r="C60" s="29">
        <v>0.49080000000000001</v>
      </c>
      <c r="D60" s="29">
        <v>0.52500000000000002</v>
      </c>
      <c r="E60" s="29">
        <v>0.57069999999999999</v>
      </c>
      <c r="F60" s="29">
        <v>0.60489999999999999</v>
      </c>
      <c r="G60" s="29">
        <v>0.63919999999999999</v>
      </c>
      <c r="H60" s="29">
        <v>0.68479999999999996</v>
      </c>
      <c r="I60" s="29">
        <v>0.73050000000000004</v>
      </c>
      <c r="J60" s="29">
        <v>0.7762</v>
      </c>
      <c r="K60" s="29">
        <v>0.82179999999999997</v>
      </c>
      <c r="L60" s="29">
        <v>0.86750000000000005</v>
      </c>
      <c r="M60" s="29">
        <v>0.91310000000000002</v>
      </c>
      <c r="N60" s="29">
        <v>0.97019999999999995</v>
      </c>
      <c r="O60" s="29">
        <v>1.0273000000000001</v>
      </c>
      <c r="P60" s="29">
        <v>1.0843</v>
      </c>
      <c r="Q60" t="s">
        <v>125</v>
      </c>
      <c r="R60" t="b">
        <f>IF(COUNTIF($A$2:$A$5, "Shenhe")&gt;0, TRUE, FALSE)</f>
        <v>1</v>
      </c>
    </row>
    <row r="61" spans="1:18" x14ac:dyDescent="0.25">
      <c r="A61" t="s">
        <v>1050</v>
      </c>
      <c r="B61" s="2">
        <v>0.3216</v>
      </c>
      <c r="C61" s="2">
        <v>0.34570000000000001</v>
      </c>
      <c r="D61" s="2">
        <v>0.36980000000000002</v>
      </c>
      <c r="E61" s="2">
        <v>0.40200000000000002</v>
      </c>
      <c r="F61" s="2">
        <v>0.42609999999999998</v>
      </c>
      <c r="G61" s="2">
        <v>0.45019999999999999</v>
      </c>
      <c r="H61" s="2">
        <v>0.4824</v>
      </c>
      <c r="I61" s="2">
        <v>0.51459999999999995</v>
      </c>
      <c r="J61" s="2">
        <v>0.54669999999999996</v>
      </c>
      <c r="K61" s="2">
        <v>0.57889999999999997</v>
      </c>
      <c r="L61" s="2">
        <v>0.61099999999999999</v>
      </c>
      <c r="M61" s="2">
        <v>0.64319999999999999</v>
      </c>
      <c r="N61" s="2">
        <v>0.68340000000000001</v>
      </c>
      <c r="O61" s="2">
        <v>0.72360000000000002</v>
      </c>
      <c r="P61" s="2">
        <v>0.76380000000000003</v>
      </c>
      <c r="Q61" t="s">
        <v>128</v>
      </c>
      <c r="R61" t="b">
        <f>IF(COUNTIF($A$2:$A$5, "Yunjin")&gt;0, TRUE, FALSE)</f>
        <v>0</v>
      </c>
    </row>
    <row r="63" spans="1:18" x14ac:dyDescent="0.25">
      <c r="A63" t="s">
        <v>1056</v>
      </c>
      <c r="B63" t="s">
        <v>1061</v>
      </c>
      <c r="C63" t="s">
        <v>618</v>
      </c>
      <c r="D63" t="s">
        <v>1062</v>
      </c>
      <c r="E63" t="s">
        <v>124</v>
      </c>
      <c r="F63" t="s">
        <v>1051</v>
      </c>
      <c r="G63" t="s">
        <v>1063</v>
      </c>
      <c r="H63" t="s">
        <v>1160</v>
      </c>
      <c r="J63" t="s">
        <v>1159</v>
      </c>
      <c r="K63" t="s">
        <v>125</v>
      </c>
      <c r="L63" t="s">
        <v>128</v>
      </c>
      <c r="M63" t="s">
        <v>223</v>
      </c>
    </row>
    <row r="64" spans="1:18" x14ac:dyDescent="0.25">
      <c r="A64" t="str">
        <f>IF(R60, "Shenhe Quills", "")</f>
        <v>Shenhe Quills</v>
      </c>
      <c r="B64" t="str">
        <f>IFERROR(VLOOKUP("Shenhe", $A$2:$B$5, 2, 0),"")</f>
        <v>char1</v>
      </c>
      <c r="C64">
        <f>INDEX($O$29:$V$33, MATCH(B64, $O$29:$O$33, 0), 5)</f>
        <v>9</v>
      </c>
      <c r="D64">
        <f>HLOOKUP(C64, $A$59:$R$61, 2, 0)</f>
        <v>0.7762</v>
      </c>
      <c r="E64" t="s">
        <v>125</v>
      </c>
      <c r="F64">
        <f ca="1">INDEX($O$7:$R$11, MATCH(B64, $O$7:$O$11, 0), MATCH(E64, $O$7:$R$7, 0))</f>
        <v>2764.4187999999999</v>
      </c>
      <c r="G64">
        <f ca="1">D64*F64</f>
        <v>2145.74187256</v>
      </c>
      <c r="H64">
        <f>VLOOKUP(B64, $J$63:$M$67, MATCH(E64, $J$63:$M$63, 0), 0)</f>
        <v>869</v>
      </c>
      <c r="J64" t="s">
        <v>624</v>
      </c>
      <c r="K64">
        <f>char1BaseATK+char1WeaponBaseATK</f>
        <v>869</v>
      </c>
      <c r="L64">
        <f>char1BaseDEF</f>
        <v>830</v>
      </c>
      <c r="M64">
        <f>char1BaseHP</f>
        <v>12993</v>
      </c>
    </row>
    <row r="65" spans="1:14" x14ac:dyDescent="0.25">
      <c r="A65" t="str">
        <f>IF(R61, "Yunjin Burst Bonus", "")</f>
        <v/>
      </c>
      <c r="B65" t="str">
        <f>IFERROR(VLOOKUP("Yunjin", $A$2:$B$5, 2, 0),"")</f>
        <v/>
      </c>
      <c r="C65" t="e">
        <f>INDEX($O$29:$V$33, MATCH(B65, $O$29:$O$33, 0), 6)</f>
        <v>#N/A</v>
      </c>
      <c r="D65" t="e">
        <f>HLOOKUP(C65, $A$59:$R$61, 3, 0)</f>
        <v>#N/A</v>
      </c>
      <c r="E65" t="s">
        <v>128</v>
      </c>
      <c r="F65" t="e">
        <f>INDEX($O$7:$R$11, MATCH(B65, $O$7:$O$11, 0), MATCH(E65, $O$7:$R$7, 0))</f>
        <v>#N/A</v>
      </c>
      <c r="G65" t="e">
        <f>D65*F65</f>
        <v>#N/A</v>
      </c>
      <c r="H65" t="e">
        <f>VLOOKUP(B65, $J$63:$M$67, MATCH(E65, $J$63:$M$63, 0), 0)</f>
        <v>#N/A</v>
      </c>
      <c r="J65" t="s">
        <v>625</v>
      </c>
      <c r="K65">
        <f>char2BaseATK+char2WeaponBaseATK</f>
        <v>845</v>
      </c>
      <c r="L65">
        <f>char2BaseDEF</f>
        <v>630</v>
      </c>
      <c r="M65">
        <f>char2BaseHP</f>
        <v>9797</v>
      </c>
    </row>
    <row r="66" spans="1:14" x14ac:dyDescent="0.25">
      <c r="J66" t="s">
        <v>626</v>
      </c>
      <c r="K66">
        <f>char3BaseATK+char3WeaponBaseATK</f>
        <v>797</v>
      </c>
      <c r="L66">
        <f>char3BaseDEF</f>
        <v>653</v>
      </c>
      <c r="M66">
        <f>char3BaseHP</f>
        <v>10409</v>
      </c>
    </row>
    <row r="67" spans="1:14" x14ac:dyDescent="0.25">
      <c r="A67" t="s">
        <v>1080</v>
      </c>
      <c r="D67" t="s">
        <v>1083</v>
      </c>
      <c r="J67" t="s">
        <v>627</v>
      </c>
      <c r="K67">
        <f>char4BaseATK+char4WeaponBaseATK</f>
        <v>717</v>
      </c>
      <c r="L67">
        <f>char4BaseDEF</f>
        <v>669</v>
      </c>
      <c r="M67">
        <f>char4BaseHP</f>
        <v>10531</v>
      </c>
    </row>
    <row r="68" spans="1:14" x14ac:dyDescent="0.25">
      <c r="A68" t="s">
        <v>1081</v>
      </c>
      <c r="B68" t="e">
        <f>VLOOKUP("Kokomi",$A$1:$B$5, 2, 0)</f>
        <v>#N/A</v>
      </c>
      <c r="D68" t="s">
        <v>624</v>
      </c>
      <c r="E68">
        <f>char1FinalHealingBonus</f>
        <v>0</v>
      </c>
    </row>
    <row r="69" spans="1:14" x14ac:dyDescent="0.25">
      <c r="A69" t="s">
        <v>1082</v>
      </c>
      <c r="B69" t="e">
        <f>VLOOKUP(B68, $D$68:$E$71, 2, 0)</f>
        <v>#N/A</v>
      </c>
      <c r="D69" t="s">
        <v>625</v>
      </c>
      <c r="E69">
        <f>char2FinalHealingBonus</f>
        <v>0</v>
      </c>
      <c r="J69" t="s">
        <v>1165</v>
      </c>
      <c r="K69" t="s">
        <v>65</v>
      </c>
      <c r="L69" t="s">
        <v>62</v>
      </c>
      <c r="M69" t="s">
        <v>66</v>
      </c>
      <c r="N69" t="s">
        <v>63</v>
      </c>
    </row>
    <row r="70" spans="1:14" x14ac:dyDescent="0.25">
      <c r="A70" t="s">
        <v>1085</v>
      </c>
      <c r="B70" s="2" t="e">
        <f>15%*B69</f>
        <v>#N/A</v>
      </c>
      <c r="D70" t="s">
        <v>626</v>
      </c>
      <c r="E70">
        <f>char3FinalHealingBonus</f>
        <v>0</v>
      </c>
      <c r="J70" t="s">
        <v>624</v>
      </c>
      <c r="K70" s="2">
        <f ca="1">char1FinalATKPercent</f>
        <v>1.7852000000000001</v>
      </c>
      <c r="L70">
        <f>char1FinalFlatATK</f>
        <v>344.08</v>
      </c>
      <c r="M70" s="2">
        <f>char1FinalDEFPercent</f>
        <v>0.124</v>
      </c>
      <c r="N70">
        <f>char1FinalFlatDEF</f>
        <v>39.36</v>
      </c>
    </row>
    <row r="71" spans="1:14" x14ac:dyDescent="0.25">
      <c r="D71" t="s">
        <v>627</v>
      </c>
      <c r="E71">
        <f>char4FinalHealingBonus</f>
        <v>0</v>
      </c>
      <c r="J71" t="s">
        <v>625</v>
      </c>
      <c r="K71" s="2">
        <f>char2FinalATKPercent</f>
        <v>1.0773999999999999</v>
      </c>
      <c r="L71">
        <f>char2FinalFlatATK</f>
        <v>344.08</v>
      </c>
      <c r="M71" s="2">
        <f>char2FinalDEFPercent</f>
        <v>0.124</v>
      </c>
      <c r="N71">
        <f>char2FinalFlatDEF</f>
        <v>39.36</v>
      </c>
    </row>
    <row r="72" spans="1:14" x14ac:dyDescent="0.25">
      <c r="J72" t="s">
        <v>626</v>
      </c>
      <c r="K72" s="2">
        <f>char3FinalATKPercent</f>
        <v>0.61480000000000001</v>
      </c>
      <c r="L72">
        <f>char3FinalFlatATK</f>
        <v>344.08</v>
      </c>
      <c r="M72" s="2">
        <f>char3FinalDEFPercent</f>
        <v>0.124</v>
      </c>
      <c r="N72">
        <f>char3FinalFlatDEF</f>
        <v>39.36</v>
      </c>
    </row>
    <row r="73" spans="1:14" x14ac:dyDescent="0.25">
      <c r="J73" t="s">
        <v>627</v>
      </c>
      <c r="K73" s="2">
        <f>char4FinalATKPercent</f>
        <v>0.59519999999999995</v>
      </c>
      <c r="L73">
        <f>char4FinalFlatATK</f>
        <v>344.08</v>
      </c>
      <c r="M73" s="2">
        <f>char4FinalDEFPercent</f>
        <v>0.124</v>
      </c>
      <c r="N73">
        <f>char4FinalFlatDEF</f>
        <v>39.36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7A950-F428-42D4-BE39-F9B969C03E73}">
  <sheetPr codeName="Sheet7">
    <pageSetUpPr autoPageBreaks="0"/>
  </sheetPr>
  <dimension ref="A1:XFB331"/>
  <sheetViews>
    <sheetView tabSelected="1" topLeftCell="A304" zoomScaleNormal="100" workbookViewId="0">
      <pane xSplit="1" topLeftCell="B1" activePane="topRight" state="frozen"/>
      <selection pane="topRight" activeCell="F318" sqref="F318"/>
    </sheetView>
  </sheetViews>
  <sheetFormatPr defaultColWidth="20.7109375" defaultRowHeight="15" outlineLevelRow="1" x14ac:dyDescent="0.25"/>
  <cols>
    <col min="1" max="1" width="31.42578125" style="7" customWidth="1"/>
    <col min="2" max="16384" width="20.7109375" style="7"/>
  </cols>
  <sheetData>
    <row r="1" spans="1:87" s="218" customFormat="1" x14ac:dyDescent="0.25">
      <c r="A1" s="40" t="s">
        <v>123</v>
      </c>
      <c r="B1" s="216" t="s">
        <v>213</v>
      </c>
      <c r="C1" s="216" t="s">
        <v>261</v>
      </c>
      <c r="D1" s="216" t="s">
        <v>333</v>
      </c>
      <c r="E1" s="216" t="s">
        <v>333</v>
      </c>
      <c r="F1" s="216" t="s">
        <v>333</v>
      </c>
      <c r="G1" s="216" t="s">
        <v>333</v>
      </c>
      <c r="H1" s="216" t="s">
        <v>1042</v>
      </c>
      <c r="I1" s="216" t="s">
        <v>333</v>
      </c>
      <c r="J1" s="216" t="s">
        <v>333</v>
      </c>
      <c r="K1" s="216" t="s">
        <v>333</v>
      </c>
      <c r="L1" s="216" t="s">
        <v>333</v>
      </c>
      <c r="M1" s="216" t="s">
        <v>333</v>
      </c>
      <c r="N1" s="216" t="s">
        <v>333</v>
      </c>
      <c r="O1" s="216" t="s">
        <v>1042</v>
      </c>
      <c r="P1" s="216" t="s">
        <v>1042</v>
      </c>
      <c r="Q1" s="216" t="s">
        <v>1042</v>
      </c>
      <c r="R1" s="216" t="s">
        <v>1042</v>
      </c>
      <c r="S1" s="216" t="s">
        <v>213</v>
      </c>
      <c r="T1" s="216" t="s">
        <v>261</v>
      </c>
      <c r="U1" s="216" t="s">
        <v>213</v>
      </c>
      <c r="V1" s="216" t="s">
        <v>213</v>
      </c>
      <c r="W1" s="216" t="s">
        <v>213</v>
      </c>
      <c r="X1" s="216" t="s">
        <v>213</v>
      </c>
      <c r="Y1" s="216" t="s">
        <v>213</v>
      </c>
      <c r="Z1" s="216" t="s">
        <v>213</v>
      </c>
      <c r="AA1" s="216" t="s">
        <v>213</v>
      </c>
      <c r="AB1" s="216" t="s">
        <v>261</v>
      </c>
      <c r="AC1" s="216" t="s">
        <v>333</v>
      </c>
      <c r="AD1" s="216" t="s">
        <v>333</v>
      </c>
      <c r="AE1" s="216" t="s">
        <v>1042</v>
      </c>
      <c r="AF1" s="216" t="s">
        <v>213</v>
      </c>
      <c r="AG1" s="216" t="s">
        <v>213</v>
      </c>
      <c r="AH1" s="216" t="s">
        <v>213</v>
      </c>
      <c r="AI1" s="216" t="s">
        <v>213</v>
      </c>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216"/>
      <c r="CB1" s="216"/>
      <c r="CC1" s="216"/>
      <c r="CD1" s="216"/>
      <c r="CE1" s="216"/>
      <c r="CF1" s="216"/>
      <c r="CG1" s="216"/>
      <c r="CH1" s="216"/>
      <c r="CI1" s="216"/>
    </row>
    <row r="2" spans="1:87" s="217" customFormat="1" ht="30" customHeight="1" x14ac:dyDescent="0.25">
      <c r="A2" s="41" t="s">
        <v>120</v>
      </c>
      <c r="B2" s="217" t="s">
        <v>4</v>
      </c>
      <c r="C2" s="217" t="s">
        <v>262</v>
      </c>
      <c r="D2" s="217" t="s">
        <v>198</v>
      </c>
      <c r="E2" s="217" t="s">
        <v>390</v>
      </c>
      <c r="F2" s="217" t="s">
        <v>181</v>
      </c>
      <c r="G2" s="217" t="s">
        <v>336</v>
      </c>
      <c r="H2" s="217" t="s">
        <v>231</v>
      </c>
      <c r="I2" s="217" t="s">
        <v>336</v>
      </c>
      <c r="J2" s="217" t="s">
        <v>336</v>
      </c>
      <c r="K2" s="217" t="s">
        <v>336</v>
      </c>
      <c r="L2" s="217" t="s">
        <v>181</v>
      </c>
      <c r="M2" s="217" t="s">
        <v>390</v>
      </c>
      <c r="N2" s="217" t="s">
        <v>390</v>
      </c>
      <c r="O2" s="217" t="s">
        <v>170</v>
      </c>
      <c r="P2" s="217" t="s">
        <v>179</v>
      </c>
      <c r="Q2" s="217" t="s">
        <v>179</v>
      </c>
      <c r="R2" s="217" t="s">
        <v>179</v>
      </c>
      <c r="S2" s="217" t="s">
        <v>4</v>
      </c>
      <c r="T2" s="217" t="s">
        <v>263</v>
      </c>
      <c r="U2" s="217" t="s">
        <v>218</v>
      </c>
      <c r="V2" s="217" t="s">
        <v>218</v>
      </c>
      <c r="W2" s="217" t="s">
        <v>218</v>
      </c>
      <c r="X2" s="217" t="s">
        <v>218</v>
      </c>
      <c r="Y2" s="217" t="s">
        <v>218</v>
      </c>
      <c r="Z2" s="217" t="s">
        <v>218</v>
      </c>
      <c r="AA2" s="217" t="s">
        <v>218</v>
      </c>
      <c r="AB2" s="217" t="s">
        <v>264</v>
      </c>
      <c r="AC2" s="217" t="s">
        <v>198</v>
      </c>
      <c r="AD2" s="217" t="s">
        <v>390</v>
      </c>
      <c r="AE2" s="217" t="s">
        <v>231</v>
      </c>
      <c r="AF2" s="217" t="s">
        <v>216</v>
      </c>
      <c r="AG2" s="217" t="s">
        <v>217</v>
      </c>
      <c r="AH2" s="217" t="s">
        <v>216</v>
      </c>
      <c r="AI2" s="217" t="s">
        <v>217</v>
      </c>
      <c r="BJ2" s="219"/>
      <c r="BL2" s="219"/>
      <c r="BM2" s="219"/>
      <c r="BO2" s="219"/>
      <c r="BP2" s="219"/>
      <c r="BQ2" s="219"/>
      <c r="BR2" s="219"/>
      <c r="BS2" s="219"/>
      <c r="BT2" s="219"/>
      <c r="BU2" s="219"/>
      <c r="BV2" s="219"/>
      <c r="BW2" s="219"/>
      <c r="BX2" s="219"/>
      <c r="BY2" s="219"/>
      <c r="BZ2" s="219"/>
      <c r="CA2" s="219"/>
      <c r="CB2" s="219"/>
      <c r="CC2" s="219"/>
      <c r="CD2" s="219"/>
      <c r="CE2" s="219"/>
      <c r="CF2" s="219"/>
      <c r="CG2" s="219"/>
      <c r="CH2" s="219"/>
      <c r="CI2" s="219"/>
    </row>
    <row r="3" spans="1:87" s="220" customFormat="1" hidden="1" x14ac:dyDescent="0.25">
      <c r="A3" s="40" t="s">
        <v>11</v>
      </c>
      <c r="B3" s="220" t="str">
        <f>IFERROR(INDEX(INDEX(MVs!$B:$B, INDEX(MVs!$V$2:$Z$4, 2, MATCH(B$32, MVs!$V$2:$Z$2, 0))):INDEX(MVs!$U:$U, INDEX(mvLookupTable, 3, MATCH(B$32, MVs!$V$2:$Z$2, 0))), MATCH(B$2, INDEX(MVs!$B:$B, INDEX(MVs!$V$2:$Z$4, 2, MATCH(B$32, MVs!$V$2:$Z$2, 0))):INDEX(MVs!$B:$B, INDEX(MVs!$V$2:$Z$4, 3, MATCH(B$32, MVs!$V$2:$Z$2, 0))), 0), 17),"")</f>
        <v>Skill</v>
      </c>
      <c r="C3" s="220" t="str">
        <f>IFERROR(INDEX(INDEX(MVs!$B:$B, INDEX(MVs!$V$2:$Z$4, 2, MATCH(C$32, MVs!$V$2:$Z$2, 0))):INDEX(MVs!$U:$U, INDEX(mvLookupTable, 3, MATCH(C$32, MVs!$V$2:$Z$2, 0))), MATCH(C$2, INDEX(MVs!$B:$B, INDEX(MVs!$V$2:$Z$4, 2, MATCH(C$32, MVs!$V$2:$Z$2, 0))):INDEX(MVs!$B:$B, INDEX(MVs!$V$2:$Z$4, 3, MATCH(C$32, MVs!$V$2:$Z$2, 0))), 0), 17),"")</f>
        <v>Skill</v>
      </c>
      <c r="D3" s="220" t="str">
        <f>IFERROR(INDEX(INDEX(MVs!$B:$B, INDEX(MVs!$V$2:$Z$4, 2, MATCH(D$32, MVs!$V$2:$Z$2, 0))):INDEX(MVs!$U:$U, INDEX(mvLookupTable, 3, MATCH(D$32, MVs!$V$2:$Z$2, 0))), MATCH(D$2, INDEX(MVs!$B:$B, INDEX(MVs!$V$2:$Z$4, 2, MATCH(D$32, MVs!$V$2:$Z$2, 0))):INDEX(MVs!$B:$B, INDEX(MVs!$V$2:$Z$4, 3, MATCH(D$32, MVs!$V$2:$Z$2, 0))), 0), 17),"")</f>
        <v>Skill</v>
      </c>
      <c r="E3" s="220" t="str">
        <f>IFERROR(INDEX(INDEX(MVs!$B:$B, INDEX(MVs!$V$2:$Z$4, 2, MATCH(E$32, MVs!$V$2:$Z$2, 0))):INDEX(MVs!$U:$U, INDEX(mvLookupTable, 3, MATCH(E$32, MVs!$V$2:$Z$2, 0))), MATCH(E$2, INDEX(MVs!$B:$B, INDEX(MVs!$V$2:$Z$4, 2, MATCH(E$32, MVs!$V$2:$Z$2, 0))):INDEX(MVs!$B:$B, INDEX(MVs!$V$2:$Z$4, 3, MATCH(E$32, MVs!$V$2:$Z$2, 0))), 0), 17),"")</f>
        <v>Transformative</v>
      </c>
      <c r="F3" s="220" t="str">
        <f>IFERROR(INDEX(INDEX(MVs!$B:$B, INDEX(MVs!$V$2:$Z$4, 2, MATCH(F$32, MVs!$V$2:$Z$2, 0))):INDEX(MVs!$U:$U, INDEX(mvLookupTable, 3, MATCH(F$32, MVs!$V$2:$Z$2, 0))), MATCH(F$2, INDEX(MVs!$B:$B, INDEX(MVs!$V$2:$Z$4, 2, MATCH(F$32, MVs!$V$2:$Z$2, 0))):INDEX(MVs!$B:$B, INDEX(MVs!$V$2:$Z$4, 3, MATCH(F$32, MVs!$V$2:$Z$2, 0))), 0), 17),"")</f>
        <v>Burst</v>
      </c>
      <c r="G3" s="220" t="str">
        <f>IFERROR(INDEX(INDEX(MVs!$B:$B, INDEX(MVs!$V$2:$Z$4, 2, MATCH(G$32, MVs!$V$2:$Z$2, 0))):INDEX(MVs!$U:$U, INDEX(mvLookupTable, 3, MATCH(G$32, MVs!$V$2:$Z$2, 0))), MATCH(G$2, INDEX(MVs!$B:$B, INDEX(MVs!$V$2:$Z$4, 2, MATCH(G$32, MVs!$V$2:$Z$2, 0))):INDEX(MVs!$B:$B, INDEX(MVs!$V$2:$Z$4, 3, MATCH(G$32, MVs!$V$2:$Z$2, 0))), 0), 17),"")</f>
        <v>Burst</v>
      </c>
      <c r="H3" s="220" t="str">
        <f>IFERROR(INDEX(INDEX(MVs!$B:$B, INDEX(MVs!$V$2:$Z$4, 2, MATCH(H$32, MVs!$V$2:$Z$2, 0))):INDEX(MVs!$U:$U, INDEX(mvLookupTable, 3, MATCH(H$32, MVs!$V$2:$Z$2, 0))), MATCH(H$2, INDEX(MVs!$B:$B, INDEX(MVs!$V$2:$Z$4, 2, MATCH(H$32, MVs!$V$2:$Z$2, 0))):INDEX(MVs!$B:$B, INDEX(MVs!$V$2:$Z$4, 3, MATCH(H$32, MVs!$V$2:$Z$2, 0))), 0), 17),"")</f>
        <v>Skill</v>
      </c>
      <c r="I3" s="220" t="str">
        <f>IFERROR(INDEX(INDEX(MVs!$B:$B, INDEX(MVs!$V$2:$Z$4, 2, MATCH(I$32, MVs!$V$2:$Z$2, 0))):INDEX(MVs!$U:$U, INDEX(mvLookupTable, 3, MATCH(I$32, MVs!$V$2:$Z$2, 0))), MATCH(I$2, INDEX(MVs!$B:$B, INDEX(MVs!$V$2:$Z$4, 2, MATCH(I$32, MVs!$V$2:$Z$2, 0))):INDEX(MVs!$B:$B, INDEX(MVs!$V$2:$Z$4, 3, MATCH(I$32, MVs!$V$2:$Z$2, 0))), 0), 17),"")</f>
        <v>Burst</v>
      </c>
      <c r="J3" s="220" t="str">
        <f>IFERROR(INDEX(INDEX(MVs!$B:$B, INDEX(MVs!$V$2:$Z$4, 2, MATCH(J$32, MVs!$V$2:$Z$2, 0))):INDEX(MVs!$U:$U, INDEX(mvLookupTable, 3, MATCH(J$32, MVs!$V$2:$Z$2, 0))), MATCH(J$2, INDEX(MVs!$B:$B, INDEX(MVs!$V$2:$Z$4, 2, MATCH(J$32, MVs!$V$2:$Z$2, 0))):INDEX(MVs!$B:$B, INDEX(MVs!$V$2:$Z$4, 3, MATCH(J$32, MVs!$V$2:$Z$2, 0))), 0), 17),"")</f>
        <v>Burst</v>
      </c>
      <c r="K3" s="220" t="str">
        <f>IFERROR(INDEX(INDEX(MVs!$B:$B, INDEX(MVs!$V$2:$Z$4, 2, MATCH(K$32, MVs!$V$2:$Z$2, 0))):INDEX(MVs!$U:$U, INDEX(mvLookupTable, 3, MATCH(K$32, MVs!$V$2:$Z$2, 0))), MATCH(K$2, INDEX(MVs!$B:$B, INDEX(MVs!$V$2:$Z$4, 2, MATCH(K$32, MVs!$V$2:$Z$2, 0))):INDEX(MVs!$B:$B, INDEX(MVs!$V$2:$Z$4, 3, MATCH(K$32, MVs!$V$2:$Z$2, 0))), 0), 17),"")</f>
        <v>Burst</v>
      </c>
      <c r="L3" s="220" t="str">
        <f>IFERROR(INDEX(INDEX(MVs!$B:$B, INDEX(MVs!$V$2:$Z$4, 2, MATCH(L$32, MVs!$V$2:$Z$2, 0))):INDEX(MVs!$U:$U, INDEX(mvLookupTable, 3, MATCH(L$32, MVs!$V$2:$Z$2, 0))), MATCH(L$2, INDEX(MVs!$B:$B, INDEX(MVs!$V$2:$Z$4, 2, MATCH(L$32, MVs!$V$2:$Z$2, 0))):INDEX(MVs!$B:$B, INDEX(MVs!$V$2:$Z$4, 3, MATCH(L$32, MVs!$V$2:$Z$2, 0))), 0), 17),"")</f>
        <v>Burst</v>
      </c>
      <c r="M3" s="220" t="str">
        <f>IFERROR(INDEX(INDEX(MVs!$B:$B, INDEX(MVs!$V$2:$Z$4, 2, MATCH(M$32, MVs!$V$2:$Z$2, 0))):INDEX(MVs!$U:$U, INDEX(mvLookupTable, 3, MATCH(M$32, MVs!$V$2:$Z$2, 0))), MATCH(M$2, INDEX(MVs!$B:$B, INDEX(MVs!$V$2:$Z$4, 2, MATCH(M$32, MVs!$V$2:$Z$2, 0))):INDEX(MVs!$B:$B, INDEX(MVs!$V$2:$Z$4, 3, MATCH(M$32, MVs!$V$2:$Z$2, 0))), 0), 17),"")</f>
        <v>Transformative</v>
      </c>
      <c r="N3" s="220" t="str">
        <f>IFERROR(INDEX(INDEX(MVs!$B:$B, INDEX(MVs!$V$2:$Z$4, 2, MATCH(N$32, MVs!$V$2:$Z$2, 0))):INDEX(MVs!$U:$U, INDEX(mvLookupTable, 3, MATCH(N$32, MVs!$V$2:$Z$2, 0))), MATCH(N$2, INDEX(MVs!$B:$B, INDEX(MVs!$V$2:$Z$4, 2, MATCH(N$32, MVs!$V$2:$Z$2, 0))):INDEX(MVs!$B:$B, INDEX(MVs!$V$2:$Z$4, 3, MATCH(N$32, MVs!$V$2:$Z$2, 0))), 0), 17),"")</f>
        <v>Transformative</v>
      </c>
      <c r="O3" s="220" t="str">
        <f>IFERROR(INDEX(INDEX(MVs!$B:$B, INDEX(MVs!$V$2:$Z$4, 2, MATCH(O$32, MVs!$V$2:$Z$2, 0))):INDEX(MVs!$U:$U, INDEX(mvLookupTable, 3, MATCH(O$32, MVs!$V$2:$Z$2, 0))), MATCH(O$2, INDEX(MVs!$B:$B, INDEX(MVs!$V$2:$Z$4, 2, MATCH(O$32, MVs!$V$2:$Z$2, 0))):INDEX(MVs!$B:$B, INDEX(MVs!$V$2:$Z$4, 3, MATCH(O$32, MVs!$V$2:$Z$2, 0))), 0), 17),"")</f>
        <v>Burst</v>
      </c>
      <c r="P3" s="220" t="str">
        <f>IFERROR(INDEX(INDEX(MVs!$B:$B, INDEX(MVs!$V$2:$Z$4, 2, MATCH(P$32, MVs!$V$2:$Z$2, 0))):INDEX(MVs!$U:$U, INDEX(mvLookupTable, 3, MATCH(P$32, MVs!$V$2:$Z$2, 0))), MATCH(P$2, INDEX(MVs!$B:$B, INDEX(MVs!$V$2:$Z$4, 2, MATCH(P$32, MVs!$V$2:$Z$2, 0))):INDEX(MVs!$B:$B, INDEX(MVs!$V$2:$Z$4, 3, MATCH(P$32, MVs!$V$2:$Z$2, 0))), 0), 17),"")</f>
        <v>Burst</v>
      </c>
      <c r="Q3" s="220" t="str">
        <f>IFERROR(INDEX(INDEX(MVs!$B:$B, INDEX(MVs!$V$2:$Z$4, 2, MATCH(Q$32, MVs!$V$2:$Z$2, 0))):INDEX(MVs!$U:$U, INDEX(mvLookupTable, 3, MATCH(Q$32, MVs!$V$2:$Z$2, 0))), MATCH(Q$2, INDEX(MVs!$B:$B, INDEX(MVs!$V$2:$Z$4, 2, MATCH(Q$32, MVs!$V$2:$Z$2, 0))):INDEX(MVs!$B:$B, INDEX(MVs!$V$2:$Z$4, 3, MATCH(Q$32, MVs!$V$2:$Z$2, 0))), 0), 17),"")</f>
        <v>Burst</v>
      </c>
      <c r="R3" s="220" t="str">
        <f>IFERROR(INDEX(INDEX(MVs!$B:$B, INDEX(MVs!$V$2:$Z$4, 2, MATCH(R$32, MVs!$V$2:$Z$2, 0))):INDEX(MVs!$U:$U, INDEX(mvLookupTable, 3, MATCH(R$32, MVs!$V$2:$Z$2, 0))), MATCH(R$2, INDEX(MVs!$B:$B, INDEX(MVs!$V$2:$Z$4, 2, MATCH(R$32, MVs!$V$2:$Z$2, 0))):INDEX(MVs!$B:$B, INDEX(MVs!$V$2:$Z$4, 3, MATCH(R$32, MVs!$V$2:$Z$2, 0))), 0), 17),"")</f>
        <v>Burst</v>
      </c>
      <c r="S3" s="220" t="str">
        <f>IFERROR(INDEX(INDEX(MVs!$B:$B, INDEX(MVs!$V$2:$Z$4, 2, MATCH(S$32, MVs!$V$2:$Z$2, 0))):INDEX(MVs!$U:$U, INDEX(mvLookupTable, 3, MATCH(S$32, MVs!$V$2:$Z$2, 0))), MATCH(S$2, INDEX(MVs!$B:$B, INDEX(MVs!$V$2:$Z$4, 2, MATCH(S$32, MVs!$V$2:$Z$2, 0))):INDEX(MVs!$B:$B, INDEX(MVs!$V$2:$Z$4, 3, MATCH(S$32, MVs!$V$2:$Z$2, 0))), 0), 17),"")</f>
        <v>Skill</v>
      </c>
      <c r="T3" s="220" t="str">
        <f>IFERROR(INDEX(INDEX(MVs!$B:$B, INDEX(MVs!$V$2:$Z$4, 2, MATCH(T$32, MVs!$V$2:$Z$2, 0))):INDEX(MVs!$U:$U, INDEX(mvLookupTable, 3, MATCH(T$32, MVs!$V$2:$Z$2, 0))), MATCH(T$2, INDEX(MVs!$B:$B, INDEX(MVs!$V$2:$Z$4, 2, MATCH(T$32, MVs!$V$2:$Z$2, 0))):INDEX(MVs!$B:$B, INDEX(MVs!$V$2:$Z$4, 3, MATCH(T$32, MVs!$V$2:$Z$2, 0))), 0), 17),"")</f>
        <v>Skill</v>
      </c>
      <c r="U3" s="220" t="str">
        <f>IFERROR(INDEX(INDEX(MVs!$B:$B, INDEX(MVs!$V$2:$Z$4, 2, MATCH(U$32, MVs!$V$2:$Z$2, 0))):INDEX(MVs!$U:$U, INDEX(mvLookupTable, 3, MATCH(U$32, MVs!$V$2:$Z$2, 0))), MATCH(U$2, INDEX(MVs!$B:$B, INDEX(MVs!$V$2:$Z$4, 2, MATCH(U$32, MVs!$V$2:$Z$2, 0))):INDEX(MVs!$B:$B, INDEX(MVs!$V$2:$Z$4, 3, MATCH(U$32, MVs!$V$2:$Z$2, 0))), 0), 17),"")</f>
        <v>Burst</v>
      </c>
      <c r="V3" s="220" t="str">
        <f>IFERROR(INDEX(INDEX(MVs!$B:$B, INDEX(MVs!$V$2:$Z$4, 2, MATCH(V$32, MVs!$V$2:$Z$2, 0))):INDEX(MVs!$U:$U, INDEX(mvLookupTable, 3, MATCH(V$32, MVs!$V$2:$Z$2, 0))), MATCH(V$2, INDEX(MVs!$B:$B, INDEX(MVs!$V$2:$Z$4, 2, MATCH(V$32, MVs!$V$2:$Z$2, 0))):INDEX(MVs!$B:$B, INDEX(MVs!$V$2:$Z$4, 3, MATCH(V$32, MVs!$V$2:$Z$2, 0))), 0), 17),"")</f>
        <v>Burst</v>
      </c>
      <c r="W3" s="220" t="str">
        <f>IFERROR(INDEX(INDEX(MVs!$B:$B, INDEX(MVs!$V$2:$Z$4, 2, MATCH(W$32, MVs!$V$2:$Z$2, 0))):INDEX(MVs!$U:$U, INDEX(mvLookupTable, 3, MATCH(W$32, MVs!$V$2:$Z$2, 0))), MATCH(W$2, INDEX(MVs!$B:$B, INDEX(MVs!$V$2:$Z$4, 2, MATCH(W$32, MVs!$V$2:$Z$2, 0))):INDEX(MVs!$B:$B, INDEX(MVs!$V$2:$Z$4, 3, MATCH(W$32, MVs!$V$2:$Z$2, 0))), 0), 17),"")</f>
        <v>Burst</v>
      </c>
      <c r="X3" s="220" t="str">
        <f>IFERROR(INDEX(INDEX(MVs!$B:$B, INDEX(MVs!$V$2:$Z$4, 2, MATCH(X$32, MVs!$V$2:$Z$2, 0))):INDEX(MVs!$U:$U, INDEX(mvLookupTable, 3, MATCH(X$32, MVs!$V$2:$Z$2, 0))), MATCH(X$2, INDEX(MVs!$B:$B, INDEX(MVs!$V$2:$Z$4, 2, MATCH(X$32, MVs!$V$2:$Z$2, 0))):INDEX(MVs!$B:$B, INDEX(MVs!$V$2:$Z$4, 3, MATCH(X$32, MVs!$V$2:$Z$2, 0))), 0), 17),"")</f>
        <v>Burst</v>
      </c>
      <c r="Y3" s="220" t="str">
        <f>IFERROR(INDEX(INDEX(MVs!$B:$B, INDEX(MVs!$V$2:$Z$4, 2, MATCH(Y$32, MVs!$V$2:$Z$2, 0))):INDEX(MVs!$U:$U, INDEX(mvLookupTable, 3, MATCH(Y$32, MVs!$V$2:$Z$2, 0))), MATCH(Y$2, INDEX(MVs!$B:$B, INDEX(MVs!$V$2:$Z$4, 2, MATCH(Y$32, MVs!$V$2:$Z$2, 0))):INDEX(MVs!$B:$B, INDEX(MVs!$V$2:$Z$4, 3, MATCH(Y$32, MVs!$V$2:$Z$2, 0))), 0), 17),"")</f>
        <v>Burst</v>
      </c>
      <c r="Z3" s="220" t="str">
        <f>IFERROR(INDEX(INDEX(MVs!$B:$B, INDEX(MVs!$V$2:$Z$4, 2, MATCH(Z$32, MVs!$V$2:$Z$2, 0))):INDEX(MVs!$U:$U, INDEX(mvLookupTable, 3, MATCH(Z$32, MVs!$V$2:$Z$2, 0))), MATCH(Z$2, INDEX(MVs!$B:$B, INDEX(MVs!$V$2:$Z$4, 2, MATCH(Z$32, MVs!$V$2:$Z$2, 0))):INDEX(MVs!$B:$B, INDEX(MVs!$V$2:$Z$4, 3, MATCH(Z$32, MVs!$V$2:$Z$2, 0))), 0), 17),"")</f>
        <v>Burst</v>
      </c>
      <c r="AA3" s="220" t="str">
        <f>IFERROR(INDEX(INDEX(MVs!$B:$B, INDEX(MVs!$V$2:$Z$4, 2, MATCH(AA$32, MVs!$V$2:$Z$2, 0))):INDEX(MVs!$U:$U, INDEX(mvLookupTable, 3, MATCH(AA$32, MVs!$V$2:$Z$2, 0))), MATCH(AA$2, INDEX(MVs!$B:$B, INDEX(MVs!$V$2:$Z$4, 2, MATCH(AA$32, MVs!$V$2:$Z$2, 0))):INDEX(MVs!$B:$B, INDEX(MVs!$V$2:$Z$4, 3, MATCH(AA$32, MVs!$V$2:$Z$2, 0))), 0), 17),"")</f>
        <v>Burst</v>
      </c>
      <c r="AB3" s="220" t="str">
        <f>IFERROR(INDEX(INDEX(MVs!$B:$B, INDEX(MVs!$V$2:$Z$4, 2, MATCH(AB$32, MVs!$V$2:$Z$2, 0))):INDEX(MVs!$U:$U, INDEX(mvLookupTable, 3, MATCH(AB$32, MVs!$V$2:$Z$2, 0))), MATCH(AB$2, INDEX(MVs!$B:$B, INDEX(MVs!$V$2:$Z$4, 2, MATCH(AB$32, MVs!$V$2:$Z$2, 0))):INDEX(MVs!$B:$B, INDEX(MVs!$V$2:$Z$4, 3, MATCH(AB$32, MVs!$V$2:$Z$2, 0))), 0), 17),"")</f>
        <v>Burst</v>
      </c>
      <c r="AC3" s="220" t="str">
        <f>IFERROR(INDEX(INDEX(MVs!$B:$B, INDEX(MVs!$V$2:$Z$4, 2, MATCH(AC$32, MVs!$V$2:$Z$2, 0))):INDEX(MVs!$U:$U, INDEX(mvLookupTable, 3, MATCH(AC$32, MVs!$V$2:$Z$2, 0))), MATCH(AC$2, INDEX(MVs!$B:$B, INDEX(MVs!$V$2:$Z$4, 2, MATCH(AC$32, MVs!$V$2:$Z$2, 0))):INDEX(MVs!$B:$B, INDEX(MVs!$V$2:$Z$4, 3, MATCH(AC$32, MVs!$V$2:$Z$2, 0))), 0), 17),"")</f>
        <v>Skill</v>
      </c>
      <c r="AD3" s="220" t="str">
        <f>IFERROR(INDEX(INDEX(MVs!$B:$B, INDEX(MVs!$V$2:$Z$4, 2, MATCH(AD$32, MVs!$V$2:$Z$2, 0))):INDEX(MVs!$U:$U, INDEX(mvLookupTable, 3, MATCH(AD$32, MVs!$V$2:$Z$2, 0))), MATCH(AD$2, INDEX(MVs!$B:$B, INDEX(MVs!$V$2:$Z$4, 2, MATCH(AD$32, MVs!$V$2:$Z$2, 0))):INDEX(MVs!$B:$B, INDEX(MVs!$V$2:$Z$4, 3, MATCH(AD$32, MVs!$V$2:$Z$2, 0))), 0), 17),"")</f>
        <v>Transformative</v>
      </c>
      <c r="AE3" s="220" t="str">
        <f>IFERROR(INDEX(INDEX(MVs!$B:$B, INDEX(MVs!$V$2:$Z$4, 2, MATCH(AE$32, MVs!$V$2:$Z$2, 0))):INDEX(MVs!$U:$U, INDEX(mvLookupTable, 3, MATCH(AE$32, MVs!$V$2:$Z$2, 0))), MATCH(AE$2, INDEX(MVs!$B:$B, INDEX(MVs!$V$2:$Z$4, 2, MATCH(AE$32, MVs!$V$2:$Z$2, 0))):INDEX(MVs!$B:$B, INDEX(MVs!$V$2:$Z$4, 3, MATCH(AE$32, MVs!$V$2:$Z$2, 0))), 0), 17),"")</f>
        <v>Skill</v>
      </c>
      <c r="AF3" s="220" t="str">
        <f>IFERROR(INDEX(INDEX(MVs!$B:$B, INDEX(MVs!$V$2:$Z$4, 2, MATCH(AF$32, MVs!$V$2:$Z$2, 0))):INDEX(MVs!$U:$U, INDEX(mvLookupTable, 3, MATCH(AF$32, MVs!$V$2:$Z$2, 0))), MATCH(AF$2, INDEX(MVs!$B:$B, INDEX(MVs!$V$2:$Z$4, 2, MATCH(AF$32, MVs!$V$2:$Z$2, 0))):INDEX(MVs!$B:$B, INDEX(MVs!$V$2:$Z$4, 3, MATCH(AF$32, MVs!$V$2:$Z$2, 0))), 0), 17),"")</f>
        <v>Charged</v>
      </c>
      <c r="AG3" s="220" t="str">
        <f>IFERROR(INDEX(INDEX(MVs!$B:$B, INDEX(MVs!$V$2:$Z$4, 2, MATCH(AG$32, MVs!$V$2:$Z$2, 0))):INDEX(MVs!$U:$U, INDEX(mvLookupTable, 3, MATCH(AG$32, MVs!$V$2:$Z$2, 0))), MATCH(AG$2, INDEX(MVs!$B:$B, INDEX(MVs!$V$2:$Z$4, 2, MATCH(AG$32, MVs!$V$2:$Z$2, 0))):INDEX(MVs!$B:$B, INDEX(MVs!$V$2:$Z$4, 3, MATCH(AG$32, MVs!$V$2:$Z$2, 0))), 0), 17),"")</f>
        <v>Charged</v>
      </c>
      <c r="AH3" s="220" t="str">
        <f>IFERROR(INDEX(INDEX(MVs!$B:$B, INDEX(MVs!$V$2:$Z$4, 2, MATCH(AH$32, MVs!$V$2:$Z$2, 0))):INDEX(MVs!$U:$U, INDEX(mvLookupTable, 3, MATCH(AH$32, MVs!$V$2:$Z$2, 0))), MATCH(AH$2, INDEX(MVs!$B:$B, INDEX(MVs!$V$2:$Z$4, 2, MATCH(AH$32, MVs!$V$2:$Z$2, 0))):INDEX(MVs!$B:$B, INDEX(MVs!$V$2:$Z$4, 3, MATCH(AH$32, MVs!$V$2:$Z$2, 0))), 0), 17),"")</f>
        <v>Charged</v>
      </c>
      <c r="AI3" s="220" t="str">
        <f>IFERROR(INDEX(INDEX(MVs!$B:$B, INDEX(MVs!$V$2:$Z$4, 2, MATCH(AI$32, MVs!$V$2:$Z$2, 0))):INDEX(MVs!$U:$U, INDEX(mvLookupTable, 3, MATCH(AI$32, MVs!$V$2:$Z$2, 0))), MATCH(AI$2, INDEX(MVs!$B:$B, INDEX(MVs!$V$2:$Z$4, 2, MATCH(AI$32, MVs!$V$2:$Z$2, 0))):INDEX(MVs!$B:$B, INDEX(MVs!$V$2:$Z$4, 3, MATCH(AI$32, MVs!$V$2:$Z$2, 0))), 0), 17),"")</f>
        <v>Charged</v>
      </c>
      <c r="AJ3" s="220" t="str">
        <f>IFERROR(INDEX(INDEX(MVs!$B:$B, INDEX(MVs!$V$2:$Z$4, 2, MATCH(AJ$32, MVs!$V$2:$Z$2, 0))):INDEX(MVs!$U:$U, INDEX(mvLookupTable, 3, MATCH(AJ$32, MVs!$V$2:$Z$2, 0))), MATCH(AJ$2, INDEX(MVs!$B:$B, INDEX(MVs!$V$2:$Z$4, 2, MATCH(AJ$32, MVs!$V$2:$Z$2, 0))):INDEX(MVs!$B:$B, INDEX(MVs!$V$2:$Z$4, 3, MATCH(AJ$32, MVs!$V$2:$Z$2, 0))), 0), 17),"")</f>
        <v/>
      </c>
      <c r="AK3" s="220" t="str">
        <f>IFERROR(INDEX(INDEX(MVs!$B:$B, INDEX(MVs!$V$2:$Z$4, 2, MATCH(AK$32, MVs!$V$2:$Z$2, 0))):INDEX(MVs!$U:$U, INDEX(mvLookupTable, 3, MATCH(AK$32, MVs!$V$2:$Z$2, 0))), MATCH(AK$2, INDEX(MVs!$B:$B, INDEX(MVs!$V$2:$Z$4, 2, MATCH(AK$32, MVs!$V$2:$Z$2, 0))):INDEX(MVs!$B:$B, INDEX(MVs!$V$2:$Z$4, 3, MATCH(AK$32, MVs!$V$2:$Z$2, 0))), 0), 17),"")</f>
        <v/>
      </c>
      <c r="AL3" s="220" t="str">
        <f>IFERROR(INDEX(INDEX(MVs!$B:$B, INDEX(MVs!$V$2:$Z$4, 2, MATCH(AL$32, MVs!$V$2:$Z$2, 0))):INDEX(MVs!$U:$U, INDEX(mvLookupTable, 3, MATCH(AL$32, MVs!$V$2:$Z$2, 0))), MATCH(AL$2, INDEX(MVs!$B:$B, INDEX(MVs!$V$2:$Z$4, 2, MATCH(AL$32, MVs!$V$2:$Z$2, 0))):INDEX(MVs!$B:$B, INDEX(MVs!$V$2:$Z$4, 3, MATCH(AL$32, MVs!$V$2:$Z$2, 0))), 0), 17),"")</f>
        <v/>
      </c>
      <c r="AM3" s="220" t="str">
        <f>IFERROR(INDEX(INDEX(MVs!$B:$B, INDEX(MVs!$V$2:$Z$4, 2, MATCH(AM$32, MVs!$V$2:$Z$2, 0))):INDEX(MVs!$U:$U, INDEX(mvLookupTable, 3, MATCH(AM$32, MVs!$V$2:$Z$2, 0))), MATCH(AM$2, INDEX(MVs!$B:$B, INDEX(MVs!$V$2:$Z$4, 2, MATCH(AM$32, MVs!$V$2:$Z$2, 0))):INDEX(MVs!$B:$B, INDEX(MVs!$V$2:$Z$4, 3, MATCH(AM$32, MVs!$V$2:$Z$2, 0))), 0), 17),"")</f>
        <v/>
      </c>
      <c r="AN3" s="220" t="str">
        <f>IFERROR(INDEX(INDEX(MVs!$B:$B, INDEX(MVs!$V$2:$Z$4, 2, MATCH(AN$32, MVs!$V$2:$Z$2, 0))):INDEX(MVs!$U:$U, INDEX(mvLookupTable, 3, MATCH(AN$32, MVs!$V$2:$Z$2, 0))), MATCH(AN$2, INDEX(MVs!$B:$B, INDEX(MVs!$V$2:$Z$4, 2, MATCH(AN$32, MVs!$V$2:$Z$2, 0))):INDEX(MVs!$B:$B, INDEX(MVs!$V$2:$Z$4, 3, MATCH(AN$32, MVs!$V$2:$Z$2, 0))), 0), 17),"")</f>
        <v/>
      </c>
      <c r="AO3" s="220" t="str">
        <f>IFERROR(INDEX(INDEX(MVs!$B:$B, INDEX(MVs!$V$2:$Z$4, 2, MATCH(AO$32, MVs!$V$2:$Z$2, 0))):INDEX(MVs!$U:$U, INDEX(mvLookupTable, 3, MATCH(AO$32, MVs!$V$2:$Z$2, 0))), MATCH(AO$2, INDEX(MVs!$B:$B, INDEX(MVs!$V$2:$Z$4, 2, MATCH(AO$32, MVs!$V$2:$Z$2, 0))):INDEX(MVs!$B:$B, INDEX(MVs!$V$2:$Z$4, 3, MATCH(AO$32, MVs!$V$2:$Z$2, 0))), 0), 17),"")</f>
        <v/>
      </c>
      <c r="AP3" s="220" t="str">
        <f>IFERROR(INDEX(INDEX(MVs!$B:$B, INDEX(MVs!$V$2:$Z$4, 2, MATCH(AP$32, MVs!$V$2:$Z$2, 0))):INDEX(MVs!$U:$U, INDEX(mvLookupTable, 3, MATCH(AP$32, MVs!$V$2:$Z$2, 0))), MATCH(AP$2, INDEX(MVs!$B:$B, INDEX(MVs!$V$2:$Z$4, 2, MATCH(AP$32, MVs!$V$2:$Z$2, 0))):INDEX(MVs!$B:$B, INDEX(MVs!$V$2:$Z$4, 3, MATCH(AP$32, MVs!$V$2:$Z$2, 0))), 0), 17),"")</f>
        <v/>
      </c>
      <c r="AQ3" s="220" t="str">
        <f>IFERROR(INDEX(INDEX(MVs!$B:$B, INDEX(MVs!$V$2:$Z$4, 2, MATCH(AQ$32, MVs!$V$2:$Z$2, 0))):INDEX(MVs!$U:$U, INDEX(mvLookupTable, 3, MATCH(AQ$32, MVs!$V$2:$Z$2, 0))), MATCH(AQ$2, INDEX(MVs!$B:$B, INDEX(MVs!$V$2:$Z$4, 2, MATCH(AQ$32, MVs!$V$2:$Z$2, 0))):INDEX(MVs!$B:$B, INDEX(MVs!$V$2:$Z$4, 3, MATCH(AQ$32, MVs!$V$2:$Z$2, 0))), 0), 17),"")</f>
        <v/>
      </c>
      <c r="AR3" s="220" t="str">
        <f>IFERROR(INDEX(INDEX(MVs!$B:$B, INDEX(MVs!$V$2:$Z$4, 2, MATCH(AR$32, MVs!$V$2:$Z$2, 0))):INDEX(MVs!$U:$U, INDEX(mvLookupTable, 3, MATCH(AR$32, MVs!$V$2:$Z$2, 0))), MATCH(AR$2, INDEX(MVs!$B:$B, INDEX(MVs!$V$2:$Z$4, 2, MATCH(AR$32, MVs!$V$2:$Z$2, 0))):INDEX(MVs!$B:$B, INDEX(MVs!$V$2:$Z$4, 3, MATCH(AR$32, MVs!$V$2:$Z$2, 0))), 0), 17),"")</f>
        <v/>
      </c>
      <c r="AS3" s="220" t="str">
        <f>IFERROR(INDEX(INDEX(MVs!$B:$B, INDEX(MVs!$V$2:$Z$4, 2, MATCH(AS$32, MVs!$V$2:$Z$2, 0))):INDEX(MVs!$U:$U, INDEX(mvLookupTable, 3, MATCH(AS$32, MVs!$V$2:$Z$2, 0))), MATCH(AS$2, INDEX(MVs!$B:$B, INDEX(MVs!$V$2:$Z$4, 2, MATCH(AS$32, MVs!$V$2:$Z$2, 0))):INDEX(MVs!$B:$B, INDEX(MVs!$V$2:$Z$4, 3, MATCH(AS$32, MVs!$V$2:$Z$2, 0))), 0), 17),"")</f>
        <v/>
      </c>
      <c r="AT3" s="220" t="str">
        <f>IFERROR(INDEX(INDEX(MVs!$B:$B, INDEX(MVs!$V$2:$Z$4, 2, MATCH(AT$32, MVs!$V$2:$Z$2, 0))):INDEX(MVs!$U:$U, INDEX(mvLookupTable, 3, MATCH(AT$32, MVs!$V$2:$Z$2, 0))), MATCH(AT$2, INDEX(MVs!$B:$B, INDEX(MVs!$V$2:$Z$4, 2, MATCH(AT$32, MVs!$V$2:$Z$2, 0))):INDEX(MVs!$B:$B, INDEX(MVs!$V$2:$Z$4, 3, MATCH(AT$32, MVs!$V$2:$Z$2, 0))), 0), 17),"")</f>
        <v/>
      </c>
      <c r="AU3" s="220" t="str">
        <f>IFERROR(INDEX(INDEX(MVs!$B:$B, INDEX(MVs!$V$2:$Z$4, 2, MATCH(AU$32, MVs!$V$2:$Z$2, 0))):INDEX(MVs!$U:$U, INDEX(mvLookupTable, 3, MATCH(AU$32, MVs!$V$2:$Z$2, 0))), MATCH(AU$2, INDEX(MVs!$B:$B, INDEX(MVs!$V$2:$Z$4, 2, MATCH(AU$32, MVs!$V$2:$Z$2, 0))):INDEX(MVs!$B:$B, INDEX(MVs!$V$2:$Z$4, 3, MATCH(AU$32, MVs!$V$2:$Z$2, 0))), 0), 17),"")</f>
        <v/>
      </c>
      <c r="AV3" s="220" t="str">
        <f>IFERROR(INDEX(INDEX(MVs!$B:$B, INDEX(MVs!$V$2:$Z$4, 2, MATCH(AV$32, MVs!$V$2:$Z$2, 0))):INDEX(MVs!$U:$U, INDEX(mvLookupTable, 3, MATCH(AV$32, MVs!$V$2:$Z$2, 0))), MATCH(AV$2, INDEX(MVs!$B:$B, INDEX(MVs!$V$2:$Z$4, 2, MATCH(AV$32, MVs!$V$2:$Z$2, 0))):INDEX(MVs!$B:$B, INDEX(MVs!$V$2:$Z$4, 3, MATCH(AV$32, MVs!$V$2:$Z$2, 0))), 0), 17),"")</f>
        <v/>
      </c>
      <c r="AW3" s="220" t="str">
        <f>IFERROR(INDEX(INDEX(MVs!$B:$B, INDEX(MVs!$V$2:$Z$4, 2, MATCH(AW$32, MVs!$V$2:$Z$2, 0))):INDEX(MVs!$U:$U, INDEX(mvLookupTable, 3, MATCH(AW$32, MVs!$V$2:$Z$2, 0))), MATCH(AW$2, INDEX(MVs!$B:$B, INDEX(MVs!$V$2:$Z$4, 2, MATCH(AW$32, MVs!$V$2:$Z$2, 0))):INDEX(MVs!$B:$B, INDEX(MVs!$V$2:$Z$4, 3, MATCH(AW$32, MVs!$V$2:$Z$2, 0))), 0), 17),"")</f>
        <v/>
      </c>
      <c r="AX3" s="220" t="str">
        <f>IFERROR(INDEX(INDEX(MVs!$B:$B, INDEX(MVs!$V$2:$Z$4, 2, MATCH(AX$32, MVs!$V$2:$Z$2, 0))):INDEX(MVs!$U:$U, INDEX(mvLookupTable, 3, MATCH(AX$32, MVs!$V$2:$Z$2, 0))), MATCH(AX$2, INDEX(MVs!$B:$B, INDEX(MVs!$V$2:$Z$4, 2, MATCH(AX$32, MVs!$V$2:$Z$2, 0))):INDEX(MVs!$B:$B, INDEX(MVs!$V$2:$Z$4, 3, MATCH(AX$32, MVs!$V$2:$Z$2, 0))), 0), 17),"")</f>
        <v/>
      </c>
      <c r="AY3" s="220" t="str">
        <f>IFERROR(INDEX(INDEX(MVs!$B:$B, INDEX(MVs!$V$2:$Z$4, 2, MATCH(AY$32, MVs!$V$2:$Z$2, 0))):INDEX(MVs!$U:$U, INDEX(mvLookupTable, 3, MATCH(AY$32, MVs!$V$2:$Z$2, 0))), MATCH(AY$2, INDEX(MVs!$B:$B, INDEX(MVs!$V$2:$Z$4, 2, MATCH(AY$32, MVs!$V$2:$Z$2, 0))):INDEX(MVs!$B:$B, INDEX(MVs!$V$2:$Z$4, 3, MATCH(AY$32, MVs!$V$2:$Z$2, 0))), 0), 17),"")</f>
        <v/>
      </c>
      <c r="AZ3" s="220" t="str">
        <f>IFERROR(INDEX(INDEX(MVs!$B:$B, INDEX(MVs!$V$2:$Z$4, 2, MATCH(AZ$32, MVs!$V$2:$Z$2, 0))):INDEX(MVs!$U:$U, INDEX(mvLookupTable, 3, MATCH(AZ$32, MVs!$V$2:$Z$2, 0))), MATCH(AZ$2, INDEX(MVs!$B:$B, INDEX(MVs!$V$2:$Z$4, 2, MATCH(AZ$32, MVs!$V$2:$Z$2, 0))):INDEX(MVs!$B:$B, INDEX(MVs!$V$2:$Z$4, 3, MATCH(AZ$32, MVs!$V$2:$Z$2, 0))), 0), 17),"")</f>
        <v/>
      </c>
      <c r="BA3" s="220" t="str">
        <f>IFERROR(INDEX(INDEX(MVs!$B:$B, INDEX(MVs!$V$2:$Z$4, 2, MATCH(BA$32, MVs!$V$2:$Z$2, 0))):INDEX(MVs!$U:$U, INDEX(mvLookupTable, 3, MATCH(BA$32, MVs!$V$2:$Z$2, 0))), MATCH(BA$2, INDEX(MVs!$B:$B, INDEX(MVs!$V$2:$Z$4, 2, MATCH(BA$32, MVs!$V$2:$Z$2, 0))):INDEX(MVs!$B:$B, INDEX(MVs!$V$2:$Z$4, 3, MATCH(BA$32, MVs!$V$2:$Z$2, 0))), 0), 17),"")</f>
        <v/>
      </c>
      <c r="BB3" s="220" t="str">
        <f>IFERROR(INDEX(INDEX(MVs!$B:$B, INDEX(MVs!$V$2:$Z$4, 2, MATCH(BB$32, MVs!$V$2:$Z$2, 0))):INDEX(MVs!$U:$U, INDEX(mvLookupTable, 3, MATCH(BB$32, MVs!$V$2:$Z$2, 0))), MATCH(BB$2, INDEX(MVs!$B:$B, INDEX(MVs!$V$2:$Z$4, 2, MATCH(BB$32, MVs!$V$2:$Z$2, 0))):INDEX(MVs!$B:$B, INDEX(MVs!$V$2:$Z$4, 3, MATCH(BB$32, MVs!$V$2:$Z$2, 0))), 0), 17),"")</f>
        <v/>
      </c>
      <c r="BC3" s="220" t="str">
        <f>IFERROR(INDEX(INDEX(MVs!$B:$B, INDEX(MVs!$V$2:$Z$4, 2, MATCH(BC$32, MVs!$V$2:$Z$2, 0))):INDEX(MVs!$U:$U, INDEX(mvLookupTable, 3, MATCH(BC$32, MVs!$V$2:$Z$2, 0))), MATCH(BC$2, INDEX(MVs!$B:$B, INDEX(MVs!$V$2:$Z$4, 2, MATCH(BC$32, MVs!$V$2:$Z$2, 0))):INDEX(MVs!$B:$B, INDEX(MVs!$V$2:$Z$4, 3, MATCH(BC$32, MVs!$V$2:$Z$2, 0))), 0), 17),"")</f>
        <v/>
      </c>
      <c r="BD3" s="220" t="str">
        <f>IFERROR(INDEX(INDEX(MVs!$B:$B, INDEX(MVs!$V$2:$Z$4, 2, MATCH(BD$32, MVs!$V$2:$Z$2, 0))):INDEX(MVs!$U:$U, INDEX(mvLookupTable, 3, MATCH(BD$32, MVs!$V$2:$Z$2, 0))), MATCH(BD$2, INDEX(MVs!$B:$B, INDEX(MVs!$V$2:$Z$4, 2, MATCH(BD$32, MVs!$V$2:$Z$2, 0))):INDEX(MVs!$B:$B, INDEX(MVs!$V$2:$Z$4, 3, MATCH(BD$32, MVs!$V$2:$Z$2, 0))), 0), 17),"")</f>
        <v/>
      </c>
      <c r="BE3" s="220" t="str">
        <f>IFERROR(INDEX(INDEX(MVs!$B:$B, INDEX(MVs!$V$2:$Z$4, 2, MATCH(BE$32, MVs!$V$2:$Z$2, 0))):INDEX(MVs!$U:$U, INDEX(mvLookupTable, 3, MATCH(BE$32, MVs!$V$2:$Z$2, 0))), MATCH(BE$2, INDEX(MVs!$B:$B, INDEX(MVs!$V$2:$Z$4, 2, MATCH(BE$32, MVs!$V$2:$Z$2, 0))):INDEX(MVs!$B:$B, INDEX(MVs!$V$2:$Z$4, 3, MATCH(BE$32, MVs!$V$2:$Z$2, 0))), 0), 17),"")</f>
        <v/>
      </c>
      <c r="BF3" s="220" t="str">
        <f>IFERROR(INDEX(INDEX(MVs!$B:$B, INDEX(MVs!$V$2:$Z$4, 2, MATCH(BF$32, MVs!$V$2:$Z$2, 0))):INDEX(MVs!$U:$U, INDEX(mvLookupTable, 3, MATCH(BF$32, MVs!$V$2:$Z$2, 0))), MATCH(BF$2, INDEX(MVs!$B:$B, INDEX(MVs!$V$2:$Z$4, 2, MATCH(BF$32, MVs!$V$2:$Z$2, 0))):INDEX(MVs!$B:$B, INDEX(MVs!$V$2:$Z$4, 3, MATCH(BF$32, MVs!$V$2:$Z$2, 0))), 0), 17),"")</f>
        <v/>
      </c>
      <c r="BG3" s="220" t="str">
        <f>IFERROR(INDEX(INDEX(MVs!$B:$B, INDEX(MVs!$V$2:$Z$4, 2, MATCH(BG$32, MVs!$V$2:$Z$2, 0))):INDEX(MVs!$U:$U, INDEX(mvLookupTable, 3, MATCH(BG$32, MVs!$V$2:$Z$2, 0))), MATCH(BG$2, INDEX(MVs!$B:$B, INDEX(MVs!$V$2:$Z$4, 2, MATCH(BG$32, MVs!$V$2:$Z$2, 0))):INDEX(MVs!$B:$B, INDEX(MVs!$V$2:$Z$4, 3, MATCH(BG$32, MVs!$V$2:$Z$2, 0))), 0), 17),"")</f>
        <v/>
      </c>
      <c r="BH3" s="220" t="str">
        <f>IFERROR(INDEX(INDEX(MVs!$B:$B, INDEX(MVs!$V$2:$Z$4, 2, MATCH(BH$32, MVs!$V$2:$Z$2, 0))):INDEX(MVs!$U:$U, INDEX(mvLookupTable, 3, MATCH(BH$32, MVs!$V$2:$Z$2, 0))), MATCH(BH$2, INDEX(MVs!$B:$B, INDEX(MVs!$V$2:$Z$4, 2, MATCH(BH$32, MVs!$V$2:$Z$2, 0))):INDEX(MVs!$B:$B, INDEX(MVs!$V$2:$Z$4, 3, MATCH(BH$32, MVs!$V$2:$Z$2, 0))), 0), 17),"")</f>
        <v/>
      </c>
    </row>
    <row r="4" spans="1:87" s="220" customFormat="1" hidden="1" x14ac:dyDescent="0.25">
      <c r="A4" s="214" t="s">
        <v>1024</v>
      </c>
      <c r="B4" s="220" t="str">
        <f>IFERROR(INDEX(INDEX(MVs!$B:$B, INDEX(MVs!$V$2:$Z$4, 2, MATCH(B$32, MVs!$V$2:$Z$2, 0))):INDEX(MVs!$U:$U, INDEX(mvLookupTable, 3, MATCH(B$32, MVs!$V$2:$Z$2, 0))), MATCH(B$2, INDEX(MVs!$B:$B, INDEX(MVs!$V$2:$Z$4, 2, MATCH(B$32, MVs!$V$2:$Z$2, 0))):INDEX(MVs!$B:$B, INDEX(MVs!$V$2:$Z$4, 3, MATCH(B$32, MVs!$V$2:$Z$2, 0))), 0), 18),"")</f>
        <v>Skill</v>
      </c>
      <c r="C4" s="220" t="str">
        <f>IFERROR(INDEX(INDEX(MVs!$B:$B, INDEX(MVs!$V$2:$Z$4, 2, MATCH(C$32, MVs!$V$2:$Z$2, 0))):INDEX(MVs!$U:$U, INDEX(mvLookupTable, 3, MATCH(C$32, MVs!$V$2:$Z$2, 0))), MATCH(C$2, INDEX(MVs!$B:$B, INDEX(MVs!$V$2:$Z$4, 2, MATCH(C$32, MVs!$V$2:$Z$2, 0))):INDEX(MVs!$B:$B, INDEX(MVs!$V$2:$Z$4, 3, MATCH(C$32, MVs!$V$2:$Z$2, 0))), 0), 18),"")</f>
        <v>Skill</v>
      </c>
      <c r="D4" s="220" t="str">
        <f>IFERROR(INDEX(INDEX(MVs!$B:$B, INDEX(MVs!$V$2:$Z$4, 2, MATCH(D$32, MVs!$V$2:$Z$2, 0))):INDEX(MVs!$U:$U, INDEX(mvLookupTable, 3, MATCH(D$32, MVs!$V$2:$Z$2, 0))), MATCH(D$2, INDEX(MVs!$B:$B, INDEX(MVs!$V$2:$Z$4, 2, MATCH(D$32, MVs!$V$2:$Z$2, 0))):INDEX(MVs!$B:$B, INDEX(MVs!$V$2:$Z$4, 3, MATCH(D$32, MVs!$V$2:$Z$2, 0))), 0), 18),"")</f>
        <v>Skill</v>
      </c>
      <c r="E4" s="220" t="str">
        <f>IFERROR(INDEX(INDEX(MVs!$B:$B, INDEX(MVs!$V$2:$Z$4, 2, MATCH(E$32, MVs!$V$2:$Z$2, 0))):INDEX(MVs!$U:$U, INDEX(mvLookupTable, 3, MATCH(E$32, MVs!$V$2:$Z$2, 0))), MATCH(E$2, INDEX(MVs!$B:$B, INDEX(MVs!$V$2:$Z$4, 2, MATCH(E$32, MVs!$V$2:$Z$2, 0))):INDEX(MVs!$B:$B, INDEX(MVs!$V$2:$Z$4, 3, MATCH(E$32, MVs!$V$2:$Z$2, 0))), 0), 18),"")</f>
        <v>Transformative</v>
      </c>
      <c r="F4" s="220" t="str">
        <f>IFERROR(INDEX(INDEX(MVs!$B:$B, INDEX(MVs!$V$2:$Z$4, 2, MATCH(F$32, MVs!$V$2:$Z$2, 0))):INDEX(MVs!$U:$U, INDEX(mvLookupTable, 3, MATCH(F$32, MVs!$V$2:$Z$2, 0))), MATCH(F$2, INDEX(MVs!$B:$B, INDEX(MVs!$V$2:$Z$4, 2, MATCH(F$32, MVs!$V$2:$Z$2, 0))):INDEX(MVs!$B:$B, INDEX(MVs!$V$2:$Z$4, 3, MATCH(F$32, MVs!$V$2:$Z$2, 0))), 0), 18),"")</f>
        <v>Burst</v>
      </c>
      <c r="G4" s="220" t="str">
        <f>IFERROR(INDEX(INDEX(MVs!$B:$B, INDEX(MVs!$V$2:$Z$4, 2, MATCH(G$32, MVs!$V$2:$Z$2, 0))):INDEX(MVs!$U:$U, INDEX(mvLookupTable, 3, MATCH(G$32, MVs!$V$2:$Z$2, 0))), MATCH(G$2, INDEX(MVs!$B:$B, INDEX(MVs!$V$2:$Z$4, 2, MATCH(G$32, MVs!$V$2:$Z$2, 0))):INDEX(MVs!$B:$B, INDEX(MVs!$V$2:$Z$4, 3, MATCH(G$32, MVs!$V$2:$Z$2, 0))), 0), 18),"")</f>
        <v>Burst</v>
      </c>
      <c r="H4" s="220" t="str">
        <f>IFERROR(INDEX(INDEX(MVs!$B:$B, INDEX(MVs!$V$2:$Z$4, 2, MATCH(H$32, MVs!$V$2:$Z$2, 0))):INDEX(MVs!$U:$U, INDEX(mvLookupTable, 3, MATCH(H$32, MVs!$V$2:$Z$2, 0))), MATCH(H$2, INDEX(MVs!$B:$B, INDEX(MVs!$V$2:$Z$4, 2, MATCH(H$32, MVs!$V$2:$Z$2, 0))):INDEX(MVs!$B:$B, INDEX(MVs!$V$2:$Z$4, 3, MATCH(H$32, MVs!$V$2:$Z$2, 0))), 0), 18),"")</f>
        <v>Skill</v>
      </c>
      <c r="I4" s="220" t="str">
        <f>IFERROR(INDEX(INDEX(MVs!$B:$B, INDEX(MVs!$V$2:$Z$4, 2, MATCH(I$32, MVs!$V$2:$Z$2, 0))):INDEX(MVs!$U:$U, INDEX(mvLookupTable, 3, MATCH(I$32, MVs!$V$2:$Z$2, 0))), MATCH(I$2, INDEX(MVs!$B:$B, INDEX(MVs!$V$2:$Z$4, 2, MATCH(I$32, MVs!$V$2:$Z$2, 0))):INDEX(MVs!$B:$B, INDEX(MVs!$V$2:$Z$4, 3, MATCH(I$32, MVs!$V$2:$Z$2, 0))), 0), 18),"")</f>
        <v>Burst</v>
      </c>
      <c r="J4" s="220" t="str">
        <f>IFERROR(INDEX(INDEX(MVs!$B:$B, INDEX(MVs!$V$2:$Z$4, 2, MATCH(J$32, MVs!$V$2:$Z$2, 0))):INDEX(MVs!$U:$U, INDEX(mvLookupTable, 3, MATCH(J$32, MVs!$V$2:$Z$2, 0))), MATCH(J$2, INDEX(MVs!$B:$B, INDEX(MVs!$V$2:$Z$4, 2, MATCH(J$32, MVs!$V$2:$Z$2, 0))):INDEX(MVs!$B:$B, INDEX(MVs!$V$2:$Z$4, 3, MATCH(J$32, MVs!$V$2:$Z$2, 0))), 0), 18),"")</f>
        <v>Burst</v>
      </c>
      <c r="K4" s="220" t="str">
        <f>IFERROR(INDEX(INDEX(MVs!$B:$B, INDEX(MVs!$V$2:$Z$4, 2, MATCH(K$32, MVs!$V$2:$Z$2, 0))):INDEX(MVs!$U:$U, INDEX(mvLookupTable, 3, MATCH(K$32, MVs!$V$2:$Z$2, 0))), MATCH(K$2, INDEX(MVs!$B:$B, INDEX(MVs!$V$2:$Z$4, 2, MATCH(K$32, MVs!$V$2:$Z$2, 0))):INDEX(MVs!$B:$B, INDEX(MVs!$V$2:$Z$4, 3, MATCH(K$32, MVs!$V$2:$Z$2, 0))), 0), 18),"")</f>
        <v>Burst</v>
      </c>
      <c r="L4" s="220" t="str">
        <f>IFERROR(INDEX(INDEX(MVs!$B:$B, INDEX(MVs!$V$2:$Z$4, 2, MATCH(L$32, MVs!$V$2:$Z$2, 0))):INDEX(MVs!$U:$U, INDEX(mvLookupTable, 3, MATCH(L$32, MVs!$V$2:$Z$2, 0))), MATCH(L$2, INDEX(MVs!$B:$B, INDEX(MVs!$V$2:$Z$4, 2, MATCH(L$32, MVs!$V$2:$Z$2, 0))):INDEX(MVs!$B:$B, INDEX(MVs!$V$2:$Z$4, 3, MATCH(L$32, MVs!$V$2:$Z$2, 0))), 0), 18),"")</f>
        <v>Burst</v>
      </c>
      <c r="M4" s="220" t="str">
        <f>IFERROR(INDEX(INDEX(MVs!$B:$B, INDEX(MVs!$V$2:$Z$4, 2, MATCH(M$32, MVs!$V$2:$Z$2, 0))):INDEX(MVs!$U:$U, INDEX(mvLookupTable, 3, MATCH(M$32, MVs!$V$2:$Z$2, 0))), MATCH(M$2, INDEX(MVs!$B:$B, INDEX(MVs!$V$2:$Z$4, 2, MATCH(M$32, MVs!$V$2:$Z$2, 0))):INDEX(MVs!$B:$B, INDEX(MVs!$V$2:$Z$4, 3, MATCH(M$32, MVs!$V$2:$Z$2, 0))), 0), 18),"")</f>
        <v>Transformative</v>
      </c>
      <c r="N4" s="220" t="str">
        <f>IFERROR(INDEX(INDEX(MVs!$B:$B, INDEX(MVs!$V$2:$Z$4, 2, MATCH(N$32, MVs!$V$2:$Z$2, 0))):INDEX(MVs!$U:$U, INDEX(mvLookupTable, 3, MATCH(N$32, MVs!$V$2:$Z$2, 0))), MATCH(N$2, INDEX(MVs!$B:$B, INDEX(MVs!$V$2:$Z$4, 2, MATCH(N$32, MVs!$V$2:$Z$2, 0))):INDEX(MVs!$B:$B, INDEX(MVs!$V$2:$Z$4, 3, MATCH(N$32, MVs!$V$2:$Z$2, 0))), 0), 18),"")</f>
        <v>Transformative</v>
      </c>
      <c r="O4" s="220" t="str">
        <f>IFERROR(INDEX(INDEX(MVs!$B:$B, INDEX(MVs!$V$2:$Z$4, 2, MATCH(O$32, MVs!$V$2:$Z$2, 0))):INDEX(MVs!$U:$U, INDEX(mvLookupTable, 3, MATCH(O$32, MVs!$V$2:$Z$2, 0))), MATCH(O$2, INDEX(MVs!$B:$B, INDEX(MVs!$V$2:$Z$4, 2, MATCH(O$32, MVs!$V$2:$Z$2, 0))):INDEX(MVs!$B:$B, INDEX(MVs!$V$2:$Z$4, 3, MATCH(O$32, MVs!$V$2:$Z$2, 0))), 0), 18),"")</f>
        <v>Burst</v>
      </c>
      <c r="P4" s="220" t="str">
        <f>IFERROR(INDEX(INDEX(MVs!$B:$B, INDEX(MVs!$V$2:$Z$4, 2, MATCH(P$32, MVs!$V$2:$Z$2, 0))):INDEX(MVs!$U:$U, INDEX(mvLookupTable, 3, MATCH(P$32, MVs!$V$2:$Z$2, 0))), MATCH(P$2, INDEX(MVs!$B:$B, INDEX(MVs!$V$2:$Z$4, 2, MATCH(P$32, MVs!$V$2:$Z$2, 0))):INDEX(MVs!$B:$B, INDEX(MVs!$V$2:$Z$4, 3, MATCH(P$32, MVs!$V$2:$Z$2, 0))), 0), 18),"")</f>
        <v>Burst</v>
      </c>
      <c r="Q4" s="220" t="str">
        <f>IFERROR(INDEX(INDEX(MVs!$B:$B, INDEX(MVs!$V$2:$Z$4, 2, MATCH(Q$32, MVs!$V$2:$Z$2, 0))):INDEX(MVs!$U:$U, INDEX(mvLookupTable, 3, MATCH(Q$32, MVs!$V$2:$Z$2, 0))), MATCH(Q$2, INDEX(MVs!$B:$B, INDEX(MVs!$V$2:$Z$4, 2, MATCH(Q$32, MVs!$V$2:$Z$2, 0))):INDEX(MVs!$B:$B, INDEX(MVs!$V$2:$Z$4, 3, MATCH(Q$32, MVs!$V$2:$Z$2, 0))), 0), 18),"")</f>
        <v>Burst</v>
      </c>
      <c r="R4" s="220" t="str">
        <f>IFERROR(INDEX(INDEX(MVs!$B:$B, INDEX(MVs!$V$2:$Z$4, 2, MATCH(R$32, MVs!$V$2:$Z$2, 0))):INDEX(MVs!$U:$U, INDEX(mvLookupTable, 3, MATCH(R$32, MVs!$V$2:$Z$2, 0))), MATCH(R$2, INDEX(MVs!$B:$B, INDEX(MVs!$V$2:$Z$4, 2, MATCH(R$32, MVs!$V$2:$Z$2, 0))):INDEX(MVs!$B:$B, INDEX(MVs!$V$2:$Z$4, 3, MATCH(R$32, MVs!$V$2:$Z$2, 0))), 0), 18),"")</f>
        <v>Burst</v>
      </c>
      <c r="S4" s="220" t="str">
        <f>IFERROR(INDEX(INDEX(MVs!$B:$B, INDEX(MVs!$V$2:$Z$4, 2, MATCH(S$32, MVs!$V$2:$Z$2, 0))):INDEX(MVs!$U:$U, INDEX(mvLookupTable, 3, MATCH(S$32, MVs!$V$2:$Z$2, 0))), MATCH(S$2, INDEX(MVs!$B:$B, INDEX(MVs!$V$2:$Z$4, 2, MATCH(S$32, MVs!$V$2:$Z$2, 0))):INDEX(MVs!$B:$B, INDEX(MVs!$V$2:$Z$4, 3, MATCH(S$32, MVs!$V$2:$Z$2, 0))), 0), 18),"")</f>
        <v>Skill</v>
      </c>
      <c r="T4" s="220" t="str">
        <f>IFERROR(INDEX(INDEX(MVs!$B:$B, INDEX(MVs!$V$2:$Z$4, 2, MATCH(T$32, MVs!$V$2:$Z$2, 0))):INDEX(MVs!$U:$U, INDEX(mvLookupTable, 3, MATCH(T$32, MVs!$V$2:$Z$2, 0))), MATCH(T$2, INDEX(MVs!$B:$B, INDEX(MVs!$V$2:$Z$4, 2, MATCH(T$32, MVs!$V$2:$Z$2, 0))):INDEX(MVs!$B:$B, INDEX(MVs!$V$2:$Z$4, 3, MATCH(T$32, MVs!$V$2:$Z$2, 0))), 0), 18),"")</f>
        <v>Skill</v>
      </c>
      <c r="U4" s="220" t="str">
        <f>IFERROR(INDEX(INDEX(MVs!$B:$B, INDEX(MVs!$V$2:$Z$4, 2, MATCH(U$32, MVs!$V$2:$Z$2, 0))):INDEX(MVs!$U:$U, INDEX(mvLookupTable, 3, MATCH(U$32, MVs!$V$2:$Z$2, 0))), MATCH(U$2, INDEX(MVs!$B:$B, INDEX(MVs!$V$2:$Z$4, 2, MATCH(U$32, MVs!$V$2:$Z$2, 0))):INDEX(MVs!$B:$B, INDEX(MVs!$V$2:$Z$4, 3, MATCH(U$32, MVs!$V$2:$Z$2, 0))), 0), 18),"")</f>
        <v>Burst</v>
      </c>
      <c r="V4" s="220" t="str">
        <f>IFERROR(INDEX(INDEX(MVs!$B:$B, INDEX(MVs!$V$2:$Z$4, 2, MATCH(V$32, MVs!$V$2:$Z$2, 0))):INDEX(MVs!$U:$U, INDEX(mvLookupTable, 3, MATCH(V$32, MVs!$V$2:$Z$2, 0))), MATCH(V$2, INDEX(MVs!$B:$B, INDEX(MVs!$V$2:$Z$4, 2, MATCH(V$32, MVs!$V$2:$Z$2, 0))):INDEX(MVs!$B:$B, INDEX(MVs!$V$2:$Z$4, 3, MATCH(V$32, MVs!$V$2:$Z$2, 0))), 0), 18),"")</f>
        <v>Burst</v>
      </c>
      <c r="W4" s="220" t="str">
        <f>IFERROR(INDEX(INDEX(MVs!$B:$B, INDEX(MVs!$V$2:$Z$4, 2, MATCH(W$32, MVs!$V$2:$Z$2, 0))):INDEX(MVs!$U:$U, INDEX(mvLookupTable, 3, MATCH(W$32, MVs!$V$2:$Z$2, 0))), MATCH(W$2, INDEX(MVs!$B:$B, INDEX(MVs!$V$2:$Z$4, 2, MATCH(W$32, MVs!$V$2:$Z$2, 0))):INDEX(MVs!$B:$B, INDEX(MVs!$V$2:$Z$4, 3, MATCH(W$32, MVs!$V$2:$Z$2, 0))), 0), 18),"")</f>
        <v>Burst</v>
      </c>
      <c r="X4" s="220" t="str">
        <f>IFERROR(INDEX(INDEX(MVs!$B:$B, INDEX(MVs!$V$2:$Z$4, 2, MATCH(X$32, MVs!$V$2:$Z$2, 0))):INDEX(MVs!$U:$U, INDEX(mvLookupTable, 3, MATCH(X$32, MVs!$V$2:$Z$2, 0))), MATCH(X$2, INDEX(MVs!$B:$B, INDEX(MVs!$V$2:$Z$4, 2, MATCH(X$32, MVs!$V$2:$Z$2, 0))):INDEX(MVs!$B:$B, INDEX(MVs!$V$2:$Z$4, 3, MATCH(X$32, MVs!$V$2:$Z$2, 0))), 0), 18),"")</f>
        <v>Burst</v>
      </c>
      <c r="Y4" s="220" t="str">
        <f>IFERROR(INDEX(INDEX(MVs!$B:$B, INDEX(MVs!$V$2:$Z$4, 2, MATCH(Y$32, MVs!$V$2:$Z$2, 0))):INDEX(MVs!$U:$U, INDEX(mvLookupTable, 3, MATCH(Y$32, MVs!$V$2:$Z$2, 0))), MATCH(Y$2, INDEX(MVs!$B:$B, INDEX(MVs!$V$2:$Z$4, 2, MATCH(Y$32, MVs!$V$2:$Z$2, 0))):INDEX(MVs!$B:$B, INDEX(MVs!$V$2:$Z$4, 3, MATCH(Y$32, MVs!$V$2:$Z$2, 0))), 0), 18),"")</f>
        <v>Burst</v>
      </c>
      <c r="Z4" s="220" t="str">
        <f>IFERROR(INDEX(INDEX(MVs!$B:$B, INDEX(MVs!$V$2:$Z$4, 2, MATCH(Z$32, MVs!$V$2:$Z$2, 0))):INDEX(MVs!$U:$U, INDEX(mvLookupTable, 3, MATCH(Z$32, MVs!$V$2:$Z$2, 0))), MATCH(Z$2, INDEX(MVs!$B:$B, INDEX(MVs!$V$2:$Z$4, 2, MATCH(Z$32, MVs!$V$2:$Z$2, 0))):INDEX(MVs!$B:$B, INDEX(MVs!$V$2:$Z$4, 3, MATCH(Z$32, MVs!$V$2:$Z$2, 0))), 0), 18),"")</f>
        <v>Burst</v>
      </c>
      <c r="AA4" s="220" t="str">
        <f>IFERROR(INDEX(INDEX(MVs!$B:$B, INDEX(MVs!$V$2:$Z$4, 2, MATCH(AA$32, MVs!$V$2:$Z$2, 0))):INDEX(MVs!$U:$U, INDEX(mvLookupTable, 3, MATCH(AA$32, MVs!$V$2:$Z$2, 0))), MATCH(AA$2, INDEX(MVs!$B:$B, INDEX(MVs!$V$2:$Z$4, 2, MATCH(AA$32, MVs!$V$2:$Z$2, 0))):INDEX(MVs!$B:$B, INDEX(MVs!$V$2:$Z$4, 3, MATCH(AA$32, MVs!$V$2:$Z$2, 0))), 0), 18),"")</f>
        <v>Burst</v>
      </c>
      <c r="AB4" s="220" t="str">
        <f>IFERROR(INDEX(INDEX(MVs!$B:$B, INDEX(MVs!$V$2:$Z$4, 2, MATCH(AB$32, MVs!$V$2:$Z$2, 0))):INDEX(MVs!$U:$U, INDEX(mvLookupTable, 3, MATCH(AB$32, MVs!$V$2:$Z$2, 0))), MATCH(AB$2, INDEX(MVs!$B:$B, INDEX(MVs!$V$2:$Z$4, 2, MATCH(AB$32, MVs!$V$2:$Z$2, 0))):INDEX(MVs!$B:$B, INDEX(MVs!$V$2:$Z$4, 3, MATCH(AB$32, MVs!$V$2:$Z$2, 0))), 0), 18),"")</f>
        <v>Burst</v>
      </c>
      <c r="AC4" s="220" t="str">
        <f>IFERROR(INDEX(INDEX(MVs!$B:$B, INDEX(MVs!$V$2:$Z$4, 2, MATCH(AC$32, MVs!$V$2:$Z$2, 0))):INDEX(MVs!$U:$U, INDEX(mvLookupTable, 3, MATCH(AC$32, MVs!$V$2:$Z$2, 0))), MATCH(AC$2, INDEX(MVs!$B:$B, INDEX(MVs!$V$2:$Z$4, 2, MATCH(AC$32, MVs!$V$2:$Z$2, 0))):INDEX(MVs!$B:$B, INDEX(MVs!$V$2:$Z$4, 3, MATCH(AC$32, MVs!$V$2:$Z$2, 0))), 0), 18),"")</f>
        <v>Skill</v>
      </c>
      <c r="AD4" s="220" t="str">
        <f>IFERROR(INDEX(INDEX(MVs!$B:$B, INDEX(MVs!$V$2:$Z$4, 2, MATCH(AD$32, MVs!$V$2:$Z$2, 0))):INDEX(MVs!$U:$U, INDEX(mvLookupTable, 3, MATCH(AD$32, MVs!$V$2:$Z$2, 0))), MATCH(AD$2, INDEX(MVs!$B:$B, INDEX(MVs!$V$2:$Z$4, 2, MATCH(AD$32, MVs!$V$2:$Z$2, 0))):INDEX(MVs!$B:$B, INDEX(MVs!$V$2:$Z$4, 3, MATCH(AD$32, MVs!$V$2:$Z$2, 0))), 0), 18),"")</f>
        <v>Transformative</v>
      </c>
      <c r="AE4" s="220" t="str">
        <f>IFERROR(INDEX(INDEX(MVs!$B:$B, INDEX(MVs!$V$2:$Z$4, 2, MATCH(AE$32, MVs!$V$2:$Z$2, 0))):INDEX(MVs!$U:$U, INDEX(mvLookupTable, 3, MATCH(AE$32, MVs!$V$2:$Z$2, 0))), MATCH(AE$2, INDEX(MVs!$B:$B, INDEX(MVs!$V$2:$Z$4, 2, MATCH(AE$32, MVs!$V$2:$Z$2, 0))):INDEX(MVs!$B:$B, INDEX(MVs!$V$2:$Z$4, 3, MATCH(AE$32, MVs!$V$2:$Z$2, 0))), 0), 18),"")</f>
        <v>Skill</v>
      </c>
      <c r="AF4" s="220" t="str">
        <f>IFERROR(INDEX(INDEX(MVs!$B:$B, INDEX(MVs!$V$2:$Z$4, 2, MATCH(AF$32, MVs!$V$2:$Z$2, 0))):INDEX(MVs!$U:$U, INDEX(mvLookupTable, 3, MATCH(AF$32, MVs!$V$2:$Z$2, 0))), MATCH(AF$2, INDEX(MVs!$B:$B, INDEX(MVs!$V$2:$Z$4, 2, MATCH(AF$32, MVs!$V$2:$Z$2, 0))):INDEX(MVs!$B:$B, INDEX(MVs!$V$2:$Z$4, 3, MATCH(AF$32, MVs!$V$2:$Z$2, 0))), 0), 18),"")</f>
        <v>Charged</v>
      </c>
      <c r="AG4" s="220" t="str">
        <f>IFERROR(INDEX(INDEX(MVs!$B:$B, INDEX(MVs!$V$2:$Z$4, 2, MATCH(AG$32, MVs!$V$2:$Z$2, 0))):INDEX(MVs!$U:$U, INDEX(mvLookupTable, 3, MATCH(AG$32, MVs!$V$2:$Z$2, 0))), MATCH(AG$2, INDEX(MVs!$B:$B, INDEX(MVs!$V$2:$Z$4, 2, MATCH(AG$32, MVs!$V$2:$Z$2, 0))):INDEX(MVs!$B:$B, INDEX(MVs!$V$2:$Z$4, 3, MATCH(AG$32, MVs!$V$2:$Z$2, 0))), 0), 18),"")</f>
        <v>Charged</v>
      </c>
      <c r="AH4" s="220" t="str">
        <f>IFERROR(INDEX(INDEX(MVs!$B:$B, INDEX(MVs!$V$2:$Z$4, 2, MATCH(AH$32, MVs!$V$2:$Z$2, 0))):INDEX(MVs!$U:$U, INDEX(mvLookupTable, 3, MATCH(AH$32, MVs!$V$2:$Z$2, 0))), MATCH(AH$2, INDEX(MVs!$B:$B, INDEX(MVs!$V$2:$Z$4, 2, MATCH(AH$32, MVs!$V$2:$Z$2, 0))):INDEX(MVs!$B:$B, INDEX(MVs!$V$2:$Z$4, 3, MATCH(AH$32, MVs!$V$2:$Z$2, 0))), 0), 18),"")</f>
        <v>Charged</v>
      </c>
      <c r="AI4" s="220" t="str">
        <f>IFERROR(INDEX(INDEX(MVs!$B:$B, INDEX(MVs!$V$2:$Z$4, 2, MATCH(AI$32, MVs!$V$2:$Z$2, 0))):INDEX(MVs!$U:$U, INDEX(mvLookupTable, 3, MATCH(AI$32, MVs!$V$2:$Z$2, 0))), MATCH(AI$2, INDEX(MVs!$B:$B, INDEX(MVs!$V$2:$Z$4, 2, MATCH(AI$32, MVs!$V$2:$Z$2, 0))):INDEX(MVs!$B:$B, INDEX(MVs!$V$2:$Z$4, 3, MATCH(AI$32, MVs!$V$2:$Z$2, 0))), 0), 18),"")</f>
        <v>Charged</v>
      </c>
      <c r="AJ4" s="220" t="str">
        <f>IFERROR(INDEX(INDEX(MVs!$B:$B, INDEX(MVs!$V$2:$Z$4, 2, MATCH(AJ$32, MVs!$V$2:$Z$2, 0))):INDEX(MVs!$U:$U, INDEX(mvLookupTable, 3, MATCH(AJ$32, MVs!$V$2:$Z$2, 0))), MATCH(AJ$2, INDEX(MVs!$B:$B, INDEX(MVs!$V$2:$Z$4, 2, MATCH(AJ$32, MVs!$V$2:$Z$2, 0))):INDEX(MVs!$B:$B, INDEX(MVs!$V$2:$Z$4, 3, MATCH(AJ$32, MVs!$V$2:$Z$2, 0))), 0), 18),"")</f>
        <v/>
      </c>
      <c r="AK4" s="220" t="str">
        <f>IFERROR(INDEX(INDEX(MVs!$B:$B, INDEX(MVs!$V$2:$Z$4, 2, MATCH(AK$32, MVs!$V$2:$Z$2, 0))):INDEX(MVs!$U:$U, INDEX(mvLookupTable, 3, MATCH(AK$32, MVs!$V$2:$Z$2, 0))), MATCH(AK$2, INDEX(MVs!$B:$B, INDEX(MVs!$V$2:$Z$4, 2, MATCH(AK$32, MVs!$V$2:$Z$2, 0))):INDEX(MVs!$B:$B, INDEX(MVs!$V$2:$Z$4, 3, MATCH(AK$32, MVs!$V$2:$Z$2, 0))), 0), 18),"")</f>
        <v/>
      </c>
      <c r="AL4" s="220" t="str">
        <f>IFERROR(INDEX(INDEX(MVs!$B:$B, INDEX(MVs!$V$2:$Z$4, 2, MATCH(AL$32, MVs!$V$2:$Z$2, 0))):INDEX(MVs!$U:$U, INDEX(mvLookupTable, 3, MATCH(AL$32, MVs!$V$2:$Z$2, 0))), MATCH(AL$2, INDEX(MVs!$B:$B, INDEX(MVs!$V$2:$Z$4, 2, MATCH(AL$32, MVs!$V$2:$Z$2, 0))):INDEX(MVs!$B:$B, INDEX(MVs!$V$2:$Z$4, 3, MATCH(AL$32, MVs!$V$2:$Z$2, 0))), 0), 18),"")</f>
        <v/>
      </c>
      <c r="AM4" s="220" t="str">
        <f>IFERROR(INDEX(INDEX(MVs!$B:$B, INDEX(MVs!$V$2:$Z$4, 2, MATCH(AM$32, MVs!$V$2:$Z$2, 0))):INDEX(MVs!$U:$U, INDEX(mvLookupTable, 3, MATCH(AM$32, MVs!$V$2:$Z$2, 0))), MATCH(AM$2, INDEX(MVs!$B:$B, INDEX(MVs!$V$2:$Z$4, 2, MATCH(AM$32, MVs!$V$2:$Z$2, 0))):INDEX(MVs!$B:$B, INDEX(MVs!$V$2:$Z$4, 3, MATCH(AM$32, MVs!$V$2:$Z$2, 0))), 0), 18),"")</f>
        <v/>
      </c>
      <c r="AN4" s="220" t="str">
        <f>IFERROR(INDEX(INDEX(MVs!$B:$B, INDEX(MVs!$V$2:$Z$4, 2, MATCH(AN$32, MVs!$V$2:$Z$2, 0))):INDEX(MVs!$U:$U, INDEX(mvLookupTable, 3, MATCH(AN$32, MVs!$V$2:$Z$2, 0))), MATCH(AN$2, INDEX(MVs!$B:$B, INDEX(MVs!$V$2:$Z$4, 2, MATCH(AN$32, MVs!$V$2:$Z$2, 0))):INDEX(MVs!$B:$B, INDEX(MVs!$V$2:$Z$4, 3, MATCH(AN$32, MVs!$V$2:$Z$2, 0))), 0), 18),"")</f>
        <v/>
      </c>
      <c r="AO4" s="220" t="str">
        <f>IFERROR(INDEX(INDEX(MVs!$B:$B, INDEX(MVs!$V$2:$Z$4, 2, MATCH(AO$32, MVs!$V$2:$Z$2, 0))):INDEX(MVs!$U:$U, INDEX(mvLookupTable, 3, MATCH(AO$32, MVs!$V$2:$Z$2, 0))), MATCH(AO$2, INDEX(MVs!$B:$B, INDEX(MVs!$V$2:$Z$4, 2, MATCH(AO$32, MVs!$V$2:$Z$2, 0))):INDEX(MVs!$B:$B, INDEX(MVs!$V$2:$Z$4, 3, MATCH(AO$32, MVs!$V$2:$Z$2, 0))), 0), 18),"")</f>
        <v/>
      </c>
      <c r="AP4" s="220" t="str">
        <f>IFERROR(INDEX(INDEX(MVs!$B:$B, INDEX(MVs!$V$2:$Z$4, 2, MATCH(AP$32, MVs!$V$2:$Z$2, 0))):INDEX(MVs!$U:$U, INDEX(mvLookupTable, 3, MATCH(AP$32, MVs!$V$2:$Z$2, 0))), MATCH(AP$2, INDEX(MVs!$B:$B, INDEX(MVs!$V$2:$Z$4, 2, MATCH(AP$32, MVs!$V$2:$Z$2, 0))):INDEX(MVs!$B:$B, INDEX(MVs!$V$2:$Z$4, 3, MATCH(AP$32, MVs!$V$2:$Z$2, 0))), 0), 18),"")</f>
        <v/>
      </c>
      <c r="AQ4" s="220" t="str">
        <f>IFERROR(INDEX(INDEX(MVs!$B:$B, INDEX(MVs!$V$2:$Z$4, 2, MATCH(AQ$32, MVs!$V$2:$Z$2, 0))):INDEX(MVs!$U:$U, INDEX(mvLookupTable, 3, MATCH(AQ$32, MVs!$V$2:$Z$2, 0))), MATCH(AQ$2, INDEX(MVs!$B:$B, INDEX(MVs!$V$2:$Z$4, 2, MATCH(AQ$32, MVs!$V$2:$Z$2, 0))):INDEX(MVs!$B:$B, INDEX(MVs!$V$2:$Z$4, 3, MATCH(AQ$32, MVs!$V$2:$Z$2, 0))), 0), 18),"")</f>
        <v/>
      </c>
      <c r="AR4" s="220" t="str">
        <f>IFERROR(INDEX(INDEX(MVs!$B:$B, INDEX(MVs!$V$2:$Z$4, 2, MATCH(AR$32, MVs!$V$2:$Z$2, 0))):INDEX(MVs!$U:$U, INDEX(mvLookupTable, 3, MATCH(AR$32, MVs!$V$2:$Z$2, 0))), MATCH(AR$2, INDEX(MVs!$B:$B, INDEX(MVs!$V$2:$Z$4, 2, MATCH(AR$32, MVs!$V$2:$Z$2, 0))):INDEX(MVs!$B:$B, INDEX(MVs!$V$2:$Z$4, 3, MATCH(AR$32, MVs!$V$2:$Z$2, 0))), 0), 18),"")</f>
        <v/>
      </c>
      <c r="AS4" s="220" t="str">
        <f>IFERROR(INDEX(INDEX(MVs!$B:$B, INDEX(MVs!$V$2:$Z$4, 2, MATCH(AS$32, MVs!$V$2:$Z$2, 0))):INDEX(MVs!$U:$U, INDEX(mvLookupTable, 3, MATCH(AS$32, MVs!$V$2:$Z$2, 0))), MATCH(AS$2, INDEX(MVs!$B:$B, INDEX(MVs!$V$2:$Z$4, 2, MATCH(AS$32, MVs!$V$2:$Z$2, 0))):INDEX(MVs!$B:$B, INDEX(MVs!$V$2:$Z$4, 3, MATCH(AS$32, MVs!$V$2:$Z$2, 0))), 0), 18),"")</f>
        <v/>
      </c>
      <c r="AT4" s="220" t="str">
        <f>IFERROR(INDEX(INDEX(MVs!$B:$B, INDEX(MVs!$V$2:$Z$4, 2, MATCH(AT$32, MVs!$V$2:$Z$2, 0))):INDEX(MVs!$U:$U, INDEX(mvLookupTable, 3, MATCH(AT$32, MVs!$V$2:$Z$2, 0))), MATCH(AT$2, INDEX(MVs!$B:$B, INDEX(MVs!$V$2:$Z$4, 2, MATCH(AT$32, MVs!$V$2:$Z$2, 0))):INDEX(MVs!$B:$B, INDEX(MVs!$V$2:$Z$4, 3, MATCH(AT$32, MVs!$V$2:$Z$2, 0))), 0), 18),"")</f>
        <v/>
      </c>
      <c r="AU4" s="220" t="str">
        <f>IFERROR(INDEX(INDEX(MVs!$B:$B, INDEX(MVs!$V$2:$Z$4, 2, MATCH(AU$32, MVs!$V$2:$Z$2, 0))):INDEX(MVs!$U:$U, INDEX(mvLookupTable, 3, MATCH(AU$32, MVs!$V$2:$Z$2, 0))), MATCH(AU$2, INDEX(MVs!$B:$B, INDEX(MVs!$V$2:$Z$4, 2, MATCH(AU$32, MVs!$V$2:$Z$2, 0))):INDEX(MVs!$B:$B, INDEX(MVs!$V$2:$Z$4, 3, MATCH(AU$32, MVs!$V$2:$Z$2, 0))), 0), 18),"")</f>
        <v/>
      </c>
      <c r="AV4" s="220" t="str">
        <f>IFERROR(INDEX(INDEX(MVs!$B:$B, INDEX(MVs!$V$2:$Z$4, 2, MATCH(AV$32, MVs!$V$2:$Z$2, 0))):INDEX(MVs!$U:$U, INDEX(mvLookupTable, 3, MATCH(AV$32, MVs!$V$2:$Z$2, 0))), MATCH(AV$2, INDEX(MVs!$B:$B, INDEX(MVs!$V$2:$Z$4, 2, MATCH(AV$32, MVs!$V$2:$Z$2, 0))):INDEX(MVs!$B:$B, INDEX(MVs!$V$2:$Z$4, 3, MATCH(AV$32, MVs!$V$2:$Z$2, 0))), 0), 18),"")</f>
        <v/>
      </c>
      <c r="AW4" s="220" t="str">
        <f>IFERROR(INDEX(INDEX(MVs!$B:$B, INDEX(MVs!$V$2:$Z$4, 2, MATCH(AW$32, MVs!$V$2:$Z$2, 0))):INDEX(MVs!$U:$U, INDEX(mvLookupTable, 3, MATCH(AW$32, MVs!$V$2:$Z$2, 0))), MATCH(AW$2, INDEX(MVs!$B:$B, INDEX(MVs!$V$2:$Z$4, 2, MATCH(AW$32, MVs!$V$2:$Z$2, 0))):INDEX(MVs!$B:$B, INDEX(MVs!$V$2:$Z$4, 3, MATCH(AW$32, MVs!$V$2:$Z$2, 0))), 0), 18),"")</f>
        <v/>
      </c>
      <c r="AX4" s="220" t="str">
        <f>IFERROR(INDEX(INDEX(MVs!$B:$B, INDEX(MVs!$V$2:$Z$4, 2, MATCH(AX$32, MVs!$V$2:$Z$2, 0))):INDEX(MVs!$U:$U, INDEX(mvLookupTable, 3, MATCH(AX$32, MVs!$V$2:$Z$2, 0))), MATCH(AX$2, INDEX(MVs!$B:$B, INDEX(MVs!$V$2:$Z$4, 2, MATCH(AX$32, MVs!$V$2:$Z$2, 0))):INDEX(MVs!$B:$B, INDEX(MVs!$V$2:$Z$4, 3, MATCH(AX$32, MVs!$V$2:$Z$2, 0))), 0), 18),"")</f>
        <v/>
      </c>
      <c r="AY4" s="220" t="str">
        <f>IFERROR(INDEX(INDEX(MVs!$B:$B, INDEX(MVs!$V$2:$Z$4, 2, MATCH(AY$32, MVs!$V$2:$Z$2, 0))):INDEX(MVs!$U:$U, INDEX(mvLookupTable, 3, MATCH(AY$32, MVs!$V$2:$Z$2, 0))), MATCH(AY$2, INDEX(MVs!$B:$B, INDEX(MVs!$V$2:$Z$4, 2, MATCH(AY$32, MVs!$V$2:$Z$2, 0))):INDEX(MVs!$B:$B, INDEX(MVs!$V$2:$Z$4, 3, MATCH(AY$32, MVs!$V$2:$Z$2, 0))), 0), 18),"")</f>
        <v/>
      </c>
      <c r="AZ4" s="220" t="str">
        <f>IFERROR(INDEX(INDEX(MVs!$B:$B, INDEX(MVs!$V$2:$Z$4, 2, MATCH(AZ$32, MVs!$V$2:$Z$2, 0))):INDEX(MVs!$U:$U, INDEX(mvLookupTable, 3, MATCH(AZ$32, MVs!$V$2:$Z$2, 0))), MATCH(AZ$2, INDEX(MVs!$B:$B, INDEX(MVs!$V$2:$Z$4, 2, MATCH(AZ$32, MVs!$V$2:$Z$2, 0))):INDEX(MVs!$B:$B, INDEX(MVs!$V$2:$Z$4, 3, MATCH(AZ$32, MVs!$V$2:$Z$2, 0))), 0), 18),"")</f>
        <v/>
      </c>
      <c r="BA4" s="220" t="str">
        <f>IFERROR(INDEX(INDEX(MVs!$B:$B, INDEX(MVs!$V$2:$Z$4, 2, MATCH(BA$32, MVs!$V$2:$Z$2, 0))):INDEX(MVs!$U:$U, INDEX(mvLookupTable, 3, MATCH(BA$32, MVs!$V$2:$Z$2, 0))), MATCH(BA$2, INDEX(MVs!$B:$B, INDEX(MVs!$V$2:$Z$4, 2, MATCH(BA$32, MVs!$V$2:$Z$2, 0))):INDEX(MVs!$B:$B, INDEX(MVs!$V$2:$Z$4, 3, MATCH(BA$32, MVs!$V$2:$Z$2, 0))), 0), 18),"")</f>
        <v/>
      </c>
      <c r="BB4" s="220" t="str">
        <f>IFERROR(INDEX(INDEX(MVs!$B:$B, INDEX(MVs!$V$2:$Z$4, 2, MATCH(BB$32, MVs!$V$2:$Z$2, 0))):INDEX(MVs!$U:$U, INDEX(mvLookupTable, 3, MATCH(BB$32, MVs!$V$2:$Z$2, 0))), MATCH(BB$2, INDEX(MVs!$B:$B, INDEX(MVs!$V$2:$Z$4, 2, MATCH(BB$32, MVs!$V$2:$Z$2, 0))):INDEX(MVs!$B:$B, INDEX(MVs!$V$2:$Z$4, 3, MATCH(BB$32, MVs!$V$2:$Z$2, 0))), 0), 18),"")</f>
        <v/>
      </c>
      <c r="BC4" s="220" t="str">
        <f>IFERROR(INDEX(INDEX(MVs!$B:$B, INDEX(MVs!$V$2:$Z$4, 2, MATCH(BC$32, MVs!$V$2:$Z$2, 0))):INDEX(MVs!$U:$U, INDEX(mvLookupTable, 3, MATCH(BC$32, MVs!$V$2:$Z$2, 0))), MATCH(BC$2, INDEX(MVs!$B:$B, INDEX(MVs!$V$2:$Z$4, 2, MATCH(BC$32, MVs!$V$2:$Z$2, 0))):INDEX(MVs!$B:$B, INDEX(MVs!$V$2:$Z$4, 3, MATCH(BC$32, MVs!$V$2:$Z$2, 0))), 0), 18),"")</f>
        <v/>
      </c>
      <c r="BD4" s="220" t="str">
        <f>IFERROR(INDEX(INDEX(MVs!$B:$B, INDEX(MVs!$V$2:$Z$4, 2, MATCH(BD$32, MVs!$V$2:$Z$2, 0))):INDEX(MVs!$U:$U, INDEX(mvLookupTable, 3, MATCH(BD$32, MVs!$V$2:$Z$2, 0))), MATCH(BD$2, INDEX(MVs!$B:$B, INDEX(MVs!$V$2:$Z$4, 2, MATCH(BD$32, MVs!$V$2:$Z$2, 0))):INDEX(MVs!$B:$B, INDEX(MVs!$V$2:$Z$4, 3, MATCH(BD$32, MVs!$V$2:$Z$2, 0))), 0), 18),"")</f>
        <v/>
      </c>
      <c r="BE4" s="220" t="str">
        <f>IFERROR(INDEX(INDEX(MVs!$B:$B, INDEX(MVs!$V$2:$Z$4, 2, MATCH(BE$32, MVs!$V$2:$Z$2, 0))):INDEX(MVs!$U:$U, INDEX(mvLookupTable, 3, MATCH(BE$32, MVs!$V$2:$Z$2, 0))), MATCH(BE$2, INDEX(MVs!$B:$B, INDEX(MVs!$V$2:$Z$4, 2, MATCH(BE$32, MVs!$V$2:$Z$2, 0))):INDEX(MVs!$B:$B, INDEX(MVs!$V$2:$Z$4, 3, MATCH(BE$32, MVs!$V$2:$Z$2, 0))), 0), 18),"")</f>
        <v/>
      </c>
      <c r="BF4" s="220" t="str">
        <f>IFERROR(INDEX(INDEX(MVs!$B:$B, INDEX(MVs!$V$2:$Z$4, 2, MATCH(BF$32, MVs!$V$2:$Z$2, 0))):INDEX(MVs!$U:$U, INDEX(mvLookupTable, 3, MATCH(BF$32, MVs!$V$2:$Z$2, 0))), MATCH(BF$2, INDEX(MVs!$B:$B, INDEX(MVs!$V$2:$Z$4, 2, MATCH(BF$32, MVs!$V$2:$Z$2, 0))):INDEX(MVs!$B:$B, INDEX(MVs!$V$2:$Z$4, 3, MATCH(BF$32, MVs!$V$2:$Z$2, 0))), 0), 18),"")</f>
        <v/>
      </c>
      <c r="BG4" s="220" t="str">
        <f>IFERROR(INDEX(INDEX(MVs!$B:$B, INDEX(MVs!$V$2:$Z$4, 2, MATCH(BG$32, MVs!$V$2:$Z$2, 0))):INDEX(MVs!$U:$U, INDEX(mvLookupTable, 3, MATCH(BG$32, MVs!$V$2:$Z$2, 0))), MATCH(BG$2, INDEX(MVs!$B:$B, INDEX(MVs!$V$2:$Z$4, 2, MATCH(BG$32, MVs!$V$2:$Z$2, 0))):INDEX(MVs!$B:$B, INDEX(MVs!$V$2:$Z$4, 3, MATCH(BG$32, MVs!$V$2:$Z$2, 0))), 0), 18),"")</f>
        <v/>
      </c>
      <c r="BH4" s="220" t="str">
        <f>IFERROR(INDEX(INDEX(MVs!$B:$B, INDEX(MVs!$V$2:$Z$4, 2, MATCH(BH$32, MVs!$V$2:$Z$2, 0))):INDEX(MVs!$U:$U, INDEX(mvLookupTable, 3, MATCH(BH$32, MVs!$V$2:$Z$2, 0))), MATCH(BH$2, INDEX(MVs!$B:$B, INDEX(MVs!$V$2:$Z$4, 2, MATCH(BH$32, MVs!$V$2:$Z$2, 0))):INDEX(MVs!$B:$B, INDEX(MVs!$V$2:$Z$4, 3, MATCH(BH$32, MVs!$V$2:$Z$2, 0))), 0), 18),"")</f>
        <v/>
      </c>
    </row>
    <row r="5" spans="1:87" s="220" customFormat="1" hidden="1" x14ac:dyDescent="0.25">
      <c r="A5" s="40" t="s">
        <v>124</v>
      </c>
      <c r="B5" s="220" t="str">
        <f>IFERROR(INDEX(INDEX(MVs!$B:$B, INDEX(MVs!$V$2:$Z$4, 2, MATCH(B$32, MVs!$V$2:$Z$2, 0))):INDEX(MVs!$U:$U, INDEX(mvLookupTable, 3, MATCH(B$32, MVs!$V$2:$Z$2, 0))), MATCH(B$2, INDEX(MVs!$B:$B, INDEX(MVs!$V$2:$Z$4, 2, MATCH(B$32, MVs!$V$2:$Z$2, 0))):INDEX(MVs!$B:$B, INDEX(MVs!$V$2:$Z$4, 3, MATCH(B$32, MVs!$V$2:$Z$2, 0))), 0), 19),"")</f>
        <v>ATK</v>
      </c>
      <c r="C5" s="220" t="str">
        <f>IFERROR(INDEX(INDEX(MVs!$B:$B, INDEX(MVs!$V$2:$Z$4, 2, MATCH(C$32, MVs!$V$2:$Z$2, 0))):INDEX(MVs!$U:$U, INDEX(mvLookupTable, 3, MATCH(C$32, MVs!$V$2:$Z$2, 0))), MATCH(C$2, INDEX(MVs!$B:$B, INDEX(MVs!$V$2:$Z$4, 2, MATCH(C$32, MVs!$V$2:$Z$2, 0))):INDEX(MVs!$B:$B, INDEX(MVs!$V$2:$Z$4, 3, MATCH(C$32, MVs!$V$2:$Z$2, 0))), 0), 19),"")</f>
        <v>ATK</v>
      </c>
      <c r="D5" s="220" t="str">
        <f>IFERROR(INDEX(INDEX(MVs!$B:$B, INDEX(MVs!$V$2:$Z$4, 2, MATCH(D$32, MVs!$V$2:$Z$2, 0))):INDEX(MVs!$U:$U, INDEX(mvLookupTable, 3, MATCH(D$32, MVs!$V$2:$Z$2, 0))), MATCH(D$2, INDEX(MVs!$B:$B, INDEX(MVs!$V$2:$Z$4, 2, MATCH(D$32, MVs!$V$2:$Z$2, 0))):INDEX(MVs!$B:$B, INDEX(MVs!$V$2:$Z$4, 3, MATCH(D$32, MVs!$V$2:$Z$2, 0))), 0), 19),"")</f>
        <v>ATK</v>
      </c>
      <c r="E5" s="220" t="str">
        <f>IFERROR(INDEX(INDEX(MVs!$B:$B, INDEX(MVs!$V$2:$Z$4, 2, MATCH(E$32, MVs!$V$2:$Z$2, 0))):INDEX(MVs!$U:$U, INDEX(mvLookupTable, 3, MATCH(E$32, MVs!$V$2:$Z$2, 0))), MATCH(E$2, INDEX(MVs!$B:$B, INDEX(MVs!$V$2:$Z$4, 2, MATCH(E$32, MVs!$V$2:$Z$2, 0))):INDEX(MVs!$B:$B, INDEX(MVs!$V$2:$Z$4, 3, MATCH(E$32, MVs!$V$2:$Z$2, 0))), 0), 19),"")</f>
        <v>EM</v>
      </c>
      <c r="F5" s="220" t="str">
        <f>IFERROR(INDEX(INDEX(MVs!$B:$B, INDEX(MVs!$V$2:$Z$4, 2, MATCH(F$32, MVs!$V$2:$Z$2, 0))):INDEX(MVs!$U:$U, INDEX(mvLookupTable, 3, MATCH(F$32, MVs!$V$2:$Z$2, 0))), MATCH(F$2, INDEX(MVs!$B:$B, INDEX(MVs!$V$2:$Z$4, 2, MATCH(F$32, MVs!$V$2:$Z$2, 0))):INDEX(MVs!$B:$B, INDEX(MVs!$V$2:$Z$4, 3, MATCH(F$32, MVs!$V$2:$Z$2, 0))), 0), 19),"")</f>
        <v>ATK</v>
      </c>
      <c r="G5" s="220" t="str">
        <f>IFERROR(INDEX(INDEX(MVs!$B:$B, INDEX(MVs!$V$2:$Z$4, 2, MATCH(G$32, MVs!$V$2:$Z$2, 0))):INDEX(MVs!$U:$U, INDEX(mvLookupTable, 3, MATCH(G$32, MVs!$V$2:$Z$2, 0))), MATCH(G$2, INDEX(MVs!$B:$B, INDEX(MVs!$V$2:$Z$4, 2, MATCH(G$32, MVs!$V$2:$Z$2, 0))):INDEX(MVs!$B:$B, INDEX(MVs!$V$2:$Z$4, 3, MATCH(G$32, MVs!$V$2:$Z$2, 0))), 0), 19),"")</f>
        <v>ATK</v>
      </c>
      <c r="H5" s="220" t="str">
        <f>IFERROR(INDEX(INDEX(MVs!$B:$B, INDEX(MVs!$V$2:$Z$4, 2, MATCH(H$32, MVs!$V$2:$Z$2, 0))):INDEX(MVs!$U:$U, INDEX(mvLookupTable, 3, MATCH(H$32, MVs!$V$2:$Z$2, 0))), MATCH(H$2, INDEX(MVs!$B:$B, INDEX(MVs!$V$2:$Z$4, 2, MATCH(H$32, MVs!$V$2:$Z$2, 0))):INDEX(MVs!$B:$B, INDEX(MVs!$V$2:$Z$4, 3, MATCH(H$32, MVs!$V$2:$Z$2, 0))), 0), 19),"")</f>
        <v>ATK</v>
      </c>
      <c r="I5" s="220" t="str">
        <f>IFERROR(INDEX(INDEX(MVs!$B:$B, INDEX(MVs!$V$2:$Z$4, 2, MATCH(I$32, MVs!$V$2:$Z$2, 0))):INDEX(MVs!$U:$U, INDEX(mvLookupTable, 3, MATCH(I$32, MVs!$V$2:$Z$2, 0))), MATCH(I$2, INDEX(MVs!$B:$B, INDEX(MVs!$V$2:$Z$4, 2, MATCH(I$32, MVs!$V$2:$Z$2, 0))):INDEX(MVs!$B:$B, INDEX(MVs!$V$2:$Z$4, 3, MATCH(I$32, MVs!$V$2:$Z$2, 0))), 0), 19),"")</f>
        <v>ATK</v>
      </c>
      <c r="J5" s="220" t="str">
        <f>IFERROR(INDEX(INDEX(MVs!$B:$B, INDEX(MVs!$V$2:$Z$4, 2, MATCH(J$32, MVs!$V$2:$Z$2, 0))):INDEX(MVs!$U:$U, INDEX(mvLookupTable, 3, MATCH(J$32, MVs!$V$2:$Z$2, 0))), MATCH(J$2, INDEX(MVs!$B:$B, INDEX(MVs!$V$2:$Z$4, 2, MATCH(J$32, MVs!$V$2:$Z$2, 0))):INDEX(MVs!$B:$B, INDEX(MVs!$V$2:$Z$4, 3, MATCH(J$32, MVs!$V$2:$Z$2, 0))), 0), 19),"")</f>
        <v>ATK</v>
      </c>
      <c r="K5" s="220" t="str">
        <f>IFERROR(INDEX(INDEX(MVs!$B:$B, INDEX(MVs!$V$2:$Z$4, 2, MATCH(K$32, MVs!$V$2:$Z$2, 0))):INDEX(MVs!$U:$U, INDEX(mvLookupTable, 3, MATCH(K$32, MVs!$V$2:$Z$2, 0))), MATCH(K$2, INDEX(MVs!$B:$B, INDEX(MVs!$V$2:$Z$4, 2, MATCH(K$32, MVs!$V$2:$Z$2, 0))):INDEX(MVs!$B:$B, INDEX(MVs!$V$2:$Z$4, 3, MATCH(K$32, MVs!$V$2:$Z$2, 0))), 0), 19),"")</f>
        <v>ATK</v>
      </c>
      <c r="L5" s="220" t="str">
        <f>IFERROR(INDEX(INDEX(MVs!$B:$B, INDEX(MVs!$V$2:$Z$4, 2, MATCH(L$32, MVs!$V$2:$Z$2, 0))):INDEX(MVs!$U:$U, INDEX(mvLookupTable, 3, MATCH(L$32, MVs!$V$2:$Z$2, 0))), MATCH(L$2, INDEX(MVs!$B:$B, INDEX(MVs!$V$2:$Z$4, 2, MATCH(L$32, MVs!$V$2:$Z$2, 0))):INDEX(MVs!$B:$B, INDEX(MVs!$V$2:$Z$4, 3, MATCH(L$32, MVs!$V$2:$Z$2, 0))), 0), 19),"")</f>
        <v>ATK</v>
      </c>
      <c r="M5" s="220" t="str">
        <f>IFERROR(INDEX(INDEX(MVs!$B:$B, INDEX(MVs!$V$2:$Z$4, 2, MATCH(M$32, MVs!$V$2:$Z$2, 0))):INDEX(MVs!$U:$U, INDEX(mvLookupTable, 3, MATCH(M$32, MVs!$V$2:$Z$2, 0))), MATCH(M$2, INDEX(MVs!$B:$B, INDEX(MVs!$V$2:$Z$4, 2, MATCH(M$32, MVs!$V$2:$Z$2, 0))):INDEX(MVs!$B:$B, INDEX(MVs!$V$2:$Z$4, 3, MATCH(M$32, MVs!$V$2:$Z$2, 0))), 0), 19),"")</f>
        <v>EM</v>
      </c>
      <c r="N5" s="220" t="str">
        <f>IFERROR(INDEX(INDEX(MVs!$B:$B, INDEX(MVs!$V$2:$Z$4, 2, MATCH(N$32, MVs!$V$2:$Z$2, 0))):INDEX(MVs!$U:$U, INDEX(mvLookupTable, 3, MATCH(N$32, MVs!$V$2:$Z$2, 0))), MATCH(N$2, INDEX(MVs!$B:$B, INDEX(MVs!$V$2:$Z$4, 2, MATCH(N$32, MVs!$V$2:$Z$2, 0))):INDEX(MVs!$B:$B, INDEX(MVs!$V$2:$Z$4, 3, MATCH(N$32, MVs!$V$2:$Z$2, 0))), 0), 19),"")</f>
        <v>EM</v>
      </c>
      <c r="O5" s="220" t="str">
        <f>IFERROR(INDEX(INDEX(MVs!$B:$B, INDEX(MVs!$V$2:$Z$4, 2, MATCH(O$32, MVs!$V$2:$Z$2, 0))):INDEX(MVs!$U:$U, INDEX(mvLookupTable, 3, MATCH(O$32, MVs!$V$2:$Z$2, 0))), MATCH(O$2, INDEX(MVs!$B:$B, INDEX(MVs!$V$2:$Z$4, 2, MATCH(O$32, MVs!$V$2:$Z$2, 0))):INDEX(MVs!$B:$B, INDEX(MVs!$V$2:$Z$4, 3, MATCH(O$32, MVs!$V$2:$Z$2, 0))), 0), 19),"")</f>
        <v>ATK</v>
      </c>
      <c r="P5" s="220" t="str">
        <f>IFERROR(INDEX(INDEX(MVs!$B:$B, INDEX(MVs!$V$2:$Z$4, 2, MATCH(P$32, MVs!$V$2:$Z$2, 0))):INDEX(MVs!$U:$U, INDEX(mvLookupTable, 3, MATCH(P$32, MVs!$V$2:$Z$2, 0))), MATCH(P$2, INDEX(MVs!$B:$B, INDEX(MVs!$V$2:$Z$4, 2, MATCH(P$32, MVs!$V$2:$Z$2, 0))):INDEX(MVs!$B:$B, INDEX(MVs!$V$2:$Z$4, 3, MATCH(P$32, MVs!$V$2:$Z$2, 0))), 0), 19),"")</f>
        <v>ATK</v>
      </c>
      <c r="Q5" s="220" t="str">
        <f>IFERROR(INDEX(INDEX(MVs!$B:$B, INDEX(MVs!$V$2:$Z$4, 2, MATCH(Q$32, MVs!$V$2:$Z$2, 0))):INDEX(MVs!$U:$U, INDEX(mvLookupTable, 3, MATCH(Q$32, MVs!$V$2:$Z$2, 0))), MATCH(Q$2, INDEX(MVs!$B:$B, INDEX(MVs!$V$2:$Z$4, 2, MATCH(Q$32, MVs!$V$2:$Z$2, 0))):INDEX(MVs!$B:$B, INDEX(MVs!$V$2:$Z$4, 3, MATCH(Q$32, MVs!$V$2:$Z$2, 0))), 0), 19),"")</f>
        <v>ATK</v>
      </c>
      <c r="R5" s="220" t="str">
        <f>IFERROR(INDEX(INDEX(MVs!$B:$B, INDEX(MVs!$V$2:$Z$4, 2, MATCH(R$32, MVs!$V$2:$Z$2, 0))):INDEX(MVs!$U:$U, INDEX(mvLookupTable, 3, MATCH(R$32, MVs!$V$2:$Z$2, 0))), MATCH(R$2, INDEX(MVs!$B:$B, INDEX(MVs!$V$2:$Z$4, 2, MATCH(R$32, MVs!$V$2:$Z$2, 0))):INDEX(MVs!$B:$B, INDEX(MVs!$V$2:$Z$4, 3, MATCH(R$32, MVs!$V$2:$Z$2, 0))), 0), 19),"")</f>
        <v>ATK</v>
      </c>
      <c r="S5" s="220" t="str">
        <f>IFERROR(INDEX(INDEX(MVs!$B:$B, INDEX(MVs!$V$2:$Z$4, 2, MATCH(S$32, MVs!$V$2:$Z$2, 0))):INDEX(MVs!$U:$U, INDEX(mvLookupTable, 3, MATCH(S$32, MVs!$V$2:$Z$2, 0))), MATCH(S$2, INDEX(MVs!$B:$B, INDEX(MVs!$V$2:$Z$4, 2, MATCH(S$32, MVs!$V$2:$Z$2, 0))):INDEX(MVs!$B:$B, INDEX(MVs!$V$2:$Z$4, 3, MATCH(S$32, MVs!$V$2:$Z$2, 0))), 0), 19),"")</f>
        <v>ATK</v>
      </c>
      <c r="T5" s="220" t="str">
        <f>IFERROR(INDEX(INDEX(MVs!$B:$B, INDEX(MVs!$V$2:$Z$4, 2, MATCH(T$32, MVs!$V$2:$Z$2, 0))):INDEX(MVs!$U:$U, INDEX(mvLookupTable, 3, MATCH(T$32, MVs!$V$2:$Z$2, 0))), MATCH(T$2, INDEX(MVs!$B:$B, INDEX(MVs!$V$2:$Z$4, 2, MATCH(T$32, MVs!$V$2:$Z$2, 0))):INDEX(MVs!$B:$B, INDEX(MVs!$V$2:$Z$4, 3, MATCH(T$32, MVs!$V$2:$Z$2, 0))), 0), 19),"")</f>
        <v>ATK</v>
      </c>
      <c r="U5" s="220" t="str">
        <f>IFERROR(INDEX(INDEX(MVs!$B:$B, INDEX(MVs!$V$2:$Z$4, 2, MATCH(U$32, MVs!$V$2:$Z$2, 0))):INDEX(MVs!$U:$U, INDEX(mvLookupTable, 3, MATCH(U$32, MVs!$V$2:$Z$2, 0))), MATCH(U$2, INDEX(MVs!$B:$B, INDEX(MVs!$V$2:$Z$4, 2, MATCH(U$32, MVs!$V$2:$Z$2, 0))):INDEX(MVs!$B:$B, INDEX(MVs!$V$2:$Z$4, 3, MATCH(U$32, MVs!$V$2:$Z$2, 0))), 0), 19),"")</f>
        <v>ATK</v>
      </c>
      <c r="V5" s="220" t="str">
        <f>IFERROR(INDEX(INDEX(MVs!$B:$B, INDEX(MVs!$V$2:$Z$4, 2, MATCH(V$32, MVs!$V$2:$Z$2, 0))):INDEX(MVs!$U:$U, INDEX(mvLookupTable, 3, MATCH(V$32, MVs!$V$2:$Z$2, 0))), MATCH(V$2, INDEX(MVs!$B:$B, INDEX(MVs!$V$2:$Z$4, 2, MATCH(V$32, MVs!$V$2:$Z$2, 0))):INDEX(MVs!$B:$B, INDEX(MVs!$V$2:$Z$4, 3, MATCH(V$32, MVs!$V$2:$Z$2, 0))), 0), 19),"")</f>
        <v>ATK</v>
      </c>
      <c r="W5" s="220" t="str">
        <f>IFERROR(INDEX(INDEX(MVs!$B:$B, INDEX(MVs!$V$2:$Z$4, 2, MATCH(W$32, MVs!$V$2:$Z$2, 0))):INDEX(MVs!$U:$U, INDEX(mvLookupTable, 3, MATCH(W$32, MVs!$V$2:$Z$2, 0))), MATCH(W$2, INDEX(MVs!$B:$B, INDEX(MVs!$V$2:$Z$4, 2, MATCH(W$32, MVs!$V$2:$Z$2, 0))):INDEX(MVs!$B:$B, INDEX(MVs!$V$2:$Z$4, 3, MATCH(W$32, MVs!$V$2:$Z$2, 0))), 0), 19),"")</f>
        <v>ATK</v>
      </c>
      <c r="X5" s="220" t="str">
        <f>IFERROR(INDEX(INDEX(MVs!$B:$B, INDEX(MVs!$V$2:$Z$4, 2, MATCH(X$32, MVs!$V$2:$Z$2, 0))):INDEX(MVs!$U:$U, INDEX(mvLookupTable, 3, MATCH(X$32, MVs!$V$2:$Z$2, 0))), MATCH(X$2, INDEX(MVs!$B:$B, INDEX(MVs!$V$2:$Z$4, 2, MATCH(X$32, MVs!$V$2:$Z$2, 0))):INDEX(MVs!$B:$B, INDEX(MVs!$V$2:$Z$4, 3, MATCH(X$32, MVs!$V$2:$Z$2, 0))), 0), 19),"")</f>
        <v>ATK</v>
      </c>
      <c r="Y5" s="220" t="str">
        <f>IFERROR(INDEX(INDEX(MVs!$B:$B, INDEX(MVs!$V$2:$Z$4, 2, MATCH(Y$32, MVs!$V$2:$Z$2, 0))):INDEX(MVs!$U:$U, INDEX(mvLookupTable, 3, MATCH(Y$32, MVs!$V$2:$Z$2, 0))), MATCH(Y$2, INDEX(MVs!$B:$B, INDEX(MVs!$V$2:$Z$4, 2, MATCH(Y$32, MVs!$V$2:$Z$2, 0))):INDEX(MVs!$B:$B, INDEX(MVs!$V$2:$Z$4, 3, MATCH(Y$32, MVs!$V$2:$Z$2, 0))), 0), 19),"")</f>
        <v>ATK</v>
      </c>
      <c r="Z5" s="220" t="str">
        <f>IFERROR(INDEX(INDEX(MVs!$B:$B, INDEX(MVs!$V$2:$Z$4, 2, MATCH(Z$32, MVs!$V$2:$Z$2, 0))):INDEX(MVs!$U:$U, INDEX(mvLookupTable, 3, MATCH(Z$32, MVs!$V$2:$Z$2, 0))), MATCH(Z$2, INDEX(MVs!$B:$B, INDEX(MVs!$V$2:$Z$4, 2, MATCH(Z$32, MVs!$V$2:$Z$2, 0))):INDEX(MVs!$B:$B, INDEX(MVs!$V$2:$Z$4, 3, MATCH(Z$32, MVs!$V$2:$Z$2, 0))), 0), 19),"")</f>
        <v>ATK</v>
      </c>
      <c r="AA5" s="220" t="str">
        <f>IFERROR(INDEX(INDEX(MVs!$B:$B, INDEX(MVs!$V$2:$Z$4, 2, MATCH(AA$32, MVs!$V$2:$Z$2, 0))):INDEX(MVs!$U:$U, INDEX(mvLookupTable, 3, MATCH(AA$32, MVs!$V$2:$Z$2, 0))), MATCH(AA$2, INDEX(MVs!$B:$B, INDEX(MVs!$V$2:$Z$4, 2, MATCH(AA$32, MVs!$V$2:$Z$2, 0))):INDEX(MVs!$B:$B, INDEX(MVs!$V$2:$Z$4, 3, MATCH(AA$32, MVs!$V$2:$Z$2, 0))), 0), 19),"")</f>
        <v>ATK</v>
      </c>
      <c r="AB5" s="220" t="str">
        <f>IFERROR(INDEX(INDEX(MVs!$B:$B, INDEX(MVs!$V$2:$Z$4, 2, MATCH(AB$32, MVs!$V$2:$Z$2, 0))):INDEX(MVs!$U:$U, INDEX(mvLookupTable, 3, MATCH(AB$32, MVs!$V$2:$Z$2, 0))), MATCH(AB$2, INDEX(MVs!$B:$B, INDEX(MVs!$V$2:$Z$4, 2, MATCH(AB$32, MVs!$V$2:$Z$2, 0))):INDEX(MVs!$B:$B, INDEX(MVs!$V$2:$Z$4, 3, MATCH(AB$32, MVs!$V$2:$Z$2, 0))), 0), 19),"")</f>
        <v>ATK</v>
      </c>
      <c r="AC5" s="220" t="str">
        <f>IFERROR(INDEX(INDEX(MVs!$B:$B, INDEX(MVs!$V$2:$Z$4, 2, MATCH(AC$32, MVs!$V$2:$Z$2, 0))):INDEX(MVs!$U:$U, INDEX(mvLookupTable, 3, MATCH(AC$32, MVs!$V$2:$Z$2, 0))), MATCH(AC$2, INDEX(MVs!$B:$B, INDEX(MVs!$V$2:$Z$4, 2, MATCH(AC$32, MVs!$V$2:$Z$2, 0))):INDEX(MVs!$B:$B, INDEX(MVs!$V$2:$Z$4, 3, MATCH(AC$32, MVs!$V$2:$Z$2, 0))), 0), 19),"")</f>
        <v>ATK</v>
      </c>
      <c r="AD5" s="220" t="str">
        <f>IFERROR(INDEX(INDEX(MVs!$B:$B, INDEX(MVs!$V$2:$Z$4, 2, MATCH(AD$32, MVs!$V$2:$Z$2, 0))):INDEX(MVs!$U:$U, INDEX(mvLookupTable, 3, MATCH(AD$32, MVs!$V$2:$Z$2, 0))), MATCH(AD$2, INDEX(MVs!$B:$B, INDEX(MVs!$V$2:$Z$4, 2, MATCH(AD$32, MVs!$V$2:$Z$2, 0))):INDEX(MVs!$B:$B, INDEX(MVs!$V$2:$Z$4, 3, MATCH(AD$32, MVs!$V$2:$Z$2, 0))), 0), 19),"")</f>
        <v>EM</v>
      </c>
      <c r="AE5" s="220" t="str">
        <f>IFERROR(INDEX(INDEX(MVs!$B:$B, INDEX(MVs!$V$2:$Z$4, 2, MATCH(AE$32, MVs!$V$2:$Z$2, 0))):INDEX(MVs!$U:$U, INDEX(mvLookupTable, 3, MATCH(AE$32, MVs!$V$2:$Z$2, 0))), MATCH(AE$2, INDEX(MVs!$B:$B, INDEX(MVs!$V$2:$Z$4, 2, MATCH(AE$32, MVs!$V$2:$Z$2, 0))):INDEX(MVs!$B:$B, INDEX(MVs!$V$2:$Z$4, 3, MATCH(AE$32, MVs!$V$2:$Z$2, 0))), 0), 19),"")</f>
        <v>ATK</v>
      </c>
      <c r="AF5" s="220" t="str">
        <f>IFERROR(INDEX(INDEX(MVs!$B:$B, INDEX(MVs!$V$2:$Z$4, 2, MATCH(AF$32, MVs!$V$2:$Z$2, 0))):INDEX(MVs!$U:$U, INDEX(mvLookupTable, 3, MATCH(AF$32, MVs!$V$2:$Z$2, 0))), MATCH(AF$2, INDEX(MVs!$B:$B, INDEX(MVs!$V$2:$Z$4, 2, MATCH(AF$32, MVs!$V$2:$Z$2, 0))):INDEX(MVs!$B:$B, INDEX(MVs!$V$2:$Z$4, 3, MATCH(AF$32, MVs!$V$2:$Z$2, 0))), 0), 19),"")</f>
        <v>ATK</v>
      </c>
      <c r="AG5" s="220" t="str">
        <f>IFERROR(INDEX(INDEX(MVs!$B:$B, INDEX(MVs!$V$2:$Z$4, 2, MATCH(AG$32, MVs!$V$2:$Z$2, 0))):INDEX(MVs!$U:$U, INDEX(mvLookupTable, 3, MATCH(AG$32, MVs!$V$2:$Z$2, 0))), MATCH(AG$2, INDEX(MVs!$B:$B, INDEX(MVs!$V$2:$Z$4, 2, MATCH(AG$32, MVs!$V$2:$Z$2, 0))):INDEX(MVs!$B:$B, INDEX(MVs!$V$2:$Z$4, 3, MATCH(AG$32, MVs!$V$2:$Z$2, 0))), 0), 19),"")</f>
        <v>ATK</v>
      </c>
      <c r="AH5" s="220" t="str">
        <f>IFERROR(INDEX(INDEX(MVs!$B:$B, INDEX(MVs!$V$2:$Z$4, 2, MATCH(AH$32, MVs!$V$2:$Z$2, 0))):INDEX(MVs!$U:$U, INDEX(mvLookupTable, 3, MATCH(AH$32, MVs!$V$2:$Z$2, 0))), MATCH(AH$2, INDEX(MVs!$B:$B, INDEX(MVs!$V$2:$Z$4, 2, MATCH(AH$32, MVs!$V$2:$Z$2, 0))):INDEX(MVs!$B:$B, INDEX(MVs!$V$2:$Z$4, 3, MATCH(AH$32, MVs!$V$2:$Z$2, 0))), 0), 19),"")</f>
        <v>ATK</v>
      </c>
      <c r="AI5" s="220" t="str">
        <f>IFERROR(INDEX(INDEX(MVs!$B:$B, INDEX(MVs!$V$2:$Z$4, 2, MATCH(AI$32, MVs!$V$2:$Z$2, 0))):INDEX(MVs!$U:$U, INDEX(mvLookupTable, 3, MATCH(AI$32, MVs!$V$2:$Z$2, 0))), MATCH(AI$2, INDEX(MVs!$B:$B, INDEX(MVs!$V$2:$Z$4, 2, MATCH(AI$32, MVs!$V$2:$Z$2, 0))):INDEX(MVs!$B:$B, INDEX(MVs!$V$2:$Z$4, 3, MATCH(AI$32, MVs!$V$2:$Z$2, 0))), 0), 19),"")</f>
        <v>ATK</v>
      </c>
      <c r="AJ5" s="220" t="str">
        <f>IFERROR(INDEX(INDEX(MVs!$B:$B, INDEX(MVs!$V$2:$Z$4, 2, MATCH(AJ$32, MVs!$V$2:$Z$2, 0))):INDEX(MVs!$U:$U, INDEX(mvLookupTable, 3, MATCH(AJ$32, MVs!$V$2:$Z$2, 0))), MATCH(AJ$2, INDEX(MVs!$B:$B, INDEX(MVs!$V$2:$Z$4, 2, MATCH(AJ$32, MVs!$V$2:$Z$2, 0))):INDEX(MVs!$B:$B, INDEX(MVs!$V$2:$Z$4, 3, MATCH(AJ$32, MVs!$V$2:$Z$2, 0))), 0), 19),"")</f>
        <v/>
      </c>
      <c r="AK5" s="220" t="str">
        <f>IFERROR(INDEX(INDEX(MVs!$B:$B, INDEX(MVs!$V$2:$Z$4, 2, MATCH(AK$32, MVs!$V$2:$Z$2, 0))):INDEX(MVs!$U:$U, INDEX(mvLookupTable, 3, MATCH(AK$32, MVs!$V$2:$Z$2, 0))), MATCH(AK$2, INDEX(MVs!$B:$B, INDEX(MVs!$V$2:$Z$4, 2, MATCH(AK$32, MVs!$V$2:$Z$2, 0))):INDEX(MVs!$B:$B, INDEX(MVs!$V$2:$Z$4, 3, MATCH(AK$32, MVs!$V$2:$Z$2, 0))), 0), 19),"")</f>
        <v/>
      </c>
      <c r="AL5" s="220" t="str">
        <f>IFERROR(INDEX(INDEX(MVs!$B:$B, INDEX(MVs!$V$2:$Z$4, 2, MATCH(AL$32, MVs!$V$2:$Z$2, 0))):INDEX(MVs!$U:$U, INDEX(mvLookupTable, 3, MATCH(AL$32, MVs!$V$2:$Z$2, 0))), MATCH(AL$2, INDEX(MVs!$B:$B, INDEX(MVs!$V$2:$Z$4, 2, MATCH(AL$32, MVs!$V$2:$Z$2, 0))):INDEX(MVs!$B:$B, INDEX(MVs!$V$2:$Z$4, 3, MATCH(AL$32, MVs!$V$2:$Z$2, 0))), 0), 19),"")</f>
        <v/>
      </c>
      <c r="AM5" s="220" t="str">
        <f>IFERROR(INDEX(INDEX(MVs!$B:$B, INDEX(MVs!$V$2:$Z$4, 2, MATCH(AM$32, MVs!$V$2:$Z$2, 0))):INDEX(MVs!$U:$U, INDEX(mvLookupTable, 3, MATCH(AM$32, MVs!$V$2:$Z$2, 0))), MATCH(AM$2, INDEX(MVs!$B:$B, INDEX(MVs!$V$2:$Z$4, 2, MATCH(AM$32, MVs!$V$2:$Z$2, 0))):INDEX(MVs!$B:$B, INDEX(MVs!$V$2:$Z$4, 3, MATCH(AM$32, MVs!$V$2:$Z$2, 0))), 0), 19),"")</f>
        <v/>
      </c>
      <c r="AN5" s="220" t="str">
        <f>IFERROR(INDEX(INDEX(MVs!$B:$B, INDEX(MVs!$V$2:$Z$4, 2, MATCH(AN$32, MVs!$V$2:$Z$2, 0))):INDEX(MVs!$U:$U, INDEX(mvLookupTable, 3, MATCH(AN$32, MVs!$V$2:$Z$2, 0))), MATCH(AN$2, INDEX(MVs!$B:$B, INDEX(MVs!$V$2:$Z$4, 2, MATCH(AN$32, MVs!$V$2:$Z$2, 0))):INDEX(MVs!$B:$B, INDEX(MVs!$V$2:$Z$4, 3, MATCH(AN$32, MVs!$V$2:$Z$2, 0))), 0), 19),"")</f>
        <v/>
      </c>
      <c r="AO5" s="220" t="str">
        <f>IFERROR(INDEX(INDEX(MVs!$B:$B, INDEX(MVs!$V$2:$Z$4, 2, MATCH(AO$32, MVs!$V$2:$Z$2, 0))):INDEX(MVs!$U:$U, INDEX(mvLookupTable, 3, MATCH(AO$32, MVs!$V$2:$Z$2, 0))), MATCH(AO$2, INDEX(MVs!$B:$B, INDEX(MVs!$V$2:$Z$4, 2, MATCH(AO$32, MVs!$V$2:$Z$2, 0))):INDEX(MVs!$B:$B, INDEX(MVs!$V$2:$Z$4, 3, MATCH(AO$32, MVs!$V$2:$Z$2, 0))), 0), 19),"")</f>
        <v/>
      </c>
      <c r="AP5" s="220" t="str">
        <f>IFERROR(INDEX(INDEX(MVs!$B:$B, INDEX(MVs!$V$2:$Z$4, 2, MATCH(AP$32, MVs!$V$2:$Z$2, 0))):INDEX(MVs!$U:$U, INDEX(mvLookupTable, 3, MATCH(AP$32, MVs!$V$2:$Z$2, 0))), MATCH(AP$2, INDEX(MVs!$B:$B, INDEX(MVs!$V$2:$Z$4, 2, MATCH(AP$32, MVs!$V$2:$Z$2, 0))):INDEX(MVs!$B:$B, INDEX(MVs!$V$2:$Z$4, 3, MATCH(AP$32, MVs!$V$2:$Z$2, 0))), 0), 19),"")</f>
        <v/>
      </c>
      <c r="AQ5" s="220" t="str">
        <f>IFERROR(INDEX(INDEX(MVs!$B:$B, INDEX(MVs!$V$2:$Z$4, 2, MATCH(AQ$32, MVs!$V$2:$Z$2, 0))):INDEX(MVs!$U:$U, INDEX(mvLookupTable, 3, MATCH(AQ$32, MVs!$V$2:$Z$2, 0))), MATCH(AQ$2, INDEX(MVs!$B:$B, INDEX(MVs!$V$2:$Z$4, 2, MATCH(AQ$32, MVs!$V$2:$Z$2, 0))):INDEX(MVs!$B:$B, INDEX(MVs!$V$2:$Z$4, 3, MATCH(AQ$32, MVs!$V$2:$Z$2, 0))), 0), 19),"")</f>
        <v/>
      </c>
      <c r="AR5" s="220" t="str">
        <f>IFERROR(INDEX(INDEX(MVs!$B:$B, INDEX(MVs!$V$2:$Z$4, 2, MATCH(AR$32, MVs!$V$2:$Z$2, 0))):INDEX(MVs!$U:$U, INDEX(mvLookupTable, 3, MATCH(AR$32, MVs!$V$2:$Z$2, 0))), MATCH(AR$2, INDEX(MVs!$B:$B, INDEX(MVs!$V$2:$Z$4, 2, MATCH(AR$32, MVs!$V$2:$Z$2, 0))):INDEX(MVs!$B:$B, INDEX(MVs!$V$2:$Z$4, 3, MATCH(AR$32, MVs!$V$2:$Z$2, 0))), 0), 19),"")</f>
        <v/>
      </c>
      <c r="AS5" s="220" t="str">
        <f>IFERROR(INDEX(INDEX(MVs!$B:$B, INDEX(MVs!$V$2:$Z$4, 2, MATCH(AS$32, MVs!$V$2:$Z$2, 0))):INDEX(MVs!$U:$U, INDEX(mvLookupTable, 3, MATCH(AS$32, MVs!$V$2:$Z$2, 0))), MATCH(AS$2, INDEX(MVs!$B:$B, INDEX(MVs!$V$2:$Z$4, 2, MATCH(AS$32, MVs!$V$2:$Z$2, 0))):INDEX(MVs!$B:$B, INDEX(MVs!$V$2:$Z$4, 3, MATCH(AS$32, MVs!$V$2:$Z$2, 0))), 0), 19),"")</f>
        <v/>
      </c>
      <c r="AT5" s="220" t="str">
        <f>IFERROR(INDEX(INDEX(MVs!$B:$B, INDEX(MVs!$V$2:$Z$4, 2, MATCH(AT$32, MVs!$V$2:$Z$2, 0))):INDEX(MVs!$U:$U, INDEX(mvLookupTable, 3, MATCH(AT$32, MVs!$V$2:$Z$2, 0))), MATCH(AT$2, INDEX(MVs!$B:$B, INDEX(MVs!$V$2:$Z$4, 2, MATCH(AT$32, MVs!$V$2:$Z$2, 0))):INDEX(MVs!$B:$B, INDEX(MVs!$V$2:$Z$4, 3, MATCH(AT$32, MVs!$V$2:$Z$2, 0))), 0), 19),"")</f>
        <v/>
      </c>
      <c r="AU5" s="220" t="str">
        <f>IFERROR(INDEX(INDEX(MVs!$B:$B, INDEX(MVs!$V$2:$Z$4, 2, MATCH(AU$32, MVs!$V$2:$Z$2, 0))):INDEX(MVs!$U:$U, INDEX(mvLookupTable, 3, MATCH(AU$32, MVs!$V$2:$Z$2, 0))), MATCH(AU$2, INDEX(MVs!$B:$B, INDEX(MVs!$V$2:$Z$4, 2, MATCH(AU$32, MVs!$V$2:$Z$2, 0))):INDEX(MVs!$B:$B, INDEX(MVs!$V$2:$Z$4, 3, MATCH(AU$32, MVs!$V$2:$Z$2, 0))), 0), 19),"")</f>
        <v/>
      </c>
      <c r="AV5" s="220" t="str">
        <f>IFERROR(INDEX(INDEX(MVs!$B:$B, INDEX(MVs!$V$2:$Z$4, 2, MATCH(AV$32, MVs!$V$2:$Z$2, 0))):INDEX(MVs!$U:$U, INDEX(mvLookupTable, 3, MATCH(AV$32, MVs!$V$2:$Z$2, 0))), MATCH(AV$2, INDEX(MVs!$B:$B, INDEX(MVs!$V$2:$Z$4, 2, MATCH(AV$32, MVs!$V$2:$Z$2, 0))):INDEX(MVs!$B:$B, INDEX(MVs!$V$2:$Z$4, 3, MATCH(AV$32, MVs!$V$2:$Z$2, 0))), 0), 19),"")</f>
        <v/>
      </c>
      <c r="AW5" s="220" t="str">
        <f>IFERROR(INDEX(INDEX(MVs!$B:$B, INDEX(MVs!$V$2:$Z$4, 2, MATCH(AW$32, MVs!$V$2:$Z$2, 0))):INDEX(MVs!$U:$U, INDEX(mvLookupTable, 3, MATCH(AW$32, MVs!$V$2:$Z$2, 0))), MATCH(AW$2, INDEX(MVs!$B:$B, INDEX(MVs!$V$2:$Z$4, 2, MATCH(AW$32, MVs!$V$2:$Z$2, 0))):INDEX(MVs!$B:$B, INDEX(MVs!$V$2:$Z$4, 3, MATCH(AW$32, MVs!$V$2:$Z$2, 0))), 0), 19),"")</f>
        <v/>
      </c>
      <c r="AX5" s="220" t="str">
        <f>IFERROR(INDEX(INDEX(MVs!$B:$B, INDEX(MVs!$V$2:$Z$4, 2, MATCH(AX$32, MVs!$V$2:$Z$2, 0))):INDEX(MVs!$U:$U, INDEX(mvLookupTable, 3, MATCH(AX$32, MVs!$V$2:$Z$2, 0))), MATCH(AX$2, INDEX(MVs!$B:$B, INDEX(MVs!$V$2:$Z$4, 2, MATCH(AX$32, MVs!$V$2:$Z$2, 0))):INDEX(MVs!$B:$B, INDEX(MVs!$V$2:$Z$4, 3, MATCH(AX$32, MVs!$V$2:$Z$2, 0))), 0), 19),"")</f>
        <v/>
      </c>
      <c r="AY5" s="220" t="str">
        <f>IFERROR(INDEX(INDEX(MVs!$B:$B, INDEX(MVs!$V$2:$Z$4, 2, MATCH(AY$32, MVs!$V$2:$Z$2, 0))):INDEX(MVs!$U:$U, INDEX(mvLookupTable, 3, MATCH(AY$32, MVs!$V$2:$Z$2, 0))), MATCH(AY$2, INDEX(MVs!$B:$B, INDEX(MVs!$V$2:$Z$4, 2, MATCH(AY$32, MVs!$V$2:$Z$2, 0))):INDEX(MVs!$B:$B, INDEX(MVs!$V$2:$Z$4, 3, MATCH(AY$32, MVs!$V$2:$Z$2, 0))), 0), 19),"")</f>
        <v/>
      </c>
      <c r="AZ5" s="220" t="str">
        <f>IFERROR(INDEX(INDEX(MVs!$B:$B, INDEX(MVs!$V$2:$Z$4, 2, MATCH(AZ$32, MVs!$V$2:$Z$2, 0))):INDEX(MVs!$U:$U, INDEX(mvLookupTable, 3, MATCH(AZ$32, MVs!$V$2:$Z$2, 0))), MATCH(AZ$2, INDEX(MVs!$B:$B, INDEX(MVs!$V$2:$Z$4, 2, MATCH(AZ$32, MVs!$V$2:$Z$2, 0))):INDEX(MVs!$B:$B, INDEX(MVs!$V$2:$Z$4, 3, MATCH(AZ$32, MVs!$V$2:$Z$2, 0))), 0), 19),"")</f>
        <v/>
      </c>
      <c r="BA5" s="220" t="str">
        <f>IFERROR(INDEX(INDEX(MVs!$B:$B, INDEX(MVs!$V$2:$Z$4, 2, MATCH(BA$32, MVs!$V$2:$Z$2, 0))):INDEX(MVs!$U:$U, INDEX(mvLookupTable, 3, MATCH(BA$32, MVs!$V$2:$Z$2, 0))), MATCH(BA$2, INDEX(MVs!$B:$B, INDEX(MVs!$V$2:$Z$4, 2, MATCH(BA$32, MVs!$V$2:$Z$2, 0))):INDEX(MVs!$B:$B, INDEX(MVs!$V$2:$Z$4, 3, MATCH(BA$32, MVs!$V$2:$Z$2, 0))), 0), 19),"")</f>
        <v/>
      </c>
      <c r="BB5" s="220" t="str">
        <f>IFERROR(INDEX(INDEX(MVs!$B:$B, INDEX(MVs!$V$2:$Z$4, 2, MATCH(BB$32, MVs!$V$2:$Z$2, 0))):INDEX(MVs!$U:$U, INDEX(mvLookupTable, 3, MATCH(BB$32, MVs!$V$2:$Z$2, 0))), MATCH(BB$2, INDEX(MVs!$B:$B, INDEX(MVs!$V$2:$Z$4, 2, MATCH(BB$32, MVs!$V$2:$Z$2, 0))):INDEX(MVs!$B:$B, INDEX(MVs!$V$2:$Z$4, 3, MATCH(BB$32, MVs!$V$2:$Z$2, 0))), 0), 19),"")</f>
        <v/>
      </c>
      <c r="BC5" s="220" t="str">
        <f>IFERROR(INDEX(INDEX(MVs!$B:$B, INDEX(MVs!$V$2:$Z$4, 2, MATCH(BC$32, MVs!$V$2:$Z$2, 0))):INDEX(MVs!$U:$U, INDEX(mvLookupTable, 3, MATCH(BC$32, MVs!$V$2:$Z$2, 0))), MATCH(BC$2, INDEX(MVs!$B:$B, INDEX(MVs!$V$2:$Z$4, 2, MATCH(BC$32, MVs!$V$2:$Z$2, 0))):INDEX(MVs!$B:$B, INDEX(MVs!$V$2:$Z$4, 3, MATCH(BC$32, MVs!$V$2:$Z$2, 0))), 0), 19),"")</f>
        <v/>
      </c>
      <c r="BD5" s="220" t="str">
        <f>IFERROR(INDEX(INDEX(MVs!$B:$B, INDEX(MVs!$V$2:$Z$4, 2, MATCH(BD$32, MVs!$V$2:$Z$2, 0))):INDEX(MVs!$U:$U, INDEX(mvLookupTable, 3, MATCH(BD$32, MVs!$V$2:$Z$2, 0))), MATCH(BD$2, INDEX(MVs!$B:$B, INDEX(MVs!$V$2:$Z$4, 2, MATCH(BD$32, MVs!$V$2:$Z$2, 0))):INDEX(MVs!$B:$B, INDEX(MVs!$V$2:$Z$4, 3, MATCH(BD$32, MVs!$V$2:$Z$2, 0))), 0), 19),"")</f>
        <v/>
      </c>
      <c r="BE5" s="220" t="str">
        <f>IFERROR(INDEX(INDEX(MVs!$B:$B, INDEX(MVs!$V$2:$Z$4, 2, MATCH(BE$32, MVs!$V$2:$Z$2, 0))):INDEX(MVs!$U:$U, INDEX(mvLookupTable, 3, MATCH(BE$32, MVs!$V$2:$Z$2, 0))), MATCH(BE$2, INDEX(MVs!$B:$B, INDEX(MVs!$V$2:$Z$4, 2, MATCH(BE$32, MVs!$V$2:$Z$2, 0))):INDEX(MVs!$B:$B, INDEX(MVs!$V$2:$Z$4, 3, MATCH(BE$32, MVs!$V$2:$Z$2, 0))), 0), 19),"")</f>
        <v/>
      </c>
      <c r="BF5" s="220" t="str">
        <f>IFERROR(INDEX(INDEX(MVs!$B:$B, INDEX(MVs!$V$2:$Z$4, 2, MATCH(BF$32, MVs!$V$2:$Z$2, 0))):INDEX(MVs!$U:$U, INDEX(mvLookupTable, 3, MATCH(BF$32, MVs!$V$2:$Z$2, 0))), MATCH(BF$2, INDEX(MVs!$B:$B, INDEX(MVs!$V$2:$Z$4, 2, MATCH(BF$32, MVs!$V$2:$Z$2, 0))):INDEX(MVs!$B:$B, INDEX(MVs!$V$2:$Z$4, 3, MATCH(BF$32, MVs!$V$2:$Z$2, 0))), 0), 19),"")</f>
        <v/>
      </c>
      <c r="BG5" s="220" t="str">
        <f>IFERROR(INDEX(INDEX(MVs!$B:$B, INDEX(MVs!$V$2:$Z$4, 2, MATCH(BG$32, MVs!$V$2:$Z$2, 0))):INDEX(MVs!$U:$U, INDEX(mvLookupTable, 3, MATCH(BG$32, MVs!$V$2:$Z$2, 0))), MATCH(BG$2, INDEX(MVs!$B:$B, INDEX(MVs!$V$2:$Z$4, 2, MATCH(BG$32, MVs!$V$2:$Z$2, 0))):INDEX(MVs!$B:$B, INDEX(MVs!$V$2:$Z$4, 3, MATCH(BG$32, MVs!$V$2:$Z$2, 0))), 0), 19),"")</f>
        <v/>
      </c>
      <c r="BH5" s="220" t="str">
        <f>IFERROR(INDEX(INDEX(MVs!$B:$B, INDEX(MVs!$V$2:$Z$4, 2, MATCH(BH$32, MVs!$V$2:$Z$2, 0))):INDEX(MVs!$U:$U, INDEX(mvLookupTable, 3, MATCH(BH$32, MVs!$V$2:$Z$2, 0))), MATCH(BH$2, INDEX(MVs!$B:$B, INDEX(MVs!$V$2:$Z$4, 2, MATCH(BH$32, MVs!$V$2:$Z$2, 0))):INDEX(MVs!$B:$B, INDEX(MVs!$V$2:$Z$4, 3, MATCH(BH$32, MVs!$V$2:$Z$2, 0))), 0), 19),"")</f>
        <v/>
      </c>
    </row>
    <row r="6" spans="1:87" s="221" customFormat="1" x14ac:dyDescent="0.25">
      <c r="A6" s="40" t="s">
        <v>424</v>
      </c>
      <c r="B6" s="221" t="s">
        <v>246</v>
      </c>
      <c r="C6" s="221" t="s">
        <v>246</v>
      </c>
      <c r="D6" s="221" t="s">
        <v>246</v>
      </c>
      <c r="E6" s="221" t="s">
        <v>246</v>
      </c>
      <c r="F6" s="221" t="s">
        <v>246</v>
      </c>
      <c r="G6" s="221" t="s">
        <v>246</v>
      </c>
      <c r="H6" s="221" t="s">
        <v>246</v>
      </c>
      <c r="I6" s="221" t="s">
        <v>246</v>
      </c>
      <c r="J6" s="221" t="s">
        <v>246</v>
      </c>
      <c r="K6" s="221" t="s">
        <v>246</v>
      </c>
      <c r="L6" s="221" t="s">
        <v>246</v>
      </c>
      <c r="M6" s="221" t="s">
        <v>246</v>
      </c>
      <c r="N6" s="221" t="s">
        <v>246</v>
      </c>
      <c r="O6" s="221" t="s">
        <v>246</v>
      </c>
      <c r="P6" s="221" t="s">
        <v>246</v>
      </c>
      <c r="Q6" s="221" t="s">
        <v>246</v>
      </c>
      <c r="R6" s="221" t="s">
        <v>246</v>
      </c>
      <c r="S6" s="221" t="s">
        <v>246</v>
      </c>
      <c r="T6" s="221" t="s">
        <v>246</v>
      </c>
      <c r="U6" s="221" t="s">
        <v>246</v>
      </c>
      <c r="V6" s="221" t="s">
        <v>246</v>
      </c>
      <c r="W6" s="221" t="s">
        <v>246</v>
      </c>
      <c r="X6" s="221" t="s">
        <v>246</v>
      </c>
      <c r="Y6" s="221" t="s">
        <v>246</v>
      </c>
      <c r="Z6" s="221" t="s">
        <v>246</v>
      </c>
      <c r="AA6" s="221" t="s">
        <v>246</v>
      </c>
      <c r="AB6" s="221" t="s">
        <v>246</v>
      </c>
      <c r="AC6" s="221" t="s">
        <v>246</v>
      </c>
      <c r="AD6" s="221" t="s">
        <v>246</v>
      </c>
      <c r="AE6" s="221" t="s">
        <v>246</v>
      </c>
      <c r="AF6" s="221" t="s">
        <v>246</v>
      </c>
      <c r="AG6" s="221" t="s">
        <v>246</v>
      </c>
      <c r="AH6" s="221" t="s">
        <v>246</v>
      </c>
      <c r="AI6" s="221" t="s">
        <v>246</v>
      </c>
      <c r="AJ6" s="221" t="s">
        <v>246</v>
      </c>
      <c r="AK6" s="221" t="s">
        <v>246</v>
      </c>
      <c r="AL6" s="221" t="s">
        <v>246</v>
      </c>
      <c r="AM6" s="221" t="s">
        <v>246</v>
      </c>
      <c r="AN6" s="221" t="s">
        <v>246</v>
      </c>
      <c r="AO6" s="221" t="s">
        <v>246</v>
      </c>
      <c r="AP6" s="221" t="s">
        <v>246</v>
      </c>
      <c r="AQ6" s="221" t="s">
        <v>246</v>
      </c>
      <c r="AR6" s="221" t="s">
        <v>246</v>
      </c>
      <c r="AS6" s="221" t="s">
        <v>246</v>
      </c>
      <c r="AT6" s="221" t="s">
        <v>246</v>
      </c>
      <c r="AU6" s="221" t="s">
        <v>246</v>
      </c>
      <c r="AV6" s="221" t="s">
        <v>246</v>
      </c>
      <c r="AW6" s="221" t="s">
        <v>246</v>
      </c>
      <c r="AX6" s="221" t="s">
        <v>246</v>
      </c>
      <c r="AY6" s="221" t="s">
        <v>246</v>
      </c>
      <c r="AZ6" s="221" t="s">
        <v>246</v>
      </c>
      <c r="BN6" s="222"/>
      <c r="BP6" s="222"/>
      <c r="BY6" s="222"/>
    </row>
    <row r="7" spans="1:87" s="232" customFormat="1" x14ac:dyDescent="0.25">
      <c r="A7" s="40" t="s">
        <v>618</v>
      </c>
      <c r="B7" s="232">
        <f>IFERROR(INDEX('Data Val'!$O$29:$V$33, MATCH('Rotation Assembler'!B$32, 'Data Val'!$O$29:$O$33, 0), MATCH('Rotation Assembler'!B4, 'Data Val'!$O$29:$V$29, 0)),0)</f>
        <v>9</v>
      </c>
      <c r="C7" s="232">
        <f>IFERROR(INDEX('Data Val'!$O$29:$V$33, MATCH('Rotation Assembler'!C$32, 'Data Val'!$O$29:$O$33, 0), MATCH('Rotation Assembler'!C4, 'Data Val'!$O$29:$V$29, 0)),0)</f>
        <v>9</v>
      </c>
      <c r="D7" s="232">
        <f>IFERROR(INDEX('Data Val'!$O$29:$V$33, MATCH('Rotation Assembler'!D$32, 'Data Val'!$O$29:$O$33, 0), MATCH('Rotation Assembler'!D4, 'Data Val'!$O$29:$V$29, 0)),0)</f>
        <v>9</v>
      </c>
      <c r="E7" s="232">
        <f>IFERROR(INDEX('Data Val'!$O$29:$V$33, MATCH('Rotation Assembler'!E$32, 'Data Val'!$O$29:$O$33, 0), MATCH('Rotation Assembler'!E4, 'Data Val'!$O$29:$V$29, 0)),0)</f>
        <v>0</v>
      </c>
      <c r="F7" s="232">
        <f>IFERROR(INDEX('Data Val'!$O$29:$V$33, MATCH('Rotation Assembler'!F$32, 'Data Val'!$O$29:$O$33, 0), MATCH('Rotation Assembler'!F4, 'Data Val'!$O$29:$V$29, 0)),0)</f>
        <v>9</v>
      </c>
      <c r="G7" s="232">
        <f>IFERROR(INDEX('Data Val'!$O$29:$V$33, MATCH('Rotation Assembler'!G$32, 'Data Val'!$O$29:$O$33, 0), MATCH('Rotation Assembler'!G4, 'Data Val'!$O$29:$V$29, 0)),0)</f>
        <v>9</v>
      </c>
      <c r="H7" s="232">
        <f>IFERROR(INDEX('Data Val'!$O$29:$V$33, MATCH('Rotation Assembler'!H$32, 'Data Val'!$O$29:$O$33, 0), MATCH('Rotation Assembler'!H4, 'Data Val'!$O$29:$V$29, 0)),0)</f>
        <v>9</v>
      </c>
      <c r="I7" s="232">
        <f>IFERROR(INDEX('Data Val'!$O$29:$V$33, MATCH('Rotation Assembler'!I$32, 'Data Val'!$O$29:$O$33, 0), MATCH('Rotation Assembler'!I4, 'Data Val'!$O$29:$V$29, 0)),0)</f>
        <v>9</v>
      </c>
      <c r="J7" s="232">
        <f>IFERROR(INDEX('Data Val'!$O$29:$V$33, MATCH('Rotation Assembler'!J$32, 'Data Val'!$O$29:$O$33, 0), MATCH('Rotation Assembler'!J4, 'Data Val'!$O$29:$V$29, 0)),0)</f>
        <v>9</v>
      </c>
      <c r="K7" s="232">
        <f>IFERROR(INDEX('Data Val'!$O$29:$V$33, MATCH('Rotation Assembler'!K$32, 'Data Val'!$O$29:$O$33, 0), MATCH('Rotation Assembler'!K4, 'Data Val'!$O$29:$V$29, 0)),0)</f>
        <v>9</v>
      </c>
      <c r="L7" s="232">
        <f>IFERROR(INDEX('Data Val'!$O$29:$V$33, MATCH('Rotation Assembler'!L$32, 'Data Val'!$O$29:$O$33, 0), MATCH('Rotation Assembler'!L4, 'Data Val'!$O$29:$V$29, 0)),0)</f>
        <v>9</v>
      </c>
      <c r="M7" s="232">
        <f>IFERROR(INDEX('Data Val'!$O$29:$V$33, MATCH('Rotation Assembler'!M$32, 'Data Val'!$O$29:$O$33, 0), MATCH('Rotation Assembler'!M4, 'Data Val'!$O$29:$V$29, 0)),0)</f>
        <v>0</v>
      </c>
      <c r="N7" s="232">
        <f>IFERROR(INDEX('Data Val'!$O$29:$V$33, MATCH('Rotation Assembler'!N$32, 'Data Val'!$O$29:$O$33, 0), MATCH('Rotation Assembler'!N4, 'Data Val'!$O$29:$V$29, 0)),0)</f>
        <v>0</v>
      </c>
      <c r="O7" s="232">
        <f>IFERROR(INDEX('Data Val'!$O$29:$V$33, MATCH('Rotation Assembler'!O$32, 'Data Val'!$O$29:$O$33, 0), MATCH('Rotation Assembler'!O4, 'Data Val'!$O$29:$V$29, 0)),0)</f>
        <v>9</v>
      </c>
      <c r="P7" s="232">
        <f>IFERROR(INDEX('Data Val'!$O$29:$V$33, MATCH('Rotation Assembler'!P$32, 'Data Val'!$O$29:$O$33, 0), MATCH('Rotation Assembler'!P4, 'Data Val'!$O$29:$V$29, 0)),0)</f>
        <v>9</v>
      </c>
      <c r="Q7" s="232">
        <f>IFERROR(INDEX('Data Val'!$O$29:$V$33, MATCH('Rotation Assembler'!Q$32, 'Data Val'!$O$29:$O$33, 0), MATCH('Rotation Assembler'!Q4, 'Data Val'!$O$29:$V$29, 0)),0)</f>
        <v>9</v>
      </c>
      <c r="R7" s="232">
        <f>IFERROR(INDEX('Data Val'!$O$29:$V$33, MATCH('Rotation Assembler'!R$32, 'Data Val'!$O$29:$O$33, 0), MATCH('Rotation Assembler'!R4, 'Data Val'!$O$29:$V$29, 0)),0)</f>
        <v>9</v>
      </c>
      <c r="S7" s="232">
        <f>IFERROR(INDEX('Data Val'!$O$29:$V$33, MATCH('Rotation Assembler'!S$32, 'Data Val'!$O$29:$O$33, 0), MATCH('Rotation Assembler'!S4, 'Data Val'!$O$29:$V$29, 0)),0)</f>
        <v>9</v>
      </c>
      <c r="T7" s="232">
        <f>IFERROR(INDEX('Data Val'!$O$29:$V$33, MATCH('Rotation Assembler'!T$32, 'Data Val'!$O$29:$O$33, 0), MATCH('Rotation Assembler'!T4, 'Data Val'!$O$29:$V$29, 0)),0)</f>
        <v>9</v>
      </c>
      <c r="U7" s="232">
        <f>IFERROR(INDEX('Data Val'!$O$29:$V$33, MATCH('Rotation Assembler'!U$32, 'Data Val'!$O$29:$O$33, 0), MATCH('Rotation Assembler'!U4, 'Data Val'!$O$29:$V$29, 0)),0)</f>
        <v>9</v>
      </c>
      <c r="V7" s="232">
        <f>IFERROR(INDEX('Data Val'!$O$29:$V$33, MATCH('Rotation Assembler'!V$32, 'Data Val'!$O$29:$O$33, 0), MATCH('Rotation Assembler'!V4, 'Data Val'!$O$29:$V$29, 0)),0)</f>
        <v>9</v>
      </c>
      <c r="W7" s="232">
        <f>IFERROR(INDEX('Data Val'!$O$29:$V$33, MATCH('Rotation Assembler'!W$32, 'Data Val'!$O$29:$O$33, 0), MATCH('Rotation Assembler'!W4, 'Data Val'!$O$29:$V$29, 0)),0)</f>
        <v>9</v>
      </c>
      <c r="X7" s="232">
        <f>IFERROR(INDEX('Data Val'!$O$29:$V$33, MATCH('Rotation Assembler'!X$32, 'Data Val'!$O$29:$O$33, 0), MATCH('Rotation Assembler'!X4, 'Data Val'!$O$29:$V$29, 0)),0)</f>
        <v>9</v>
      </c>
      <c r="Y7" s="232">
        <f>IFERROR(INDEX('Data Val'!$O$29:$V$33, MATCH('Rotation Assembler'!Y$32, 'Data Val'!$O$29:$O$33, 0), MATCH('Rotation Assembler'!Y4, 'Data Val'!$O$29:$V$29, 0)),0)</f>
        <v>9</v>
      </c>
      <c r="Z7" s="232">
        <f>IFERROR(INDEX('Data Val'!$O$29:$V$33, MATCH('Rotation Assembler'!Z$32, 'Data Val'!$O$29:$O$33, 0), MATCH('Rotation Assembler'!Z4, 'Data Val'!$O$29:$V$29, 0)),0)</f>
        <v>9</v>
      </c>
      <c r="AA7" s="232">
        <f>IFERROR(INDEX('Data Val'!$O$29:$V$33, MATCH('Rotation Assembler'!AA$32, 'Data Val'!$O$29:$O$33, 0), MATCH('Rotation Assembler'!AA4, 'Data Val'!$O$29:$V$29, 0)),0)</f>
        <v>9</v>
      </c>
      <c r="AB7" s="232">
        <f>IFERROR(INDEX('Data Val'!$O$29:$V$33, MATCH('Rotation Assembler'!AB$32, 'Data Val'!$O$29:$O$33, 0), MATCH('Rotation Assembler'!AB4, 'Data Val'!$O$29:$V$29, 0)),0)</f>
        <v>9</v>
      </c>
      <c r="AC7" s="232">
        <f>IFERROR(INDEX('Data Val'!$O$29:$V$33, MATCH('Rotation Assembler'!AC$32, 'Data Val'!$O$29:$O$33, 0), MATCH('Rotation Assembler'!AC4, 'Data Val'!$O$29:$V$29, 0)),0)</f>
        <v>9</v>
      </c>
      <c r="AD7" s="232">
        <f>IFERROR(INDEX('Data Val'!$O$29:$V$33, MATCH('Rotation Assembler'!AD$32, 'Data Val'!$O$29:$O$33, 0), MATCH('Rotation Assembler'!AD4, 'Data Val'!$O$29:$V$29, 0)),0)</f>
        <v>0</v>
      </c>
      <c r="AE7" s="232">
        <f>IFERROR(INDEX('Data Val'!$O$29:$V$33, MATCH('Rotation Assembler'!AE$32, 'Data Val'!$O$29:$O$33, 0), MATCH('Rotation Assembler'!AE4, 'Data Val'!$O$29:$V$29, 0)),0)</f>
        <v>9</v>
      </c>
      <c r="AF7" s="232">
        <f>IFERROR(INDEX('Data Val'!$O$29:$V$33, MATCH('Rotation Assembler'!AF$32, 'Data Val'!$O$29:$O$33, 0), MATCH('Rotation Assembler'!AF4, 'Data Val'!$O$29:$V$29, 0)),0)</f>
        <v>9</v>
      </c>
      <c r="AG7" s="232">
        <f>IFERROR(INDEX('Data Val'!$O$29:$V$33, MATCH('Rotation Assembler'!AG$32, 'Data Val'!$O$29:$O$33, 0), MATCH('Rotation Assembler'!AG4, 'Data Val'!$O$29:$V$29, 0)),0)</f>
        <v>9</v>
      </c>
      <c r="AH7" s="232">
        <f>IFERROR(INDEX('Data Val'!$O$29:$V$33, MATCH('Rotation Assembler'!AH$32, 'Data Val'!$O$29:$O$33, 0), MATCH('Rotation Assembler'!AH4, 'Data Val'!$O$29:$V$29, 0)),0)</f>
        <v>9</v>
      </c>
      <c r="AI7" s="232">
        <f>IFERROR(INDEX('Data Val'!$O$29:$V$33, MATCH('Rotation Assembler'!AI$32, 'Data Val'!$O$29:$O$33, 0), MATCH('Rotation Assembler'!AI4, 'Data Val'!$O$29:$V$29, 0)),0)</f>
        <v>9</v>
      </c>
      <c r="AJ7" s="232">
        <f>IFERROR(INDEX('Data Val'!$O$29:$V$33, MATCH('Rotation Assembler'!AJ$32, 'Data Val'!$O$29:$O$33, 0), MATCH('Rotation Assembler'!AJ4, 'Data Val'!$O$29:$V$29, 0)),0)</f>
        <v>0</v>
      </c>
      <c r="AK7" s="232">
        <f>IFERROR(INDEX('Data Val'!$O$29:$V$33, MATCH('Rotation Assembler'!AK$32, 'Data Val'!$O$29:$O$33, 0), MATCH('Rotation Assembler'!AK4, 'Data Val'!$O$29:$V$29, 0)),0)</f>
        <v>0</v>
      </c>
      <c r="AL7" s="232">
        <f>IFERROR(INDEX('Data Val'!$O$29:$V$33, MATCH('Rotation Assembler'!AL$32, 'Data Val'!$O$29:$O$33, 0), MATCH('Rotation Assembler'!AL4, 'Data Val'!$O$29:$V$29, 0)),0)</f>
        <v>0</v>
      </c>
      <c r="AM7" s="232">
        <f>IFERROR(INDEX('Data Val'!$O$29:$V$33, MATCH('Rotation Assembler'!AM$32, 'Data Val'!$O$29:$O$33, 0), MATCH('Rotation Assembler'!AM4, 'Data Val'!$O$29:$V$29, 0)),0)</f>
        <v>0</v>
      </c>
      <c r="AN7" s="232">
        <f>IFERROR(INDEX('Data Val'!$O$29:$V$33, MATCH('Rotation Assembler'!AN$32, 'Data Val'!$O$29:$O$33, 0), MATCH('Rotation Assembler'!AN4, 'Data Val'!$O$29:$V$29, 0)),0)</f>
        <v>0</v>
      </c>
      <c r="AO7" s="232">
        <f>IFERROR(INDEX('Data Val'!$O$29:$V$33, MATCH('Rotation Assembler'!AO$32, 'Data Val'!$O$29:$O$33, 0), MATCH('Rotation Assembler'!AO4, 'Data Val'!$O$29:$V$29, 0)),0)</f>
        <v>0</v>
      </c>
      <c r="AP7" s="232">
        <f>IFERROR(INDEX('Data Val'!$O$29:$V$33, MATCH('Rotation Assembler'!AP$32, 'Data Val'!$O$29:$O$33, 0), MATCH('Rotation Assembler'!AP4, 'Data Val'!$O$29:$V$29, 0)),0)</f>
        <v>0</v>
      </c>
      <c r="AQ7" s="232">
        <f>IFERROR(INDEX('Data Val'!$O$29:$V$33, MATCH('Rotation Assembler'!AQ$32, 'Data Val'!$O$29:$O$33, 0), MATCH('Rotation Assembler'!AQ4, 'Data Val'!$O$29:$V$29, 0)),0)</f>
        <v>0</v>
      </c>
      <c r="AR7" s="232">
        <f>IFERROR(INDEX('Data Val'!$O$29:$V$33, MATCH('Rotation Assembler'!AR$32, 'Data Val'!$O$29:$O$33, 0), MATCH('Rotation Assembler'!AR4, 'Data Val'!$O$29:$V$29, 0)),0)</f>
        <v>0</v>
      </c>
      <c r="AS7" s="232">
        <f>IFERROR(INDEX('Data Val'!$O$29:$V$33, MATCH('Rotation Assembler'!AS$32, 'Data Val'!$O$29:$O$33, 0), MATCH('Rotation Assembler'!AS4, 'Data Val'!$O$29:$V$29, 0)),0)</f>
        <v>0</v>
      </c>
      <c r="AT7" s="232">
        <f>IFERROR(INDEX('Data Val'!$O$29:$V$33, MATCH('Rotation Assembler'!AT$32, 'Data Val'!$O$29:$O$33, 0), MATCH('Rotation Assembler'!AT4, 'Data Val'!$O$29:$V$29, 0)),0)</f>
        <v>0</v>
      </c>
      <c r="AU7" s="232">
        <f>IFERROR(INDEX('Data Val'!$O$29:$V$33, MATCH('Rotation Assembler'!AU$32, 'Data Val'!$O$29:$O$33, 0), MATCH('Rotation Assembler'!AU4, 'Data Val'!$O$29:$V$29, 0)),0)</f>
        <v>0</v>
      </c>
      <c r="AV7" s="232">
        <f>IFERROR(INDEX('Data Val'!$O$29:$V$33, MATCH('Rotation Assembler'!AV$32, 'Data Val'!$O$29:$O$33, 0), MATCH('Rotation Assembler'!AV4, 'Data Val'!$O$29:$V$29, 0)),0)</f>
        <v>0</v>
      </c>
      <c r="AW7" s="232">
        <f>IFERROR(INDEX('Data Val'!$O$29:$V$33, MATCH('Rotation Assembler'!AW$32, 'Data Val'!$O$29:$O$33, 0), MATCH('Rotation Assembler'!AW4, 'Data Val'!$O$29:$V$29, 0)),0)</f>
        <v>0</v>
      </c>
      <c r="AX7" s="232">
        <f>IFERROR(INDEX('Data Val'!$O$29:$V$33, MATCH('Rotation Assembler'!AX$32, 'Data Val'!$O$29:$O$33, 0), MATCH('Rotation Assembler'!AX4, 'Data Val'!$O$29:$V$29, 0)),0)</f>
        <v>0</v>
      </c>
      <c r="AY7" s="232">
        <f>IFERROR(INDEX('Data Val'!$O$29:$V$33, MATCH('Rotation Assembler'!AY$32, 'Data Val'!$O$29:$O$33, 0), MATCH('Rotation Assembler'!AY4, 'Data Val'!$O$29:$V$29, 0)),0)</f>
        <v>0</v>
      </c>
      <c r="AZ7" s="232">
        <f>IFERROR(INDEX('Data Val'!$O$29:$V$33, MATCH('Rotation Assembler'!AZ$32, 'Data Val'!$O$29:$O$33, 0), MATCH('Rotation Assembler'!AZ4, 'Data Val'!$O$29:$V$29, 0)),0)</f>
        <v>0</v>
      </c>
    </row>
    <row r="8" spans="1:87" s="221" customFormat="1" hidden="1" outlineLevel="1" x14ac:dyDescent="0.25">
      <c r="A8" s="206" t="s">
        <v>1029</v>
      </c>
    </row>
    <row r="9" spans="1:87" s="233" customFormat="1" hidden="1" outlineLevel="1" x14ac:dyDescent="0.25">
      <c r="A9" s="206" t="s">
        <v>946</v>
      </c>
      <c r="B9" s="233" t="b">
        <f>IF(ISBLANK(INDEX(INDEX(MVs!$B:$B, INDEX(MVs!$V$2:$Z$4, 2, MATCH(B$32, MVs!$V$2:$Z$2, 0))):INDEX(MVs!$U:$U, INDEX(mvLookupTable, 3, MATCH(B$32, MVs!$V$2:$Z$2, 0))), MATCH(B$2, INDEX(MVs!$B:$B, INDEX(MVs!$V$2:$Z$4, 2, MATCH(B$32, MVs!$V$2:$Z$2, 0))):INDEX(MVs!$B:$B, INDEX(MVs!$V$2:$Z$4, 3, MATCH(B$32, MVs!$V$2:$Z$2, 0))), 0),20)), IF(AND(B13 = "Healing", B2 = "Weapon Proc"), TRUE, FALSE), TRUE)</f>
        <v>0</v>
      </c>
      <c r="C9" s="233" t="b">
        <f>IF(ISBLANK(INDEX(INDEX(MVs!$B:$B, INDEX(MVs!$V$2:$Z$4, 2, MATCH(C$32, MVs!$V$2:$Z$2, 0))):INDEX(MVs!$U:$U, INDEX(mvLookupTable, 3, MATCH(C$32, MVs!$V$2:$Z$2, 0))), MATCH(C$2, INDEX(MVs!$B:$B, INDEX(MVs!$V$2:$Z$4, 2, MATCH(C$32, MVs!$V$2:$Z$2, 0))):INDEX(MVs!$B:$B, INDEX(MVs!$V$2:$Z$4, 3, MATCH(C$32, MVs!$V$2:$Z$2, 0))), 0),20)), IF(AND(C13 = "Healing", C2 = "Weapon Proc"), TRUE, FALSE), TRUE)</f>
        <v>0</v>
      </c>
      <c r="D9" s="233" t="b">
        <f>IF(ISBLANK(INDEX(INDEX(MVs!$B:$B, INDEX(MVs!$V$2:$Z$4, 2, MATCH(D$32, MVs!$V$2:$Z$2, 0))):INDEX(MVs!$U:$U, INDEX(mvLookupTable, 3, MATCH(D$32, MVs!$V$2:$Z$2, 0))), MATCH(D$2, INDEX(MVs!$B:$B, INDEX(MVs!$V$2:$Z$4, 2, MATCH(D$32, MVs!$V$2:$Z$2, 0))):INDEX(MVs!$B:$B, INDEX(MVs!$V$2:$Z$4, 3, MATCH(D$32, MVs!$V$2:$Z$2, 0))), 0),20)), IF(AND(D13 = "Healing", D2 = "Weapon Proc"), TRUE, FALSE), TRUE)</f>
        <v>0</v>
      </c>
      <c r="E9" s="233" t="b">
        <f>IF(ISBLANK(INDEX(INDEX(MVs!$B:$B, INDEX(MVs!$V$2:$Z$4, 2, MATCH(E$32, MVs!$V$2:$Z$2, 0))):INDEX(MVs!$U:$U, INDEX(mvLookupTable, 3, MATCH(E$32, MVs!$V$2:$Z$2, 0))), MATCH(E$2, INDEX(MVs!$B:$B, INDEX(MVs!$V$2:$Z$4, 2, MATCH(E$32, MVs!$V$2:$Z$2, 0))):INDEX(MVs!$B:$B, INDEX(MVs!$V$2:$Z$4, 3, MATCH(E$32, MVs!$V$2:$Z$2, 0))), 0),20)), IF(AND(E13 = "Healing", E2 = "Weapon Proc"), TRUE, FALSE), TRUE)</f>
        <v>0</v>
      </c>
      <c r="F9" s="233" t="b">
        <f>IF(ISBLANK(INDEX(INDEX(MVs!$B:$B, INDEX(MVs!$V$2:$Z$4, 2, MATCH(F$32, MVs!$V$2:$Z$2, 0))):INDEX(MVs!$U:$U, INDEX(mvLookupTable, 3, MATCH(F$32, MVs!$V$2:$Z$2, 0))), MATCH(F$2, INDEX(MVs!$B:$B, INDEX(MVs!$V$2:$Z$4, 2, MATCH(F$32, MVs!$V$2:$Z$2, 0))):INDEX(MVs!$B:$B, INDEX(MVs!$V$2:$Z$4, 3, MATCH(F$32, MVs!$V$2:$Z$2, 0))), 0),20)), IF(AND(F13 = "Healing", F2 = "Weapon Proc"), TRUE, FALSE), TRUE)</f>
        <v>0</v>
      </c>
      <c r="G9" s="233" t="b">
        <f>IF(ISBLANK(INDEX(INDEX(MVs!$B:$B, INDEX(MVs!$V$2:$Z$4, 2, MATCH(G$32, MVs!$V$2:$Z$2, 0))):INDEX(MVs!$U:$U, INDEX(mvLookupTable, 3, MATCH(G$32, MVs!$V$2:$Z$2, 0))), MATCH(G$2, INDEX(MVs!$B:$B, INDEX(MVs!$V$2:$Z$4, 2, MATCH(G$32, MVs!$V$2:$Z$2, 0))):INDEX(MVs!$B:$B, INDEX(MVs!$V$2:$Z$4, 3, MATCH(G$32, MVs!$V$2:$Z$2, 0))), 0),20)), IF(AND(G13 = "Healing", G2 = "Weapon Proc"), TRUE, FALSE), TRUE)</f>
        <v>0</v>
      </c>
      <c r="H9" s="233" t="b">
        <f>IF(ISBLANK(INDEX(INDEX(MVs!$B:$B, INDEX(MVs!$V$2:$Z$4, 2, MATCH(H$32, MVs!$V$2:$Z$2, 0))):INDEX(MVs!$U:$U, INDEX(mvLookupTable, 3, MATCH(H$32, MVs!$V$2:$Z$2, 0))), MATCH(H$2, INDEX(MVs!$B:$B, INDEX(MVs!$V$2:$Z$4, 2, MATCH(H$32, MVs!$V$2:$Z$2, 0))):INDEX(MVs!$B:$B, INDEX(MVs!$V$2:$Z$4, 3, MATCH(H$32, MVs!$V$2:$Z$2, 0))), 0),20)), IF(AND(H13 = "Healing", H2 = "Weapon Proc"), TRUE, FALSE), TRUE)</f>
        <v>0</v>
      </c>
      <c r="I9" s="233" t="b">
        <f>IF(ISBLANK(INDEX(INDEX(MVs!$B:$B, INDEX(MVs!$V$2:$Z$4, 2, MATCH(I$32, MVs!$V$2:$Z$2, 0))):INDEX(MVs!$U:$U, INDEX(mvLookupTable, 3, MATCH(I$32, MVs!$V$2:$Z$2, 0))), MATCH(I$2, INDEX(MVs!$B:$B, INDEX(MVs!$V$2:$Z$4, 2, MATCH(I$32, MVs!$V$2:$Z$2, 0))):INDEX(MVs!$B:$B, INDEX(MVs!$V$2:$Z$4, 3, MATCH(I$32, MVs!$V$2:$Z$2, 0))), 0),20)), IF(AND(I13 = "Healing", I2 = "Weapon Proc"), TRUE, FALSE), TRUE)</f>
        <v>0</v>
      </c>
      <c r="J9" s="233" t="b">
        <f>IF(ISBLANK(INDEX(INDEX(MVs!$B:$B, INDEX(MVs!$V$2:$Z$4, 2, MATCH(J$32, MVs!$V$2:$Z$2, 0))):INDEX(MVs!$U:$U, INDEX(mvLookupTable, 3, MATCH(J$32, MVs!$V$2:$Z$2, 0))), MATCH(J$2, INDEX(MVs!$B:$B, INDEX(MVs!$V$2:$Z$4, 2, MATCH(J$32, MVs!$V$2:$Z$2, 0))):INDEX(MVs!$B:$B, INDEX(MVs!$V$2:$Z$4, 3, MATCH(J$32, MVs!$V$2:$Z$2, 0))), 0),20)), IF(AND(J13 = "Healing", J2 = "Weapon Proc"), TRUE, FALSE), TRUE)</f>
        <v>0</v>
      </c>
      <c r="K9" s="233" t="b">
        <f>IF(ISBLANK(INDEX(INDEX(MVs!$B:$B, INDEX(MVs!$V$2:$Z$4, 2, MATCH(K$32, MVs!$V$2:$Z$2, 0))):INDEX(MVs!$U:$U, INDEX(mvLookupTable, 3, MATCH(K$32, MVs!$V$2:$Z$2, 0))), MATCH(K$2, INDEX(MVs!$B:$B, INDEX(MVs!$V$2:$Z$4, 2, MATCH(K$32, MVs!$V$2:$Z$2, 0))):INDEX(MVs!$B:$B, INDEX(MVs!$V$2:$Z$4, 3, MATCH(K$32, MVs!$V$2:$Z$2, 0))), 0),20)), IF(AND(K13 = "Healing", K2 = "Weapon Proc"), TRUE, FALSE), TRUE)</f>
        <v>0</v>
      </c>
      <c r="L9" s="233" t="b">
        <f>IF(ISBLANK(INDEX(INDEX(MVs!$B:$B, INDEX(MVs!$V$2:$Z$4, 2, MATCH(L$32, MVs!$V$2:$Z$2, 0))):INDEX(MVs!$U:$U, INDEX(mvLookupTable, 3, MATCH(L$32, MVs!$V$2:$Z$2, 0))), MATCH(L$2, INDEX(MVs!$B:$B, INDEX(MVs!$V$2:$Z$4, 2, MATCH(L$32, MVs!$V$2:$Z$2, 0))):INDEX(MVs!$B:$B, INDEX(MVs!$V$2:$Z$4, 3, MATCH(L$32, MVs!$V$2:$Z$2, 0))), 0),20)), IF(AND(L13 = "Healing", L2 = "Weapon Proc"), TRUE, FALSE), TRUE)</f>
        <v>0</v>
      </c>
      <c r="M9" s="233" t="b">
        <f>IF(ISBLANK(INDEX(INDEX(MVs!$B:$B, INDEX(MVs!$V$2:$Z$4, 2, MATCH(M$32, MVs!$V$2:$Z$2, 0))):INDEX(MVs!$U:$U, INDEX(mvLookupTable, 3, MATCH(M$32, MVs!$V$2:$Z$2, 0))), MATCH(M$2, INDEX(MVs!$B:$B, INDEX(MVs!$V$2:$Z$4, 2, MATCH(M$32, MVs!$V$2:$Z$2, 0))):INDEX(MVs!$B:$B, INDEX(MVs!$V$2:$Z$4, 3, MATCH(M$32, MVs!$V$2:$Z$2, 0))), 0),20)), IF(AND(M13 = "Healing", M2 = "Weapon Proc"), TRUE, FALSE), TRUE)</f>
        <v>0</v>
      </c>
      <c r="N9" s="233" t="b">
        <f>IF(ISBLANK(INDEX(INDEX(MVs!$B:$B, INDEX(MVs!$V$2:$Z$4, 2, MATCH(N$32, MVs!$V$2:$Z$2, 0))):INDEX(MVs!$U:$U, INDEX(mvLookupTable, 3, MATCH(N$32, MVs!$V$2:$Z$2, 0))), MATCH(N$2, INDEX(MVs!$B:$B, INDEX(MVs!$V$2:$Z$4, 2, MATCH(N$32, MVs!$V$2:$Z$2, 0))):INDEX(MVs!$B:$B, INDEX(MVs!$V$2:$Z$4, 3, MATCH(N$32, MVs!$V$2:$Z$2, 0))), 0),20)), IF(AND(N13 = "Healing", N2 = "Weapon Proc"), TRUE, FALSE), TRUE)</f>
        <v>0</v>
      </c>
      <c r="O9" s="233" t="b">
        <f>IF(ISBLANK(INDEX(INDEX(MVs!$B:$B, INDEX(MVs!$V$2:$Z$4, 2, MATCH(O$32, MVs!$V$2:$Z$2, 0))):INDEX(MVs!$U:$U, INDEX(mvLookupTable, 3, MATCH(O$32, MVs!$V$2:$Z$2, 0))), MATCH(O$2, INDEX(MVs!$B:$B, INDEX(MVs!$V$2:$Z$4, 2, MATCH(O$32, MVs!$V$2:$Z$2, 0))):INDEX(MVs!$B:$B, INDEX(MVs!$V$2:$Z$4, 3, MATCH(O$32, MVs!$V$2:$Z$2, 0))), 0),20)), IF(AND(O13 = "Healing", O2 = "Weapon Proc"), TRUE, FALSE), TRUE)</f>
        <v>0</v>
      </c>
      <c r="P9" s="233" t="b">
        <f>IF(ISBLANK(INDEX(INDEX(MVs!$B:$B, INDEX(MVs!$V$2:$Z$4, 2, MATCH(P$32, MVs!$V$2:$Z$2, 0))):INDEX(MVs!$U:$U, INDEX(mvLookupTable, 3, MATCH(P$32, MVs!$V$2:$Z$2, 0))), MATCH(P$2, INDEX(MVs!$B:$B, INDEX(MVs!$V$2:$Z$4, 2, MATCH(P$32, MVs!$V$2:$Z$2, 0))):INDEX(MVs!$B:$B, INDEX(MVs!$V$2:$Z$4, 3, MATCH(P$32, MVs!$V$2:$Z$2, 0))), 0),20)), IF(AND(P13 = "Healing", P2 = "Weapon Proc"), TRUE, FALSE), TRUE)</f>
        <v>0</v>
      </c>
      <c r="Q9" s="233" t="b">
        <f>IF(ISBLANK(INDEX(INDEX(MVs!$B:$B, INDEX(MVs!$V$2:$Z$4, 2, MATCH(Q$32, MVs!$V$2:$Z$2, 0))):INDEX(MVs!$U:$U, INDEX(mvLookupTable, 3, MATCH(Q$32, MVs!$V$2:$Z$2, 0))), MATCH(Q$2, INDEX(MVs!$B:$B, INDEX(MVs!$V$2:$Z$4, 2, MATCH(Q$32, MVs!$V$2:$Z$2, 0))):INDEX(MVs!$B:$B, INDEX(MVs!$V$2:$Z$4, 3, MATCH(Q$32, MVs!$V$2:$Z$2, 0))), 0),20)), IF(AND(Q13 = "Healing", Q2 = "Weapon Proc"), TRUE, FALSE), TRUE)</f>
        <v>0</v>
      </c>
      <c r="R9" s="233" t="b">
        <f>IF(ISBLANK(INDEX(INDEX(MVs!$B:$B, INDEX(MVs!$V$2:$Z$4, 2, MATCH(R$32, MVs!$V$2:$Z$2, 0))):INDEX(MVs!$U:$U, INDEX(mvLookupTable, 3, MATCH(R$32, MVs!$V$2:$Z$2, 0))), MATCH(R$2, INDEX(MVs!$B:$B, INDEX(MVs!$V$2:$Z$4, 2, MATCH(R$32, MVs!$V$2:$Z$2, 0))):INDEX(MVs!$B:$B, INDEX(MVs!$V$2:$Z$4, 3, MATCH(R$32, MVs!$V$2:$Z$2, 0))), 0),20)), IF(AND(R13 = "Healing", R2 = "Weapon Proc"), TRUE, FALSE), TRUE)</f>
        <v>0</v>
      </c>
      <c r="S9" s="233" t="b">
        <f>IF(ISBLANK(INDEX(INDEX(MVs!$B:$B, INDEX(MVs!$V$2:$Z$4, 2, MATCH(S$32, MVs!$V$2:$Z$2, 0))):INDEX(MVs!$U:$U, INDEX(mvLookupTable, 3, MATCH(S$32, MVs!$V$2:$Z$2, 0))), MATCH(S$2, INDEX(MVs!$B:$B, INDEX(MVs!$V$2:$Z$4, 2, MATCH(S$32, MVs!$V$2:$Z$2, 0))):INDEX(MVs!$B:$B, INDEX(MVs!$V$2:$Z$4, 3, MATCH(S$32, MVs!$V$2:$Z$2, 0))), 0),20)), IF(AND(S13 = "Healing", S2 = "Weapon Proc"), TRUE, FALSE), TRUE)</f>
        <v>0</v>
      </c>
      <c r="T9" s="233" t="b">
        <f>IF(ISBLANK(INDEX(INDEX(MVs!$B:$B, INDEX(MVs!$V$2:$Z$4, 2, MATCH(T$32, MVs!$V$2:$Z$2, 0))):INDEX(MVs!$U:$U, INDEX(mvLookupTable, 3, MATCH(T$32, MVs!$V$2:$Z$2, 0))), MATCH(T$2, INDEX(MVs!$B:$B, INDEX(MVs!$V$2:$Z$4, 2, MATCH(T$32, MVs!$V$2:$Z$2, 0))):INDEX(MVs!$B:$B, INDEX(MVs!$V$2:$Z$4, 3, MATCH(T$32, MVs!$V$2:$Z$2, 0))), 0),20)), IF(AND(T13 = "Healing", T2 = "Weapon Proc"), TRUE, FALSE), TRUE)</f>
        <v>0</v>
      </c>
      <c r="U9" s="233" t="b">
        <f>IF(ISBLANK(INDEX(INDEX(MVs!$B:$B, INDEX(MVs!$V$2:$Z$4, 2, MATCH(U$32, MVs!$V$2:$Z$2, 0))):INDEX(MVs!$U:$U, INDEX(mvLookupTable, 3, MATCH(U$32, MVs!$V$2:$Z$2, 0))), MATCH(U$2, INDEX(MVs!$B:$B, INDEX(MVs!$V$2:$Z$4, 2, MATCH(U$32, MVs!$V$2:$Z$2, 0))):INDEX(MVs!$B:$B, INDEX(MVs!$V$2:$Z$4, 3, MATCH(U$32, MVs!$V$2:$Z$2, 0))), 0),20)), IF(AND(U13 = "Healing", U2 = "Weapon Proc"), TRUE, FALSE), TRUE)</f>
        <v>0</v>
      </c>
      <c r="V9" s="233" t="b">
        <f>IF(ISBLANK(INDEX(INDEX(MVs!$B:$B, INDEX(MVs!$V$2:$Z$4, 2, MATCH(V$32, MVs!$V$2:$Z$2, 0))):INDEX(MVs!$U:$U, INDEX(mvLookupTable, 3, MATCH(V$32, MVs!$V$2:$Z$2, 0))), MATCH(V$2, INDEX(MVs!$B:$B, INDEX(MVs!$V$2:$Z$4, 2, MATCH(V$32, MVs!$V$2:$Z$2, 0))):INDEX(MVs!$B:$B, INDEX(MVs!$V$2:$Z$4, 3, MATCH(V$32, MVs!$V$2:$Z$2, 0))), 0),20)), IF(AND(V13 = "Healing", V2 = "Weapon Proc"), TRUE, FALSE), TRUE)</f>
        <v>0</v>
      </c>
      <c r="W9" s="233" t="b">
        <f>IF(ISBLANK(INDEX(INDEX(MVs!$B:$B, INDEX(MVs!$V$2:$Z$4, 2, MATCH(W$32, MVs!$V$2:$Z$2, 0))):INDEX(MVs!$U:$U, INDEX(mvLookupTable, 3, MATCH(W$32, MVs!$V$2:$Z$2, 0))), MATCH(W$2, INDEX(MVs!$B:$B, INDEX(MVs!$V$2:$Z$4, 2, MATCH(W$32, MVs!$V$2:$Z$2, 0))):INDEX(MVs!$B:$B, INDEX(MVs!$V$2:$Z$4, 3, MATCH(W$32, MVs!$V$2:$Z$2, 0))), 0),20)), IF(AND(W13 = "Healing", W2 = "Weapon Proc"), TRUE, FALSE), TRUE)</f>
        <v>0</v>
      </c>
      <c r="X9" s="233" t="b">
        <f>IF(ISBLANK(INDEX(INDEX(MVs!$B:$B, INDEX(MVs!$V$2:$Z$4, 2, MATCH(X$32, MVs!$V$2:$Z$2, 0))):INDEX(MVs!$U:$U, INDEX(mvLookupTable, 3, MATCH(X$32, MVs!$V$2:$Z$2, 0))), MATCH(X$2, INDEX(MVs!$B:$B, INDEX(MVs!$V$2:$Z$4, 2, MATCH(X$32, MVs!$V$2:$Z$2, 0))):INDEX(MVs!$B:$B, INDEX(MVs!$V$2:$Z$4, 3, MATCH(X$32, MVs!$V$2:$Z$2, 0))), 0),20)), IF(AND(X13 = "Healing", X2 = "Weapon Proc"), TRUE, FALSE), TRUE)</f>
        <v>0</v>
      </c>
      <c r="Y9" s="233" t="b">
        <f>IF(ISBLANK(INDEX(INDEX(MVs!$B:$B, INDEX(MVs!$V$2:$Z$4, 2, MATCH(Y$32, MVs!$V$2:$Z$2, 0))):INDEX(MVs!$U:$U, INDEX(mvLookupTable, 3, MATCH(Y$32, MVs!$V$2:$Z$2, 0))), MATCH(Y$2, INDEX(MVs!$B:$B, INDEX(MVs!$V$2:$Z$4, 2, MATCH(Y$32, MVs!$V$2:$Z$2, 0))):INDEX(MVs!$B:$B, INDEX(MVs!$V$2:$Z$4, 3, MATCH(Y$32, MVs!$V$2:$Z$2, 0))), 0),20)), IF(AND(Y13 = "Healing", Y2 = "Weapon Proc"), TRUE, FALSE), TRUE)</f>
        <v>0</v>
      </c>
      <c r="Z9" s="233" t="b">
        <f>IF(ISBLANK(INDEX(INDEX(MVs!$B:$B, INDEX(MVs!$V$2:$Z$4, 2, MATCH(Z$32, MVs!$V$2:$Z$2, 0))):INDEX(MVs!$U:$U, INDEX(mvLookupTable, 3, MATCH(Z$32, MVs!$V$2:$Z$2, 0))), MATCH(Z$2, INDEX(MVs!$B:$B, INDEX(MVs!$V$2:$Z$4, 2, MATCH(Z$32, MVs!$V$2:$Z$2, 0))):INDEX(MVs!$B:$B, INDEX(MVs!$V$2:$Z$4, 3, MATCH(Z$32, MVs!$V$2:$Z$2, 0))), 0),20)), IF(AND(Z13 = "Healing", Z2 = "Weapon Proc"), TRUE, FALSE), TRUE)</f>
        <v>0</v>
      </c>
      <c r="AA9" s="233" t="b">
        <f>IF(ISBLANK(INDEX(INDEX(MVs!$B:$B, INDEX(MVs!$V$2:$Z$4, 2, MATCH(AA$32, MVs!$V$2:$Z$2, 0))):INDEX(MVs!$U:$U, INDEX(mvLookupTable, 3, MATCH(AA$32, MVs!$V$2:$Z$2, 0))), MATCH(AA$2, INDEX(MVs!$B:$B, INDEX(MVs!$V$2:$Z$4, 2, MATCH(AA$32, MVs!$V$2:$Z$2, 0))):INDEX(MVs!$B:$B, INDEX(MVs!$V$2:$Z$4, 3, MATCH(AA$32, MVs!$V$2:$Z$2, 0))), 0),20)), IF(AND(AA13 = "Healing", AA2 = "Weapon Proc"), TRUE, FALSE), TRUE)</f>
        <v>0</v>
      </c>
      <c r="AB9" s="233" t="b">
        <f>IF(ISBLANK(INDEX(INDEX(MVs!$B:$B, INDEX(MVs!$V$2:$Z$4, 2, MATCH(AB$32, MVs!$V$2:$Z$2, 0))):INDEX(MVs!$U:$U, INDEX(mvLookupTable, 3, MATCH(AB$32, MVs!$V$2:$Z$2, 0))), MATCH(AB$2, INDEX(MVs!$B:$B, INDEX(MVs!$V$2:$Z$4, 2, MATCH(AB$32, MVs!$V$2:$Z$2, 0))):INDEX(MVs!$B:$B, INDEX(MVs!$V$2:$Z$4, 3, MATCH(AB$32, MVs!$V$2:$Z$2, 0))), 0),20)), IF(AND(AB13 = "Healing", AB2 = "Weapon Proc"), TRUE, FALSE), TRUE)</f>
        <v>0</v>
      </c>
      <c r="AC9" s="233" t="b">
        <f>IF(ISBLANK(INDEX(INDEX(MVs!$B:$B, INDEX(MVs!$V$2:$Z$4, 2, MATCH(AC$32, MVs!$V$2:$Z$2, 0))):INDEX(MVs!$U:$U, INDEX(mvLookupTable, 3, MATCH(AC$32, MVs!$V$2:$Z$2, 0))), MATCH(AC$2, INDEX(MVs!$B:$B, INDEX(MVs!$V$2:$Z$4, 2, MATCH(AC$32, MVs!$V$2:$Z$2, 0))):INDEX(MVs!$B:$B, INDEX(MVs!$V$2:$Z$4, 3, MATCH(AC$32, MVs!$V$2:$Z$2, 0))), 0),20)), IF(AND(AC13 = "Healing", AC2 = "Weapon Proc"), TRUE, FALSE), TRUE)</f>
        <v>0</v>
      </c>
      <c r="AD9" s="233" t="b">
        <f>IF(ISBLANK(INDEX(INDEX(MVs!$B:$B, INDEX(MVs!$V$2:$Z$4, 2, MATCH(AD$32, MVs!$V$2:$Z$2, 0))):INDEX(MVs!$U:$U, INDEX(mvLookupTable, 3, MATCH(AD$32, MVs!$V$2:$Z$2, 0))), MATCH(AD$2, INDEX(MVs!$B:$B, INDEX(MVs!$V$2:$Z$4, 2, MATCH(AD$32, MVs!$V$2:$Z$2, 0))):INDEX(MVs!$B:$B, INDEX(MVs!$V$2:$Z$4, 3, MATCH(AD$32, MVs!$V$2:$Z$2, 0))), 0),20)), IF(AND(AD13 = "Healing", AD2 = "Weapon Proc"), TRUE, FALSE), TRUE)</f>
        <v>0</v>
      </c>
      <c r="AE9" s="233" t="b">
        <f>IF(ISBLANK(INDEX(INDEX(MVs!$B:$B, INDEX(MVs!$V$2:$Z$4, 2, MATCH(AE$32, MVs!$V$2:$Z$2, 0))):INDEX(MVs!$U:$U, INDEX(mvLookupTable, 3, MATCH(AE$32, MVs!$V$2:$Z$2, 0))), MATCH(AE$2, INDEX(MVs!$B:$B, INDEX(MVs!$V$2:$Z$4, 2, MATCH(AE$32, MVs!$V$2:$Z$2, 0))):INDEX(MVs!$B:$B, INDEX(MVs!$V$2:$Z$4, 3, MATCH(AE$32, MVs!$V$2:$Z$2, 0))), 0),20)), IF(AND(AE13 = "Healing", AE2 = "Weapon Proc"), TRUE, FALSE), TRUE)</f>
        <v>0</v>
      </c>
      <c r="AF9" s="233" t="b">
        <f>IF(ISBLANK(INDEX(INDEX(MVs!$B:$B, INDEX(MVs!$V$2:$Z$4, 2, MATCH(AF$32, MVs!$V$2:$Z$2, 0))):INDEX(MVs!$U:$U, INDEX(mvLookupTable, 3, MATCH(AF$32, MVs!$V$2:$Z$2, 0))), MATCH(AF$2, INDEX(MVs!$B:$B, INDEX(MVs!$V$2:$Z$4, 2, MATCH(AF$32, MVs!$V$2:$Z$2, 0))):INDEX(MVs!$B:$B, INDEX(MVs!$V$2:$Z$4, 3, MATCH(AF$32, MVs!$V$2:$Z$2, 0))), 0),20)), IF(AND(AF13 = "Healing", AF2 = "Weapon Proc"), TRUE, FALSE), TRUE)</f>
        <v>0</v>
      </c>
      <c r="AG9" s="233" t="b">
        <f>IF(ISBLANK(INDEX(INDEX(MVs!$B:$B, INDEX(MVs!$V$2:$Z$4, 2, MATCH(AG$32, MVs!$V$2:$Z$2, 0))):INDEX(MVs!$U:$U, INDEX(mvLookupTable, 3, MATCH(AG$32, MVs!$V$2:$Z$2, 0))), MATCH(AG$2, INDEX(MVs!$B:$B, INDEX(MVs!$V$2:$Z$4, 2, MATCH(AG$32, MVs!$V$2:$Z$2, 0))):INDEX(MVs!$B:$B, INDEX(MVs!$V$2:$Z$4, 3, MATCH(AG$32, MVs!$V$2:$Z$2, 0))), 0),20)), IF(AND(AG13 = "Healing", AG2 = "Weapon Proc"), TRUE, FALSE), TRUE)</f>
        <v>0</v>
      </c>
      <c r="AH9" s="233" t="b">
        <f>IF(ISBLANK(INDEX(INDEX(MVs!$B:$B, INDEX(MVs!$V$2:$Z$4, 2, MATCH(AH$32, MVs!$V$2:$Z$2, 0))):INDEX(MVs!$U:$U, INDEX(mvLookupTable, 3, MATCH(AH$32, MVs!$V$2:$Z$2, 0))), MATCH(AH$2, INDEX(MVs!$B:$B, INDEX(MVs!$V$2:$Z$4, 2, MATCH(AH$32, MVs!$V$2:$Z$2, 0))):INDEX(MVs!$B:$B, INDEX(MVs!$V$2:$Z$4, 3, MATCH(AH$32, MVs!$V$2:$Z$2, 0))), 0),20)), IF(AND(AH13 = "Healing", AH2 = "Weapon Proc"), TRUE, FALSE), TRUE)</f>
        <v>0</v>
      </c>
      <c r="AI9" s="233" t="b">
        <f>IF(ISBLANK(INDEX(INDEX(MVs!$B:$B, INDEX(MVs!$V$2:$Z$4, 2, MATCH(AI$32, MVs!$V$2:$Z$2, 0))):INDEX(MVs!$U:$U, INDEX(mvLookupTable, 3, MATCH(AI$32, MVs!$V$2:$Z$2, 0))), MATCH(AI$2, INDEX(MVs!$B:$B, INDEX(MVs!$V$2:$Z$4, 2, MATCH(AI$32, MVs!$V$2:$Z$2, 0))):INDEX(MVs!$B:$B, INDEX(MVs!$V$2:$Z$4, 3, MATCH(AI$32, MVs!$V$2:$Z$2, 0))), 0),20)), IF(AND(AI13 = "Healing", AI2 = "Weapon Proc"), TRUE, FALSE), TRUE)</f>
        <v>0</v>
      </c>
      <c r="AJ9" s="233" t="b">
        <f>IF(ISBLANK(INDEX(INDEX(MVs!$B:$B, INDEX(MVs!$V$2:$Z$4, 2, MATCH(AJ$32, MVs!$V$2:$Z$2, 0))):INDEX(MVs!$U:$U, INDEX(mvLookupTable, 3, MATCH(AJ$32, MVs!$V$2:$Z$2, 0))), MATCH(AJ$2, INDEX(MVs!$B:$B, INDEX(MVs!$V$2:$Z$4, 2, MATCH(AJ$32, MVs!$V$2:$Z$2, 0))):INDEX(MVs!$B:$B, INDEX(MVs!$V$2:$Z$4, 3, MATCH(AJ$32, MVs!$V$2:$Z$2, 0))), 0),20)), IF(AND(AJ13 = "Healing", AJ2 = "Weapon Proc"), TRUE, FALSE), TRUE)</f>
        <v>1</v>
      </c>
      <c r="AK9" s="233" t="b">
        <f>IF(ISBLANK(INDEX(INDEX(MVs!$B:$B, INDEX(MVs!$V$2:$Z$4, 2, MATCH(AK$32, MVs!$V$2:$Z$2, 0))):INDEX(MVs!$U:$U, INDEX(mvLookupTable, 3, MATCH(AK$32, MVs!$V$2:$Z$2, 0))), MATCH(AK$2, INDEX(MVs!$B:$B, INDEX(MVs!$V$2:$Z$4, 2, MATCH(AK$32, MVs!$V$2:$Z$2, 0))):INDEX(MVs!$B:$B, INDEX(MVs!$V$2:$Z$4, 3, MATCH(AK$32, MVs!$V$2:$Z$2, 0))), 0),20)), IF(AND(AK13 = "Healing", AK2 = "Weapon Proc"), TRUE, FALSE), TRUE)</f>
        <v>1</v>
      </c>
      <c r="AL9" s="233" t="b">
        <f>IF(ISBLANK(INDEX(INDEX(MVs!$B:$B, INDEX(MVs!$V$2:$Z$4, 2, MATCH(AL$32, MVs!$V$2:$Z$2, 0))):INDEX(MVs!$U:$U, INDEX(mvLookupTable, 3, MATCH(AL$32, MVs!$V$2:$Z$2, 0))), MATCH(AL$2, INDEX(MVs!$B:$B, INDEX(MVs!$V$2:$Z$4, 2, MATCH(AL$32, MVs!$V$2:$Z$2, 0))):INDEX(MVs!$B:$B, INDEX(MVs!$V$2:$Z$4, 3, MATCH(AL$32, MVs!$V$2:$Z$2, 0))), 0),20)), IF(AND(AL13 = "Healing", AL2 = "Weapon Proc"), TRUE, FALSE), TRUE)</f>
        <v>1</v>
      </c>
      <c r="AM9" s="233" t="b">
        <f>IF(ISBLANK(INDEX(INDEX(MVs!$B:$B, INDEX(MVs!$V$2:$Z$4, 2, MATCH(AM$32, MVs!$V$2:$Z$2, 0))):INDEX(MVs!$U:$U, INDEX(mvLookupTable, 3, MATCH(AM$32, MVs!$V$2:$Z$2, 0))), MATCH(AM$2, INDEX(MVs!$B:$B, INDEX(MVs!$V$2:$Z$4, 2, MATCH(AM$32, MVs!$V$2:$Z$2, 0))):INDEX(MVs!$B:$B, INDEX(MVs!$V$2:$Z$4, 3, MATCH(AM$32, MVs!$V$2:$Z$2, 0))), 0),20)), IF(AND(AM13 = "Healing", AM2 = "Weapon Proc"), TRUE, FALSE), TRUE)</f>
        <v>1</v>
      </c>
      <c r="AN9" s="233" t="b">
        <f>IF(ISBLANK(INDEX(INDEX(MVs!$B:$B, INDEX(MVs!$V$2:$Z$4, 2, MATCH(AN$32, MVs!$V$2:$Z$2, 0))):INDEX(MVs!$U:$U, INDEX(mvLookupTable, 3, MATCH(AN$32, MVs!$V$2:$Z$2, 0))), MATCH(AN$2, INDEX(MVs!$B:$B, INDEX(MVs!$V$2:$Z$4, 2, MATCH(AN$32, MVs!$V$2:$Z$2, 0))):INDEX(MVs!$B:$B, INDEX(MVs!$V$2:$Z$4, 3, MATCH(AN$32, MVs!$V$2:$Z$2, 0))), 0),20)), IF(AND(AN13 = "Healing", AN2 = "Weapon Proc"), TRUE, FALSE), TRUE)</f>
        <v>1</v>
      </c>
      <c r="AO9" s="233" t="b">
        <f>IF(ISBLANK(INDEX(INDEX(MVs!$B:$B, INDEX(MVs!$V$2:$Z$4, 2, MATCH(AO$32, MVs!$V$2:$Z$2, 0))):INDEX(MVs!$U:$U, INDEX(mvLookupTable, 3, MATCH(AO$32, MVs!$V$2:$Z$2, 0))), MATCH(AO$2, INDEX(MVs!$B:$B, INDEX(MVs!$V$2:$Z$4, 2, MATCH(AO$32, MVs!$V$2:$Z$2, 0))):INDEX(MVs!$B:$B, INDEX(MVs!$V$2:$Z$4, 3, MATCH(AO$32, MVs!$V$2:$Z$2, 0))), 0),20)), IF(AND(AO13 = "Healing", AO2 = "Weapon Proc"), TRUE, FALSE), TRUE)</f>
        <v>1</v>
      </c>
      <c r="AP9" s="233" t="b">
        <f>IF(ISBLANK(INDEX(INDEX(MVs!$B:$B, INDEX(MVs!$V$2:$Z$4, 2, MATCH(AP$32, MVs!$V$2:$Z$2, 0))):INDEX(MVs!$U:$U, INDEX(mvLookupTable, 3, MATCH(AP$32, MVs!$V$2:$Z$2, 0))), MATCH(AP$2, INDEX(MVs!$B:$B, INDEX(MVs!$V$2:$Z$4, 2, MATCH(AP$32, MVs!$V$2:$Z$2, 0))):INDEX(MVs!$B:$B, INDEX(MVs!$V$2:$Z$4, 3, MATCH(AP$32, MVs!$V$2:$Z$2, 0))), 0),20)), IF(AND(AP13 = "Healing", AP2 = "Weapon Proc"), TRUE, FALSE), TRUE)</f>
        <v>1</v>
      </c>
      <c r="AQ9" s="233" t="b">
        <f>IF(ISBLANK(INDEX(INDEX(MVs!$B:$B, INDEX(MVs!$V$2:$Z$4, 2, MATCH(AQ$32, MVs!$V$2:$Z$2, 0))):INDEX(MVs!$U:$U, INDEX(mvLookupTable, 3, MATCH(AQ$32, MVs!$V$2:$Z$2, 0))), MATCH(AQ$2, INDEX(MVs!$B:$B, INDEX(MVs!$V$2:$Z$4, 2, MATCH(AQ$32, MVs!$V$2:$Z$2, 0))):INDEX(MVs!$B:$B, INDEX(MVs!$V$2:$Z$4, 3, MATCH(AQ$32, MVs!$V$2:$Z$2, 0))), 0),20)), IF(AND(AQ13 = "Healing", AQ2 = "Weapon Proc"), TRUE, FALSE), TRUE)</f>
        <v>1</v>
      </c>
      <c r="AR9" s="233" t="b">
        <f>IF(ISBLANK(INDEX(INDEX(MVs!$B:$B, INDEX(MVs!$V$2:$Z$4, 2, MATCH(AR$32, MVs!$V$2:$Z$2, 0))):INDEX(MVs!$U:$U, INDEX(mvLookupTable, 3, MATCH(AR$32, MVs!$V$2:$Z$2, 0))), MATCH(AR$2, INDEX(MVs!$B:$B, INDEX(MVs!$V$2:$Z$4, 2, MATCH(AR$32, MVs!$V$2:$Z$2, 0))):INDEX(MVs!$B:$B, INDEX(MVs!$V$2:$Z$4, 3, MATCH(AR$32, MVs!$V$2:$Z$2, 0))), 0),20)), IF(AND(AR13 = "Healing", AR2 = "Weapon Proc"), TRUE, FALSE), TRUE)</f>
        <v>1</v>
      </c>
      <c r="AS9" s="233" t="b">
        <f>IF(ISBLANK(INDEX(INDEX(MVs!$B:$B, INDEX(MVs!$V$2:$Z$4, 2, MATCH(AS$32, MVs!$V$2:$Z$2, 0))):INDEX(MVs!$U:$U, INDEX(mvLookupTable, 3, MATCH(AS$32, MVs!$V$2:$Z$2, 0))), MATCH(AS$2, INDEX(MVs!$B:$B, INDEX(MVs!$V$2:$Z$4, 2, MATCH(AS$32, MVs!$V$2:$Z$2, 0))):INDEX(MVs!$B:$B, INDEX(MVs!$V$2:$Z$4, 3, MATCH(AS$32, MVs!$V$2:$Z$2, 0))), 0),20)), IF(AND(AS13 = "Healing", AS2 = "Weapon Proc"), TRUE, FALSE), TRUE)</f>
        <v>1</v>
      </c>
      <c r="AT9" s="233" t="b">
        <f>IF(ISBLANK(INDEX(INDEX(MVs!$B:$B, INDEX(MVs!$V$2:$Z$4, 2, MATCH(AT$32, MVs!$V$2:$Z$2, 0))):INDEX(MVs!$U:$U, INDEX(mvLookupTable, 3, MATCH(AT$32, MVs!$V$2:$Z$2, 0))), MATCH(AT$2, INDEX(MVs!$B:$B, INDEX(MVs!$V$2:$Z$4, 2, MATCH(AT$32, MVs!$V$2:$Z$2, 0))):INDEX(MVs!$B:$B, INDEX(MVs!$V$2:$Z$4, 3, MATCH(AT$32, MVs!$V$2:$Z$2, 0))), 0),20)), IF(AND(AT13 = "Healing", AT2 = "Weapon Proc"), TRUE, FALSE), TRUE)</f>
        <v>1</v>
      </c>
      <c r="AU9" s="233" t="b">
        <f>IF(ISBLANK(INDEX(INDEX(MVs!$B:$B, INDEX(MVs!$V$2:$Z$4, 2, MATCH(AU$32, MVs!$V$2:$Z$2, 0))):INDEX(MVs!$U:$U, INDEX(mvLookupTable, 3, MATCH(AU$32, MVs!$V$2:$Z$2, 0))), MATCH(AU$2, INDEX(MVs!$B:$B, INDEX(MVs!$V$2:$Z$4, 2, MATCH(AU$32, MVs!$V$2:$Z$2, 0))):INDEX(MVs!$B:$B, INDEX(MVs!$V$2:$Z$4, 3, MATCH(AU$32, MVs!$V$2:$Z$2, 0))), 0),20)), IF(AND(AU13 = "Healing", AU2 = "Weapon Proc"), TRUE, FALSE), TRUE)</f>
        <v>1</v>
      </c>
      <c r="AV9" s="233" t="b">
        <f>IF(ISBLANK(INDEX(INDEX(MVs!$B:$B, INDEX(MVs!$V$2:$Z$4, 2, MATCH(AV$32, MVs!$V$2:$Z$2, 0))):INDEX(MVs!$U:$U, INDEX(mvLookupTable, 3, MATCH(AV$32, MVs!$V$2:$Z$2, 0))), MATCH(AV$2, INDEX(MVs!$B:$B, INDEX(MVs!$V$2:$Z$4, 2, MATCH(AV$32, MVs!$V$2:$Z$2, 0))):INDEX(MVs!$B:$B, INDEX(MVs!$V$2:$Z$4, 3, MATCH(AV$32, MVs!$V$2:$Z$2, 0))), 0),20)), IF(AND(AV13 = "Healing", AV2 = "Weapon Proc"), TRUE, FALSE), TRUE)</f>
        <v>1</v>
      </c>
      <c r="AW9" s="233" t="b">
        <f>IF(ISBLANK(INDEX(INDEX(MVs!$B:$B, INDEX(MVs!$V$2:$Z$4, 2, MATCH(AW$32, MVs!$V$2:$Z$2, 0))):INDEX(MVs!$U:$U, INDEX(mvLookupTable, 3, MATCH(AW$32, MVs!$V$2:$Z$2, 0))), MATCH(AW$2, INDEX(MVs!$B:$B, INDEX(MVs!$V$2:$Z$4, 2, MATCH(AW$32, MVs!$V$2:$Z$2, 0))):INDEX(MVs!$B:$B, INDEX(MVs!$V$2:$Z$4, 3, MATCH(AW$32, MVs!$V$2:$Z$2, 0))), 0),20)), IF(AND(AW13 = "Healing", AW2 = "Weapon Proc"), TRUE, FALSE), TRUE)</f>
        <v>1</v>
      </c>
      <c r="AX9" s="233" t="b">
        <f>IF(ISBLANK(INDEX(INDEX(MVs!$B:$B, INDEX(MVs!$V$2:$Z$4, 2, MATCH(AX$32, MVs!$V$2:$Z$2, 0))):INDEX(MVs!$U:$U, INDEX(mvLookupTable, 3, MATCH(AX$32, MVs!$V$2:$Z$2, 0))), MATCH(AX$2, INDEX(MVs!$B:$B, INDEX(MVs!$V$2:$Z$4, 2, MATCH(AX$32, MVs!$V$2:$Z$2, 0))):INDEX(MVs!$B:$B, INDEX(MVs!$V$2:$Z$4, 3, MATCH(AX$32, MVs!$V$2:$Z$2, 0))), 0),20)), IF(AND(AX13 = "Healing", AX2 = "Weapon Proc"), TRUE, FALSE), TRUE)</f>
        <v>1</v>
      </c>
      <c r="AY9" s="233" t="b">
        <f>IF(ISBLANK(INDEX(INDEX(MVs!$B:$B, INDEX(MVs!$V$2:$Z$4, 2, MATCH(AY$32, MVs!$V$2:$Z$2, 0))):INDEX(MVs!$U:$U, INDEX(mvLookupTable, 3, MATCH(AY$32, MVs!$V$2:$Z$2, 0))), MATCH(AY$2, INDEX(MVs!$B:$B, INDEX(MVs!$V$2:$Z$4, 2, MATCH(AY$32, MVs!$V$2:$Z$2, 0))):INDEX(MVs!$B:$B, INDEX(MVs!$V$2:$Z$4, 3, MATCH(AY$32, MVs!$V$2:$Z$2, 0))), 0),20)), IF(AND(AY13 = "Healing", AY2 = "Weapon Proc"), TRUE, FALSE), TRUE)</f>
        <v>1</v>
      </c>
      <c r="AZ9" s="233" t="b">
        <f>IF(ISBLANK(INDEX(INDEX(MVs!$B:$B, INDEX(MVs!$V$2:$Z$4, 2, MATCH(AZ$32, MVs!$V$2:$Z$2, 0))):INDEX(MVs!$U:$U, INDEX(mvLookupTable, 3, MATCH(AZ$32, MVs!$V$2:$Z$2, 0))), MATCH(AZ$2, INDEX(MVs!$B:$B, INDEX(MVs!$V$2:$Z$4, 2, MATCH(AZ$32, MVs!$V$2:$Z$2, 0))):INDEX(MVs!$B:$B, INDEX(MVs!$V$2:$Z$4, 3, MATCH(AZ$32, MVs!$V$2:$Z$2, 0))), 0),20)), IF(AND(AZ13 = "Healing", AZ2 = "Weapon Proc"), TRUE, FALSE), TRUE)</f>
        <v>1</v>
      </c>
      <c r="BA9" s="233" t="b">
        <f>IF(ISBLANK(INDEX(INDEX(MVs!$B:$B, INDEX(MVs!$V$2:$Z$4, 2, MATCH(BA$32, MVs!$V$2:$Z$2, 0))):INDEX(MVs!$U:$U, INDEX(mvLookupTable, 3, MATCH(BA$32, MVs!$V$2:$Z$2, 0))), MATCH(BA$2, INDEX(MVs!$B:$B, INDEX(MVs!$V$2:$Z$4, 2, MATCH(BA$32, MVs!$V$2:$Z$2, 0))):INDEX(MVs!$B:$B, INDEX(MVs!$V$2:$Z$4, 3, MATCH(BA$32, MVs!$V$2:$Z$2, 0))), 0),20)), IF(AND(BA13 = "Healing", BA2 = "Weapon Proc"), TRUE, FALSE), TRUE)</f>
        <v>1</v>
      </c>
      <c r="BB9" s="233" t="b">
        <f>IF(ISBLANK(INDEX(INDEX(MVs!$B:$B, INDEX(MVs!$V$2:$Z$4, 2, MATCH(BB$32, MVs!$V$2:$Z$2, 0))):INDEX(MVs!$U:$U, INDEX(mvLookupTable, 3, MATCH(BB$32, MVs!$V$2:$Z$2, 0))), MATCH(BB$2, INDEX(MVs!$B:$B, INDEX(MVs!$V$2:$Z$4, 2, MATCH(BB$32, MVs!$V$2:$Z$2, 0))):INDEX(MVs!$B:$B, INDEX(MVs!$V$2:$Z$4, 3, MATCH(BB$32, MVs!$V$2:$Z$2, 0))), 0),20)), IF(AND(BB13 = "Healing", BB2 = "Weapon Proc"), TRUE, FALSE), TRUE)</f>
        <v>1</v>
      </c>
      <c r="BC9" s="233" t="b">
        <f>IF(ISBLANK(INDEX(INDEX(MVs!$B:$B, INDEX(MVs!$V$2:$Z$4, 2, MATCH(BC$32, MVs!$V$2:$Z$2, 0))):INDEX(MVs!$U:$U, INDEX(mvLookupTable, 3, MATCH(BC$32, MVs!$V$2:$Z$2, 0))), MATCH(BC$2, INDEX(MVs!$B:$B, INDEX(MVs!$V$2:$Z$4, 2, MATCH(BC$32, MVs!$V$2:$Z$2, 0))):INDEX(MVs!$B:$B, INDEX(MVs!$V$2:$Z$4, 3, MATCH(BC$32, MVs!$V$2:$Z$2, 0))), 0),20)), IF(AND(BC13 = "Healing", BC2 = "Weapon Proc"), TRUE, FALSE), TRUE)</f>
        <v>1</v>
      </c>
      <c r="BD9" s="233" t="b">
        <f>IF(ISBLANK(INDEX(INDEX(MVs!$B:$B, INDEX(MVs!$V$2:$Z$4, 2, MATCH(BD$32, MVs!$V$2:$Z$2, 0))):INDEX(MVs!$U:$U, INDEX(mvLookupTable, 3, MATCH(BD$32, MVs!$V$2:$Z$2, 0))), MATCH(BD$2, INDEX(MVs!$B:$B, INDEX(MVs!$V$2:$Z$4, 2, MATCH(BD$32, MVs!$V$2:$Z$2, 0))):INDEX(MVs!$B:$B, INDEX(MVs!$V$2:$Z$4, 3, MATCH(BD$32, MVs!$V$2:$Z$2, 0))), 0),20)), IF(AND(BD13 = "Healing", BD2 = "Weapon Proc"), TRUE, FALSE), TRUE)</f>
        <v>1</v>
      </c>
      <c r="BE9" s="233" t="b">
        <f>IF(ISBLANK(INDEX(INDEX(MVs!$B:$B, INDEX(MVs!$V$2:$Z$4, 2, MATCH(BE$32, MVs!$V$2:$Z$2, 0))):INDEX(MVs!$U:$U, INDEX(mvLookupTable, 3, MATCH(BE$32, MVs!$V$2:$Z$2, 0))), MATCH(BE$2, INDEX(MVs!$B:$B, INDEX(MVs!$V$2:$Z$4, 2, MATCH(BE$32, MVs!$V$2:$Z$2, 0))):INDEX(MVs!$B:$B, INDEX(MVs!$V$2:$Z$4, 3, MATCH(BE$32, MVs!$V$2:$Z$2, 0))), 0),20)), IF(AND(BE13 = "Healing", BE2 = "Weapon Proc"), TRUE, FALSE), TRUE)</f>
        <v>1</v>
      </c>
      <c r="BF9" s="233" t="b">
        <f>IF(ISBLANK(INDEX(INDEX(MVs!$B:$B, INDEX(MVs!$V$2:$Z$4, 2, MATCH(BF$32, MVs!$V$2:$Z$2, 0))):INDEX(MVs!$U:$U, INDEX(mvLookupTable, 3, MATCH(BF$32, MVs!$V$2:$Z$2, 0))), MATCH(BF$2, INDEX(MVs!$B:$B, INDEX(MVs!$V$2:$Z$4, 2, MATCH(BF$32, MVs!$V$2:$Z$2, 0))):INDEX(MVs!$B:$B, INDEX(MVs!$V$2:$Z$4, 3, MATCH(BF$32, MVs!$V$2:$Z$2, 0))), 0),20)), IF(AND(BF13 = "Healing", BF2 = "Weapon Proc"), TRUE, FALSE), TRUE)</f>
        <v>1</v>
      </c>
      <c r="BG9" s="233" t="b">
        <f>IF(ISBLANK(INDEX(INDEX(MVs!$B:$B, INDEX(MVs!$V$2:$Z$4, 2, MATCH(BG$32, MVs!$V$2:$Z$2, 0))):INDEX(MVs!$U:$U, INDEX(mvLookupTable, 3, MATCH(BG$32, MVs!$V$2:$Z$2, 0))), MATCH(BG$2, INDEX(MVs!$B:$B, INDEX(MVs!$V$2:$Z$4, 2, MATCH(BG$32, MVs!$V$2:$Z$2, 0))):INDEX(MVs!$B:$B, INDEX(MVs!$V$2:$Z$4, 3, MATCH(BG$32, MVs!$V$2:$Z$2, 0))), 0),20)), IF(AND(BG13 = "Healing", BG2 = "Weapon Proc"), TRUE, FALSE), TRUE)</f>
        <v>1</v>
      </c>
      <c r="BH9" s="233" t="b">
        <f>IF(ISBLANK(INDEX(INDEX(MVs!$B:$B, INDEX(MVs!$V$2:$Z$4, 2, MATCH(BH$32, MVs!$V$2:$Z$2, 0))):INDEX(MVs!$U:$U, INDEX(mvLookupTable, 3, MATCH(BH$32, MVs!$V$2:$Z$2, 0))), MATCH(BH$2, INDEX(MVs!$B:$B, INDEX(MVs!$V$2:$Z$4, 2, MATCH(BH$32, MVs!$V$2:$Z$2, 0))):INDEX(MVs!$B:$B, INDEX(MVs!$V$2:$Z$4, 3, MATCH(BH$32, MVs!$V$2:$Z$2, 0))), 0),20)), IF(AND(BH13 = "Healing", BH2 = "Weapon Proc"), TRUE, FALSE), TRUE)</f>
        <v>1</v>
      </c>
    </row>
    <row r="10" spans="1:87" s="234" customFormat="1" hidden="1" outlineLevel="1" x14ac:dyDescent="0.25">
      <c r="A10" s="206" t="s">
        <v>1025</v>
      </c>
      <c r="B10" s="234" t="str">
        <f>IF(B9 = FALSE, "", INDEX(INDEX(MVs!$B:$B, INDEX(MVs!$V$2:$Z$4, 2, MATCH(B$32, MVs!$V$2:$Z$2, 0))):INDEX(MVs!$U:$U, INDEX(mvLookupTable, 3, MATCH(B$32, MVs!$V$2:$Z$2, 0))), MATCH(B$2, INDEX(MVs!$B:$B, INDEX(MVs!$V$2:$Z$4, 2, MATCH(B$32, MVs!$V$2:$Z$2, 0))):INDEX(MVs!$B:$B, INDEX(MVs!$V$2:$Z$4, 3, MATCH(B$32, MVs!$V$2:$Z$2, 0))), 0),20))</f>
        <v/>
      </c>
      <c r="C10" s="234" t="str">
        <f>IF(C9 = FALSE, "", INDEX(INDEX(MVs!$B:$B, INDEX(MVs!$V$2:$Z$4, 2, MATCH(C$32, MVs!$V$2:$Z$2, 0))):INDEX(MVs!$U:$U, INDEX(mvLookupTable, 3, MATCH(C$32, MVs!$V$2:$Z$2, 0))), MATCH(C$2, INDEX(MVs!$B:$B, INDEX(MVs!$V$2:$Z$4, 2, MATCH(C$32, MVs!$V$2:$Z$2, 0))):INDEX(MVs!$B:$B, INDEX(MVs!$V$2:$Z$4, 3, MATCH(C$32, MVs!$V$2:$Z$2, 0))), 0),20))</f>
        <v/>
      </c>
      <c r="D10" s="234" t="str">
        <f>IF(D9 = FALSE, "", INDEX(INDEX(MVs!$B:$B, INDEX(MVs!$V$2:$Z$4, 2, MATCH(D$32, MVs!$V$2:$Z$2, 0))):INDEX(MVs!$U:$U, INDEX(mvLookupTable, 3, MATCH(D$32, MVs!$V$2:$Z$2, 0))), MATCH(D$2, INDEX(MVs!$B:$B, INDEX(MVs!$V$2:$Z$4, 2, MATCH(D$32, MVs!$V$2:$Z$2, 0))):INDEX(MVs!$B:$B, INDEX(MVs!$V$2:$Z$4, 3, MATCH(D$32, MVs!$V$2:$Z$2, 0))), 0),20))</f>
        <v/>
      </c>
      <c r="E10" s="234" t="str">
        <f>IF(E9 = FALSE, "", INDEX(INDEX(MVs!$B:$B, INDEX(MVs!$V$2:$Z$4, 2, MATCH(E$32, MVs!$V$2:$Z$2, 0))):INDEX(MVs!$U:$U, INDEX(mvLookupTable, 3, MATCH(E$32, MVs!$V$2:$Z$2, 0))), MATCH(E$2, INDEX(MVs!$B:$B, INDEX(MVs!$V$2:$Z$4, 2, MATCH(E$32, MVs!$V$2:$Z$2, 0))):INDEX(MVs!$B:$B, INDEX(MVs!$V$2:$Z$4, 3, MATCH(E$32, MVs!$V$2:$Z$2, 0))), 0),20))</f>
        <v/>
      </c>
      <c r="F10" s="234" t="str">
        <f>IF(F9 = FALSE, "", INDEX(INDEX(MVs!$B:$B, INDEX(MVs!$V$2:$Z$4, 2, MATCH(F$32, MVs!$V$2:$Z$2, 0))):INDEX(MVs!$U:$U, INDEX(mvLookupTable, 3, MATCH(F$32, MVs!$V$2:$Z$2, 0))), MATCH(F$2, INDEX(MVs!$B:$B, INDEX(MVs!$V$2:$Z$4, 2, MATCH(F$32, MVs!$V$2:$Z$2, 0))):INDEX(MVs!$B:$B, INDEX(MVs!$V$2:$Z$4, 3, MATCH(F$32, MVs!$V$2:$Z$2, 0))), 0),20))</f>
        <v/>
      </c>
      <c r="G10" s="234" t="str">
        <f>IF(G9 = FALSE, "", INDEX(INDEX(MVs!$B:$B, INDEX(MVs!$V$2:$Z$4, 2, MATCH(G$32, MVs!$V$2:$Z$2, 0))):INDEX(MVs!$U:$U, INDEX(mvLookupTable, 3, MATCH(G$32, MVs!$V$2:$Z$2, 0))), MATCH(G$2, INDEX(MVs!$B:$B, INDEX(MVs!$V$2:$Z$4, 2, MATCH(G$32, MVs!$V$2:$Z$2, 0))):INDEX(MVs!$B:$B, INDEX(MVs!$V$2:$Z$4, 3, MATCH(G$32, MVs!$V$2:$Z$2, 0))), 0),20))</f>
        <v/>
      </c>
      <c r="H10" s="234" t="str">
        <f>IF(H9 = FALSE, "", INDEX(INDEX(MVs!$B:$B, INDEX(MVs!$V$2:$Z$4, 2, MATCH(H$32, MVs!$V$2:$Z$2, 0))):INDEX(MVs!$U:$U, INDEX(mvLookupTable, 3, MATCH(H$32, MVs!$V$2:$Z$2, 0))), MATCH(H$2, INDEX(MVs!$B:$B, INDEX(MVs!$V$2:$Z$4, 2, MATCH(H$32, MVs!$V$2:$Z$2, 0))):INDEX(MVs!$B:$B, INDEX(MVs!$V$2:$Z$4, 3, MATCH(H$32, MVs!$V$2:$Z$2, 0))), 0),20))</f>
        <v/>
      </c>
      <c r="I10" s="234" t="str">
        <f>IF(I9 = FALSE, "", INDEX(INDEX(MVs!$B:$B, INDEX(MVs!$V$2:$Z$4, 2, MATCH(I$32, MVs!$V$2:$Z$2, 0))):INDEX(MVs!$U:$U, INDEX(mvLookupTable, 3, MATCH(I$32, MVs!$V$2:$Z$2, 0))), MATCH(I$2, INDEX(MVs!$B:$B, INDEX(MVs!$V$2:$Z$4, 2, MATCH(I$32, MVs!$V$2:$Z$2, 0))):INDEX(MVs!$B:$B, INDEX(MVs!$V$2:$Z$4, 3, MATCH(I$32, MVs!$V$2:$Z$2, 0))), 0),20))</f>
        <v/>
      </c>
      <c r="J10" s="234" t="str">
        <f>IF(J9 = FALSE, "", INDEX(INDEX(MVs!$B:$B, INDEX(MVs!$V$2:$Z$4, 2, MATCH(J$32, MVs!$V$2:$Z$2, 0))):INDEX(MVs!$U:$U, INDEX(mvLookupTable, 3, MATCH(J$32, MVs!$V$2:$Z$2, 0))), MATCH(J$2, INDEX(MVs!$B:$B, INDEX(MVs!$V$2:$Z$4, 2, MATCH(J$32, MVs!$V$2:$Z$2, 0))):INDEX(MVs!$B:$B, INDEX(MVs!$V$2:$Z$4, 3, MATCH(J$32, MVs!$V$2:$Z$2, 0))), 0),20))</f>
        <v/>
      </c>
      <c r="K10" s="234" t="str">
        <f>IF(K9 = FALSE, "", INDEX(INDEX(MVs!$B:$B, INDEX(MVs!$V$2:$Z$4, 2, MATCH(K$32, MVs!$V$2:$Z$2, 0))):INDEX(MVs!$U:$U, INDEX(mvLookupTable, 3, MATCH(K$32, MVs!$V$2:$Z$2, 0))), MATCH(K$2, INDEX(MVs!$B:$B, INDEX(MVs!$V$2:$Z$4, 2, MATCH(K$32, MVs!$V$2:$Z$2, 0))):INDEX(MVs!$B:$B, INDEX(MVs!$V$2:$Z$4, 3, MATCH(K$32, MVs!$V$2:$Z$2, 0))), 0),20))</f>
        <v/>
      </c>
      <c r="L10" s="234" t="str">
        <f>IF(L9 = FALSE, "", INDEX(INDEX(MVs!$B:$B, INDEX(MVs!$V$2:$Z$4, 2, MATCH(L$32, MVs!$V$2:$Z$2, 0))):INDEX(MVs!$U:$U, INDEX(mvLookupTable, 3, MATCH(L$32, MVs!$V$2:$Z$2, 0))), MATCH(L$2, INDEX(MVs!$B:$B, INDEX(MVs!$V$2:$Z$4, 2, MATCH(L$32, MVs!$V$2:$Z$2, 0))):INDEX(MVs!$B:$B, INDEX(MVs!$V$2:$Z$4, 3, MATCH(L$32, MVs!$V$2:$Z$2, 0))), 0),20))</f>
        <v/>
      </c>
      <c r="M10" s="234" t="str">
        <f>IF(M9 = FALSE, "", INDEX(INDEX(MVs!$B:$B, INDEX(MVs!$V$2:$Z$4, 2, MATCH(M$32, MVs!$V$2:$Z$2, 0))):INDEX(MVs!$U:$U, INDEX(mvLookupTable, 3, MATCH(M$32, MVs!$V$2:$Z$2, 0))), MATCH(M$2, INDEX(MVs!$B:$B, INDEX(MVs!$V$2:$Z$4, 2, MATCH(M$32, MVs!$V$2:$Z$2, 0))):INDEX(MVs!$B:$B, INDEX(MVs!$V$2:$Z$4, 3, MATCH(M$32, MVs!$V$2:$Z$2, 0))), 0),20))</f>
        <v/>
      </c>
      <c r="N10" s="234" t="str">
        <f>IF(N9 = FALSE, "", INDEX(INDEX(MVs!$B:$B, INDEX(MVs!$V$2:$Z$4, 2, MATCH(N$32, MVs!$V$2:$Z$2, 0))):INDEX(MVs!$U:$U, INDEX(mvLookupTable, 3, MATCH(N$32, MVs!$V$2:$Z$2, 0))), MATCH(N$2, INDEX(MVs!$B:$B, INDEX(MVs!$V$2:$Z$4, 2, MATCH(N$32, MVs!$V$2:$Z$2, 0))):INDEX(MVs!$B:$B, INDEX(MVs!$V$2:$Z$4, 3, MATCH(N$32, MVs!$V$2:$Z$2, 0))), 0),20))</f>
        <v/>
      </c>
      <c r="O10" s="234" t="str">
        <f>IF(O9 = FALSE, "", INDEX(INDEX(MVs!$B:$B, INDEX(MVs!$V$2:$Z$4, 2, MATCH(O$32, MVs!$V$2:$Z$2, 0))):INDEX(MVs!$U:$U, INDEX(mvLookupTable, 3, MATCH(O$32, MVs!$V$2:$Z$2, 0))), MATCH(O$2, INDEX(MVs!$B:$B, INDEX(MVs!$V$2:$Z$4, 2, MATCH(O$32, MVs!$V$2:$Z$2, 0))):INDEX(MVs!$B:$B, INDEX(MVs!$V$2:$Z$4, 3, MATCH(O$32, MVs!$V$2:$Z$2, 0))), 0),20))</f>
        <v/>
      </c>
      <c r="P10" s="234" t="str">
        <f>IF(P9 = FALSE, "", INDEX(INDEX(MVs!$B:$B, INDEX(MVs!$V$2:$Z$4, 2, MATCH(P$32, MVs!$V$2:$Z$2, 0))):INDEX(MVs!$U:$U, INDEX(mvLookupTable, 3, MATCH(P$32, MVs!$V$2:$Z$2, 0))), MATCH(P$2, INDEX(MVs!$B:$B, INDEX(MVs!$V$2:$Z$4, 2, MATCH(P$32, MVs!$V$2:$Z$2, 0))):INDEX(MVs!$B:$B, INDEX(MVs!$V$2:$Z$4, 3, MATCH(P$32, MVs!$V$2:$Z$2, 0))), 0),20))</f>
        <v/>
      </c>
      <c r="Q10" s="234" t="str">
        <f>IF(Q9 = FALSE, "", INDEX(INDEX(MVs!$B:$B, INDEX(MVs!$V$2:$Z$4, 2, MATCH(Q$32, MVs!$V$2:$Z$2, 0))):INDEX(MVs!$U:$U, INDEX(mvLookupTable, 3, MATCH(Q$32, MVs!$V$2:$Z$2, 0))), MATCH(Q$2, INDEX(MVs!$B:$B, INDEX(MVs!$V$2:$Z$4, 2, MATCH(Q$32, MVs!$V$2:$Z$2, 0))):INDEX(MVs!$B:$B, INDEX(MVs!$V$2:$Z$4, 3, MATCH(Q$32, MVs!$V$2:$Z$2, 0))), 0),20))</f>
        <v/>
      </c>
      <c r="R10" s="234" t="str">
        <f>IF(R9 = FALSE, "", INDEX(INDEX(MVs!$B:$B, INDEX(MVs!$V$2:$Z$4, 2, MATCH(R$32, MVs!$V$2:$Z$2, 0))):INDEX(MVs!$U:$U, INDEX(mvLookupTable, 3, MATCH(R$32, MVs!$V$2:$Z$2, 0))), MATCH(R$2, INDEX(MVs!$B:$B, INDEX(MVs!$V$2:$Z$4, 2, MATCH(R$32, MVs!$V$2:$Z$2, 0))):INDEX(MVs!$B:$B, INDEX(MVs!$V$2:$Z$4, 3, MATCH(R$32, MVs!$V$2:$Z$2, 0))), 0),20))</f>
        <v/>
      </c>
      <c r="S10" s="234" t="str">
        <f>IF(S9 = FALSE, "", INDEX(INDEX(MVs!$B:$B, INDEX(MVs!$V$2:$Z$4, 2, MATCH(S$32, MVs!$V$2:$Z$2, 0))):INDEX(MVs!$U:$U, INDEX(mvLookupTable, 3, MATCH(S$32, MVs!$V$2:$Z$2, 0))), MATCH(S$2, INDEX(MVs!$B:$B, INDEX(MVs!$V$2:$Z$4, 2, MATCH(S$32, MVs!$V$2:$Z$2, 0))):INDEX(MVs!$B:$B, INDEX(MVs!$V$2:$Z$4, 3, MATCH(S$32, MVs!$V$2:$Z$2, 0))), 0),20))</f>
        <v/>
      </c>
      <c r="T10" s="234" t="str">
        <f>IF(T9 = FALSE, "", INDEX(INDEX(MVs!$B:$B, INDEX(MVs!$V$2:$Z$4, 2, MATCH(T$32, MVs!$V$2:$Z$2, 0))):INDEX(MVs!$U:$U, INDEX(mvLookupTable, 3, MATCH(T$32, MVs!$V$2:$Z$2, 0))), MATCH(T$2, INDEX(MVs!$B:$B, INDEX(MVs!$V$2:$Z$4, 2, MATCH(T$32, MVs!$V$2:$Z$2, 0))):INDEX(MVs!$B:$B, INDEX(MVs!$V$2:$Z$4, 3, MATCH(T$32, MVs!$V$2:$Z$2, 0))), 0),20))</f>
        <v/>
      </c>
      <c r="U10" s="234" t="str">
        <f>IF(U9 = FALSE, "", INDEX(INDEX(MVs!$B:$B, INDEX(MVs!$V$2:$Z$4, 2, MATCH(U$32, MVs!$V$2:$Z$2, 0))):INDEX(MVs!$U:$U, INDEX(mvLookupTable, 3, MATCH(U$32, MVs!$V$2:$Z$2, 0))), MATCH(U$2, INDEX(MVs!$B:$B, INDEX(MVs!$V$2:$Z$4, 2, MATCH(U$32, MVs!$V$2:$Z$2, 0))):INDEX(MVs!$B:$B, INDEX(MVs!$V$2:$Z$4, 3, MATCH(U$32, MVs!$V$2:$Z$2, 0))), 0),20))</f>
        <v/>
      </c>
      <c r="V10" s="234" t="str">
        <f>IF(V9 = FALSE, "", INDEX(INDEX(MVs!$B:$B, INDEX(MVs!$V$2:$Z$4, 2, MATCH(V$32, MVs!$V$2:$Z$2, 0))):INDEX(MVs!$U:$U, INDEX(mvLookupTable, 3, MATCH(V$32, MVs!$V$2:$Z$2, 0))), MATCH(V$2, INDEX(MVs!$B:$B, INDEX(MVs!$V$2:$Z$4, 2, MATCH(V$32, MVs!$V$2:$Z$2, 0))):INDEX(MVs!$B:$B, INDEX(MVs!$V$2:$Z$4, 3, MATCH(V$32, MVs!$V$2:$Z$2, 0))), 0),20))</f>
        <v/>
      </c>
      <c r="W10" s="234" t="str">
        <f>IF(W9 = FALSE, "", INDEX(INDEX(MVs!$B:$B, INDEX(MVs!$V$2:$Z$4, 2, MATCH(W$32, MVs!$V$2:$Z$2, 0))):INDEX(MVs!$U:$U, INDEX(mvLookupTable, 3, MATCH(W$32, MVs!$V$2:$Z$2, 0))), MATCH(W$2, INDEX(MVs!$B:$B, INDEX(MVs!$V$2:$Z$4, 2, MATCH(W$32, MVs!$V$2:$Z$2, 0))):INDEX(MVs!$B:$B, INDEX(MVs!$V$2:$Z$4, 3, MATCH(W$32, MVs!$V$2:$Z$2, 0))), 0),20))</f>
        <v/>
      </c>
      <c r="X10" s="234" t="str">
        <f>IF(X9 = FALSE, "", INDEX(INDEX(MVs!$B:$B, INDEX(MVs!$V$2:$Z$4, 2, MATCH(X$32, MVs!$V$2:$Z$2, 0))):INDEX(MVs!$U:$U, INDEX(mvLookupTable, 3, MATCH(X$32, MVs!$V$2:$Z$2, 0))), MATCH(X$2, INDEX(MVs!$B:$B, INDEX(MVs!$V$2:$Z$4, 2, MATCH(X$32, MVs!$V$2:$Z$2, 0))):INDEX(MVs!$B:$B, INDEX(MVs!$V$2:$Z$4, 3, MATCH(X$32, MVs!$V$2:$Z$2, 0))), 0),20))</f>
        <v/>
      </c>
      <c r="Y10" s="234" t="str">
        <f>IF(Y9 = FALSE, "", INDEX(INDEX(MVs!$B:$B, INDEX(MVs!$V$2:$Z$4, 2, MATCH(Y$32, MVs!$V$2:$Z$2, 0))):INDEX(MVs!$U:$U, INDEX(mvLookupTable, 3, MATCH(Y$32, MVs!$V$2:$Z$2, 0))), MATCH(Y$2, INDEX(MVs!$B:$B, INDEX(MVs!$V$2:$Z$4, 2, MATCH(Y$32, MVs!$V$2:$Z$2, 0))):INDEX(MVs!$B:$B, INDEX(MVs!$V$2:$Z$4, 3, MATCH(Y$32, MVs!$V$2:$Z$2, 0))), 0),20))</f>
        <v/>
      </c>
      <c r="Z10" s="234" t="str">
        <f>IF(Z9 = FALSE, "", INDEX(INDEX(MVs!$B:$B, INDEX(MVs!$V$2:$Z$4, 2, MATCH(Z$32, MVs!$V$2:$Z$2, 0))):INDEX(MVs!$U:$U, INDEX(mvLookupTable, 3, MATCH(Z$32, MVs!$V$2:$Z$2, 0))), MATCH(Z$2, INDEX(MVs!$B:$B, INDEX(MVs!$V$2:$Z$4, 2, MATCH(Z$32, MVs!$V$2:$Z$2, 0))):INDEX(MVs!$B:$B, INDEX(MVs!$V$2:$Z$4, 3, MATCH(Z$32, MVs!$V$2:$Z$2, 0))), 0),20))</f>
        <v/>
      </c>
      <c r="AA10" s="234" t="str">
        <f>IF(AA9 = FALSE, "", INDEX(INDEX(MVs!$B:$B, INDEX(MVs!$V$2:$Z$4, 2, MATCH(AA$32, MVs!$V$2:$Z$2, 0))):INDEX(MVs!$U:$U, INDEX(mvLookupTable, 3, MATCH(AA$32, MVs!$V$2:$Z$2, 0))), MATCH(AA$2, INDEX(MVs!$B:$B, INDEX(MVs!$V$2:$Z$4, 2, MATCH(AA$32, MVs!$V$2:$Z$2, 0))):INDEX(MVs!$B:$B, INDEX(MVs!$V$2:$Z$4, 3, MATCH(AA$32, MVs!$V$2:$Z$2, 0))), 0),20))</f>
        <v/>
      </c>
      <c r="AB10" s="234" t="str">
        <f>IF(AB9 = FALSE, "", INDEX(INDEX(MVs!$B:$B, INDEX(MVs!$V$2:$Z$4, 2, MATCH(AB$32, MVs!$V$2:$Z$2, 0))):INDEX(MVs!$U:$U, INDEX(mvLookupTable, 3, MATCH(AB$32, MVs!$V$2:$Z$2, 0))), MATCH(AB$2, INDEX(MVs!$B:$B, INDEX(MVs!$V$2:$Z$4, 2, MATCH(AB$32, MVs!$V$2:$Z$2, 0))):INDEX(MVs!$B:$B, INDEX(MVs!$V$2:$Z$4, 3, MATCH(AB$32, MVs!$V$2:$Z$2, 0))), 0),20))</f>
        <v/>
      </c>
      <c r="AC10" s="234" t="str">
        <f>IF(AC9 = FALSE, "", INDEX(INDEX(MVs!$B:$B, INDEX(MVs!$V$2:$Z$4, 2, MATCH(AC$32, MVs!$V$2:$Z$2, 0))):INDEX(MVs!$U:$U, INDEX(mvLookupTable, 3, MATCH(AC$32, MVs!$V$2:$Z$2, 0))), MATCH(AC$2, INDEX(MVs!$B:$B, INDEX(MVs!$V$2:$Z$4, 2, MATCH(AC$32, MVs!$V$2:$Z$2, 0))):INDEX(MVs!$B:$B, INDEX(MVs!$V$2:$Z$4, 3, MATCH(AC$32, MVs!$V$2:$Z$2, 0))), 0),20))</f>
        <v/>
      </c>
      <c r="AD10" s="234" t="str">
        <f>IF(AD9 = FALSE, "", INDEX(INDEX(MVs!$B:$B, INDEX(MVs!$V$2:$Z$4, 2, MATCH(AD$32, MVs!$V$2:$Z$2, 0))):INDEX(MVs!$U:$U, INDEX(mvLookupTable, 3, MATCH(AD$32, MVs!$V$2:$Z$2, 0))), MATCH(AD$2, INDEX(MVs!$B:$B, INDEX(MVs!$V$2:$Z$4, 2, MATCH(AD$32, MVs!$V$2:$Z$2, 0))):INDEX(MVs!$B:$B, INDEX(MVs!$V$2:$Z$4, 3, MATCH(AD$32, MVs!$V$2:$Z$2, 0))), 0),20))</f>
        <v/>
      </c>
      <c r="AE10" s="234" t="str">
        <f>IF(AE9 = FALSE, "", INDEX(INDEX(MVs!$B:$B, INDEX(MVs!$V$2:$Z$4, 2, MATCH(AE$32, MVs!$V$2:$Z$2, 0))):INDEX(MVs!$U:$U, INDEX(mvLookupTable, 3, MATCH(AE$32, MVs!$V$2:$Z$2, 0))), MATCH(AE$2, INDEX(MVs!$B:$B, INDEX(MVs!$V$2:$Z$4, 2, MATCH(AE$32, MVs!$V$2:$Z$2, 0))):INDEX(MVs!$B:$B, INDEX(MVs!$V$2:$Z$4, 3, MATCH(AE$32, MVs!$V$2:$Z$2, 0))), 0),20))</f>
        <v/>
      </c>
      <c r="AF10" s="234" t="str">
        <f>IF(AF9 = FALSE, "", INDEX(INDEX(MVs!$B:$B, INDEX(MVs!$V$2:$Z$4, 2, MATCH(AF$32, MVs!$V$2:$Z$2, 0))):INDEX(MVs!$U:$U, INDEX(mvLookupTable, 3, MATCH(AF$32, MVs!$V$2:$Z$2, 0))), MATCH(AF$2, INDEX(MVs!$B:$B, INDEX(MVs!$V$2:$Z$4, 2, MATCH(AF$32, MVs!$V$2:$Z$2, 0))):INDEX(MVs!$B:$B, INDEX(MVs!$V$2:$Z$4, 3, MATCH(AF$32, MVs!$V$2:$Z$2, 0))), 0),20))</f>
        <v/>
      </c>
      <c r="AG10" s="234" t="str">
        <f>IF(AG9 = FALSE, "", INDEX(INDEX(MVs!$B:$B, INDEX(MVs!$V$2:$Z$4, 2, MATCH(AG$32, MVs!$V$2:$Z$2, 0))):INDEX(MVs!$U:$U, INDEX(mvLookupTable, 3, MATCH(AG$32, MVs!$V$2:$Z$2, 0))), MATCH(AG$2, INDEX(MVs!$B:$B, INDEX(MVs!$V$2:$Z$4, 2, MATCH(AG$32, MVs!$V$2:$Z$2, 0))):INDEX(MVs!$B:$B, INDEX(MVs!$V$2:$Z$4, 3, MATCH(AG$32, MVs!$V$2:$Z$2, 0))), 0),20))</f>
        <v/>
      </c>
      <c r="AH10" s="234" t="str">
        <f>IF(AH9 = FALSE, "", INDEX(INDEX(MVs!$B:$B, INDEX(MVs!$V$2:$Z$4, 2, MATCH(AH$32, MVs!$V$2:$Z$2, 0))):INDEX(MVs!$U:$U, INDEX(mvLookupTable, 3, MATCH(AH$32, MVs!$V$2:$Z$2, 0))), MATCH(AH$2, INDEX(MVs!$B:$B, INDEX(MVs!$V$2:$Z$4, 2, MATCH(AH$32, MVs!$V$2:$Z$2, 0))):INDEX(MVs!$B:$B, INDEX(MVs!$V$2:$Z$4, 3, MATCH(AH$32, MVs!$V$2:$Z$2, 0))), 0),20))</f>
        <v/>
      </c>
      <c r="AI10" s="234" t="str">
        <f>IF(AI9 = FALSE, "", INDEX(INDEX(MVs!$B:$B, INDEX(MVs!$V$2:$Z$4, 2, MATCH(AI$32, MVs!$V$2:$Z$2, 0))):INDEX(MVs!$U:$U, INDEX(mvLookupTable, 3, MATCH(AI$32, MVs!$V$2:$Z$2, 0))), MATCH(AI$2, INDEX(MVs!$B:$B, INDEX(MVs!$V$2:$Z$4, 2, MATCH(AI$32, MVs!$V$2:$Z$2, 0))):INDEX(MVs!$B:$B, INDEX(MVs!$V$2:$Z$4, 3, MATCH(AI$32, MVs!$V$2:$Z$2, 0))), 0),20))</f>
        <v/>
      </c>
      <c r="AJ10" s="234" t="e">
        <f>IF(AJ9 = FALSE, "", INDEX(INDEX(MVs!$B:$B, INDEX(MVs!$V$2:$Z$4, 2, MATCH(AJ$32, MVs!$V$2:$Z$2, 0))):INDEX(MVs!$U:$U, INDEX(mvLookupTable, 3, MATCH(AJ$32, MVs!$V$2:$Z$2, 0))), MATCH(AJ$2, INDEX(MVs!$B:$B, INDEX(MVs!$V$2:$Z$4, 2, MATCH(AJ$32, MVs!$V$2:$Z$2, 0))):INDEX(MVs!$B:$B, INDEX(MVs!$V$2:$Z$4, 3, MATCH(AJ$32, MVs!$V$2:$Z$2, 0))), 0),20))</f>
        <v>#N/A</v>
      </c>
      <c r="AK10" s="234" t="e">
        <f>IF(AK9 = FALSE, "", INDEX(INDEX(MVs!$B:$B, INDEX(MVs!$V$2:$Z$4, 2, MATCH(AK$32, MVs!$V$2:$Z$2, 0))):INDEX(MVs!$U:$U, INDEX(mvLookupTable, 3, MATCH(AK$32, MVs!$V$2:$Z$2, 0))), MATCH(AK$2, INDEX(MVs!$B:$B, INDEX(MVs!$V$2:$Z$4, 2, MATCH(AK$32, MVs!$V$2:$Z$2, 0))):INDEX(MVs!$B:$B, INDEX(MVs!$V$2:$Z$4, 3, MATCH(AK$32, MVs!$V$2:$Z$2, 0))), 0),20))</f>
        <v>#N/A</v>
      </c>
      <c r="AL10" s="234" t="e">
        <f>IF(AL9 = FALSE, "", INDEX(INDEX(MVs!$B:$B, INDEX(MVs!$V$2:$Z$4, 2, MATCH(AL$32, MVs!$V$2:$Z$2, 0))):INDEX(MVs!$U:$U, INDEX(mvLookupTable, 3, MATCH(AL$32, MVs!$V$2:$Z$2, 0))), MATCH(AL$2, INDEX(MVs!$B:$B, INDEX(MVs!$V$2:$Z$4, 2, MATCH(AL$32, MVs!$V$2:$Z$2, 0))):INDEX(MVs!$B:$B, INDEX(MVs!$V$2:$Z$4, 3, MATCH(AL$32, MVs!$V$2:$Z$2, 0))), 0),20))</f>
        <v>#N/A</v>
      </c>
      <c r="AM10" s="234" t="e">
        <f>IF(AM9 = FALSE, "", INDEX(INDEX(MVs!$B:$B, INDEX(MVs!$V$2:$Z$4, 2, MATCH(AM$32, MVs!$V$2:$Z$2, 0))):INDEX(MVs!$U:$U, INDEX(mvLookupTable, 3, MATCH(AM$32, MVs!$V$2:$Z$2, 0))), MATCH(AM$2, INDEX(MVs!$B:$B, INDEX(MVs!$V$2:$Z$4, 2, MATCH(AM$32, MVs!$V$2:$Z$2, 0))):INDEX(MVs!$B:$B, INDEX(MVs!$V$2:$Z$4, 3, MATCH(AM$32, MVs!$V$2:$Z$2, 0))), 0),20))</f>
        <v>#N/A</v>
      </c>
      <c r="AN10" s="234" t="e">
        <f>IF(AN9 = FALSE, "", INDEX(INDEX(MVs!$B:$B, INDEX(MVs!$V$2:$Z$4, 2, MATCH(AN$32, MVs!$V$2:$Z$2, 0))):INDEX(MVs!$U:$U, INDEX(mvLookupTable, 3, MATCH(AN$32, MVs!$V$2:$Z$2, 0))), MATCH(AN$2, INDEX(MVs!$B:$B, INDEX(MVs!$V$2:$Z$4, 2, MATCH(AN$32, MVs!$V$2:$Z$2, 0))):INDEX(MVs!$B:$B, INDEX(MVs!$V$2:$Z$4, 3, MATCH(AN$32, MVs!$V$2:$Z$2, 0))), 0),20))</f>
        <v>#N/A</v>
      </c>
      <c r="AO10" s="234" t="e">
        <f>IF(AO9 = FALSE, "", INDEX(INDEX(MVs!$B:$B, INDEX(MVs!$V$2:$Z$4, 2, MATCH(AO$32, MVs!$V$2:$Z$2, 0))):INDEX(MVs!$U:$U, INDEX(mvLookupTable, 3, MATCH(AO$32, MVs!$V$2:$Z$2, 0))), MATCH(AO$2, INDEX(MVs!$B:$B, INDEX(MVs!$V$2:$Z$4, 2, MATCH(AO$32, MVs!$V$2:$Z$2, 0))):INDEX(MVs!$B:$B, INDEX(MVs!$V$2:$Z$4, 3, MATCH(AO$32, MVs!$V$2:$Z$2, 0))), 0),20))</f>
        <v>#N/A</v>
      </c>
      <c r="AP10" s="234" t="e">
        <f>IF(AP9 = FALSE, "", INDEX(INDEX(MVs!$B:$B, INDEX(MVs!$V$2:$Z$4, 2, MATCH(AP$32, MVs!$V$2:$Z$2, 0))):INDEX(MVs!$U:$U, INDEX(mvLookupTable, 3, MATCH(AP$32, MVs!$V$2:$Z$2, 0))), MATCH(AP$2, INDEX(MVs!$B:$B, INDEX(MVs!$V$2:$Z$4, 2, MATCH(AP$32, MVs!$V$2:$Z$2, 0))):INDEX(MVs!$B:$B, INDEX(MVs!$V$2:$Z$4, 3, MATCH(AP$32, MVs!$V$2:$Z$2, 0))), 0),20))</f>
        <v>#N/A</v>
      </c>
      <c r="AQ10" s="234" t="e">
        <f>IF(AQ9 = FALSE, "", INDEX(INDEX(MVs!$B:$B, INDEX(MVs!$V$2:$Z$4, 2, MATCH(AQ$32, MVs!$V$2:$Z$2, 0))):INDEX(MVs!$U:$U, INDEX(mvLookupTable, 3, MATCH(AQ$32, MVs!$V$2:$Z$2, 0))), MATCH(AQ$2, INDEX(MVs!$B:$B, INDEX(MVs!$V$2:$Z$4, 2, MATCH(AQ$32, MVs!$V$2:$Z$2, 0))):INDEX(MVs!$B:$B, INDEX(MVs!$V$2:$Z$4, 3, MATCH(AQ$32, MVs!$V$2:$Z$2, 0))), 0),20))</f>
        <v>#N/A</v>
      </c>
      <c r="AR10" s="234" t="e">
        <f>IF(AR9 = FALSE, "", INDEX(INDEX(MVs!$B:$B, INDEX(MVs!$V$2:$Z$4, 2, MATCH(AR$32, MVs!$V$2:$Z$2, 0))):INDEX(MVs!$U:$U, INDEX(mvLookupTable, 3, MATCH(AR$32, MVs!$V$2:$Z$2, 0))), MATCH(AR$2, INDEX(MVs!$B:$B, INDEX(MVs!$V$2:$Z$4, 2, MATCH(AR$32, MVs!$V$2:$Z$2, 0))):INDEX(MVs!$B:$B, INDEX(MVs!$V$2:$Z$4, 3, MATCH(AR$32, MVs!$V$2:$Z$2, 0))), 0),20))</f>
        <v>#N/A</v>
      </c>
      <c r="AS10" s="234" t="e">
        <f>IF(AS9 = FALSE, "", INDEX(INDEX(MVs!$B:$B, INDEX(MVs!$V$2:$Z$4, 2, MATCH(AS$32, MVs!$V$2:$Z$2, 0))):INDEX(MVs!$U:$U, INDEX(mvLookupTable, 3, MATCH(AS$32, MVs!$V$2:$Z$2, 0))), MATCH(AS$2, INDEX(MVs!$B:$B, INDEX(MVs!$V$2:$Z$4, 2, MATCH(AS$32, MVs!$V$2:$Z$2, 0))):INDEX(MVs!$B:$B, INDEX(MVs!$V$2:$Z$4, 3, MATCH(AS$32, MVs!$V$2:$Z$2, 0))), 0),20))</f>
        <v>#N/A</v>
      </c>
      <c r="AT10" s="234" t="e">
        <f>IF(AT9 = FALSE, "", INDEX(INDEX(MVs!$B:$B, INDEX(MVs!$V$2:$Z$4, 2, MATCH(AT$32, MVs!$V$2:$Z$2, 0))):INDEX(MVs!$U:$U, INDEX(mvLookupTable, 3, MATCH(AT$32, MVs!$V$2:$Z$2, 0))), MATCH(AT$2, INDEX(MVs!$B:$B, INDEX(MVs!$V$2:$Z$4, 2, MATCH(AT$32, MVs!$V$2:$Z$2, 0))):INDEX(MVs!$B:$B, INDEX(MVs!$V$2:$Z$4, 3, MATCH(AT$32, MVs!$V$2:$Z$2, 0))), 0),20))</f>
        <v>#N/A</v>
      </c>
      <c r="AU10" s="234" t="e">
        <f>IF(AU9 = FALSE, "", INDEX(INDEX(MVs!$B:$B, INDEX(MVs!$V$2:$Z$4, 2, MATCH(AU$32, MVs!$V$2:$Z$2, 0))):INDEX(MVs!$U:$U, INDEX(mvLookupTable, 3, MATCH(AU$32, MVs!$V$2:$Z$2, 0))), MATCH(AU$2, INDEX(MVs!$B:$B, INDEX(MVs!$V$2:$Z$4, 2, MATCH(AU$32, MVs!$V$2:$Z$2, 0))):INDEX(MVs!$B:$B, INDEX(MVs!$V$2:$Z$4, 3, MATCH(AU$32, MVs!$V$2:$Z$2, 0))), 0),20))</f>
        <v>#N/A</v>
      </c>
      <c r="AV10" s="234" t="e">
        <f>IF(AV9 = FALSE, "", INDEX(INDEX(MVs!$B:$B, INDEX(MVs!$V$2:$Z$4, 2, MATCH(AV$32, MVs!$V$2:$Z$2, 0))):INDEX(MVs!$U:$U, INDEX(mvLookupTable, 3, MATCH(AV$32, MVs!$V$2:$Z$2, 0))), MATCH(AV$2, INDEX(MVs!$B:$B, INDEX(MVs!$V$2:$Z$4, 2, MATCH(AV$32, MVs!$V$2:$Z$2, 0))):INDEX(MVs!$B:$B, INDEX(MVs!$V$2:$Z$4, 3, MATCH(AV$32, MVs!$V$2:$Z$2, 0))), 0),20))</f>
        <v>#N/A</v>
      </c>
      <c r="AW10" s="234" t="e">
        <f>IF(AW9 = FALSE, "", INDEX(INDEX(MVs!$B:$B, INDEX(MVs!$V$2:$Z$4, 2, MATCH(AW$32, MVs!$V$2:$Z$2, 0))):INDEX(MVs!$U:$U, INDEX(mvLookupTable, 3, MATCH(AW$32, MVs!$V$2:$Z$2, 0))), MATCH(AW$2, INDEX(MVs!$B:$B, INDEX(MVs!$V$2:$Z$4, 2, MATCH(AW$32, MVs!$V$2:$Z$2, 0))):INDEX(MVs!$B:$B, INDEX(MVs!$V$2:$Z$4, 3, MATCH(AW$32, MVs!$V$2:$Z$2, 0))), 0),20))</f>
        <v>#N/A</v>
      </c>
      <c r="AX10" s="234" t="e">
        <f>IF(AX9 = FALSE, "", INDEX(INDEX(MVs!$B:$B, INDEX(MVs!$V$2:$Z$4, 2, MATCH(AX$32, MVs!$V$2:$Z$2, 0))):INDEX(MVs!$U:$U, INDEX(mvLookupTable, 3, MATCH(AX$32, MVs!$V$2:$Z$2, 0))), MATCH(AX$2, INDEX(MVs!$B:$B, INDEX(MVs!$V$2:$Z$4, 2, MATCH(AX$32, MVs!$V$2:$Z$2, 0))):INDEX(MVs!$B:$B, INDEX(MVs!$V$2:$Z$4, 3, MATCH(AX$32, MVs!$V$2:$Z$2, 0))), 0),20))</f>
        <v>#N/A</v>
      </c>
      <c r="AY10" s="234" t="e">
        <f>IF(AY9 = FALSE, "", INDEX(INDEX(MVs!$B:$B, INDEX(MVs!$V$2:$Z$4, 2, MATCH(AY$32, MVs!$V$2:$Z$2, 0))):INDEX(MVs!$U:$U, INDEX(mvLookupTable, 3, MATCH(AY$32, MVs!$V$2:$Z$2, 0))), MATCH(AY$2, INDEX(MVs!$B:$B, INDEX(MVs!$V$2:$Z$4, 2, MATCH(AY$32, MVs!$V$2:$Z$2, 0))):INDEX(MVs!$B:$B, INDEX(MVs!$V$2:$Z$4, 3, MATCH(AY$32, MVs!$V$2:$Z$2, 0))), 0),20))</f>
        <v>#N/A</v>
      </c>
      <c r="AZ10" s="234" t="e">
        <f>IF(AZ9 = FALSE, "", INDEX(INDEX(MVs!$B:$B, INDEX(MVs!$V$2:$Z$4, 2, MATCH(AZ$32, MVs!$V$2:$Z$2, 0))):INDEX(MVs!$U:$U, INDEX(mvLookupTable, 3, MATCH(AZ$32, MVs!$V$2:$Z$2, 0))), MATCH(AZ$2, INDEX(MVs!$B:$B, INDEX(MVs!$V$2:$Z$4, 2, MATCH(AZ$32, MVs!$V$2:$Z$2, 0))):INDEX(MVs!$B:$B, INDEX(MVs!$V$2:$Z$4, 3, MATCH(AZ$32, MVs!$V$2:$Z$2, 0))), 0),20))</f>
        <v>#N/A</v>
      </c>
      <c r="BA10" s="234" t="e">
        <f>IF(BA9 = FALSE, "", INDEX(INDEX(MVs!$B:$B, INDEX(MVs!$V$2:$Z$4, 2, MATCH(BA$32, MVs!$V$2:$Z$2, 0))):INDEX(MVs!$U:$U, INDEX(mvLookupTable, 3, MATCH(BA$32, MVs!$V$2:$Z$2, 0))), MATCH(BA$2, INDEX(MVs!$B:$B, INDEX(MVs!$V$2:$Z$4, 2, MATCH(BA$32, MVs!$V$2:$Z$2, 0))):INDEX(MVs!$B:$B, INDEX(MVs!$V$2:$Z$4, 3, MATCH(BA$32, MVs!$V$2:$Z$2, 0))), 0),20))</f>
        <v>#N/A</v>
      </c>
      <c r="BB10" s="234" t="e">
        <f>IF(BB9 = FALSE, "", INDEX(INDEX(MVs!$B:$B, INDEX(MVs!$V$2:$Z$4, 2, MATCH(BB$32, MVs!$V$2:$Z$2, 0))):INDEX(MVs!$U:$U, INDEX(mvLookupTable, 3, MATCH(BB$32, MVs!$V$2:$Z$2, 0))), MATCH(BB$2, INDEX(MVs!$B:$B, INDEX(MVs!$V$2:$Z$4, 2, MATCH(BB$32, MVs!$V$2:$Z$2, 0))):INDEX(MVs!$B:$B, INDEX(MVs!$V$2:$Z$4, 3, MATCH(BB$32, MVs!$V$2:$Z$2, 0))), 0),20))</f>
        <v>#N/A</v>
      </c>
      <c r="BC10" s="234" t="e">
        <f>IF(BC9 = FALSE, "", INDEX(INDEX(MVs!$B:$B, INDEX(MVs!$V$2:$Z$4, 2, MATCH(BC$32, MVs!$V$2:$Z$2, 0))):INDEX(MVs!$U:$U, INDEX(mvLookupTable, 3, MATCH(BC$32, MVs!$V$2:$Z$2, 0))), MATCH(BC$2, INDEX(MVs!$B:$B, INDEX(MVs!$V$2:$Z$4, 2, MATCH(BC$32, MVs!$V$2:$Z$2, 0))):INDEX(MVs!$B:$B, INDEX(MVs!$V$2:$Z$4, 3, MATCH(BC$32, MVs!$V$2:$Z$2, 0))), 0),20))</f>
        <v>#N/A</v>
      </c>
      <c r="BD10" s="234" t="e">
        <f>IF(BD9 = FALSE, "", INDEX(INDEX(MVs!$B:$B, INDEX(MVs!$V$2:$Z$4, 2, MATCH(BD$32, MVs!$V$2:$Z$2, 0))):INDEX(MVs!$U:$U, INDEX(mvLookupTable, 3, MATCH(BD$32, MVs!$V$2:$Z$2, 0))), MATCH(BD$2, INDEX(MVs!$B:$B, INDEX(MVs!$V$2:$Z$4, 2, MATCH(BD$32, MVs!$V$2:$Z$2, 0))):INDEX(MVs!$B:$B, INDEX(MVs!$V$2:$Z$4, 3, MATCH(BD$32, MVs!$V$2:$Z$2, 0))), 0),20))</f>
        <v>#N/A</v>
      </c>
      <c r="BE10" s="234" t="e">
        <f>IF(BE9 = FALSE, "", INDEX(INDEX(MVs!$B:$B, INDEX(MVs!$V$2:$Z$4, 2, MATCH(BE$32, MVs!$V$2:$Z$2, 0))):INDEX(MVs!$U:$U, INDEX(mvLookupTable, 3, MATCH(BE$32, MVs!$V$2:$Z$2, 0))), MATCH(BE$2, INDEX(MVs!$B:$B, INDEX(MVs!$V$2:$Z$4, 2, MATCH(BE$32, MVs!$V$2:$Z$2, 0))):INDEX(MVs!$B:$B, INDEX(MVs!$V$2:$Z$4, 3, MATCH(BE$32, MVs!$V$2:$Z$2, 0))), 0),20))</f>
        <v>#N/A</v>
      </c>
      <c r="BF10" s="234" t="e">
        <f>IF(BF9 = FALSE, "", INDEX(INDEX(MVs!$B:$B, INDEX(MVs!$V$2:$Z$4, 2, MATCH(BF$32, MVs!$V$2:$Z$2, 0))):INDEX(MVs!$U:$U, INDEX(mvLookupTable, 3, MATCH(BF$32, MVs!$V$2:$Z$2, 0))), MATCH(BF$2, INDEX(MVs!$B:$B, INDEX(MVs!$V$2:$Z$4, 2, MATCH(BF$32, MVs!$V$2:$Z$2, 0))):INDEX(MVs!$B:$B, INDEX(MVs!$V$2:$Z$4, 3, MATCH(BF$32, MVs!$V$2:$Z$2, 0))), 0),20))</f>
        <v>#N/A</v>
      </c>
      <c r="BG10" s="234" t="e">
        <f>IF(BG9 = FALSE, "", INDEX(INDEX(MVs!$B:$B, INDEX(MVs!$V$2:$Z$4, 2, MATCH(BG$32, MVs!$V$2:$Z$2, 0))):INDEX(MVs!$U:$U, INDEX(mvLookupTable, 3, MATCH(BG$32, MVs!$V$2:$Z$2, 0))), MATCH(BG$2, INDEX(MVs!$B:$B, INDEX(MVs!$V$2:$Z$4, 2, MATCH(BG$32, MVs!$V$2:$Z$2, 0))):INDEX(MVs!$B:$B, INDEX(MVs!$V$2:$Z$4, 3, MATCH(BG$32, MVs!$V$2:$Z$2, 0))), 0),20))</f>
        <v>#N/A</v>
      </c>
      <c r="BH10" s="234" t="e">
        <f>IF(BH9 = FALSE, "", INDEX(INDEX(MVs!$B:$B, INDEX(MVs!$V$2:$Z$4, 2, MATCH(BH$32, MVs!$V$2:$Z$2, 0))):INDEX(MVs!$U:$U, INDEX(mvLookupTable, 3, MATCH(BH$32, MVs!$V$2:$Z$2, 0))), MATCH(BH$2, INDEX(MVs!$B:$B, INDEX(MVs!$V$2:$Z$4, 2, MATCH(BH$32, MVs!$V$2:$Z$2, 0))):INDEX(MVs!$B:$B, INDEX(MVs!$V$2:$Z$4, 3, MATCH(BH$32, MVs!$V$2:$Z$2, 0))), 0),20))</f>
        <v>#N/A</v>
      </c>
    </row>
    <row r="11" spans="1:87" s="226" customFormat="1" collapsed="1" x14ac:dyDescent="0.25">
      <c r="A11" s="224" t="s">
        <v>1040</v>
      </c>
    </row>
    <row r="12" spans="1:87" s="221" customFormat="1" hidden="1" outlineLevel="1" x14ac:dyDescent="0.25">
      <c r="A12" s="130" t="s">
        <v>765</v>
      </c>
    </row>
    <row r="13" spans="1:87" s="233" customFormat="1" hidden="1" outlineLevel="1" x14ac:dyDescent="0.25">
      <c r="A13" s="130" t="s">
        <v>694</v>
      </c>
      <c r="B13" s="233">
        <f t="shared" ref="B13:BH13" si="0">IF(B$32 = "char1", VLOOKUP(B$12, char1WeaponProcTable, 2, 0), IF(B$32 = "char2",  VLOOKUP(B$12, char2WeaponProcTable, 2, 0), IF(B$32="char3", VLOOKUP(B$12, char3WeaponProcTable, 2, 0), IF(B$32 = "char4", VLOOKUP(B$12, char4WeaponProcTable, 2, 0)))))</f>
        <v>0</v>
      </c>
      <c r="C13" s="233">
        <f t="shared" si="0"/>
        <v>0</v>
      </c>
      <c r="D13" s="233">
        <f t="shared" si="0"/>
        <v>0</v>
      </c>
      <c r="E13" s="233">
        <f t="shared" si="0"/>
        <v>0</v>
      </c>
      <c r="F13" s="233">
        <f t="shared" si="0"/>
        <v>0</v>
      </c>
      <c r="G13" s="233">
        <f t="shared" si="0"/>
        <v>0</v>
      </c>
      <c r="H13" s="233">
        <f>IF(H$32 = "char1", VLOOKUP(H$12, char1WeaponProcTable, 2, 0), IF(H$32 = "char2",  VLOOKUP(H$12, char2WeaponProcTable, 2, 0), IF(H$32="char3", VLOOKUP(H$12, char3WeaponProcTable, 2, 0), IF(H$32 = "char4", VLOOKUP(H$12, char4WeaponProcTable, 2, 0)))))</f>
        <v>0</v>
      </c>
      <c r="I13" s="233">
        <f t="shared" si="0"/>
        <v>0</v>
      </c>
      <c r="J13" s="233">
        <f t="shared" si="0"/>
        <v>0</v>
      </c>
      <c r="K13" s="233">
        <f t="shared" si="0"/>
        <v>0</v>
      </c>
      <c r="L13" s="233">
        <f t="shared" si="0"/>
        <v>0</v>
      </c>
      <c r="M13" s="233">
        <f>IF(M$32 = "char1", VLOOKUP(M$12, char1WeaponProcTable, 2, 0), IF(M$32 = "char2",  VLOOKUP(M$12, char2WeaponProcTable, 2, 0), IF(M$32="char3", VLOOKUP(M$12, char3WeaponProcTable, 2, 0), IF(M$32 = "char4", VLOOKUP(M$12, char4WeaponProcTable, 2, 0)))))</f>
        <v>0</v>
      </c>
      <c r="N13" s="233">
        <f>IF(N$32 = "char1", VLOOKUP(N$12, char1WeaponProcTable, 2, 0), IF(N$32 = "char2",  VLOOKUP(N$12, char2WeaponProcTable, 2, 0), IF(N$32="char3", VLOOKUP(N$12, char3WeaponProcTable, 2, 0), IF(N$32 = "char4", VLOOKUP(N$12, char4WeaponProcTable, 2, 0)))))</f>
        <v>0</v>
      </c>
      <c r="O13" s="233">
        <f>IF(O$32 = "char1", VLOOKUP(O$12, char1WeaponProcTable, 2, 0), IF(O$32 = "char2",  VLOOKUP(O$12, char2WeaponProcTable, 2, 0), IF(O$32="char3", VLOOKUP(O$12, char3WeaponProcTable, 2, 0), IF(O$32 = "char4", VLOOKUP(O$12, char4WeaponProcTable, 2, 0)))))</f>
        <v>0</v>
      </c>
      <c r="P13" s="233">
        <f>IF(P$32 = "char1", VLOOKUP(P$12, char1WeaponProcTable, 2, 0), IF(P$32 = "char2",  VLOOKUP(P$12, char2WeaponProcTable, 2, 0), IF(P$32="char3", VLOOKUP(P$12, char3WeaponProcTable, 2, 0), IF(P$32 = "char4", VLOOKUP(P$12, char4WeaponProcTable, 2, 0)))))</f>
        <v>0</v>
      </c>
      <c r="Q13" s="233">
        <f>IF(Q$32 = "char1", VLOOKUP(Q$12, char1WeaponProcTable, 2, 0), IF(Q$32 = "char2",  VLOOKUP(Q$12, char2WeaponProcTable, 2, 0), IF(Q$32="char3", VLOOKUP(Q$12, char3WeaponProcTable, 2, 0), IF(Q$32 = "char4", VLOOKUP(Q$12, char4WeaponProcTable, 2, 0)))))</f>
        <v>0</v>
      </c>
      <c r="R13" s="233">
        <f t="shared" si="0"/>
        <v>0</v>
      </c>
      <c r="S13" s="233">
        <f t="shared" si="0"/>
        <v>0</v>
      </c>
      <c r="T13" s="233">
        <f t="shared" si="0"/>
        <v>0</v>
      </c>
      <c r="U13" s="233">
        <f t="shared" si="0"/>
        <v>0</v>
      </c>
      <c r="V13" s="233">
        <f t="shared" si="0"/>
        <v>0</v>
      </c>
      <c r="W13" s="233">
        <f t="shared" si="0"/>
        <v>0</v>
      </c>
      <c r="X13" s="233">
        <f t="shared" si="0"/>
        <v>0</v>
      </c>
      <c r="Y13" s="233">
        <f t="shared" si="0"/>
        <v>0</v>
      </c>
      <c r="Z13" s="233">
        <f t="shared" si="0"/>
        <v>0</v>
      </c>
      <c r="AA13" s="233">
        <f t="shared" si="0"/>
        <v>0</v>
      </c>
      <c r="AB13" s="233">
        <f t="shared" si="0"/>
        <v>0</v>
      </c>
      <c r="AC13" s="233">
        <f t="shared" si="0"/>
        <v>0</v>
      </c>
      <c r="AD13" s="233">
        <f t="shared" si="0"/>
        <v>0</v>
      </c>
      <c r="AE13" s="233">
        <f t="shared" si="0"/>
        <v>0</v>
      </c>
      <c r="AF13" s="233">
        <f t="shared" si="0"/>
        <v>0</v>
      </c>
      <c r="AG13" s="233">
        <f t="shared" si="0"/>
        <v>0</v>
      </c>
      <c r="AH13" s="233">
        <f t="shared" si="0"/>
        <v>0</v>
      </c>
      <c r="AI13" s="233">
        <f t="shared" si="0"/>
        <v>0</v>
      </c>
      <c r="AJ13" s="233" t="b">
        <f t="shared" si="0"/>
        <v>0</v>
      </c>
      <c r="AK13" s="233" t="b">
        <f t="shared" si="0"/>
        <v>0</v>
      </c>
      <c r="AL13" s="233" t="b">
        <f t="shared" si="0"/>
        <v>0</v>
      </c>
      <c r="AM13" s="233" t="b">
        <f t="shared" si="0"/>
        <v>0</v>
      </c>
      <c r="AN13" s="233" t="b">
        <f t="shared" si="0"/>
        <v>0</v>
      </c>
      <c r="AO13" s="233" t="b">
        <f t="shared" si="0"/>
        <v>0</v>
      </c>
      <c r="AP13" s="233" t="b">
        <f t="shared" si="0"/>
        <v>0</v>
      </c>
      <c r="AQ13" s="233" t="b">
        <f t="shared" si="0"/>
        <v>0</v>
      </c>
      <c r="AR13" s="233" t="b">
        <f t="shared" si="0"/>
        <v>0</v>
      </c>
      <c r="AS13" s="233" t="b">
        <f t="shared" si="0"/>
        <v>0</v>
      </c>
      <c r="AT13" s="233" t="b">
        <f t="shared" si="0"/>
        <v>0</v>
      </c>
      <c r="AU13" s="233" t="b">
        <f t="shared" si="0"/>
        <v>0</v>
      </c>
      <c r="AV13" s="233" t="b">
        <f t="shared" si="0"/>
        <v>0</v>
      </c>
      <c r="AW13" s="233" t="b">
        <f t="shared" si="0"/>
        <v>0</v>
      </c>
      <c r="AX13" s="233" t="b">
        <f t="shared" si="0"/>
        <v>0</v>
      </c>
      <c r="AY13" s="233" t="b">
        <f t="shared" si="0"/>
        <v>0</v>
      </c>
      <c r="AZ13" s="233" t="b">
        <f t="shared" si="0"/>
        <v>0</v>
      </c>
      <c r="BA13" s="233" t="b">
        <f t="shared" si="0"/>
        <v>0</v>
      </c>
      <c r="BB13" s="233" t="b">
        <f t="shared" si="0"/>
        <v>0</v>
      </c>
      <c r="BC13" s="233" t="b">
        <f t="shared" si="0"/>
        <v>0</v>
      </c>
      <c r="BD13" s="233" t="b">
        <f t="shared" si="0"/>
        <v>0</v>
      </c>
      <c r="BE13" s="233" t="b">
        <f t="shared" si="0"/>
        <v>0</v>
      </c>
      <c r="BF13" s="233" t="b">
        <f t="shared" si="0"/>
        <v>0</v>
      </c>
      <c r="BG13" s="233" t="b">
        <f t="shared" si="0"/>
        <v>0</v>
      </c>
      <c r="BH13" s="233" t="b">
        <f t="shared" si="0"/>
        <v>0</v>
      </c>
    </row>
    <row r="14" spans="1:87" s="233" customFormat="1" hidden="1" outlineLevel="1" x14ac:dyDescent="0.25">
      <c r="A14" s="130" t="s">
        <v>695</v>
      </c>
      <c r="B14" s="233">
        <f t="shared" ref="B14:BH14" si="1">IF(B$32 = "char1", VLOOKUP(B$12, char1WeaponProcTable, 4, 0), IF(B$32 = "char2",  VLOOKUP(B$12, char2WeaponProcTable, 4, 0), IF(B$32="char3", VLOOKUP(B$12, char3WeaponProcTable, 4, 0), IF(B$32 = "char4", VLOOKUP(B$12, char4WeaponProcTable, 4, 0)))))</f>
        <v>0</v>
      </c>
      <c r="C14" s="233">
        <f t="shared" si="1"/>
        <v>0</v>
      </c>
      <c r="D14" s="233">
        <f t="shared" si="1"/>
        <v>0</v>
      </c>
      <c r="E14" s="233">
        <f t="shared" si="1"/>
        <v>0</v>
      </c>
      <c r="F14" s="233">
        <f t="shared" si="1"/>
        <v>0</v>
      </c>
      <c r="G14" s="233">
        <f t="shared" si="1"/>
        <v>0</v>
      </c>
      <c r="H14" s="233">
        <f>IF(H$32 = "char1", VLOOKUP(H$12, char1WeaponProcTable, 4, 0), IF(H$32 = "char2",  VLOOKUP(H$12, char2WeaponProcTable, 4, 0), IF(H$32="char3", VLOOKUP(H$12, char3WeaponProcTable, 4, 0), IF(H$32 = "char4", VLOOKUP(H$12, char4WeaponProcTable, 4, 0)))))</f>
        <v>0</v>
      </c>
      <c r="I14" s="233">
        <f t="shared" si="1"/>
        <v>0</v>
      </c>
      <c r="J14" s="233">
        <f t="shared" si="1"/>
        <v>0</v>
      </c>
      <c r="K14" s="233">
        <f t="shared" si="1"/>
        <v>0</v>
      </c>
      <c r="L14" s="233">
        <f t="shared" si="1"/>
        <v>0</v>
      </c>
      <c r="M14" s="233">
        <f>IF(M$32 = "char1", VLOOKUP(M$12, char1WeaponProcTable, 4, 0), IF(M$32 = "char2",  VLOOKUP(M$12, char2WeaponProcTable, 4, 0), IF(M$32="char3", VLOOKUP(M$12, char3WeaponProcTable, 4, 0), IF(M$32 = "char4", VLOOKUP(M$12, char4WeaponProcTable, 4, 0)))))</f>
        <v>0</v>
      </c>
      <c r="N14" s="233">
        <f>IF(N$32 = "char1", VLOOKUP(N$12, char1WeaponProcTable, 4, 0), IF(N$32 = "char2",  VLOOKUP(N$12, char2WeaponProcTable, 4, 0), IF(N$32="char3", VLOOKUP(N$12, char3WeaponProcTable, 4, 0), IF(N$32 = "char4", VLOOKUP(N$12, char4WeaponProcTable, 4, 0)))))</f>
        <v>0</v>
      </c>
      <c r="O14" s="233">
        <f>IF(O$32 = "char1", VLOOKUP(O$12, char1WeaponProcTable, 4, 0), IF(O$32 = "char2",  VLOOKUP(O$12, char2WeaponProcTable, 4, 0), IF(O$32="char3", VLOOKUP(O$12, char3WeaponProcTable, 4, 0), IF(O$32 = "char4", VLOOKUP(O$12, char4WeaponProcTable, 4, 0)))))</f>
        <v>0</v>
      </c>
      <c r="P14" s="233">
        <f>IF(P$32 = "char1", VLOOKUP(P$12, char1WeaponProcTable, 4, 0), IF(P$32 = "char2",  VLOOKUP(P$12, char2WeaponProcTable, 4, 0), IF(P$32="char3", VLOOKUP(P$12, char3WeaponProcTable, 4, 0), IF(P$32 = "char4", VLOOKUP(P$12, char4WeaponProcTable, 4, 0)))))</f>
        <v>0</v>
      </c>
      <c r="Q14" s="233">
        <f>IF(Q$32 = "char1", VLOOKUP(Q$12, char1WeaponProcTable, 4, 0), IF(Q$32 = "char2",  VLOOKUP(Q$12, char2WeaponProcTable, 4, 0), IF(Q$32="char3", VLOOKUP(Q$12, char3WeaponProcTable, 4, 0), IF(Q$32 = "char4", VLOOKUP(Q$12, char4WeaponProcTable, 4, 0)))))</f>
        <v>0</v>
      </c>
      <c r="R14" s="233">
        <f t="shared" si="1"/>
        <v>0</v>
      </c>
      <c r="S14" s="233">
        <f t="shared" si="1"/>
        <v>0</v>
      </c>
      <c r="T14" s="233">
        <f t="shared" si="1"/>
        <v>0</v>
      </c>
      <c r="U14" s="233">
        <f t="shared" si="1"/>
        <v>0</v>
      </c>
      <c r="V14" s="233">
        <f t="shared" si="1"/>
        <v>0</v>
      </c>
      <c r="W14" s="233">
        <f t="shared" si="1"/>
        <v>0</v>
      </c>
      <c r="X14" s="233">
        <f t="shared" si="1"/>
        <v>0</v>
      </c>
      <c r="Y14" s="233">
        <f t="shared" si="1"/>
        <v>0</v>
      </c>
      <c r="Z14" s="233">
        <f t="shared" si="1"/>
        <v>0</v>
      </c>
      <c r="AA14" s="233">
        <f t="shared" si="1"/>
        <v>0</v>
      </c>
      <c r="AB14" s="233">
        <f t="shared" si="1"/>
        <v>0</v>
      </c>
      <c r="AC14" s="233">
        <f t="shared" si="1"/>
        <v>0</v>
      </c>
      <c r="AD14" s="233">
        <f t="shared" si="1"/>
        <v>0</v>
      </c>
      <c r="AE14" s="233">
        <f t="shared" si="1"/>
        <v>0</v>
      </c>
      <c r="AF14" s="233">
        <f t="shared" si="1"/>
        <v>0</v>
      </c>
      <c r="AG14" s="233">
        <f t="shared" si="1"/>
        <v>0</v>
      </c>
      <c r="AH14" s="233">
        <f t="shared" si="1"/>
        <v>0</v>
      </c>
      <c r="AI14" s="233">
        <f t="shared" si="1"/>
        <v>0</v>
      </c>
      <c r="AJ14" s="233" t="b">
        <f t="shared" si="1"/>
        <v>0</v>
      </c>
      <c r="AK14" s="233" t="b">
        <f t="shared" si="1"/>
        <v>0</v>
      </c>
      <c r="AL14" s="233" t="b">
        <f t="shared" si="1"/>
        <v>0</v>
      </c>
      <c r="AM14" s="233" t="b">
        <f t="shared" si="1"/>
        <v>0</v>
      </c>
      <c r="AN14" s="233" t="b">
        <f t="shared" si="1"/>
        <v>0</v>
      </c>
      <c r="AO14" s="233" t="b">
        <f t="shared" si="1"/>
        <v>0</v>
      </c>
      <c r="AP14" s="233" t="b">
        <f t="shared" si="1"/>
        <v>0</v>
      </c>
      <c r="AQ14" s="233" t="b">
        <f t="shared" si="1"/>
        <v>0</v>
      </c>
      <c r="AR14" s="233" t="b">
        <f t="shared" si="1"/>
        <v>0</v>
      </c>
      <c r="AS14" s="233" t="b">
        <f t="shared" si="1"/>
        <v>0</v>
      </c>
      <c r="AT14" s="233" t="b">
        <f t="shared" si="1"/>
        <v>0</v>
      </c>
      <c r="AU14" s="233" t="b">
        <f t="shared" si="1"/>
        <v>0</v>
      </c>
      <c r="AV14" s="233" t="b">
        <f t="shared" si="1"/>
        <v>0</v>
      </c>
      <c r="AW14" s="233" t="b">
        <f t="shared" si="1"/>
        <v>0</v>
      </c>
      <c r="AX14" s="233" t="b">
        <f t="shared" si="1"/>
        <v>0</v>
      </c>
      <c r="AY14" s="233" t="b">
        <f t="shared" si="1"/>
        <v>0</v>
      </c>
      <c r="AZ14" s="233" t="b">
        <f t="shared" si="1"/>
        <v>0</v>
      </c>
      <c r="BA14" s="233" t="b">
        <f t="shared" si="1"/>
        <v>0</v>
      </c>
      <c r="BB14" s="233" t="b">
        <f t="shared" si="1"/>
        <v>0</v>
      </c>
      <c r="BC14" s="233" t="b">
        <f t="shared" si="1"/>
        <v>0</v>
      </c>
      <c r="BD14" s="233" t="b">
        <f t="shared" si="1"/>
        <v>0</v>
      </c>
      <c r="BE14" s="233" t="b">
        <f t="shared" si="1"/>
        <v>0</v>
      </c>
      <c r="BF14" s="233" t="b">
        <f t="shared" si="1"/>
        <v>0</v>
      </c>
      <c r="BG14" s="233" t="b">
        <f t="shared" si="1"/>
        <v>0</v>
      </c>
      <c r="BH14" s="233" t="b">
        <f t="shared" si="1"/>
        <v>0</v>
      </c>
    </row>
    <row r="15" spans="1:87" s="233" customFormat="1" hidden="1" outlineLevel="1" x14ac:dyDescent="0.25">
      <c r="A15" s="130" t="s">
        <v>771</v>
      </c>
      <c r="B15" s="233">
        <f t="shared" ref="B15:BH15" si="2">IF(B$32 = "char1", VLOOKUP(B$12, char1WeaponProcTable, 5, 0), IF(B$32 = "char2",  VLOOKUP(B$12, char2WeaponProcTable, 5, 0), IF(B$32="char3", VLOOKUP(B$12, char3WeaponProcTable, 5, 0), IF(B$32 = "char4", VLOOKUP(B$12, char4WeaponProcTable, 5, 0)))))</f>
        <v>0</v>
      </c>
      <c r="C15" s="233">
        <f t="shared" si="2"/>
        <v>0</v>
      </c>
      <c r="D15" s="233">
        <f t="shared" si="2"/>
        <v>0</v>
      </c>
      <c r="E15" s="233">
        <f t="shared" si="2"/>
        <v>0</v>
      </c>
      <c r="F15" s="233">
        <f t="shared" si="2"/>
        <v>0</v>
      </c>
      <c r="G15" s="233">
        <f t="shared" si="2"/>
        <v>0</v>
      </c>
      <c r="H15" s="233">
        <f>IF(H$32 = "char1", VLOOKUP(H$12, char1WeaponProcTable, 5, 0), IF(H$32 = "char2",  VLOOKUP(H$12, char2WeaponProcTable, 5, 0), IF(H$32="char3", VLOOKUP(H$12, char3WeaponProcTable, 5, 0), IF(H$32 = "char4", VLOOKUP(H$12, char4WeaponProcTable, 5, 0)))))</f>
        <v>0</v>
      </c>
      <c r="I15" s="233">
        <f t="shared" si="2"/>
        <v>0</v>
      </c>
      <c r="J15" s="233">
        <f t="shared" si="2"/>
        <v>0</v>
      </c>
      <c r="K15" s="233">
        <f t="shared" si="2"/>
        <v>0</v>
      </c>
      <c r="L15" s="233">
        <f t="shared" si="2"/>
        <v>0</v>
      </c>
      <c r="M15" s="233">
        <f>IF(M$32 = "char1", VLOOKUP(M$12, char1WeaponProcTable, 5, 0), IF(M$32 = "char2",  VLOOKUP(M$12, char2WeaponProcTable, 5, 0), IF(M$32="char3", VLOOKUP(M$12, char3WeaponProcTable, 5, 0), IF(M$32 = "char4", VLOOKUP(M$12, char4WeaponProcTable, 5, 0)))))</f>
        <v>0</v>
      </c>
      <c r="N15" s="233">
        <f>IF(N$32 = "char1", VLOOKUP(N$12, char1WeaponProcTable, 5, 0), IF(N$32 = "char2",  VLOOKUP(N$12, char2WeaponProcTable, 5, 0), IF(N$32="char3", VLOOKUP(N$12, char3WeaponProcTable, 5, 0), IF(N$32 = "char4", VLOOKUP(N$12, char4WeaponProcTable, 5, 0)))))</f>
        <v>0</v>
      </c>
      <c r="O15" s="233">
        <f>IF(O$32 = "char1", VLOOKUP(O$12, char1WeaponProcTable, 5, 0), IF(O$32 = "char2",  VLOOKUP(O$12, char2WeaponProcTable, 5, 0), IF(O$32="char3", VLOOKUP(O$12, char3WeaponProcTable, 5, 0), IF(O$32 = "char4", VLOOKUP(O$12, char4WeaponProcTable, 5, 0)))))</f>
        <v>0</v>
      </c>
      <c r="P15" s="233">
        <f>IF(P$32 = "char1", VLOOKUP(P$12, char1WeaponProcTable, 5, 0), IF(P$32 = "char2",  VLOOKUP(P$12, char2WeaponProcTable, 5, 0), IF(P$32="char3", VLOOKUP(P$12, char3WeaponProcTable, 5, 0), IF(P$32 = "char4", VLOOKUP(P$12, char4WeaponProcTable, 5, 0)))))</f>
        <v>0</v>
      </c>
      <c r="Q15" s="233">
        <f>IF(Q$32 = "char1", VLOOKUP(Q$12, char1WeaponProcTable, 5, 0), IF(Q$32 = "char2",  VLOOKUP(Q$12, char2WeaponProcTable, 5, 0), IF(Q$32="char3", VLOOKUP(Q$12, char3WeaponProcTable, 5, 0), IF(Q$32 = "char4", VLOOKUP(Q$12, char4WeaponProcTable, 5, 0)))))</f>
        <v>0</v>
      </c>
      <c r="R15" s="233">
        <f t="shared" si="2"/>
        <v>0</v>
      </c>
      <c r="S15" s="233">
        <f t="shared" si="2"/>
        <v>0</v>
      </c>
      <c r="T15" s="233">
        <f t="shared" si="2"/>
        <v>0</v>
      </c>
      <c r="U15" s="233">
        <f t="shared" si="2"/>
        <v>0</v>
      </c>
      <c r="V15" s="233">
        <f t="shared" si="2"/>
        <v>0</v>
      </c>
      <c r="W15" s="233">
        <f t="shared" si="2"/>
        <v>0</v>
      </c>
      <c r="X15" s="233">
        <f t="shared" si="2"/>
        <v>0</v>
      </c>
      <c r="Y15" s="233">
        <f t="shared" si="2"/>
        <v>0</v>
      </c>
      <c r="Z15" s="233">
        <f t="shared" si="2"/>
        <v>0</v>
      </c>
      <c r="AA15" s="233">
        <f t="shared" si="2"/>
        <v>0</v>
      </c>
      <c r="AB15" s="233">
        <f t="shared" si="2"/>
        <v>0</v>
      </c>
      <c r="AC15" s="233">
        <f t="shared" si="2"/>
        <v>0</v>
      </c>
      <c r="AD15" s="233">
        <f t="shared" si="2"/>
        <v>0</v>
      </c>
      <c r="AE15" s="233">
        <f t="shared" si="2"/>
        <v>0</v>
      </c>
      <c r="AF15" s="233">
        <f t="shared" si="2"/>
        <v>0</v>
      </c>
      <c r="AG15" s="233">
        <f t="shared" si="2"/>
        <v>0</v>
      </c>
      <c r="AH15" s="233">
        <f t="shared" si="2"/>
        <v>0</v>
      </c>
      <c r="AI15" s="233">
        <f t="shared" si="2"/>
        <v>0</v>
      </c>
      <c r="AJ15" s="233" t="b">
        <f t="shared" si="2"/>
        <v>0</v>
      </c>
      <c r="AK15" s="233" t="b">
        <f t="shared" si="2"/>
        <v>0</v>
      </c>
      <c r="AL15" s="233" t="b">
        <f t="shared" si="2"/>
        <v>0</v>
      </c>
      <c r="AM15" s="233" t="b">
        <f t="shared" si="2"/>
        <v>0</v>
      </c>
      <c r="AN15" s="233" t="b">
        <f t="shared" si="2"/>
        <v>0</v>
      </c>
      <c r="AO15" s="233" t="b">
        <f t="shared" si="2"/>
        <v>0</v>
      </c>
      <c r="AP15" s="233" t="b">
        <f t="shared" si="2"/>
        <v>0</v>
      </c>
      <c r="AQ15" s="233" t="b">
        <f t="shared" si="2"/>
        <v>0</v>
      </c>
      <c r="AR15" s="233" t="b">
        <f t="shared" si="2"/>
        <v>0</v>
      </c>
      <c r="AS15" s="233" t="b">
        <f t="shared" si="2"/>
        <v>0</v>
      </c>
      <c r="AT15" s="233" t="b">
        <f t="shared" si="2"/>
        <v>0</v>
      </c>
      <c r="AU15" s="233" t="b">
        <f t="shared" si="2"/>
        <v>0</v>
      </c>
      <c r="AV15" s="233" t="b">
        <f t="shared" si="2"/>
        <v>0</v>
      </c>
      <c r="AW15" s="233" t="b">
        <f t="shared" si="2"/>
        <v>0</v>
      </c>
      <c r="AX15" s="233" t="b">
        <f t="shared" si="2"/>
        <v>0</v>
      </c>
      <c r="AY15" s="233" t="b">
        <f t="shared" si="2"/>
        <v>0</v>
      </c>
      <c r="AZ15" s="233" t="b">
        <f t="shared" si="2"/>
        <v>0</v>
      </c>
      <c r="BA15" s="233" t="b">
        <f t="shared" si="2"/>
        <v>0</v>
      </c>
      <c r="BB15" s="233" t="b">
        <f t="shared" si="2"/>
        <v>0</v>
      </c>
      <c r="BC15" s="233" t="b">
        <f t="shared" si="2"/>
        <v>0</v>
      </c>
      <c r="BD15" s="233" t="b">
        <f t="shared" si="2"/>
        <v>0</v>
      </c>
      <c r="BE15" s="233" t="b">
        <f t="shared" si="2"/>
        <v>0</v>
      </c>
      <c r="BF15" s="233" t="b">
        <f t="shared" si="2"/>
        <v>0</v>
      </c>
      <c r="BG15" s="233" t="b">
        <f t="shared" si="2"/>
        <v>0</v>
      </c>
      <c r="BH15" s="233" t="b">
        <f t="shared" si="2"/>
        <v>0</v>
      </c>
    </row>
    <row r="16" spans="1:87" s="234" customFormat="1" hidden="1" outlineLevel="1" x14ac:dyDescent="0.25">
      <c r="A16" s="130" t="s">
        <v>696</v>
      </c>
      <c r="B16" s="235">
        <f t="shared" ref="B16:BH16" si="3">IF(B$32 = "char1", VLOOKUP(B$12, char1WeaponProcTable, 3, 0), IF(B$32 = "char2",  VLOOKUP(B$12, char2WeaponProcTable, 3, 0), IF(B$32="char3", VLOOKUP(B$12, char3WeaponProcTable, 3, 0), IF(B$32 = "char4", VLOOKUP(B$12, char4WeaponProcTable, 3, 0)))))</f>
        <v>0</v>
      </c>
      <c r="C16" s="235">
        <f t="shared" si="3"/>
        <v>0</v>
      </c>
      <c r="D16" s="235">
        <f t="shared" si="3"/>
        <v>0</v>
      </c>
      <c r="E16" s="235">
        <f t="shared" si="3"/>
        <v>0</v>
      </c>
      <c r="F16" s="235">
        <f t="shared" si="3"/>
        <v>0</v>
      </c>
      <c r="G16" s="235">
        <f t="shared" si="3"/>
        <v>0</v>
      </c>
      <c r="H16" s="235">
        <f>IF(H$32 = "char1", VLOOKUP(H$12, char1WeaponProcTable, 3, 0), IF(H$32 = "char2",  VLOOKUP(H$12, char2WeaponProcTable, 3, 0), IF(H$32="char3", VLOOKUP(H$12, char3WeaponProcTable, 3, 0), IF(H$32 = "char4", VLOOKUP(H$12, char4WeaponProcTable, 3, 0)))))</f>
        <v>0</v>
      </c>
      <c r="I16" s="235">
        <f t="shared" si="3"/>
        <v>0</v>
      </c>
      <c r="J16" s="235">
        <f t="shared" si="3"/>
        <v>0</v>
      </c>
      <c r="K16" s="235">
        <f t="shared" si="3"/>
        <v>0</v>
      </c>
      <c r="L16" s="235">
        <f t="shared" si="3"/>
        <v>0</v>
      </c>
      <c r="M16" s="235">
        <f>IF(M$32 = "char1", VLOOKUP(M$12, char1WeaponProcTable, 3, 0), IF(M$32 = "char2",  VLOOKUP(M$12, char2WeaponProcTable, 3, 0), IF(M$32="char3", VLOOKUP(M$12, char3WeaponProcTable, 3, 0), IF(M$32 = "char4", VLOOKUP(M$12, char4WeaponProcTable, 3, 0)))))</f>
        <v>0</v>
      </c>
      <c r="N16" s="235">
        <f>IF(N$32 = "char1", VLOOKUP(N$12, char1WeaponProcTable, 3, 0), IF(N$32 = "char2",  VLOOKUP(N$12, char2WeaponProcTable, 3, 0), IF(N$32="char3", VLOOKUP(N$12, char3WeaponProcTable, 3, 0), IF(N$32 = "char4", VLOOKUP(N$12, char4WeaponProcTable, 3, 0)))))</f>
        <v>0</v>
      </c>
      <c r="O16" s="235">
        <f>IF(O$32 = "char1", VLOOKUP(O$12, char1WeaponProcTable, 3, 0), IF(O$32 = "char2",  VLOOKUP(O$12, char2WeaponProcTable, 3, 0), IF(O$32="char3", VLOOKUP(O$12, char3WeaponProcTable, 3, 0), IF(O$32 = "char4", VLOOKUP(O$12, char4WeaponProcTable, 3, 0)))))</f>
        <v>0</v>
      </c>
      <c r="P16" s="235">
        <f>IF(P$32 = "char1", VLOOKUP(P$12, char1WeaponProcTable, 3, 0), IF(P$32 = "char2",  VLOOKUP(P$12, char2WeaponProcTable, 3, 0), IF(P$32="char3", VLOOKUP(P$12, char3WeaponProcTable, 3, 0), IF(P$32 = "char4", VLOOKUP(P$12, char4WeaponProcTable, 3, 0)))))</f>
        <v>0</v>
      </c>
      <c r="Q16" s="235">
        <f>IF(Q$32 = "char1", VLOOKUP(Q$12, char1WeaponProcTable, 3, 0), IF(Q$32 = "char2",  VLOOKUP(Q$12, char2WeaponProcTable, 3, 0), IF(Q$32="char3", VLOOKUP(Q$12, char3WeaponProcTable, 3, 0), IF(Q$32 = "char4", VLOOKUP(Q$12, char4WeaponProcTable, 3, 0)))))</f>
        <v>0</v>
      </c>
      <c r="R16" s="235">
        <f t="shared" si="3"/>
        <v>0</v>
      </c>
      <c r="S16" s="235">
        <f t="shared" si="3"/>
        <v>0</v>
      </c>
      <c r="T16" s="235">
        <f t="shared" si="3"/>
        <v>0</v>
      </c>
      <c r="U16" s="235">
        <f t="shared" si="3"/>
        <v>0</v>
      </c>
      <c r="V16" s="235">
        <f t="shared" si="3"/>
        <v>0</v>
      </c>
      <c r="W16" s="235">
        <f t="shared" si="3"/>
        <v>0</v>
      </c>
      <c r="X16" s="235">
        <f t="shared" si="3"/>
        <v>0</v>
      </c>
      <c r="Y16" s="235">
        <f t="shared" si="3"/>
        <v>0</v>
      </c>
      <c r="Z16" s="235">
        <f t="shared" si="3"/>
        <v>0</v>
      </c>
      <c r="AA16" s="235">
        <f t="shared" si="3"/>
        <v>0</v>
      </c>
      <c r="AB16" s="235">
        <f t="shared" si="3"/>
        <v>0</v>
      </c>
      <c r="AC16" s="235">
        <f t="shared" si="3"/>
        <v>0</v>
      </c>
      <c r="AD16" s="235">
        <f t="shared" si="3"/>
        <v>0</v>
      </c>
      <c r="AE16" s="235">
        <f t="shared" si="3"/>
        <v>0</v>
      </c>
      <c r="AF16" s="235">
        <f t="shared" si="3"/>
        <v>0</v>
      </c>
      <c r="AG16" s="235">
        <f t="shared" si="3"/>
        <v>0</v>
      </c>
      <c r="AH16" s="235">
        <f t="shared" si="3"/>
        <v>0</v>
      </c>
      <c r="AI16" s="235">
        <f t="shared" si="3"/>
        <v>0</v>
      </c>
      <c r="AJ16" s="235" t="b">
        <f t="shared" si="3"/>
        <v>0</v>
      </c>
      <c r="AK16" s="235" t="b">
        <f t="shared" si="3"/>
        <v>0</v>
      </c>
      <c r="AL16" s="235" t="b">
        <f t="shared" si="3"/>
        <v>0</v>
      </c>
      <c r="AM16" s="235" t="b">
        <f t="shared" si="3"/>
        <v>0</v>
      </c>
      <c r="AN16" s="235" t="b">
        <f t="shared" si="3"/>
        <v>0</v>
      </c>
      <c r="AO16" s="235" t="b">
        <f t="shared" si="3"/>
        <v>0</v>
      </c>
      <c r="AP16" s="235" t="b">
        <f t="shared" si="3"/>
        <v>0</v>
      </c>
      <c r="AQ16" s="235" t="b">
        <f t="shared" si="3"/>
        <v>0</v>
      </c>
      <c r="AR16" s="235" t="b">
        <f t="shared" si="3"/>
        <v>0</v>
      </c>
      <c r="AS16" s="235" t="b">
        <f t="shared" si="3"/>
        <v>0</v>
      </c>
      <c r="AT16" s="235" t="b">
        <f t="shared" si="3"/>
        <v>0</v>
      </c>
      <c r="AU16" s="235" t="b">
        <f t="shared" si="3"/>
        <v>0</v>
      </c>
      <c r="AV16" s="235" t="b">
        <f t="shared" si="3"/>
        <v>0</v>
      </c>
      <c r="AW16" s="235" t="b">
        <f t="shared" si="3"/>
        <v>0</v>
      </c>
      <c r="AX16" s="235" t="b">
        <f t="shared" si="3"/>
        <v>0</v>
      </c>
      <c r="AY16" s="235" t="b">
        <f t="shared" si="3"/>
        <v>0</v>
      </c>
      <c r="AZ16" s="235" t="b">
        <f t="shared" si="3"/>
        <v>0</v>
      </c>
      <c r="BA16" s="235" t="b">
        <f t="shared" si="3"/>
        <v>0</v>
      </c>
      <c r="BB16" s="235" t="b">
        <f t="shared" si="3"/>
        <v>0</v>
      </c>
      <c r="BC16" s="235" t="b">
        <f t="shared" si="3"/>
        <v>0</v>
      </c>
      <c r="BD16" s="235" t="b">
        <f t="shared" si="3"/>
        <v>0</v>
      </c>
      <c r="BE16" s="235" t="b">
        <f t="shared" si="3"/>
        <v>0</v>
      </c>
      <c r="BF16" s="235" t="b">
        <f t="shared" si="3"/>
        <v>0</v>
      </c>
      <c r="BG16" s="235" t="b">
        <f t="shared" si="3"/>
        <v>0</v>
      </c>
      <c r="BH16" s="235" t="b">
        <f t="shared" si="3"/>
        <v>0</v>
      </c>
    </row>
    <row r="17" spans="1:16382" s="226" customFormat="1" collapsed="1" x14ac:dyDescent="0.25">
      <c r="A17" s="224" t="s">
        <v>1039</v>
      </c>
      <c r="B17" s="225"/>
      <c r="C17" s="225"/>
      <c r="D17" s="225"/>
      <c r="E17" s="225"/>
      <c r="F17" s="225"/>
      <c r="G17" s="225"/>
      <c r="H17" s="225"/>
      <c r="I17" s="225"/>
      <c r="J17" s="225"/>
      <c r="K17" s="225"/>
      <c r="L17" s="225"/>
      <c r="M17" s="225"/>
      <c r="N17" s="225"/>
      <c r="O17" s="225"/>
      <c r="P17" s="225"/>
      <c r="Q17" s="225"/>
      <c r="R17" s="225"/>
      <c r="S17" s="225"/>
      <c r="T17" s="225"/>
      <c r="U17" s="225"/>
      <c r="V17" s="225"/>
      <c r="W17" s="225"/>
      <c r="X17" s="225"/>
      <c r="Y17" s="225"/>
      <c r="Z17" s="225"/>
      <c r="AA17" s="225"/>
      <c r="AB17" s="225"/>
      <c r="AC17" s="225"/>
      <c r="AD17" s="225"/>
      <c r="AE17" s="225"/>
      <c r="AF17" s="225"/>
      <c r="AG17" s="225"/>
      <c r="AH17" s="225"/>
      <c r="AI17" s="225"/>
      <c r="AJ17" s="225"/>
      <c r="AK17" s="225"/>
      <c r="AL17" s="225"/>
      <c r="AM17" s="225"/>
      <c r="AN17" s="225"/>
      <c r="AO17" s="225"/>
      <c r="AP17" s="225"/>
      <c r="AQ17" s="225"/>
      <c r="AR17" s="225"/>
      <c r="AS17" s="225"/>
      <c r="AT17" s="225"/>
      <c r="AU17" s="225"/>
      <c r="AV17" s="225"/>
      <c r="AW17" s="225"/>
      <c r="AX17" s="225"/>
      <c r="AY17" s="225"/>
      <c r="AZ17" s="225"/>
      <c r="BA17" s="225"/>
      <c r="BB17" s="225"/>
      <c r="BC17" s="225"/>
      <c r="BD17" s="225"/>
      <c r="BE17" s="225"/>
      <c r="BF17" s="225"/>
      <c r="BG17" s="225"/>
      <c r="BH17" s="225"/>
    </row>
    <row r="18" spans="1:16382" s="227" customFormat="1" outlineLevel="1" x14ac:dyDescent="0.25">
      <c r="A18" s="224" t="s">
        <v>1054</v>
      </c>
      <c r="B18" s="227" t="s">
        <v>1201</v>
      </c>
      <c r="G18" s="227" t="s">
        <v>1201</v>
      </c>
      <c r="H18" s="227" t="s">
        <v>1049</v>
      </c>
      <c r="I18" s="227" t="s">
        <v>1049</v>
      </c>
      <c r="J18" s="227" t="s">
        <v>1049</v>
      </c>
      <c r="O18" s="227" t="s">
        <v>1049</v>
      </c>
      <c r="P18" s="227" t="s">
        <v>1049</v>
      </c>
      <c r="S18" s="227" t="s">
        <v>1049</v>
      </c>
      <c r="U18" s="227" t="s">
        <v>1049</v>
      </c>
      <c r="Y18" s="227" t="s">
        <v>1049</v>
      </c>
      <c r="AE18" s="227" t="s">
        <v>1049</v>
      </c>
    </row>
    <row r="19" spans="1:16382" s="229" customFormat="1" outlineLevel="1" x14ac:dyDescent="0.25">
      <c r="A19" s="224" t="s">
        <v>1053</v>
      </c>
      <c r="H19" s="252">
        <v>1</v>
      </c>
      <c r="I19" s="229">
        <v>1</v>
      </c>
      <c r="J19" s="229">
        <v>1</v>
      </c>
      <c r="O19" s="229">
        <v>1</v>
      </c>
      <c r="P19" s="229">
        <v>1</v>
      </c>
      <c r="S19" s="229">
        <v>1</v>
      </c>
      <c r="U19" s="229">
        <v>1</v>
      </c>
      <c r="Y19" s="229">
        <v>1</v>
      </c>
      <c r="AE19" s="229">
        <v>1</v>
      </c>
    </row>
    <row r="20" spans="1:16382" s="251" customFormat="1" outlineLevel="1" x14ac:dyDescent="0.25">
      <c r="A20" s="224" t="s">
        <v>1155</v>
      </c>
      <c r="B20" s="252">
        <v>0</v>
      </c>
      <c r="C20" s="252">
        <v>0</v>
      </c>
      <c r="D20" s="252">
        <v>0</v>
      </c>
      <c r="E20" s="252">
        <v>0</v>
      </c>
      <c r="F20" s="252">
        <v>0</v>
      </c>
      <c r="G20" s="252">
        <v>0</v>
      </c>
      <c r="H20" s="252">
        <v>0.2</v>
      </c>
      <c r="I20" s="252">
        <v>0.2</v>
      </c>
      <c r="J20" s="252">
        <v>0.2</v>
      </c>
      <c r="K20" s="252">
        <v>0</v>
      </c>
      <c r="L20" s="252">
        <v>0</v>
      </c>
      <c r="M20" s="252">
        <v>0</v>
      </c>
      <c r="N20" s="252">
        <v>0</v>
      </c>
      <c r="O20" s="252">
        <v>0.2</v>
      </c>
      <c r="P20" s="252">
        <v>0.4</v>
      </c>
      <c r="Q20" s="252">
        <v>0</v>
      </c>
      <c r="R20" s="252">
        <v>0</v>
      </c>
      <c r="S20" s="252">
        <v>0.4</v>
      </c>
      <c r="T20" s="252">
        <v>0</v>
      </c>
      <c r="U20" s="252">
        <v>0.4</v>
      </c>
      <c r="V20" s="252">
        <v>0</v>
      </c>
      <c r="W20" s="252">
        <v>0</v>
      </c>
      <c r="X20" s="252">
        <v>0</v>
      </c>
      <c r="Y20" s="252">
        <v>0.2</v>
      </c>
      <c r="Z20" s="252">
        <v>0</v>
      </c>
      <c r="AA20" s="252">
        <v>0</v>
      </c>
      <c r="AB20" s="252">
        <v>0</v>
      </c>
      <c r="AC20" s="252">
        <v>0</v>
      </c>
      <c r="AD20" s="252">
        <v>0</v>
      </c>
      <c r="AE20" s="252">
        <v>0.2</v>
      </c>
      <c r="AF20" s="252">
        <v>0</v>
      </c>
      <c r="AG20" s="252">
        <v>0</v>
      </c>
      <c r="AH20" s="252">
        <v>0</v>
      </c>
      <c r="AI20" s="252">
        <v>0</v>
      </c>
      <c r="AJ20" s="252">
        <v>0</v>
      </c>
      <c r="AK20" s="252">
        <v>0</v>
      </c>
      <c r="AL20" s="252">
        <v>0</v>
      </c>
      <c r="AM20" s="252">
        <v>0</v>
      </c>
      <c r="AN20" s="252">
        <v>0</v>
      </c>
      <c r="AO20" s="252">
        <v>0</v>
      </c>
      <c r="AP20" s="252">
        <v>0</v>
      </c>
      <c r="AQ20" s="252">
        <v>0</v>
      </c>
      <c r="AR20" s="252">
        <v>0</v>
      </c>
      <c r="AS20" s="252">
        <v>0</v>
      </c>
      <c r="AT20" s="252">
        <v>0</v>
      </c>
      <c r="AU20" s="252">
        <v>0</v>
      </c>
      <c r="AV20" s="252">
        <v>0</v>
      </c>
      <c r="AW20" s="252">
        <v>0</v>
      </c>
      <c r="AX20" s="252">
        <v>0</v>
      </c>
      <c r="AY20" s="252">
        <v>0</v>
      </c>
      <c r="AZ20" s="252">
        <v>0</v>
      </c>
      <c r="BA20" s="252">
        <v>0</v>
      </c>
      <c r="BB20" s="252">
        <v>0</v>
      </c>
      <c r="BC20" s="252">
        <v>0</v>
      </c>
      <c r="BD20" s="252">
        <v>0</v>
      </c>
      <c r="BE20" s="252">
        <v>0</v>
      </c>
      <c r="BF20" s="252">
        <v>0</v>
      </c>
      <c r="BG20" s="252">
        <v>0</v>
      </c>
      <c r="BH20" s="252">
        <v>0</v>
      </c>
      <c r="BI20" s="252">
        <v>0</v>
      </c>
      <c r="BJ20" s="252">
        <v>0</v>
      </c>
      <c r="BK20" s="252">
        <v>0</v>
      </c>
      <c r="BL20" s="252">
        <v>0</v>
      </c>
      <c r="BM20" s="252">
        <v>0</v>
      </c>
      <c r="BN20" s="252">
        <v>0</v>
      </c>
      <c r="BO20" s="252">
        <v>0</v>
      </c>
      <c r="BP20" s="252">
        <v>0</v>
      </c>
      <c r="BQ20" s="252">
        <v>0</v>
      </c>
      <c r="BR20" s="252">
        <v>0</v>
      </c>
      <c r="BS20" s="252">
        <v>0</v>
      </c>
      <c r="BT20" s="252">
        <v>0</v>
      </c>
      <c r="BU20" s="252">
        <v>0</v>
      </c>
      <c r="BV20" s="252">
        <v>0</v>
      </c>
      <c r="BW20" s="252">
        <v>0</v>
      </c>
      <c r="BX20" s="252">
        <v>0</v>
      </c>
      <c r="BY20" s="252">
        <v>0</v>
      </c>
      <c r="BZ20" s="252">
        <v>0</v>
      </c>
      <c r="CA20" s="252">
        <v>0</v>
      </c>
      <c r="CB20" s="252">
        <v>0</v>
      </c>
      <c r="CC20" s="252">
        <v>0</v>
      </c>
      <c r="CD20" s="252">
        <v>0</v>
      </c>
      <c r="CE20" s="252">
        <v>0</v>
      </c>
      <c r="CF20" s="252">
        <v>0</v>
      </c>
      <c r="CG20" s="252">
        <v>0</v>
      </c>
      <c r="CH20" s="252">
        <v>0</v>
      </c>
      <c r="CI20" s="252">
        <v>0</v>
      </c>
      <c r="CJ20" s="252">
        <v>0</v>
      </c>
      <c r="CK20" s="252">
        <v>0</v>
      </c>
      <c r="CL20" s="252">
        <v>0</v>
      </c>
      <c r="CM20" s="252">
        <v>0</v>
      </c>
      <c r="CN20" s="252">
        <v>0</v>
      </c>
      <c r="CO20" s="252">
        <v>0</v>
      </c>
      <c r="CP20" s="252">
        <v>0</v>
      </c>
      <c r="CQ20" s="252">
        <v>0</v>
      </c>
      <c r="CR20" s="252">
        <v>0</v>
      </c>
      <c r="CS20" s="252">
        <v>0</v>
      </c>
      <c r="CT20" s="252">
        <v>0</v>
      </c>
      <c r="CU20" s="252">
        <v>0</v>
      </c>
      <c r="CV20" s="252">
        <v>0</v>
      </c>
      <c r="CW20" s="252">
        <v>0</v>
      </c>
      <c r="CX20" s="252">
        <v>0</v>
      </c>
      <c r="CY20" s="252">
        <v>0</v>
      </c>
      <c r="CZ20" s="252">
        <v>0</v>
      </c>
      <c r="DA20" s="252">
        <v>0</v>
      </c>
      <c r="DB20" s="252">
        <v>0</v>
      </c>
      <c r="DC20" s="252">
        <v>0</v>
      </c>
      <c r="DD20" s="252">
        <v>0</v>
      </c>
      <c r="DE20" s="252">
        <v>0</v>
      </c>
      <c r="DF20" s="252">
        <v>0</v>
      </c>
      <c r="DG20" s="252">
        <v>0</v>
      </c>
      <c r="DH20" s="252">
        <v>0</v>
      </c>
      <c r="DI20" s="252">
        <v>0</v>
      </c>
      <c r="DJ20" s="252">
        <v>0</v>
      </c>
      <c r="DK20" s="252">
        <v>0</v>
      </c>
      <c r="DL20" s="252">
        <v>0</v>
      </c>
      <c r="DM20" s="252">
        <v>0</v>
      </c>
      <c r="DN20" s="252">
        <v>0</v>
      </c>
      <c r="DO20" s="252">
        <v>0</v>
      </c>
      <c r="DP20" s="252">
        <v>0</v>
      </c>
      <c r="DQ20" s="252">
        <v>0</v>
      </c>
      <c r="DR20" s="252">
        <v>0</v>
      </c>
      <c r="DS20" s="252">
        <v>0</v>
      </c>
      <c r="DT20" s="252">
        <v>0</v>
      </c>
      <c r="DU20" s="252">
        <v>0</v>
      </c>
      <c r="DV20" s="252">
        <v>0</v>
      </c>
      <c r="DW20" s="252">
        <v>0</v>
      </c>
      <c r="DX20" s="252">
        <v>0</v>
      </c>
      <c r="DY20" s="252">
        <v>0</v>
      </c>
      <c r="DZ20" s="252">
        <v>0</v>
      </c>
      <c r="EA20" s="252">
        <v>0</v>
      </c>
      <c r="EB20" s="252">
        <v>0</v>
      </c>
      <c r="EC20" s="252">
        <v>0</v>
      </c>
      <c r="ED20" s="252">
        <v>0</v>
      </c>
      <c r="EE20" s="252">
        <v>0</v>
      </c>
      <c r="EF20" s="252">
        <v>0</v>
      </c>
      <c r="EG20" s="252">
        <v>0</v>
      </c>
      <c r="EH20" s="252">
        <v>0</v>
      </c>
      <c r="EI20" s="252">
        <v>0</v>
      </c>
      <c r="EJ20" s="252">
        <v>0</v>
      </c>
      <c r="EK20" s="252">
        <v>0</v>
      </c>
      <c r="EL20" s="252">
        <v>0</v>
      </c>
      <c r="EM20" s="252">
        <v>0</v>
      </c>
      <c r="EN20" s="252">
        <v>0</v>
      </c>
      <c r="EO20" s="252">
        <v>0</v>
      </c>
      <c r="EP20" s="252">
        <v>0</v>
      </c>
      <c r="EQ20" s="252">
        <v>0</v>
      </c>
      <c r="ER20" s="252">
        <v>0</v>
      </c>
      <c r="ES20" s="252">
        <v>0</v>
      </c>
      <c r="ET20" s="252">
        <v>0</v>
      </c>
      <c r="EU20" s="252">
        <v>0</v>
      </c>
      <c r="EV20" s="252">
        <v>0</v>
      </c>
      <c r="EW20" s="252">
        <v>0</v>
      </c>
      <c r="EX20" s="252">
        <v>0</v>
      </c>
      <c r="EY20" s="252">
        <v>0</v>
      </c>
      <c r="EZ20" s="252">
        <v>0</v>
      </c>
      <c r="FA20" s="252">
        <v>0</v>
      </c>
      <c r="FB20" s="252">
        <v>0</v>
      </c>
      <c r="FC20" s="252">
        <v>0</v>
      </c>
      <c r="FD20" s="252">
        <v>0</v>
      </c>
      <c r="FE20" s="252">
        <v>0</v>
      </c>
      <c r="FF20" s="252">
        <v>0</v>
      </c>
      <c r="FG20" s="252">
        <v>0</v>
      </c>
      <c r="FH20" s="252">
        <v>0</v>
      </c>
      <c r="FI20" s="252">
        <v>0</v>
      </c>
      <c r="FJ20" s="252">
        <v>0</v>
      </c>
      <c r="FK20" s="252">
        <v>0</v>
      </c>
      <c r="FL20" s="252">
        <v>0</v>
      </c>
      <c r="FM20" s="252">
        <v>0</v>
      </c>
      <c r="FN20" s="252">
        <v>0</v>
      </c>
      <c r="FO20" s="252">
        <v>0</v>
      </c>
      <c r="FP20" s="252">
        <v>0</v>
      </c>
      <c r="FQ20" s="252">
        <v>0</v>
      </c>
      <c r="FR20" s="252">
        <v>0</v>
      </c>
      <c r="FS20" s="252">
        <v>0</v>
      </c>
      <c r="FT20" s="252">
        <v>0</v>
      </c>
      <c r="FU20" s="252">
        <v>0</v>
      </c>
      <c r="FV20" s="252">
        <v>0</v>
      </c>
      <c r="FW20" s="252">
        <v>0</v>
      </c>
      <c r="FX20" s="252">
        <v>0</v>
      </c>
      <c r="FY20" s="252">
        <v>0</v>
      </c>
      <c r="FZ20" s="252">
        <v>0</v>
      </c>
      <c r="GA20" s="252">
        <v>0</v>
      </c>
      <c r="GB20" s="252">
        <v>0</v>
      </c>
      <c r="GC20" s="252">
        <v>0</v>
      </c>
      <c r="GD20" s="252">
        <v>0</v>
      </c>
      <c r="GE20" s="252">
        <v>0</v>
      </c>
      <c r="GF20" s="252">
        <v>0</v>
      </c>
      <c r="GG20" s="252">
        <v>0</v>
      </c>
      <c r="GH20" s="252">
        <v>0</v>
      </c>
      <c r="GI20" s="252">
        <v>0</v>
      </c>
      <c r="GJ20" s="252">
        <v>0</v>
      </c>
      <c r="GK20" s="252">
        <v>0</v>
      </c>
      <c r="GL20" s="252">
        <v>0</v>
      </c>
      <c r="GM20" s="252">
        <v>0</v>
      </c>
      <c r="GN20" s="252">
        <v>0</v>
      </c>
      <c r="GO20" s="252">
        <v>0</v>
      </c>
      <c r="GP20" s="252">
        <v>0</v>
      </c>
      <c r="GQ20" s="252">
        <v>0</v>
      </c>
      <c r="GR20" s="252">
        <v>0</v>
      </c>
      <c r="GS20" s="252">
        <v>0</v>
      </c>
      <c r="GT20" s="252">
        <v>0</v>
      </c>
      <c r="GU20" s="252">
        <v>0</v>
      </c>
      <c r="GV20" s="252">
        <v>0</v>
      </c>
      <c r="GW20" s="252">
        <v>0</v>
      </c>
      <c r="GX20" s="252">
        <v>0</v>
      </c>
      <c r="GY20" s="252">
        <v>0</v>
      </c>
      <c r="GZ20" s="252">
        <v>0</v>
      </c>
      <c r="HA20" s="252">
        <v>0</v>
      </c>
      <c r="HB20" s="252">
        <v>0</v>
      </c>
      <c r="HC20" s="252">
        <v>0</v>
      </c>
      <c r="HD20" s="252">
        <v>0</v>
      </c>
      <c r="HE20" s="252">
        <v>0</v>
      </c>
      <c r="HF20" s="252">
        <v>0</v>
      </c>
      <c r="HG20" s="252">
        <v>0</v>
      </c>
      <c r="HH20" s="252">
        <v>0</v>
      </c>
      <c r="HI20" s="252">
        <v>0</v>
      </c>
      <c r="HJ20" s="252">
        <v>0</v>
      </c>
      <c r="HK20" s="252">
        <v>0</v>
      </c>
      <c r="HL20" s="252">
        <v>0</v>
      </c>
      <c r="HM20" s="252">
        <v>0</v>
      </c>
      <c r="HN20" s="252">
        <v>0</v>
      </c>
      <c r="HO20" s="252">
        <v>0</v>
      </c>
      <c r="HP20" s="252">
        <v>0</v>
      </c>
      <c r="HQ20" s="252">
        <v>0</v>
      </c>
      <c r="HR20" s="252">
        <v>0</v>
      </c>
      <c r="HS20" s="252">
        <v>0</v>
      </c>
      <c r="HT20" s="252">
        <v>0</v>
      </c>
      <c r="HU20" s="252">
        <v>0</v>
      </c>
      <c r="HV20" s="252">
        <v>0</v>
      </c>
      <c r="HW20" s="252">
        <v>0</v>
      </c>
      <c r="HX20" s="252">
        <v>0</v>
      </c>
      <c r="HY20" s="252">
        <v>0</v>
      </c>
      <c r="HZ20" s="252">
        <v>0</v>
      </c>
      <c r="IA20" s="252">
        <v>0</v>
      </c>
      <c r="IB20" s="252">
        <v>0</v>
      </c>
      <c r="IC20" s="252">
        <v>0</v>
      </c>
      <c r="ID20" s="252">
        <v>0</v>
      </c>
      <c r="IE20" s="252">
        <v>0</v>
      </c>
      <c r="IF20" s="252">
        <v>0</v>
      </c>
      <c r="IG20" s="252">
        <v>0</v>
      </c>
      <c r="IH20" s="252">
        <v>0</v>
      </c>
      <c r="II20" s="252">
        <v>0</v>
      </c>
      <c r="IJ20" s="252">
        <v>0</v>
      </c>
      <c r="IK20" s="252">
        <v>0</v>
      </c>
      <c r="IL20" s="252">
        <v>0</v>
      </c>
      <c r="IM20" s="252">
        <v>0</v>
      </c>
      <c r="IN20" s="252">
        <v>0</v>
      </c>
      <c r="IO20" s="252">
        <v>0</v>
      </c>
      <c r="IP20" s="252">
        <v>0</v>
      </c>
      <c r="IQ20" s="252">
        <v>0</v>
      </c>
      <c r="IR20" s="252">
        <v>0</v>
      </c>
      <c r="IS20" s="252">
        <v>0</v>
      </c>
      <c r="IT20" s="252">
        <v>0</v>
      </c>
      <c r="IU20" s="252">
        <v>0</v>
      </c>
      <c r="IV20" s="252">
        <v>0</v>
      </c>
      <c r="IW20" s="252">
        <v>0</v>
      </c>
      <c r="IX20" s="252">
        <v>0</v>
      </c>
      <c r="IY20" s="252">
        <v>0</v>
      </c>
      <c r="IZ20" s="252">
        <v>0</v>
      </c>
      <c r="JA20" s="252">
        <v>0</v>
      </c>
      <c r="JB20" s="252">
        <v>0</v>
      </c>
      <c r="JC20" s="252">
        <v>0</v>
      </c>
      <c r="JD20" s="252">
        <v>0</v>
      </c>
      <c r="JE20" s="252">
        <v>0</v>
      </c>
      <c r="JF20" s="252">
        <v>0</v>
      </c>
      <c r="JG20" s="252">
        <v>0</v>
      </c>
      <c r="JH20" s="252">
        <v>0</v>
      </c>
      <c r="JI20" s="252">
        <v>0</v>
      </c>
      <c r="JJ20" s="252">
        <v>0</v>
      </c>
      <c r="JK20" s="252">
        <v>0</v>
      </c>
      <c r="JL20" s="252">
        <v>0</v>
      </c>
      <c r="JM20" s="252">
        <v>0</v>
      </c>
      <c r="JN20" s="252">
        <v>0</v>
      </c>
      <c r="JO20" s="252">
        <v>0</v>
      </c>
      <c r="JP20" s="252">
        <v>0</v>
      </c>
      <c r="JQ20" s="252">
        <v>0</v>
      </c>
      <c r="JR20" s="252">
        <v>0</v>
      </c>
      <c r="JS20" s="252">
        <v>0</v>
      </c>
      <c r="JT20" s="252">
        <v>0</v>
      </c>
      <c r="JU20" s="252">
        <v>0</v>
      </c>
      <c r="JV20" s="252">
        <v>0</v>
      </c>
      <c r="JW20" s="252">
        <v>0</v>
      </c>
      <c r="JX20" s="252">
        <v>0</v>
      </c>
      <c r="JY20" s="252">
        <v>0</v>
      </c>
      <c r="JZ20" s="252">
        <v>0</v>
      </c>
      <c r="KA20" s="252">
        <v>0</v>
      </c>
      <c r="KB20" s="252">
        <v>0</v>
      </c>
      <c r="KC20" s="252">
        <v>0</v>
      </c>
      <c r="KD20" s="252">
        <v>0</v>
      </c>
      <c r="KE20" s="252">
        <v>0</v>
      </c>
      <c r="KF20" s="252">
        <v>0</v>
      </c>
      <c r="KG20" s="252">
        <v>0</v>
      </c>
      <c r="KH20" s="252">
        <v>0</v>
      </c>
      <c r="KI20" s="252">
        <v>0</v>
      </c>
      <c r="KJ20" s="252">
        <v>0</v>
      </c>
      <c r="KK20" s="252">
        <v>0</v>
      </c>
      <c r="KL20" s="252">
        <v>0</v>
      </c>
      <c r="KM20" s="252">
        <v>0</v>
      </c>
      <c r="KN20" s="252">
        <v>0</v>
      </c>
      <c r="KO20" s="252">
        <v>0</v>
      </c>
      <c r="KP20" s="252">
        <v>0</v>
      </c>
      <c r="KQ20" s="252">
        <v>0</v>
      </c>
      <c r="KR20" s="252">
        <v>0</v>
      </c>
      <c r="KS20" s="252">
        <v>0</v>
      </c>
      <c r="KT20" s="252">
        <v>0</v>
      </c>
      <c r="KU20" s="252">
        <v>0</v>
      </c>
      <c r="KV20" s="252">
        <v>0</v>
      </c>
      <c r="KW20" s="252">
        <v>0</v>
      </c>
      <c r="KX20" s="252">
        <v>0</v>
      </c>
      <c r="KY20" s="252">
        <v>0</v>
      </c>
      <c r="KZ20" s="252">
        <v>0</v>
      </c>
      <c r="LA20" s="252">
        <v>0</v>
      </c>
      <c r="LB20" s="252">
        <v>0</v>
      </c>
      <c r="LC20" s="252">
        <v>0</v>
      </c>
      <c r="LD20" s="252">
        <v>0</v>
      </c>
      <c r="LE20" s="252">
        <v>0</v>
      </c>
      <c r="LF20" s="252">
        <v>0</v>
      </c>
      <c r="LG20" s="252">
        <v>0</v>
      </c>
      <c r="LH20" s="252">
        <v>0</v>
      </c>
      <c r="LI20" s="252">
        <v>0</v>
      </c>
      <c r="LJ20" s="252">
        <v>0</v>
      </c>
      <c r="LK20" s="252">
        <v>0</v>
      </c>
      <c r="LL20" s="252">
        <v>0</v>
      </c>
      <c r="LM20" s="252">
        <v>0</v>
      </c>
      <c r="LN20" s="252">
        <v>0</v>
      </c>
      <c r="LO20" s="252">
        <v>0</v>
      </c>
      <c r="LP20" s="252">
        <v>0</v>
      </c>
      <c r="LQ20" s="252">
        <v>0</v>
      </c>
      <c r="LR20" s="252">
        <v>0</v>
      </c>
      <c r="LS20" s="252">
        <v>0</v>
      </c>
      <c r="LT20" s="252">
        <v>0</v>
      </c>
      <c r="LU20" s="252">
        <v>0</v>
      </c>
      <c r="LV20" s="252">
        <v>0</v>
      </c>
      <c r="LW20" s="252">
        <v>0</v>
      </c>
      <c r="LX20" s="252">
        <v>0</v>
      </c>
      <c r="LY20" s="252">
        <v>0</v>
      </c>
      <c r="LZ20" s="252">
        <v>0</v>
      </c>
      <c r="MA20" s="252">
        <v>0</v>
      </c>
      <c r="MB20" s="252">
        <v>0</v>
      </c>
      <c r="MC20" s="252">
        <v>0</v>
      </c>
      <c r="MD20" s="252">
        <v>0</v>
      </c>
      <c r="ME20" s="252">
        <v>0</v>
      </c>
      <c r="MF20" s="252">
        <v>0</v>
      </c>
      <c r="MG20" s="252">
        <v>0</v>
      </c>
      <c r="MH20" s="252">
        <v>0</v>
      </c>
      <c r="MI20" s="252">
        <v>0</v>
      </c>
      <c r="MJ20" s="252">
        <v>0</v>
      </c>
      <c r="MK20" s="252">
        <v>0</v>
      </c>
      <c r="ML20" s="252">
        <v>0</v>
      </c>
      <c r="MM20" s="252">
        <v>0</v>
      </c>
      <c r="MN20" s="252">
        <v>0</v>
      </c>
      <c r="MO20" s="252">
        <v>0</v>
      </c>
      <c r="MP20" s="252">
        <v>0</v>
      </c>
      <c r="MQ20" s="252">
        <v>0</v>
      </c>
      <c r="MR20" s="252">
        <v>0</v>
      </c>
      <c r="MS20" s="252">
        <v>0</v>
      </c>
      <c r="MT20" s="252">
        <v>0</v>
      </c>
      <c r="MU20" s="252">
        <v>0</v>
      </c>
      <c r="MV20" s="252">
        <v>0</v>
      </c>
      <c r="MW20" s="252">
        <v>0</v>
      </c>
      <c r="MX20" s="252">
        <v>0</v>
      </c>
      <c r="MY20" s="252">
        <v>0</v>
      </c>
      <c r="MZ20" s="252">
        <v>0</v>
      </c>
      <c r="NA20" s="252">
        <v>0</v>
      </c>
      <c r="NB20" s="252">
        <v>0</v>
      </c>
      <c r="NC20" s="252">
        <v>0</v>
      </c>
      <c r="ND20" s="252">
        <v>0</v>
      </c>
      <c r="NE20" s="252">
        <v>0</v>
      </c>
      <c r="NF20" s="252">
        <v>0</v>
      </c>
      <c r="NG20" s="252">
        <v>0</v>
      </c>
      <c r="NH20" s="252">
        <v>0</v>
      </c>
      <c r="NI20" s="252">
        <v>0</v>
      </c>
      <c r="NJ20" s="252">
        <v>0</v>
      </c>
      <c r="NK20" s="252">
        <v>0</v>
      </c>
      <c r="NL20" s="252">
        <v>0</v>
      </c>
      <c r="NM20" s="252">
        <v>0</v>
      </c>
      <c r="NN20" s="252">
        <v>0</v>
      </c>
      <c r="NO20" s="252">
        <v>0</v>
      </c>
      <c r="NP20" s="252">
        <v>0</v>
      </c>
      <c r="NQ20" s="252">
        <v>0</v>
      </c>
      <c r="NR20" s="252">
        <v>0</v>
      </c>
      <c r="NS20" s="252">
        <v>0</v>
      </c>
      <c r="NT20" s="252">
        <v>0</v>
      </c>
      <c r="NU20" s="252">
        <v>0</v>
      </c>
      <c r="NV20" s="252">
        <v>0</v>
      </c>
      <c r="NW20" s="252">
        <v>0</v>
      </c>
      <c r="NX20" s="252">
        <v>0</v>
      </c>
      <c r="NY20" s="252">
        <v>0</v>
      </c>
      <c r="NZ20" s="252">
        <v>0</v>
      </c>
      <c r="OA20" s="252">
        <v>0</v>
      </c>
      <c r="OB20" s="252">
        <v>0</v>
      </c>
      <c r="OC20" s="252">
        <v>0</v>
      </c>
      <c r="OD20" s="252">
        <v>0</v>
      </c>
      <c r="OE20" s="252">
        <v>0</v>
      </c>
      <c r="OF20" s="252">
        <v>0</v>
      </c>
      <c r="OG20" s="252">
        <v>0</v>
      </c>
      <c r="OH20" s="252">
        <v>0</v>
      </c>
      <c r="OI20" s="252">
        <v>0</v>
      </c>
      <c r="OJ20" s="252">
        <v>0</v>
      </c>
      <c r="OK20" s="252">
        <v>0</v>
      </c>
      <c r="OL20" s="252">
        <v>0</v>
      </c>
      <c r="OM20" s="252">
        <v>0</v>
      </c>
      <c r="ON20" s="252">
        <v>0</v>
      </c>
      <c r="OO20" s="252">
        <v>0</v>
      </c>
      <c r="OP20" s="252">
        <v>0</v>
      </c>
      <c r="OQ20" s="252">
        <v>0</v>
      </c>
      <c r="OR20" s="252">
        <v>0</v>
      </c>
      <c r="OS20" s="252">
        <v>0</v>
      </c>
      <c r="OT20" s="252">
        <v>0</v>
      </c>
      <c r="OU20" s="252">
        <v>0</v>
      </c>
      <c r="OV20" s="252">
        <v>0</v>
      </c>
      <c r="OW20" s="252">
        <v>0</v>
      </c>
      <c r="OX20" s="252">
        <v>0</v>
      </c>
      <c r="OY20" s="252">
        <v>0</v>
      </c>
      <c r="OZ20" s="252">
        <v>0</v>
      </c>
      <c r="PA20" s="252">
        <v>0</v>
      </c>
      <c r="PB20" s="252">
        <v>0</v>
      </c>
      <c r="PC20" s="252">
        <v>0</v>
      </c>
      <c r="PD20" s="252">
        <v>0</v>
      </c>
      <c r="PE20" s="252">
        <v>0</v>
      </c>
      <c r="PF20" s="252">
        <v>0</v>
      </c>
      <c r="PG20" s="252">
        <v>0</v>
      </c>
      <c r="PH20" s="252">
        <v>0</v>
      </c>
      <c r="PI20" s="252">
        <v>0</v>
      </c>
      <c r="PJ20" s="252">
        <v>0</v>
      </c>
      <c r="PK20" s="252">
        <v>0</v>
      </c>
      <c r="PL20" s="252">
        <v>0</v>
      </c>
      <c r="PM20" s="252">
        <v>0</v>
      </c>
      <c r="PN20" s="252">
        <v>0</v>
      </c>
      <c r="PO20" s="252">
        <v>0</v>
      </c>
      <c r="PP20" s="252">
        <v>0</v>
      </c>
      <c r="PQ20" s="252">
        <v>0</v>
      </c>
      <c r="PR20" s="252">
        <v>0</v>
      </c>
      <c r="PS20" s="252">
        <v>0</v>
      </c>
      <c r="PT20" s="252">
        <v>0</v>
      </c>
      <c r="PU20" s="252">
        <v>0</v>
      </c>
      <c r="PV20" s="252">
        <v>0</v>
      </c>
      <c r="PW20" s="252">
        <v>0</v>
      </c>
      <c r="PX20" s="252">
        <v>0</v>
      </c>
      <c r="PY20" s="252">
        <v>0</v>
      </c>
      <c r="PZ20" s="252">
        <v>0</v>
      </c>
      <c r="QA20" s="252">
        <v>0</v>
      </c>
      <c r="QB20" s="252">
        <v>0</v>
      </c>
      <c r="QC20" s="252">
        <v>0</v>
      </c>
      <c r="QD20" s="252">
        <v>0</v>
      </c>
      <c r="QE20" s="252">
        <v>0</v>
      </c>
      <c r="QF20" s="252">
        <v>0</v>
      </c>
      <c r="QG20" s="252">
        <v>0</v>
      </c>
      <c r="QH20" s="252">
        <v>0</v>
      </c>
      <c r="QI20" s="252">
        <v>0</v>
      </c>
      <c r="QJ20" s="252">
        <v>0</v>
      </c>
      <c r="QK20" s="252">
        <v>0</v>
      </c>
      <c r="QL20" s="252">
        <v>0</v>
      </c>
      <c r="QM20" s="252">
        <v>0</v>
      </c>
      <c r="QN20" s="252">
        <v>0</v>
      </c>
      <c r="QO20" s="252">
        <v>0</v>
      </c>
      <c r="QP20" s="252">
        <v>0</v>
      </c>
      <c r="QQ20" s="252">
        <v>0</v>
      </c>
      <c r="QR20" s="252">
        <v>0</v>
      </c>
      <c r="QS20" s="252">
        <v>0</v>
      </c>
      <c r="QT20" s="252">
        <v>0</v>
      </c>
      <c r="QU20" s="252">
        <v>0</v>
      </c>
      <c r="QV20" s="252">
        <v>0</v>
      </c>
      <c r="QW20" s="252">
        <v>0</v>
      </c>
      <c r="QX20" s="252">
        <v>0</v>
      </c>
      <c r="QY20" s="252">
        <v>0</v>
      </c>
      <c r="QZ20" s="252">
        <v>0</v>
      </c>
      <c r="RA20" s="252">
        <v>0</v>
      </c>
      <c r="RB20" s="252">
        <v>0</v>
      </c>
      <c r="RC20" s="252">
        <v>0</v>
      </c>
      <c r="RD20" s="252">
        <v>0</v>
      </c>
      <c r="RE20" s="252">
        <v>0</v>
      </c>
      <c r="RF20" s="252">
        <v>0</v>
      </c>
      <c r="RG20" s="252">
        <v>0</v>
      </c>
      <c r="RH20" s="252">
        <v>0</v>
      </c>
      <c r="RI20" s="252">
        <v>0</v>
      </c>
      <c r="RJ20" s="252">
        <v>0</v>
      </c>
      <c r="RK20" s="252">
        <v>0</v>
      </c>
      <c r="RL20" s="252">
        <v>0</v>
      </c>
      <c r="RM20" s="252">
        <v>0</v>
      </c>
      <c r="RN20" s="252">
        <v>0</v>
      </c>
      <c r="RO20" s="252">
        <v>0</v>
      </c>
      <c r="RP20" s="252">
        <v>0</v>
      </c>
      <c r="RQ20" s="252">
        <v>0</v>
      </c>
      <c r="RR20" s="252">
        <v>0</v>
      </c>
      <c r="RS20" s="252">
        <v>0</v>
      </c>
      <c r="RT20" s="252">
        <v>0</v>
      </c>
      <c r="RU20" s="252">
        <v>0</v>
      </c>
      <c r="RV20" s="252">
        <v>0</v>
      </c>
      <c r="RW20" s="252">
        <v>0</v>
      </c>
      <c r="RX20" s="252">
        <v>0</v>
      </c>
      <c r="RY20" s="252">
        <v>0</v>
      </c>
      <c r="RZ20" s="252">
        <v>0</v>
      </c>
      <c r="SA20" s="252">
        <v>0</v>
      </c>
      <c r="SB20" s="252">
        <v>0</v>
      </c>
      <c r="SC20" s="252">
        <v>0</v>
      </c>
      <c r="SD20" s="252">
        <v>0</v>
      </c>
      <c r="SE20" s="252">
        <v>0</v>
      </c>
      <c r="SF20" s="252">
        <v>0</v>
      </c>
      <c r="SG20" s="252">
        <v>0</v>
      </c>
      <c r="SH20" s="252">
        <v>0</v>
      </c>
      <c r="SI20" s="252">
        <v>0</v>
      </c>
      <c r="SJ20" s="252">
        <v>0</v>
      </c>
      <c r="SK20" s="252">
        <v>0</v>
      </c>
      <c r="SL20" s="252">
        <v>0</v>
      </c>
      <c r="SM20" s="252">
        <v>0</v>
      </c>
      <c r="SN20" s="252">
        <v>0</v>
      </c>
      <c r="SO20" s="252">
        <v>0</v>
      </c>
      <c r="SP20" s="252">
        <v>0</v>
      </c>
      <c r="SQ20" s="252">
        <v>0</v>
      </c>
      <c r="SR20" s="252">
        <v>0</v>
      </c>
      <c r="SS20" s="252">
        <v>0</v>
      </c>
      <c r="ST20" s="252">
        <v>0</v>
      </c>
      <c r="SU20" s="252">
        <v>0</v>
      </c>
      <c r="SV20" s="252">
        <v>0</v>
      </c>
      <c r="SW20" s="252">
        <v>0</v>
      </c>
      <c r="SX20" s="252">
        <v>0</v>
      </c>
      <c r="SY20" s="252">
        <v>0</v>
      </c>
      <c r="SZ20" s="252">
        <v>0</v>
      </c>
      <c r="TA20" s="252">
        <v>0</v>
      </c>
      <c r="TB20" s="252">
        <v>0</v>
      </c>
      <c r="TC20" s="252">
        <v>0</v>
      </c>
      <c r="TD20" s="252">
        <v>0</v>
      </c>
      <c r="TE20" s="252">
        <v>0</v>
      </c>
      <c r="TF20" s="252">
        <v>0</v>
      </c>
      <c r="TG20" s="252">
        <v>0</v>
      </c>
      <c r="TH20" s="252">
        <v>0</v>
      </c>
      <c r="TI20" s="252">
        <v>0</v>
      </c>
      <c r="TJ20" s="252">
        <v>0</v>
      </c>
      <c r="TK20" s="252">
        <v>0</v>
      </c>
      <c r="TL20" s="252">
        <v>0</v>
      </c>
      <c r="TM20" s="252">
        <v>0</v>
      </c>
      <c r="TN20" s="252">
        <v>0</v>
      </c>
      <c r="TO20" s="252">
        <v>0</v>
      </c>
      <c r="TP20" s="252">
        <v>0</v>
      </c>
      <c r="TQ20" s="252">
        <v>0</v>
      </c>
      <c r="TR20" s="252">
        <v>0</v>
      </c>
      <c r="TS20" s="252">
        <v>0</v>
      </c>
      <c r="TT20" s="252">
        <v>0</v>
      </c>
      <c r="TU20" s="252">
        <v>0</v>
      </c>
      <c r="TV20" s="252">
        <v>0</v>
      </c>
      <c r="TW20" s="252">
        <v>0</v>
      </c>
      <c r="TX20" s="252">
        <v>0</v>
      </c>
      <c r="TY20" s="252">
        <v>0</v>
      </c>
      <c r="TZ20" s="252">
        <v>0</v>
      </c>
      <c r="UA20" s="252">
        <v>0</v>
      </c>
      <c r="UB20" s="252">
        <v>0</v>
      </c>
      <c r="UC20" s="252">
        <v>0</v>
      </c>
      <c r="UD20" s="252">
        <v>0</v>
      </c>
      <c r="UE20" s="252">
        <v>0</v>
      </c>
      <c r="UF20" s="252">
        <v>0</v>
      </c>
      <c r="UG20" s="252">
        <v>0</v>
      </c>
      <c r="UH20" s="252">
        <v>0</v>
      </c>
      <c r="UI20" s="252">
        <v>0</v>
      </c>
      <c r="UJ20" s="252">
        <v>0</v>
      </c>
      <c r="UK20" s="252">
        <v>0</v>
      </c>
      <c r="UL20" s="252">
        <v>0</v>
      </c>
      <c r="UM20" s="252">
        <v>0</v>
      </c>
      <c r="UN20" s="252">
        <v>0</v>
      </c>
      <c r="UO20" s="252">
        <v>0</v>
      </c>
      <c r="UP20" s="252">
        <v>0</v>
      </c>
      <c r="UQ20" s="252">
        <v>0</v>
      </c>
      <c r="UR20" s="252">
        <v>0</v>
      </c>
      <c r="US20" s="252">
        <v>0</v>
      </c>
      <c r="UT20" s="252">
        <v>0</v>
      </c>
      <c r="UU20" s="252">
        <v>0</v>
      </c>
      <c r="UV20" s="252">
        <v>0</v>
      </c>
      <c r="UW20" s="252">
        <v>0</v>
      </c>
      <c r="UX20" s="252">
        <v>0</v>
      </c>
      <c r="UY20" s="252">
        <v>0</v>
      </c>
      <c r="UZ20" s="252">
        <v>0</v>
      </c>
      <c r="VA20" s="252">
        <v>0</v>
      </c>
      <c r="VB20" s="252">
        <v>0</v>
      </c>
      <c r="VC20" s="252">
        <v>0</v>
      </c>
      <c r="VD20" s="252">
        <v>0</v>
      </c>
      <c r="VE20" s="252">
        <v>0</v>
      </c>
      <c r="VF20" s="252">
        <v>0</v>
      </c>
      <c r="VG20" s="252">
        <v>0</v>
      </c>
      <c r="VH20" s="252">
        <v>0</v>
      </c>
      <c r="VI20" s="252">
        <v>0</v>
      </c>
      <c r="VJ20" s="252">
        <v>0</v>
      </c>
      <c r="VK20" s="252">
        <v>0</v>
      </c>
      <c r="VL20" s="252">
        <v>0</v>
      </c>
      <c r="VM20" s="252">
        <v>0</v>
      </c>
      <c r="VN20" s="252">
        <v>0</v>
      </c>
      <c r="VO20" s="252">
        <v>0</v>
      </c>
      <c r="VP20" s="252">
        <v>0</v>
      </c>
      <c r="VQ20" s="252">
        <v>0</v>
      </c>
      <c r="VR20" s="252">
        <v>0</v>
      </c>
      <c r="VS20" s="252">
        <v>0</v>
      </c>
      <c r="VT20" s="252">
        <v>0</v>
      </c>
      <c r="VU20" s="252">
        <v>0</v>
      </c>
      <c r="VV20" s="252">
        <v>0</v>
      </c>
      <c r="VW20" s="252">
        <v>0</v>
      </c>
      <c r="VX20" s="252">
        <v>0</v>
      </c>
      <c r="VY20" s="252">
        <v>0</v>
      </c>
      <c r="VZ20" s="252">
        <v>0</v>
      </c>
      <c r="WA20" s="252">
        <v>0</v>
      </c>
      <c r="WB20" s="252">
        <v>0</v>
      </c>
      <c r="WC20" s="252">
        <v>0</v>
      </c>
      <c r="WD20" s="252">
        <v>0</v>
      </c>
      <c r="WE20" s="252">
        <v>0</v>
      </c>
      <c r="WF20" s="252">
        <v>0</v>
      </c>
      <c r="WG20" s="252">
        <v>0</v>
      </c>
      <c r="WH20" s="252">
        <v>0</v>
      </c>
      <c r="WI20" s="252">
        <v>0</v>
      </c>
      <c r="WJ20" s="252">
        <v>0</v>
      </c>
      <c r="WK20" s="252">
        <v>0</v>
      </c>
      <c r="WL20" s="252">
        <v>0</v>
      </c>
      <c r="WM20" s="252">
        <v>0</v>
      </c>
      <c r="WN20" s="252">
        <v>0</v>
      </c>
      <c r="WO20" s="252">
        <v>0</v>
      </c>
      <c r="WP20" s="252">
        <v>0</v>
      </c>
      <c r="WQ20" s="252">
        <v>0</v>
      </c>
      <c r="WR20" s="252">
        <v>0</v>
      </c>
      <c r="WS20" s="252">
        <v>0</v>
      </c>
      <c r="WT20" s="252">
        <v>0</v>
      </c>
      <c r="WU20" s="252">
        <v>0</v>
      </c>
      <c r="WV20" s="252">
        <v>0</v>
      </c>
      <c r="WW20" s="252">
        <v>0</v>
      </c>
      <c r="WX20" s="252">
        <v>0</v>
      </c>
      <c r="WY20" s="252">
        <v>0</v>
      </c>
      <c r="WZ20" s="252">
        <v>0</v>
      </c>
      <c r="XA20" s="252">
        <v>0</v>
      </c>
      <c r="XB20" s="252">
        <v>0</v>
      </c>
      <c r="XC20" s="252">
        <v>0</v>
      </c>
      <c r="XD20" s="252">
        <v>0</v>
      </c>
      <c r="XE20" s="252">
        <v>0</v>
      </c>
      <c r="XF20" s="252">
        <v>0</v>
      </c>
      <c r="XG20" s="252">
        <v>0</v>
      </c>
      <c r="XH20" s="252">
        <v>0</v>
      </c>
      <c r="XI20" s="252">
        <v>0</v>
      </c>
      <c r="XJ20" s="252">
        <v>0</v>
      </c>
      <c r="XK20" s="252">
        <v>0</v>
      </c>
      <c r="XL20" s="252">
        <v>0</v>
      </c>
      <c r="XM20" s="252">
        <v>0</v>
      </c>
      <c r="XN20" s="252">
        <v>0</v>
      </c>
      <c r="XO20" s="252">
        <v>0</v>
      </c>
      <c r="XP20" s="252">
        <v>0</v>
      </c>
      <c r="XQ20" s="252">
        <v>0</v>
      </c>
      <c r="XR20" s="252">
        <v>0</v>
      </c>
      <c r="XS20" s="252">
        <v>0</v>
      </c>
      <c r="XT20" s="252">
        <v>0</v>
      </c>
      <c r="XU20" s="252">
        <v>0</v>
      </c>
      <c r="XV20" s="252">
        <v>0</v>
      </c>
      <c r="XW20" s="252">
        <v>0</v>
      </c>
      <c r="XX20" s="252">
        <v>0</v>
      </c>
      <c r="XY20" s="252">
        <v>0</v>
      </c>
      <c r="XZ20" s="252">
        <v>0</v>
      </c>
      <c r="YA20" s="252">
        <v>0</v>
      </c>
      <c r="YB20" s="252">
        <v>0</v>
      </c>
      <c r="YC20" s="252">
        <v>0</v>
      </c>
      <c r="YD20" s="252">
        <v>0</v>
      </c>
      <c r="YE20" s="252">
        <v>0</v>
      </c>
      <c r="YF20" s="252">
        <v>0</v>
      </c>
      <c r="YG20" s="252">
        <v>0</v>
      </c>
      <c r="YH20" s="252">
        <v>0</v>
      </c>
      <c r="YI20" s="252">
        <v>0</v>
      </c>
      <c r="YJ20" s="252">
        <v>0</v>
      </c>
      <c r="YK20" s="252">
        <v>0</v>
      </c>
      <c r="YL20" s="252">
        <v>0</v>
      </c>
      <c r="YM20" s="252">
        <v>0</v>
      </c>
      <c r="YN20" s="252">
        <v>0</v>
      </c>
      <c r="YO20" s="252">
        <v>0</v>
      </c>
      <c r="YP20" s="252">
        <v>0</v>
      </c>
      <c r="YQ20" s="252">
        <v>0</v>
      </c>
      <c r="YR20" s="252">
        <v>0</v>
      </c>
      <c r="YS20" s="252">
        <v>0</v>
      </c>
      <c r="YT20" s="252">
        <v>0</v>
      </c>
      <c r="YU20" s="252">
        <v>0</v>
      </c>
      <c r="YV20" s="252">
        <v>0</v>
      </c>
      <c r="YW20" s="252">
        <v>0</v>
      </c>
      <c r="YX20" s="252">
        <v>0</v>
      </c>
      <c r="YY20" s="252">
        <v>0</v>
      </c>
      <c r="YZ20" s="252">
        <v>0</v>
      </c>
      <c r="ZA20" s="252">
        <v>0</v>
      </c>
      <c r="ZB20" s="252">
        <v>0</v>
      </c>
      <c r="ZC20" s="252">
        <v>0</v>
      </c>
      <c r="ZD20" s="252">
        <v>0</v>
      </c>
      <c r="ZE20" s="252">
        <v>0</v>
      </c>
      <c r="ZF20" s="252">
        <v>0</v>
      </c>
      <c r="ZG20" s="252">
        <v>0</v>
      </c>
      <c r="ZH20" s="252">
        <v>0</v>
      </c>
      <c r="ZI20" s="252">
        <v>0</v>
      </c>
      <c r="ZJ20" s="252">
        <v>0</v>
      </c>
      <c r="ZK20" s="252">
        <v>0</v>
      </c>
      <c r="ZL20" s="252">
        <v>0</v>
      </c>
      <c r="ZM20" s="252">
        <v>0</v>
      </c>
      <c r="ZN20" s="252">
        <v>0</v>
      </c>
      <c r="ZO20" s="252">
        <v>0</v>
      </c>
      <c r="ZP20" s="252">
        <v>0</v>
      </c>
      <c r="ZQ20" s="252">
        <v>0</v>
      </c>
      <c r="ZR20" s="252">
        <v>0</v>
      </c>
      <c r="ZS20" s="252">
        <v>0</v>
      </c>
      <c r="ZT20" s="252">
        <v>0</v>
      </c>
      <c r="ZU20" s="252">
        <v>0</v>
      </c>
      <c r="ZV20" s="252">
        <v>0</v>
      </c>
      <c r="ZW20" s="252">
        <v>0</v>
      </c>
      <c r="ZX20" s="252">
        <v>0</v>
      </c>
      <c r="ZY20" s="252">
        <v>0</v>
      </c>
      <c r="ZZ20" s="252">
        <v>0</v>
      </c>
      <c r="AAA20" s="252">
        <v>0</v>
      </c>
      <c r="AAB20" s="252">
        <v>0</v>
      </c>
      <c r="AAC20" s="252">
        <v>0</v>
      </c>
      <c r="AAD20" s="252">
        <v>0</v>
      </c>
      <c r="AAE20" s="252">
        <v>0</v>
      </c>
      <c r="AAF20" s="252">
        <v>0</v>
      </c>
      <c r="AAG20" s="252">
        <v>0</v>
      </c>
      <c r="AAH20" s="252">
        <v>0</v>
      </c>
      <c r="AAI20" s="252">
        <v>0</v>
      </c>
      <c r="AAJ20" s="252">
        <v>0</v>
      </c>
      <c r="AAK20" s="252">
        <v>0</v>
      </c>
      <c r="AAL20" s="252">
        <v>0</v>
      </c>
      <c r="AAM20" s="252">
        <v>0</v>
      </c>
      <c r="AAN20" s="252">
        <v>0</v>
      </c>
      <c r="AAO20" s="252">
        <v>0</v>
      </c>
      <c r="AAP20" s="252">
        <v>0</v>
      </c>
      <c r="AAQ20" s="252">
        <v>0</v>
      </c>
      <c r="AAR20" s="252">
        <v>0</v>
      </c>
      <c r="AAS20" s="252">
        <v>0</v>
      </c>
      <c r="AAT20" s="252">
        <v>0</v>
      </c>
      <c r="AAU20" s="252">
        <v>0</v>
      </c>
      <c r="AAV20" s="252">
        <v>0</v>
      </c>
      <c r="AAW20" s="252">
        <v>0</v>
      </c>
      <c r="AAX20" s="252">
        <v>0</v>
      </c>
      <c r="AAY20" s="252">
        <v>0</v>
      </c>
      <c r="AAZ20" s="252">
        <v>0</v>
      </c>
      <c r="ABA20" s="252">
        <v>0</v>
      </c>
      <c r="ABB20" s="252">
        <v>0</v>
      </c>
      <c r="ABC20" s="252">
        <v>0</v>
      </c>
      <c r="ABD20" s="252">
        <v>0</v>
      </c>
      <c r="ABE20" s="252">
        <v>0</v>
      </c>
      <c r="ABF20" s="252">
        <v>0</v>
      </c>
      <c r="ABG20" s="252">
        <v>0</v>
      </c>
      <c r="ABH20" s="252">
        <v>0</v>
      </c>
      <c r="ABI20" s="252">
        <v>0</v>
      </c>
      <c r="ABJ20" s="252">
        <v>0</v>
      </c>
      <c r="ABK20" s="252">
        <v>0</v>
      </c>
      <c r="ABL20" s="252">
        <v>0</v>
      </c>
      <c r="ABM20" s="252">
        <v>0</v>
      </c>
      <c r="ABN20" s="252">
        <v>0</v>
      </c>
      <c r="ABO20" s="252">
        <v>0</v>
      </c>
      <c r="ABP20" s="252">
        <v>0</v>
      </c>
      <c r="ABQ20" s="252">
        <v>0</v>
      </c>
      <c r="ABR20" s="252">
        <v>0</v>
      </c>
      <c r="ABS20" s="252">
        <v>0</v>
      </c>
      <c r="ABT20" s="252">
        <v>0</v>
      </c>
      <c r="ABU20" s="252">
        <v>0</v>
      </c>
      <c r="ABV20" s="252">
        <v>0</v>
      </c>
      <c r="ABW20" s="252">
        <v>0</v>
      </c>
      <c r="ABX20" s="252">
        <v>0</v>
      </c>
      <c r="ABY20" s="252">
        <v>0</v>
      </c>
      <c r="ABZ20" s="252">
        <v>0</v>
      </c>
      <c r="ACA20" s="252">
        <v>0</v>
      </c>
      <c r="ACB20" s="252">
        <v>0</v>
      </c>
      <c r="ACC20" s="252">
        <v>0</v>
      </c>
      <c r="ACD20" s="252">
        <v>0</v>
      </c>
      <c r="ACE20" s="252">
        <v>0</v>
      </c>
      <c r="ACF20" s="252">
        <v>0</v>
      </c>
      <c r="ACG20" s="252">
        <v>0</v>
      </c>
      <c r="ACH20" s="252">
        <v>0</v>
      </c>
      <c r="ACI20" s="252">
        <v>0</v>
      </c>
      <c r="ACJ20" s="252">
        <v>0</v>
      </c>
      <c r="ACK20" s="252">
        <v>0</v>
      </c>
      <c r="ACL20" s="252">
        <v>0</v>
      </c>
      <c r="ACM20" s="252">
        <v>0</v>
      </c>
      <c r="ACN20" s="252">
        <v>0</v>
      </c>
      <c r="ACO20" s="252">
        <v>0</v>
      </c>
      <c r="ACP20" s="252">
        <v>0</v>
      </c>
      <c r="ACQ20" s="252">
        <v>0</v>
      </c>
      <c r="ACR20" s="252">
        <v>0</v>
      </c>
      <c r="ACS20" s="252">
        <v>0</v>
      </c>
      <c r="ACT20" s="252">
        <v>0</v>
      </c>
      <c r="ACU20" s="252">
        <v>0</v>
      </c>
      <c r="ACV20" s="252">
        <v>0</v>
      </c>
      <c r="ACW20" s="252">
        <v>0</v>
      </c>
      <c r="ACX20" s="252">
        <v>0</v>
      </c>
      <c r="ACY20" s="252">
        <v>0</v>
      </c>
      <c r="ACZ20" s="252">
        <v>0</v>
      </c>
      <c r="ADA20" s="252">
        <v>0</v>
      </c>
      <c r="ADB20" s="252">
        <v>0</v>
      </c>
      <c r="ADC20" s="252">
        <v>0</v>
      </c>
      <c r="ADD20" s="252">
        <v>0</v>
      </c>
      <c r="ADE20" s="252">
        <v>0</v>
      </c>
      <c r="ADF20" s="252">
        <v>0</v>
      </c>
      <c r="ADG20" s="252">
        <v>0</v>
      </c>
      <c r="ADH20" s="252">
        <v>0</v>
      </c>
      <c r="ADI20" s="252">
        <v>0</v>
      </c>
      <c r="ADJ20" s="252">
        <v>0</v>
      </c>
      <c r="ADK20" s="252">
        <v>0</v>
      </c>
      <c r="ADL20" s="252">
        <v>0</v>
      </c>
      <c r="ADM20" s="252">
        <v>0</v>
      </c>
      <c r="ADN20" s="252">
        <v>0</v>
      </c>
      <c r="ADO20" s="252">
        <v>0</v>
      </c>
      <c r="ADP20" s="252">
        <v>0</v>
      </c>
      <c r="ADQ20" s="252">
        <v>0</v>
      </c>
      <c r="ADR20" s="252">
        <v>0</v>
      </c>
      <c r="ADS20" s="252">
        <v>0</v>
      </c>
      <c r="ADT20" s="252">
        <v>0</v>
      </c>
      <c r="ADU20" s="252">
        <v>0</v>
      </c>
      <c r="ADV20" s="252">
        <v>0</v>
      </c>
      <c r="ADW20" s="252">
        <v>0</v>
      </c>
      <c r="ADX20" s="252">
        <v>0</v>
      </c>
      <c r="ADY20" s="252">
        <v>0</v>
      </c>
      <c r="ADZ20" s="252">
        <v>0</v>
      </c>
      <c r="AEA20" s="252">
        <v>0</v>
      </c>
      <c r="AEB20" s="252">
        <v>0</v>
      </c>
      <c r="AEC20" s="252">
        <v>0</v>
      </c>
      <c r="AED20" s="252">
        <v>0</v>
      </c>
      <c r="AEE20" s="252">
        <v>0</v>
      </c>
      <c r="AEF20" s="252">
        <v>0</v>
      </c>
      <c r="AEG20" s="252">
        <v>0</v>
      </c>
      <c r="AEH20" s="252">
        <v>0</v>
      </c>
      <c r="AEI20" s="252">
        <v>0</v>
      </c>
      <c r="AEJ20" s="252">
        <v>0</v>
      </c>
      <c r="AEK20" s="252">
        <v>0</v>
      </c>
      <c r="AEL20" s="252">
        <v>0</v>
      </c>
      <c r="AEM20" s="252">
        <v>0</v>
      </c>
      <c r="AEN20" s="252">
        <v>0</v>
      </c>
      <c r="AEO20" s="252">
        <v>0</v>
      </c>
      <c r="AEP20" s="252">
        <v>0</v>
      </c>
      <c r="AEQ20" s="252">
        <v>0</v>
      </c>
      <c r="AER20" s="252">
        <v>0</v>
      </c>
      <c r="AES20" s="252">
        <v>0</v>
      </c>
      <c r="AET20" s="252">
        <v>0</v>
      </c>
      <c r="AEU20" s="252">
        <v>0</v>
      </c>
      <c r="AEV20" s="252">
        <v>0</v>
      </c>
      <c r="AEW20" s="252">
        <v>0</v>
      </c>
      <c r="AEX20" s="252">
        <v>0</v>
      </c>
      <c r="AEY20" s="252">
        <v>0</v>
      </c>
      <c r="AEZ20" s="252">
        <v>0</v>
      </c>
      <c r="AFA20" s="252">
        <v>0</v>
      </c>
      <c r="AFB20" s="252">
        <v>0</v>
      </c>
      <c r="AFC20" s="252">
        <v>0</v>
      </c>
      <c r="AFD20" s="252">
        <v>0</v>
      </c>
      <c r="AFE20" s="252">
        <v>0</v>
      </c>
      <c r="AFF20" s="252">
        <v>0</v>
      </c>
      <c r="AFG20" s="252">
        <v>0</v>
      </c>
      <c r="AFH20" s="252">
        <v>0</v>
      </c>
      <c r="AFI20" s="252">
        <v>0</v>
      </c>
      <c r="AFJ20" s="252">
        <v>0</v>
      </c>
      <c r="AFK20" s="252">
        <v>0</v>
      </c>
      <c r="AFL20" s="252">
        <v>0</v>
      </c>
      <c r="AFM20" s="252">
        <v>0</v>
      </c>
      <c r="AFN20" s="252">
        <v>0</v>
      </c>
      <c r="AFO20" s="252">
        <v>0</v>
      </c>
      <c r="AFP20" s="252">
        <v>0</v>
      </c>
      <c r="AFQ20" s="252">
        <v>0</v>
      </c>
      <c r="AFR20" s="252">
        <v>0</v>
      </c>
      <c r="AFS20" s="252">
        <v>0</v>
      </c>
      <c r="AFT20" s="252">
        <v>0</v>
      </c>
      <c r="AFU20" s="252">
        <v>0</v>
      </c>
      <c r="AFV20" s="252">
        <v>0</v>
      </c>
      <c r="AFW20" s="252">
        <v>0</v>
      </c>
      <c r="AFX20" s="252">
        <v>0</v>
      </c>
      <c r="AFY20" s="252">
        <v>0</v>
      </c>
      <c r="AFZ20" s="252">
        <v>0</v>
      </c>
      <c r="AGA20" s="252">
        <v>0</v>
      </c>
      <c r="AGB20" s="252">
        <v>0</v>
      </c>
      <c r="AGC20" s="252">
        <v>0</v>
      </c>
      <c r="AGD20" s="252">
        <v>0</v>
      </c>
      <c r="AGE20" s="252">
        <v>0</v>
      </c>
      <c r="AGF20" s="252">
        <v>0</v>
      </c>
      <c r="AGG20" s="252">
        <v>0</v>
      </c>
      <c r="AGH20" s="252">
        <v>0</v>
      </c>
      <c r="AGI20" s="252">
        <v>0</v>
      </c>
      <c r="AGJ20" s="252">
        <v>0</v>
      </c>
      <c r="AGK20" s="252">
        <v>0</v>
      </c>
      <c r="AGL20" s="252">
        <v>0</v>
      </c>
      <c r="AGM20" s="252">
        <v>0</v>
      </c>
      <c r="AGN20" s="252">
        <v>0</v>
      </c>
      <c r="AGO20" s="252">
        <v>0</v>
      </c>
      <c r="AGP20" s="252">
        <v>0</v>
      </c>
      <c r="AGQ20" s="252">
        <v>0</v>
      </c>
      <c r="AGR20" s="252">
        <v>0</v>
      </c>
      <c r="AGS20" s="252">
        <v>0</v>
      </c>
      <c r="AGT20" s="252">
        <v>0</v>
      </c>
      <c r="AGU20" s="252">
        <v>0</v>
      </c>
      <c r="AGV20" s="252">
        <v>0</v>
      </c>
      <c r="AGW20" s="252">
        <v>0</v>
      </c>
      <c r="AGX20" s="252">
        <v>0</v>
      </c>
      <c r="AGY20" s="252">
        <v>0</v>
      </c>
      <c r="AGZ20" s="252">
        <v>0</v>
      </c>
      <c r="AHA20" s="252">
        <v>0</v>
      </c>
      <c r="AHB20" s="252">
        <v>0</v>
      </c>
      <c r="AHC20" s="252">
        <v>0</v>
      </c>
      <c r="AHD20" s="252">
        <v>0</v>
      </c>
      <c r="AHE20" s="252">
        <v>0</v>
      </c>
      <c r="AHF20" s="252">
        <v>0</v>
      </c>
      <c r="AHG20" s="252">
        <v>0</v>
      </c>
      <c r="AHH20" s="252">
        <v>0</v>
      </c>
      <c r="AHI20" s="252">
        <v>0</v>
      </c>
      <c r="AHJ20" s="252">
        <v>0</v>
      </c>
      <c r="AHK20" s="252">
        <v>0</v>
      </c>
      <c r="AHL20" s="252">
        <v>0</v>
      </c>
      <c r="AHM20" s="252">
        <v>0</v>
      </c>
      <c r="AHN20" s="252">
        <v>0</v>
      </c>
      <c r="AHO20" s="252">
        <v>0</v>
      </c>
      <c r="AHP20" s="252">
        <v>0</v>
      </c>
      <c r="AHQ20" s="252">
        <v>0</v>
      </c>
      <c r="AHR20" s="252">
        <v>0</v>
      </c>
      <c r="AHS20" s="252">
        <v>0</v>
      </c>
      <c r="AHT20" s="252">
        <v>0</v>
      </c>
      <c r="AHU20" s="252">
        <v>0</v>
      </c>
      <c r="AHV20" s="252">
        <v>0</v>
      </c>
      <c r="AHW20" s="252">
        <v>0</v>
      </c>
      <c r="AHX20" s="252">
        <v>0</v>
      </c>
      <c r="AHY20" s="252">
        <v>0</v>
      </c>
      <c r="AHZ20" s="252">
        <v>0</v>
      </c>
      <c r="AIA20" s="252">
        <v>0</v>
      </c>
      <c r="AIB20" s="252">
        <v>0</v>
      </c>
      <c r="AIC20" s="252">
        <v>0</v>
      </c>
      <c r="AID20" s="252">
        <v>0</v>
      </c>
      <c r="AIE20" s="252">
        <v>0</v>
      </c>
      <c r="AIF20" s="252">
        <v>0</v>
      </c>
      <c r="AIG20" s="252">
        <v>0</v>
      </c>
      <c r="AIH20" s="252">
        <v>0</v>
      </c>
      <c r="AII20" s="252">
        <v>0</v>
      </c>
      <c r="AIJ20" s="252">
        <v>0</v>
      </c>
      <c r="AIK20" s="252">
        <v>0</v>
      </c>
      <c r="AIL20" s="252">
        <v>0</v>
      </c>
      <c r="AIM20" s="252">
        <v>0</v>
      </c>
      <c r="AIN20" s="252">
        <v>0</v>
      </c>
      <c r="AIO20" s="252">
        <v>0</v>
      </c>
      <c r="AIP20" s="252">
        <v>0</v>
      </c>
      <c r="AIQ20" s="252">
        <v>0</v>
      </c>
      <c r="AIR20" s="252">
        <v>0</v>
      </c>
      <c r="AIS20" s="252">
        <v>0</v>
      </c>
      <c r="AIT20" s="252">
        <v>0</v>
      </c>
      <c r="AIU20" s="252">
        <v>0</v>
      </c>
      <c r="AIV20" s="252">
        <v>0</v>
      </c>
      <c r="AIW20" s="252">
        <v>0</v>
      </c>
      <c r="AIX20" s="252">
        <v>0</v>
      </c>
      <c r="AIY20" s="252">
        <v>0</v>
      </c>
      <c r="AIZ20" s="252">
        <v>0</v>
      </c>
      <c r="AJA20" s="252">
        <v>0</v>
      </c>
      <c r="AJB20" s="252">
        <v>0</v>
      </c>
      <c r="AJC20" s="252">
        <v>0</v>
      </c>
      <c r="AJD20" s="252">
        <v>0</v>
      </c>
      <c r="AJE20" s="252">
        <v>0</v>
      </c>
      <c r="AJF20" s="252">
        <v>0</v>
      </c>
      <c r="AJG20" s="252">
        <v>0</v>
      </c>
      <c r="AJH20" s="252">
        <v>0</v>
      </c>
      <c r="AJI20" s="252">
        <v>0</v>
      </c>
      <c r="AJJ20" s="252">
        <v>0</v>
      </c>
      <c r="AJK20" s="252">
        <v>0</v>
      </c>
      <c r="AJL20" s="252">
        <v>0</v>
      </c>
      <c r="AJM20" s="252">
        <v>0</v>
      </c>
      <c r="AJN20" s="252">
        <v>0</v>
      </c>
      <c r="AJO20" s="252">
        <v>0</v>
      </c>
      <c r="AJP20" s="252">
        <v>0</v>
      </c>
      <c r="AJQ20" s="252">
        <v>0</v>
      </c>
      <c r="AJR20" s="252">
        <v>0</v>
      </c>
      <c r="AJS20" s="252">
        <v>0</v>
      </c>
      <c r="AJT20" s="252">
        <v>0</v>
      </c>
      <c r="AJU20" s="252">
        <v>0</v>
      </c>
      <c r="AJV20" s="252">
        <v>0</v>
      </c>
      <c r="AJW20" s="252">
        <v>0</v>
      </c>
      <c r="AJX20" s="252">
        <v>0</v>
      </c>
      <c r="AJY20" s="252">
        <v>0</v>
      </c>
      <c r="AJZ20" s="252">
        <v>0</v>
      </c>
      <c r="AKA20" s="252">
        <v>0</v>
      </c>
      <c r="AKB20" s="252">
        <v>0</v>
      </c>
      <c r="AKC20" s="252">
        <v>0</v>
      </c>
      <c r="AKD20" s="252">
        <v>0</v>
      </c>
      <c r="AKE20" s="252">
        <v>0</v>
      </c>
      <c r="AKF20" s="252">
        <v>0</v>
      </c>
      <c r="AKG20" s="252">
        <v>0</v>
      </c>
      <c r="AKH20" s="252">
        <v>0</v>
      </c>
      <c r="AKI20" s="252">
        <v>0</v>
      </c>
      <c r="AKJ20" s="252">
        <v>0</v>
      </c>
      <c r="AKK20" s="252">
        <v>0</v>
      </c>
      <c r="AKL20" s="252">
        <v>0</v>
      </c>
      <c r="AKM20" s="252">
        <v>0</v>
      </c>
      <c r="AKN20" s="252">
        <v>0</v>
      </c>
      <c r="AKO20" s="252">
        <v>0</v>
      </c>
      <c r="AKP20" s="252">
        <v>0</v>
      </c>
      <c r="AKQ20" s="252">
        <v>0</v>
      </c>
      <c r="AKR20" s="252">
        <v>0</v>
      </c>
      <c r="AKS20" s="252">
        <v>0</v>
      </c>
      <c r="AKT20" s="252">
        <v>0</v>
      </c>
      <c r="AKU20" s="252">
        <v>0</v>
      </c>
      <c r="AKV20" s="252">
        <v>0</v>
      </c>
      <c r="AKW20" s="252">
        <v>0</v>
      </c>
      <c r="AKX20" s="252">
        <v>0</v>
      </c>
      <c r="AKY20" s="252">
        <v>0</v>
      </c>
      <c r="AKZ20" s="252">
        <v>0</v>
      </c>
      <c r="ALA20" s="252">
        <v>0</v>
      </c>
      <c r="ALB20" s="252">
        <v>0</v>
      </c>
      <c r="ALC20" s="252">
        <v>0</v>
      </c>
      <c r="ALD20" s="252">
        <v>0</v>
      </c>
      <c r="ALE20" s="252">
        <v>0</v>
      </c>
      <c r="ALF20" s="252">
        <v>0</v>
      </c>
      <c r="ALG20" s="252">
        <v>0</v>
      </c>
      <c r="ALH20" s="252">
        <v>0</v>
      </c>
      <c r="ALI20" s="252">
        <v>0</v>
      </c>
      <c r="ALJ20" s="252">
        <v>0</v>
      </c>
      <c r="ALK20" s="252">
        <v>0</v>
      </c>
      <c r="ALL20" s="252">
        <v>0</v>
      </c>
      <c r="ALM20" s="252">
        <v>0</v>
      </c>
      <c r="ALN20" s="252">
        <v>0</v>
      </c>
      <c r="ALO20" s="252">
        <v>0</v>
      </c>
      <c r="ALP20" s="252">
        <v>0</v>
      </c>
      <c r="ALQ20" s="252">
        <v>0</v>
      </c>
      <c r="ALR20" s="252">
        <v>0</v>
      </c>
      <c r="ALS20" s="252">
        <v>0</v>
      </c>
      <c r="ALT20" s="252">
        <v>0</v>
      </c>
      <c r="ALU20" s="252">
        <v>0</v>
      </c>
      <c r="ALV20" s="252">
        <v>0</v>
      </c>
      <c r="ALW20" s="252">
        <v>0</v>
      </c>
      <c r="ALX20" s="252">
        <v>0</v>
      </c>
      <c r="ALY20" s="252">
        <v>0</v>
      </c>
      <c r="ALZ20" s="252">
        <v>0</v>
      </c>
      <c r="AMA20" s="252">
        <v>0</v>
      </c>
      <c r="AMB20" s="252">
        <v>0</v>
      </c>
      <c r="AMC20" s="252">
        <v>0</v>
      </c>
      <c r="AMD20" s="252">
        <v>0</v>
      </c>
      <c r="AME20" s="252">
        <v>0</v>
      </c>
      <c r="AMF20" s="252">
        <v>0</v>
      </c>
      <c r="AMG20" s="252">
        <v>0</v>
      </c>
      <c r="AMH20" s="252">
        <v>0</v>
      </c>
      <c r="AMI20" s="252">
        <v>0</v>
      </c>
      <c r="AMJ20" s="252">
        <v>0</v>
      </c>
      <c r="AMK20" s="252">
        <v>0</v>
      </c>
      <c r="AML20" s="252">
        <v>0</v>
      </c>
      <c r="AMM20" s="252">
        <v>0</v>
      </c>
      <c r="AMN20" s="252">
        <v>0</v>
      </c>
      <c r="AMO20" s="252">
        <v>0</v>
      </c>
      <c r="AMP20" s="252">
        <v>0</v>
      </c>
      <c r="AMQ20" s="252">
        <v>0</v>
      </c>
      <c r="AMR20" s="252">
        <v>0</v>
      </c>
      <c r="AMS20" s="252">
        <v>0</v>
      </c>
      <c r="AMT20" s="252">
        <v>0</v>
      </c>
      <c r="AMU20" s="252">
        <v>0</v>
      </c>
      <c r="AMV20" s="252">
        <v>0</v>
      </c>
      <c r="AMW20" s="252">
        <v>0</v>
      </c>
      <c r="AMX20" s="252">
        <v>0</v>
      </c>
      <c r="AMY20" s="252">
        <v>0</v>
      </c>
      <c r="AMZ20" s="252">
        <v>0</v>
      </c>
      <c r="ANA20" s="252">
        <v>0</v>
      </c>
      <c r="ANB20" s="252">
        <v>0</v>
      </c>
      <c r="ANC20" s="252">
        <v>0</v>
      </c>
      <c r="AND20" s="252">
        <v>0</v>
      </c>
      <c r="ANE20" s="252">
        <v>0</v>
      </c>
      <c r="ANF20" s="252">
        <v>0</v>
      </c>
      <c r="ANG20" s="252">
        <v>0</v>
      </c>
      <c r="ANH20" s="252">
        <v>0</v>
      </c>
      <c r="ANI20" s="252">
        <v>0</v>
      </c>
      <c r="ANJ20" s="252">
        <v>0</v>
      </c>
      <c r="ANK20" s="252">
        <v>0</v>
      </c>
      <c r="ANL20" s="252">
        <v>0</v>
      </c>
      <c r="ANM20" s="252">
        <v>0</v>
      </c>
      <c r="ANN20" s="252">
        <v>0</v>
      </c>
      <c r="ANO20" s="252">
        <v>0</v>
      </c>
      <c r="ANP20" s="252">
        <v>0</v>
      </c>
      <c r="ANQ20" s="252">
        <v>0</v>
      </c>
      <c r="ANR20" s="252">
        <v>0</v>
      </c>
      <c r="ANS20" s="252">
        <v>0</v>
      </c>
      <c r="ANT20" s="252">
        <v>0</v>
      </c>
      <c r="ANU20" s="252">
        <v>0</v>
      </c>
      <c r="ANV20" s="252">
        <v>0</v>
      </c>
      <c r="ANW20" s="252">
        <v>0</v>
      </c>
      <c r="ANX20" s="252">
        <v>0</v>
      </c>
      <c r="ANY20" s="252">
        <v>0</v>
      </c>
      <c r="ANZ20" s="252">
        <v>0</v>
      </c>
      <c r="AOA20" s="252">
        <v>0</v>
      </c>
      <c r="AOB20" s="252">
        <v>0</v>
      </c>
      <c r="AOC20" s="252">
        <v>0</v>
      </c>
      <c r="AOD20" s="252">
        <v>0</v>
      </c>
      <c r="AOE20" s="252">
        <v>0</v>
      </c>
      <c r="AOF20" s="252">
        <v>0</v>
      </c>
      <c r="AOG20" s="252">
        <v>0</v>
      </c>
      <c r="AOH20" s="252">
        <v>0</v>
      </c>
      <c r="AOI20" s="252">
        <v>0</v>
      </c>
      <c r="AOJ20" s="252">
        <v>0</v>
      </c>
      <c r="AOK20" s="252">
        <v>0</v>
      </c>
      <c r="AOL20" s="252">
        <v>0</v>
      </c>
      <c r="AOM20" s="252">
        <v>0</v>
      </c>
      <c r="AON20" s="252">
        <v>0</v>
      </c>
      <c r="AOO20" s="252">
        <v>0</v>
      </c>
      <c r="AOP20" s="252">
        <v>0</v>
      </c>
      <c r="AOQ20" s="252">
        <v>0</v>
      </c>
      <c r="AOR20" s="252">
        <v>0</v>
      </c>
      <c r="AOS20" s="252">
        <v>0</v>
      </c>
      <c r="AOT20" s="252">
        <v>0</v>
      </c>
      <c r="AOU20" s="252">
        <v>0</v>
      </c>
      <c r="AOV20" s="252">
        <v>0</v>
      </c>
      <c r="AOW20" s="252">
        <v>0</v>
      </c>
      <c r="AOX20" s="252">
        <v>0</v>
      </c>
      <c r="AOY20" s="252">
        <v>0</v>
      </c>
      <c r="AOZ20" s="252">
        <v>0</v>
      </c>
      <c r="APA20" s="252">
        <v>0</v>
      </c>
      <c r="APB20" s="252">
        <v>0</v>
      </c>
      <c r="APC20" s="252">
        <v>0</v>
      </c>
      <c r="APD20" s="252">
        <v>0</v>
      </c>
      <c r="APE20" s="252">
        <v>0</v>
      </c>
      <c r="APF20" s="252">
        <v>0</v>
      </c>
      <c r="APG20" s="252">
        <v>0</v>
      </c>
      <c r="APH20" s="252">
        <v>0</v>
      </c>
      <c r="API20" s="252">
        <v>0</v>
      </c>
      <c r="APJ20" s="252">
        <v>0</v>
      </c>
      <c r="APK20" s="252">
        <v>0</v>
      </c>
      <c r="APL20" s="252">
        <v>0</v>
      </c>
      <c r="APM20" s="252">
        <v>0</v>
      </c>
      <c r="APN20" s="252">
        <v>0</v>
      </c>
      <c r="APO20" s="252">
        <v>0</v>
      </c>
      <c r="APP20" s="252">
        <v>0</v>
      </c>
      <c r="APQ20" s="252">
        <v>0</v>
      </c>
      <c r="APR20" s="252">
        <v>0</v>
      </c>
      <c r="APS20" s="252">
        <v>0</v>
      </c>
      <c r="APT20" s="252">
        <v>0</v>
      </c>
      <c r="APU20" s="252">
        <v>0</v>
      </c>
      <c r="APV20" s="252">
        <v>0</v>
      </c>
      <c r="APW20" s="252">
        <v>0</v>
      </c>
      <c r="APX20" s="252">
        <v>0</v>
      </c>
      <c r="APY20" s="252">
        <v>0</v>
      </c>
      <c r="APZ20" s="252">
        <v>0</v>
      </c>
      <c r="AQA20" s="252">
        <v>0</v>
      </c>
      <c r="AQB20" s="252">
        <v>0</v>
      </c>
      <c r="AQC20" s="252">
        <v>0</v>
      </c>
      <c r="AQD20" s="252">
        <v>0</v>
      </c>
      <c r="AQE20" s="252">
        <v>0</v>
      </c>
      <c r="AQF20" s="252">
        <v>0</v>
      </c>
      <c r="AQG20" s="252">
        <v>0</v>
      </c>
      <c r="AQH20" s="252">
        <v>0</v>
      </c>
      <c r="AQI20" s="252">
        <v>0</v>
      </c>
      <c r="AQJ20" s="252">
        <v>0</v>
      </c>
      <c r="AQK20" s="252">
        <v>0</v>
      </c>
      <c r="AQL20" s="252">
        <v>0</v>
      </c>
      <c r="AQM20" s="252">
        <v>0</v>
      </c>
      <c r="AQN20" s="252">
        <v>0</v>
      </c>
      <c r="AQO20" s="252">
        <v>0</v>
      </c>
      <c r="AQP20" s="252">
        <v>0</v>
      </c>
      <c r="AQQ20" s="252">
        <v>0</v>
      </c>
      <c r="AQR20" s="252">
        <v>0</v>
      </c>
      <c r="AQS20" s="252">
        <v>0</v>
      </c>
      <c r="AQT20" s="252">
        <v>0</v>
      </c>
      <c r="AQU20" s="252">
        <v>0</v>
      </c>
      <c r="AQV20" s="252">
        <v>0</v>
      </c>
      <c r="AQW20" s="252">
        <v>0</v>
      </c>
      <c r="AQX20" s="252">
        <v>0</v>
      </c>
      <c r="AQY20" s="252">
        <v>0</v>
      </c>
      <c r="AQZ20" s="252">
        <v>0</v>
      </c>
      <c r="ARA20" s="252">
        <v>0</v>
      </c>
      <c r="ARB20" s="252">
        <v>0</v>
      </c>
      <c r="ARC20" s="252">
        <v>0</v>
      </c>
      <c r="ARD20" s="252">
        <v>0</v>
      </c>
      <c r="ARE20" s="252">
        <v>0</v>
      </c>
      <c r="ARF20" s="252">
        <v>0</v>
      </c>
      <c r="ARG20" s="252">
        <v>0</v>
      </c>
      <c r="ARH20" s="252">
        <v>0</v>
      </c>
      <c r="ARI20" s="252">
        <v>0</v>
      </c>
      <c r="ARJ20" s="252">
        <v>0</v>
      </c>
      <c r="ARK20" s="252">
        <v>0</v>
      </c>
      <c r="ARL20" s="252">
        <v>0</v>
      </c>
      <c r="ARM20" s="252">
        <v>0</v>
      </c>
      <c r="ARN20" s="252">
        <v>0</v>
      </c>
      <c r="ARO20" s="252">
        <v>0</v>
      </c>
      <c r="ARP20" s="252">
        <v>0</v>
      </c>
      <c r="ARQ20" s="252">
        <v>0</v>
      </c>
      <c r="ARR20" s="252">
        <v>0</v>
      </c>
      <c r="ARS20" s="252">
        <v>0</v>
      </c>
      <c r="ART20" s="252">
        <v>0</v>
      </c>
      <c r="ARU20" s="252">
        <v>0</v>
      </c>
      <c r="ARV20" s="252">
        <v>0</v>
      </c>
      <c r="ARW20" s="252">
        <v>0</v>
      </c>
      <c r="ARX20" s="252">
        <v>0</v>
      </c>
      <c r="ARY20" s="252">
        <v>0</v>
      </c>
      <c r="ARZ20" s="252">
        <v>0</v>
      </c>
      <c r="ASA20" s="252">
        <v>0</v>
      </c>
      <c r="ASB20" s="252">
        <v>0</v>
      </c>
      <c r="ASC20" s="252">
        <v>0</v>
      </c>
      <c r="ASD20" s="252">
        <v>0</v>
      </c>
      <c r="ASE20" s="252">
        <v>0</v>
      </c>
      <c r="ASF20" s="252">
        <v>0</v>
      </c>
      <c r="ASG20" s="252">
        <v>0</v>
      </c>
      <c r="ASH20" s="252">
        <v>0</v>
      </c>
      <c r="ASI20" s="252">
        <v>0</v>
      </c>
      <c r="ASJ20" s="252">
        <v>0</v>
      </c>
      <c r="ASK20" s="252">
        <v>0</v>
      </c>
      <c r="ASL20" s="252">
        <v>0</v>
      </c>
      <c r="ASM20" s="252">
        <v>0</v>
      </c>
      <c r="ASN20" s="252">
        <v>0</v>
      </c>
      <c r="ASO20" s="252">
        <v>0</v>
      </c>
      <c r="ASP20" s="252">
        <v>0</v>
      </c>
      <c r="ASQ20" s="252">
        <v>0</v>
      </c>
      <c r="ASR20" s="252">
        <v>0</v>
      </c>
      <c r="ASS20" s="252">
        <v>0</v>
      </c>
      <c r="AST20" s="252">
        <v>0</v>
      </c>
      <c r="ASU20" s="252">
        <v>0</v>
      </c>
      <c r="ASV20" s="252">
        <v>0</v>
      </c>
      <c r="ASW20" s="252">
        <v>0</v>
      </c>
      <c r="ASX20" s="252">
        <v>0</v>
      </c>
      <c r="ASY20" s="252">
        <v>0</v>
      </c>
      <c r="ASZ20" s="252">
        <v>0</v>
      </c>
      <c r="ATA20" s="252">
        <v>0</v>
      </c>
      <c r="ATB20" s="252">
        <v>0</v>
      </c>
      <c r="ATC20" s="252">
        <v>0</v>
      </c>
      <c r="ATD20" s="252">
        <v>0</v>
      </c>
      <c r="ATE20" s="252">
        <v>0</v>
      </c>
      <c r="ATF20" s="252">
        <v>0</v>
      </c>
      <c r="ATG20" s="252">
        <v>0</v>
      </c>
      <c r="ATH20" s="252">
        <v>0</v>
      </c>
      <c r="ATI20" s="252">
        <v>0</v>
      </c>
      <c r="ATJ20" s="252">
        <v>0</v>
      </c>
      <c r="ATK20" s="252">
        <v>0</v>
      </c>
      <c r="ATL20" s="252">
        <v>0</v>
      </c>
      <c r="ATM20" s="252">
        <v>0</v>
      </c>
      <c r="ATN20" s="252">
        <v>0</v>
      </c>
      <c r="ATO20" s="252">
        <v>0</v>
      </c>
      <c r="ATP20" s="252">
        <v>0</v>
      </c>
      <c r="ATQ20" s="252">
        <v>0</v>
      </c>
      <c r="ATR20" s="252">
        <v>0</v>
      </c>
      <c r="ATS20" s="252">
        <v>0</v>
      </c>
      <c r="ATT20" s="252">
        <v>0</v>
      </c>
      <c r="ATU20" s="252">
        <v>0</v>
      </c>
      <c r="ATV20" s="252">
        <v>0</v>
      </c>
      <c r="ATW20" s="252">
        <v>0</v>
      </c>
      <c r="ATX20" s="252">
        <v>0</v>
      </c>
      <c r="ATY20" s="252">
        <v>0</v>
      </c>
      <c r="ATZ20" s="252">
        <v>0</v>
      </c>
      <c r="AUA20" s="252">
        <v>0</v>
      </c>
      <c r="AUB20" s="252">
        <v>0</v>
      </c>
      <c r="AUC20" s="252">
        <v>0</v>
      </c>
      <c r="AUD20" s="252">
        <v>0</v>
      </c>
      <c r="AUE20" s="252">
        <v>0</v>
      </c>
      <c r="AUF20" s="252">
        <v>0</v>
      </c>
      <c r="AUG20" s="252">
        <v>0</v>
      </c>
      <c r="AUH20" s="252">
        <v>0</v>
      </c>
      <c r="AUI20" s="252">
        <v>0</v>
      </c>
      <c r="AUJ20" s="252">
        <v>0</v>
      </c>
      <c r="AUK20" s="252">
        <v>0</v>
      </c>
      <c r="AUL20" s="252">
        <v>0</v>
      </c>
      <c r="AUM20" s="252">
        <v>0</v>
      </c>
      <c r="AUN20" s="252">
        <v>0</v>
      </c>
      <c r="AUO20" s="252">
        <v>0</v>
      </c>
      <c r="AUP20" s="252">
        <v>0</v>
      </c>
      <c r="AUQ20" s="252">
        <v>0</v>
      </c>
      <c r="AUR20" s="252">
        <v>0</v>
      </c>
      <c r="AUS20" s="252">
        <v>0</v>
      </c>
      <c r="AUT20" s="252">
        <v>0</v>
      </c>
      <c r="AUU20" s="252">
        <v>0</v>
      </c>
      <c r="AUV20" s="252">
        <v>0</v>
      </c>
      <c r="AUW20" s="252">
        <v>0</v>
      </c>
      <c r="AUX20" s="252">
        <v>0</v>
      </c>
      <c r="AUY20" s="252">
        <v>0</v>
      </c>
      <c r="AUZ20" s="252">
        <v>0</v>
      </c>
      <c r="AVA20" s="252">
        <v>0</v>
      </c>
      <c r="AVB20" s="252">
        <v>0</v>
      </c>
      <c r="AVC20" s="252">
        <v>0</v>
      </c>
      <c r="AVD20" s="252">
        <v>0</v>
      </c>
      <c r="AVE20" s="252">
        <v>0</v>
      </c>
      <c r="AVF20" s="252">
        <v>0</v>
      </c>
      <c r="AVG20" s="252">
        <v>0</v>
      </c>
      <c r="AVH20" s="252">
        <v>0</v>
      </c>
      <c r="AVI20" s="252">
        <v>0</v>
      </c>
      <c r="AVJ20" s="252">
        <v>0</v>
      </c>
      <c r="AVK20" s="252">
        <v>0</v>
      </c>
      <c r="AVL20" s="252">
        <v>0</v>
      </c>
      <c r="AVM20" s="252">
        <v>0</v>
      </c>
      <c r="AVN20" s="252">
        <v>0</v>
      </c>
      <c r="AVO20" s="252">
        <v>0</v>
      </c>
      <c r="AVP20" s="252">
        <v>0</v>
      </c>
      <c r="AVQ20" s="252">
        <v>0</v>
      </c>
      <c r="AVR20" s="252">
        <v>0</v>
      </c>
      <c r="AVS20" s="252">
        <v>0</v>
      </c>
      <c r="AVT20" s="252">
        <v>0</v>
      </c>
      <c r="AVU20" s="252">
        <v>0</v>
      </c>
      <c r="AVV20" s="252">
        <v>0</v>
      </c>
      <c r="AVW20" s="252">
        <v>0</v>
      </c>
      <c r="AVX20" s="252">
        <v>0</v>
      </c>
      <c r="AVY20" s="252">
        <v>0</v>
      </c>
      <c r="AVZ20" s="252">
        <v>0</v>
      </c>
      <c r="AWA20" s="252">
        <v>0</v>
      </c>
      <c r="AWB20" s="252">
        <v>0</v>
      </c>
      <c r="AWC20" s="252">
        <v>0</v>
      </c>
      <c r="AWD20" s="252">
        <v>0</v>
      </c>
      <c r="AWE20" s="252">
        <v>0</v>
      </c>
      <c r="AWF20" s="252">
        <v>0</v>
      </c>
      <c r="AWG20" s="252">
        <v>0</v>
      </c>
      <c r="AWH20" s="252">
        <v>0</v>
      </c>
      <c r="AWI20" s="252">
        <v>0</v>
      </c>
      <c r="AWJ20" s="252">
        <v>0</v>
      </c>
      <c r="AWK20" s="252">
        <v>0</v>
      </c>
      <c r="AWL20" s="252">
        <v>0</v>
      </c>
      <c r="AWM20" s="252">
        <v>0</v>
      </c>
      <c r="AWN20" s="252">
        <v>0</v>
      </c>
      <c r="AWO20" s="252">
        <v>0</v>
      </c>
      <c r="AWP20" s="252">
        <v>0</v>
      </c>
      <c r="AWQ20" s="252">
        <v>0</v>
      </c>
      <c r="AWR20" s="252">
        <v>0</v>
      </c>
      <c r="AWS20" s="252">
        <v>0</v>
      </c>
      <c r="AWT20" s="252">
        <v>0</v>
      </c>
      <c r="AWU20" s="252">
        <v>0</v>
      </c>
      <c r="AWV20" s="252">
        <v>0</v>
      </c>
      <c r="AWW20" s="252">
        <v>0</v>
      </c>
      <c r="AWX20" s="252">
        <v>0</v>
      </c>
      <c r="AWY20" s="252">
        <v>0</v>
      </c>
      <c r="AWZ20" s="252">
        <v>0</v>
      </c>
      <c r="AXA20" s="252">
        <v>0</v>
      </c>
      <c r="AXB20" s="252">
        <v>0</v>
      </c>
      <c r="AXC20" s="252">
        <v>0</v>
      </c>
      <c r="AXD20" s="252">
        <v>0</v>
      </c>
      <c r="AXE20" s="252">
        <v>0</v>
      </c>
      <c r="AXF20" s="252">
        <v>0</v>
      </c>
      <c r="AXG20" s="252">
        <v>0</v>
      </c>
      <c r="AXH20" s="252">
        <v>0</v>
      </c>
      <c r="AXI20" s="252">
        <v>0</v>
      </c>
      <c r="AXJ20" s="252">
        <v>0</v>
      </c>
      <c r="AXK20" s="252">
        <v>0</v>
      </c>
      <c r="AXL20" s="252">
        <v>0</v>
      </c>
      <c r="AXM20" s="252">
        <v>0</v>
      </c>
      <c r="AXN20" s="252">
        <v>0</v>
      </c>
      <c r="AXO20" s="252">
        <v>0</v>
      </c>
      <c r="AXP20" s="252">
        <v>0</v>
      </c>
      <c r="AXQ20" s="252">
        <v>0</v>
      </c>
      <c r="AXR20" s="252">
        <v>0</v>
      </c>
      <c r="AXS20" s="252">
        <v>0</v>
      </c>
      <c r="AXT20" s="252">
        <v>0</v>
      </c>
      <c r="AXU20" s="252">
        <v>0</v>
      </c>
      <c r="AXV20" s="252">
        <v>0</v>
      </c>
      <c r="AXW20" s="252">
        <v>0</v>
      </c>
      <c r="AXX20" s="252">
        <v>0</v>
      </c>
      <c r="AXY20" s="252">
        <v>0</v>
      </c>
      <c r="AXZ20" s="252">
        <v>0</v>
      </c>
      <c r="AYA20" s="252">
        <v>0</v>
      </c>
      <c r="AYB20" s="252">
        <v>0</v>
      </c>
      <c r="AYC20" s="252">
        <v>0</v>
      </c>
      <c r="AYD20" s="252">
        <v>0</v>
      </c>
      <c r="AYE20" s="252">
        <v>0</v>
      </c>
      <c r="AYF20" s="252">
        <v>0</v>
      </c>
      <c r="AYG20" s="252">
        <v>0</v>
      </c>
      <c r="AYH20" s="252">
        <v>0</v>
      </c>
      <c r="AYI20" s="252">
        <v>0</v>
      </c>
      <c r="AYJ20" s="252">
        <v>0</v>
      </c>
      <c r="AYK20" s="252">
        <v>0</v>
      </c>
      <c r="AYL20" s="252">
        <v>0</v>
      </c>
      <c r="AYM20" s="252">
        <v>0</v>
      </c>
      <c r="AYN20" s="252">
        <v>0</v>
      </c>
      <c r="AYO20" s="252">
        <v>0</v>
      </c>
      <c r="AYP20" s="252">
        <v>0</v>
      </c>
      <c r="AYQ20" s="252">
        <v>0</v>
      </c>
      <c r="AYR20" s="252">
        <v>0</v>
      </c>
      <c r="AYS20" s="252">
        <v>0</v>
      </c>
      <c r="AYT20" s="252">
        <v>0</v>
      </c>
      <c r="AYU20" s="252">
        <v>0</v>
      </c>
      <c r="AYV20" s="252">
        <v>0</v>
      </c>
      <c r="AYW20" s="252">
        <v>0</v>
      </c>
      <c r="AYX20" s="252">
        <v>0</v>
      </c>
      <c r="AYY20" s="252">
        <v>0</v>
      </c>
      <c r="AYZ20" s="252">
        <v>0</v>
      </c>
      <c r="AZA20" s="252">
        <v>0</v>
      </c>
      <c r="AZB20" s="252">
        <v>0</v>
      </c>
      <c r="AZC20" s="252">
        <v>0</v>
      </c>
      <c r="AZD20" s="252">
        <v>0</v>
      </c>
      <c r="AZE20" s="252">
        <v>0</v>
      </c>
      <c r="AZF20" s="252">
        <v>0</v>
      </c>
      <c r="AZG20" s="252">
        <v>0</v>
      </c>
      <c r="AZH20" s="252">
        <v>0</v>
      </c>
      <c r="AZI20" s="252">
        <v>0</v>
      </c>
      <c r="AZJ20" s="252">
        <v>0</v>
      </c>
      <c r="AZK20" s="252">
        <v>0</v>
      </c>
      <c r="AZL20" s="252">
        <v>0</v>
      </c>
      <c r="AZM20" s="252">
        <v>0</v>
      </c>
      <c r="AZN20" s="252">
        <v>0</v>
      </c>
      <c r="AZO20" s="252">
        <v>0</v>
      </c>
      <c r="AZP20" s="252">
        <v>0</v>
      </c>
      <c r="AZQ20" s="252">
        <v>0</v>
      </c>
      <c r="AZR20" s="252">
        <v>0</v>
      </c>
      <c r="AZS20" s="252">
        <v>0</v>
      </c>
      <c r="AZT20" s="252">
        <v>0</v>
      </c>
      <c r="AZU20" s="252">
        <v>0</v>
      </c>
      <c r="AZV20" s="252">
        <v>0</v>
      </c>
      <c r="AZW20" s="252">
        <v>0</v>
      </c>
      <c r="AZX20" s="252">
        <v>0</v>
      </c>
      <c r="AZY20" s="252">
        <v>0</v>
      </c>
      <c r="AZZ20" s="252">
        <v>0</v>
      </c>
      <c r="BAA20" s="252">
        <v>0</v>
      </c>
      <c r="BAB20" s="252">
        <v>0</v>
      </c>
      <c r="BAC20" s="252">
        <v>0</v>
      </c>
      <c r="BAD20" s="252">
        <v>0</v>
      </c>
      <c r="BAE20" s="252">
        <v>0</v>
      </c>
      <c r="BAF20" s="252">
        <v>0</v>
      </c>
      <c r="BAG20" s="252">
        <v>0</v>
      </c>
      <c r="BAH20" s="252">
        <v>0</v>
      </c>
      <c r="BAI20" s="252">
        <v>0</v>
      </c>
      <c r="BAJ20" s="252">
        <v>0</v>
      </c>
      <c r="BAK20" s="252">
        <v>0</v>
      </c>
      <c r="BAL20" s="252">
        <v>0</v>
      </c>
      <c r="BAM20" s="252">
        <v>0</v>
      </c>
      <c r="BAN20" s="252">
        <v>0</v>
      </c>
      <c r="BAO20" s="252">
        <v>0</v>
      </c>
      <c r="BAP20" s="252">
        <v>0</v>
      </c>
      <c r="BAQ20" s="252">
        <v>0</v>
      </c>
      <c r="BAR20" s="252">
        <v>0</v>
      </c>
      <c r="BAS20" s="252">
        <v>0</v>
      </c>
      <c r="BAT20" s="252">
        <v>0</v>
      </c>
      <c r="BAU20" s="252">
        <v>0</v>
      </c>
      <c r="BAV20" s="252">
        <v>0</v>
      </c>
      <c r="BAW20" s="252">
        <v>0</v>
      </c>
      <c r="BAX20" s="252">
        <v>0</v>
      </c>
      <c r="BAY20" s="252">
        <v>0</v>
      </c>
      <c r="BAZ20" s="252">
        <v>0</v>
      </c>
      <c r="BBA20" s="252">
        <v>0</v>
      </c>
      <c r="BBB20" s="252">
        <v>0</v>
      </c>
      <c r="BBC20" s="252">
        <v>0</v>
      </c>
      <c r="BBD20" s="252">
        <v>0</v>
      </c>
      <c r="BBE20" s="252">
        <v>0</v>
      </c>
      <c r="BBF20" s="252">
        <v>0</v>
      </c>
      <c r="BBG20" s="252">
        <v>0</v>
      </c>
      <c r="BBH20" s="252">
        <v>0</v>
      </c>
      <c r="BBI20" s="252">
        <v>0</v>
      </c>
      <c r="BBJ20" s="252">
        <v>0</v>
      </c>
      <c r="BBK20" s="252">
        <v>0</v>
      </c>
      <c r="BBL20" s="252">
        <v>0</v>
      </c>
      <c r="BBM20" s="252">
        <v>0</v>
      </c>
      <c r="BBN20" s="252">
        <v>0</v>
      </c>
      <c r="BBO20" s="252">
        <v>0</v>
      </c>
      <c r="BBP20" s="252">
        <v>0</v>
      </c>
      <c r="BBQ20" s="252">
        <v>0</v>
      </c>
      <c r="BBR20" s="252">
        <v>0</v>
      </c>
      <c r="BBS20" s="252">
        <v>0</v>
      </c>
      <c r="BBT20" s="252">
        <v>0</v>
      </c>
      <c r="BBU20" s="252">
        <v>0</v>
      </c>
      <c r="BBV20" s="252">
        <v>0</v>
      </c>
      <c r="BBW20" s="252">
        <v>0</v>
      </c>
      <c r="BBX20" s="252">
        <v>0</v>
      </c>
      <c r="BBY20" s="252">
        <v>0</v>
      </c>
      <c r="BBZ20" s="252">
        <v>0</v>
      </c>
      <c r="BCA20" s="252">
        <v>0</v>
      </c>
      <c r="BCB20" s="252">
        <v>0</v>
      </c>
      <c r="BCC20" s="252">
        <v>0</v>
      </c>
      <c r="BCD20" s="252">
        <v>0</v>
      </c>
      <c r="BCE20" s="252">
        <v>0</v>
      </c>
      <c r="BCF20" s="252">
        <v>0</v>
      </c>
      <c r="BCG20" s="252">
        <v>0</v>
      </c>
      <c r="BCH20" s="252">
        <v>0</v>
      </c>
      <c r="BCI20" s="252">
        <v>0</v>
      </c>
      <c r="BCJ20" s="252">
        <v>0</v>
      </c>
      <c r="BCK20" s="252">
        <v>0</v>
      </c>
      <c r="BCL20" s="252">
        <v>0</v>
      </c>
      <c r="BCM20" s="252">
        <v>0</v>
      </c>
      <c r="BCN20" s="252">
        <v>0</v>
      </c>
      <c r="BCO20" s="252">
        <v>0</v>
      </c>
      <c r="BCP20" s="252">
        <v>0</v>
      </c>
      <c r="BCQ20" s="252">
        <v>0</v>
      </c>
      <c r="BCR20" s="252">
        <v>0</v>
      </c>
      <c r="BCS20" s="252">
        <v>0</v>
      </c>
      <c r="BCT20" s="252">
        <v>0</v>
      </c>
      <c r="BCU20" s="252">
        <v>0</v>
      </c>
      <c r="BCV20" s="252">
        <v>0</v>
      </c>
      <c r="BCW20" s="252">
        <v>0</v>
      </c>
      <c r="BCX20" s="252">
        <v>0</v>
      </c>
      <c r="BCY20" s="252">
        <v>0</v>
      </c>
      <c r="BCZ20" s="252">
        <v>0</v>
      </c>
      <c r="BDA20" s="252">
        <v>0</v>
      </c>
      <c r="BDB20" s="252">
        <v>0</v>
      </c>
      <c r="BDC20" s="252">
        <v>0</v>
      </c>
      <c r="BDD20" s="252">
        <v>0</v>
      </c>
      <c r="BDE20" s="252">
        <v>0</v>
      </c>
      <c r="BDF20" s="252">
        <v>0</v>
      </c>
      <c r="BDG20" s="252">
        <v>0</v>
      </c>
      <c r="BDH20" s="252">
        <v>0</v>
      </c>
      <c r="BDI20" s="252">
        <v>0</v>
      </c>
      <c r="BDJ20" s="252">
        <v>0</v>
      </c>
      <c r="BDK20" s="252">
        <v>0</v>
      </c>
      <c r="BDL20" s="252">
        <v>0</v>
      </c>
      <c r="BDM20" s="252">
        <v>0</v>
      </c>
      <c r="BDN20" s="252">
        <v>0</v>
      </c>
      <c r="BDO20" s="252">
        <v>0</v>
      </c>
      <c r="BDP20" s="252">
        <v>0</v>
      </c>
      <c r="BDQ20" s="252">
        <v>0</v>
      </c>
      <c r="BDR20" s="252">
        <v>0</v>
      </c>
      <c r="BDS20" s="252">
        <v>0</v>
      </c>
      <c r="BDT20" s="252">
        <v>0</v>
      </c>
      <c r="BDU20" s="252">
        <v>0</v>
      </c>
      <c r="BDV20" s="252">
        <v>0</v>
      </c>
      <c r="BDW20" s="252">
        <v>0</v>
      </c>
      <c r="BDX20" s="252">
        <v>0</v>
      </c>
      <c r="BDY20" s="252">
        <v>0</v>
      </c>
      <c r="BDZ20" s="252">
        <v>0</v>
      </c>
      <c r="BEA20" s="252">
        <v>0</v>
      </c>
      <c r="BEB20" s="252">
        <v>0</v>
      </c>
      <c r="BEC20" s="252">
        <v>0</v>
      </c>
      <c r="BED20" s="252">
        <v>0</v>
      </c>
      <c r="BEE20" s="252">
        <v>0</v>
      </c>
      <c r="BEF20" s="252">
        <v>0</v>
      </c>
      <c r="BEG20" s="252">
        <v>0</v>
      </c>
      <c r="BEH20" s="252">
        <v>0</v>
      </c>
      <c r="BEI20" s="252">
        <v>0</v>
      </c>
      <c r="BEJ20" s="252">
        <v>0</v>
      </c>
      <c r="BEK20" s="252">
        <v>0</v>
      </c>
      <c r="BEL20" s="252">
        <v>0</v>
      </c>
      <c r="BEM20" s="252">
        <v>0</v>
      </c>
      <c r="BEN20" s="252">
        <v>0</v>
      </c>
      <c r="BEO20" s="252">
        <v>0</v>
      </c>
      <c r="BEP20" s="252">
        <v>0</v>
      </c>
      <c r="BEQ20" s="252">
        <v>0</v>
      </c>
      <c r="BER20" s="252">
        <v>0</v>
      </c>
      <c r="BES20" s="252">
        <v>0</v>
      </c>
      <c r="BET20" s="252">
        <v>0</v>
      </c>
      <c r="BEU20" s="252">
        <v>0</v>
      </c>
      <c r="BEV20" s="252">
        <v>0</v>
      </c>
      <c r="BEW20" s="252">
        <v>0</v>
      </c>
      <c r="BEX20" s="252">
        <v>0</v>
      </c>
      <c r="BEY20" s="252">
        <v>0</v>
      </c>
      <c r="BEZ20" s="252">
        <v>0</v>
      </c>
      <c r="BFA20" s="252">
        <v>0</v>
      </c>
      <c r="BFB20" s="252">
        <v>0</v>
      </c>
      <c r="BFC20" s="252">
        <v>0</v>
      </c>
      <c r="BFD20" s="252">
        <v>0</v>
      </c>
      <c r="BFE20" s="252">
        <v>0</v>
      </c>
      <c r="BFF20" s="252">
        <v>0</v>
      </c>
      <c r="BFG20" s="252">
        <v>0</v>
      </c>
      <c r="BFH20" s="252">
        <v>0</v>
      </c>
      <c r="BFI20" s="252">
        <v>0</v>
      </c>
      <c r="BFJ20" s="252">
        <v>0</v>
      </c>
      <c r="BFK20" s="252">
        <v>0</v>
      </c>
      <c r="BFL20" s="252">
        <v>0</v>
      </c>
      <c r="BFM20" s="252">
        <v>0</v>
      </c>
      <c r="BFN20" s="252">
        <v>0</v>
      </c>
      <c r="BFO20" s="252">
        <v>0</v>
      </c>
      <c r="BFP20" s="252">
        <v>0</v>
      </c>
      <c r="BFQ20" s="252">
        <v>0</v>
      </c>
      <c r="BFR20" s="252">
        <v>0</v>
      </c>
      <c r="BFS20" s="252">
        <v>0</v>
      </c>
      <c r="BFT20" s="252">
        <v>0</v>
      </c>
      <c r="BFU20" s="252">
        <v>0</v>
      </c>
      <c r="BFV20" s="252">
        <v>0</v>
      </c>
      <c r="BFW20" s="252">
        <v>0</v>
      </c>
      <c r="BFX20" s="252">
        <v>0</v>
      </c>
      <c r="BFY20" s="252">
        <v>0</v>
      </c>
      <c r="BFZ20" s="252">
        <v>0</v>
      </c>
      <c r="BGA20" s="252">
        <v>0</v>
      </c>
      <c r="BGB20" s="252">
        <v>0</v>
      </c>
      <c r="BGC20" s="252">
        <v>0</v>
      </c>
      <c r="BGD20" s="252">
        <v>0</v>
      </c>
      <c r="BGE20" s="252">
        <v>0</v>
      </c>
      <c r="BGF20" s="252">
        <v>0</v>
      </c>
      <c r="BGG20" s="252">
        <v>0</v>
      </c>
      <c r="BGH20" s="252">
        <v>0</v>
      </c>
      <c r="BGI20" s="252">
        <v>0</v>
      </c>
      <c r="BGJ20" s="252">
        <v>0</v>
      </c>
      <c r="BGK20" s="252">
        <v>0</v>
      </c>
      <c r="BGL20" s="252">
        <v>0</v>
      </c>
      <c r="BGM20" s="252">
        <v>0</v>
      </c>
      <c r="BGN20" s="252">
        <v>0</v>
      </c>
      <c r="BGO20" s="252">
        <v>0</v>
      </c>
      <c r="BGP20" s="252">
        <v>0</v>
      </c>
      <c r="BGQ20" s="252">
        <v>0</v>
      </c>
      <c r="BGR20" s="252">
        <v>0</v>
      </c>
      <c r="BGS20" s="252">
        <v>0</v>
      </c>
      <c r="BGT20" s="252">
        <v>0</v>
      </c>
      <c r="BGU20" s="252">
        <v>0</v>
      </c>
      <c r="BGV20" s="252">
        <v>0</v>
      </c>
      <c r="BGW20" s="252">
        <v>0</v>
      </c>
      <c r="BGX20" s="252">
        <v>0</v>
      </c>
      <c r="BGY20" s="252">
        <v>0</v>
      </c>
      <c r="BGZ20" s="252">
        <v>0</v>
      </c>
      <c r="BHA20" s="252">
        <v>0</v>
      </c>
      <c r="BHB20" s="252">
        <v>0</v>
      </c>
      <c r="BHC20" s="252">
        <v>0</v>
      </c>
      <c r="BHD20" s="252">
        <v>0</v>
      </c>
      <c r="BHE20" s="252">
        <v>0</v>
      </c>
      <c r="BHF20" s="252">
        <v>0</v>
      </c>
      <c r="BHG20" s="252">
        <v>0</v>
      </c>
      <c r="BHH20" s="252">
        <v>0</v>
      </c>
      <c r="BHI20" s="252">
        <v>0</v>
      </c>
      <c r="BHJ20" s="252">
        <v>0</v>
      </c>
      <c r="BHK20" s="252">
        <v>0</v>
      </c>
      <c r="BHL20" s="252">
        <v>0</v>
      </c>
      <c r="BHM20" s="252">
        <v>0</v>
      </c>
      <c r="BHN20" s="252">
        <v>0</v>
      </c>
      <c r="BHO20" s="252">
        <v>0</v>
      </c>
      <c r="BHP20" s="252">
        <v>0</v>
      </c>
      <c r="BHQ20" s="252">
        <v>0</v>
      </c>
      <c r="BHR20" s="252">
        <v>0</v>
      </c>
      <c r="BHS20" s="252">
        <v>0</v>
      </c>
      <c r="BHT20" s="252">
        <v>0</v>
      </c>
      <c r="BHU20" s="252">
        <v>0</v>
      </c>
      <c r="BHV20" s="252">
        <v>0</v>
      </c>
      <c r="BHW20" s="252">
        <v>0</v>
      </c>
      <c r="BHX20" s="252">
        <v>0</v>
      </c>
      <c r="BHY20" s="252">
        <v>0</v>
      </c>
      <c r="BHZ20" s="252">
        <v>0</v>
      </c>
      <c r="BIA20" s="252">
        <v>0</v>
      </c>
      <c r="BIB20" s="252">
        <v>0</v>
      </c>
      <c r="BIC20" s="252">
        <v>0</v>
      </c>
      <c r="BID20" s="252">
        <v>0</v>
      </c>
      <c r="BIE20" s="252">
        <v>0</v>
      </c>
      <c r="BIF20" s="252">
        <v>0</v>
      </c>
      <c r="BIG20" s="252">
        <v>0</v>
      </c>
      <c r="BIH20" s="252">
        <v>0</v>
      </c>
      <c r="BII20" s="252">
        <v>0</v>
      </c>
      <c r="BIJ20" s="252">
        <v>0</v>
      </c>
      <c r="BIK20" s="252">
        <v>0</v>
      </c>
      <c r="BIL20" s="252">
        <v>0</v>
      </c>
      <c r="BIM20" s="252">
        <v>0</v>
      </c>
      <c r="BIN20" s="252">
        <v>0</v>
      </c>
      <c r="BIO20" s="252">
        <v>0</v>
      </c>
      <c r="BIP20" s="252">
        <v>0</v>
      </c>
      <c r="BIQ20" s="252">
        <v>0</v>
      </c>
      <c r="BIR20" s="252">
        <v>0</v>
      </c>
      <c r="BIS20" s="252">
        <v>0</v>
      </c>
      <c r="BIT20" s="252">
        <v>0</v>
      </c>
      <c r="BIU20" s="252">
        <v>0</v>
      </c>
      <c r="BIV20" s="252">
        <v>0</v>
      </c>
      <c r="BIW20" s="252">
        <v>0</v>
      </c>
      <c r="BIX20" s="252">
        <v>0</v>
      </c>
      <c r="BIY20" s="252">
        <v>0</v>
      </c>
      <c r="BIZ20" s="252">
        <v>0</v>
      </c>
      <c r="BJA20" s="252">
        <v>0</v>
      </c>
      <c r="BJB20" s="252">
        <v>0</v>
      </c>
      <c r="BJC20" s="252">
        <v>0</v>
      </c>
      <c r="BJD20" s="252">
        <v>0</v>
      </c>
      <c r="BJE20" s="252">
        <v>0</v>
      </c>
      <c r="BJF20" s="252">
        <v>0</v>
      </c>
      <c r="BJG20" s="252">
        <v>0</v>
      </c>
      <c r="BJH20" s="252">
        <v>0</v>
      </c>
      <c r="BJI20" s="252">
        <v>0</v>
      </c>
      <c r="BJJ20" s="252">
        <v>0</v>
      </c>
      <c r="BJK20" s="252">
        <v>0</v>
      </c>
      <c r="BJL20" s="252">
        <v>0</v>
      </c>
      <c r="BJM20" s="252">
        <v>0</v>
      </c>
      <c r="BJN20" s="252">
        <v>0</v>
      </c>
      <c r="BJO20" s="252">
        <v>0</v>
      </c>
      <c r="BJP20" s="252">
        <v>0</v>
      </c>
      <c r="BJQ20" s="252">
        <v>0</v>
      </c>
      <c r="BJR20" s="252">
        <v>0</v>
      </c>
      <c r="BJS20" s="252">
        <v>0</v>
      </c>
      <c r="BJT20" s="252">
        <v>0</v>
      </c>
      <c r="BJU20" s="252">
        <v>0</v>
      </c>
      <c r="BJV20" s="252">
        <v>0</v>
      </c>
      <c r="BJW20" s="252">
        <v>0</v>
      </c>
      <c r="BJX20" s="252">
        <v>0</v>
      </c>
      <c r="BJY20" s="252">
        <v>0</v>
      </c>
      <c r="BJZ20" s="252">
        <v>0</v>
      </c>
      <c r="BKA20" s="252">
        <v>0</v>
      </c>
      <c r="BKB20" s="252">
        <v>0</v>
      </c>
      <c r="BKC20" s="252">
        <v>0</v>
      </c>
      <c r="BKD20" s="252">
        <v>0</v>
      </c>
      <c r="BKE20" s="252">
        <v>0</v>
      </c>
      <c r="BKF20" s="252">
        <v>0</v>
      </c>
      <c r="BKG20" s="252">
        <v>0</v>
      </c>
      <c r="BKH20" s="252">
        <v>0</v>
      </c>
      <c r="BKI20" s="252">
        <v>0</v>
      </c>
      <c r="BKJ20" s="252">
        <v>0</v>
      </c>
      <c r="BKK20" s="252">
        <v>0</v>
      </c>
      <c r="BKL20" s="252">
        <v>0</v>
      </c>
      <c r="BKM20" s="252">
        <v>0</v>
      </c>
      <c r="BKN20" s="252">
        <v>0</v>
      </c>
      <c r="BKO20" s="252">
        <v>0</v>
      </c>
      <c r="BKP20" s="252">
        <v>0</v>
      </c>
      <c r="BKQ20" s="252">
        <v>0</v>
      </c>
      <c r="BKR20" s="252">
        <v>0</v>
      </c>
      <c r="BKS20" s="252">
        <v>0</v>
      </c>
      <c r="BKT20" s="252">
        <v>0</v>
      </c>
      <c r="BKU20" s="252">
        <v>0</v>
      </c>
      <c r="BKV20" s="252">
        <v>0</v>
      </c>
      <c r="BKW20" s="252">
        <v>0</v>
      </c>
      <c r="BKX20" s="252">
        <v>0</v>
      </c>
      <c r="BKY20" s="252">
        <v>0</v>
      </c>
      <c r="BKZ20" s="252">
        <v>0</v>
      </c>
      <c r="BLA20" s="252">
        <v>0</v>
      </c>
      <c r="BLB20" s="252">
        <v>0</v>
      </c>
      <c r="BLC20" s="252">
        <v>0</v>
      </c>
      <c r="BLD20" s="252">
        <v>0</v>
      </c>
      <c r="BLE20" s="252">
        <v>0</v>
      </c>
      <c r="BLF20" s="252">
        <v>0</v>
      </c>
      <c r="BLG20" s="252">
        <v>0</v>
      </c>
      <c r="BLH20" s="252">
        <v>0</v>
      </c>
      <c r="BLI20" s="252">
        <v>0</v>
      </c>
      <c r="BLJ20" s="252">
        <v>0</v>
      </c>
      <c r="BLK20" s="252">
        <v>0</v>
      </c>
      <c r="BLL20" s="252">
        <v>0</v>
      </c>
      <c r="BLM20" s="252">
        <v>0</v>
      </c>
      <c r="BLN20" s="252">
        <v>0</v>
      </c>
      <c r="BLO20" s="252">
        <v>0</v>
      </c>
      <c r="BLP20" s="252">
        <v>0</v>
      </c>
      <c r="BLQ20" s="252">
        <v>0</v>
      </c>
      <c r="BLR20" s="252">
        <v>0</v>
      </c>
      <c r="BLS20" s="252">
        <v>0</v>
      </c>
      <c r="BLT20" s="252">
        <v>0</v>
      </c>
      <c r="BLU20" s="252">
        <v>0</v>
      </c>
      <c r="BLV20" s="252">
        <v>0</v>
      </c>
      <c r="BLW20" s="252">
        <v>0</v>
      </c>
      <c r="BLX20" s="252">
        <v>0</v>
      </c>
      <c r="BLY20" s="252">
        <v>0</v>
      </c>
      <c r="BLZ20" s="252">
        <v>0</v>
      </c>
      <c r="BMA20" s="252">
        <v>0</v>
      </c>
      <c r="BMB20" s="252">
        <v>0</v>
      </c>
      <c r="BMC20" s="252">
        <v>0</v>
      </c>
      <c r="BMD20" s="252">
        <v>0</v>
      </c>
      <c r="BME20" s="252">
        <v>0</v>
      </c>
      <c r="BMF20" s="252">
        <v>0</v>
      </c>
      <c r="BMG20" s="252">
        <v>0</v>
      </c>
      <c r="BMH20" s="252">
        <v>0</v>
      </c>
      <c r="BMI20" s="252">
        <v>0</v>
      </c>
      <c r="BMJ20" s="252">
        <v>0</v>
      </c>
      <c r="BMK20" s="252">
        <v>0</v>
      </c>
      <c r="BML20" s="252">
        <v>0</v>
      </c>
      <c r="BMM20" s="252">
        <v>0</v>
      </c>
      <c r="BMN20" s="252">
        <v>0</v>
      </c>
      <c r="BMO20" s="252">
        <v>0</v>
      </c>
      <c r="BMP20" s="252">
        <v>0</v>
      </c>
      <c r="BMQ20" s="252">
        <v>0</v>
      </c>
      <c r="BMR20" s="252">
        <v>0</v>
      </c>
      <c r="BMS20" s="252">
        <v>0</v>
      </c>
      <c r="BMT20" s="252">
        <v>0</v>
      </c>
      <c r="BMU20" s="252">
        <v>0</v>
      </c>
      <c r="BMV20" s="252">
        <v>0</v>
      </c>
      <c r="BMW20" s="252">
        <v>0</v>
      </c>
      <c r="BMX20" s="252">
        <v>0</v>
      </c>
      <c r="BMY20" s="252">
        <v>0</v>
      </c>
      <c r="BMZ20" s="252">
        <v>0</v>
      </c>
      <c r="BNA20" s="252">
        <v>0</v>
      </c>
      <c r="BNB20" s="252">
        <v>0</v>
      </c>
      <c r="BNC20" s="252">
        <v>0</v>
      </c>
      <c r="BND20" s="252">
        <v>0</v>
      </c>
      <c r="BNE20" s="252">
        <v>0</v>
      </c>
      <c r="BNF20" s="252">
        <v>0</v>
      </c>
      <c r="BNG20" s="252">
        <v>0</v>
      </c>
      <c r="BNH20" s="252">
        <v>0</v>
      </c>
      <c r="BNI20" s="252">
        <v>0</v>
      </c>
      <c r="BNJ20" s="252">
        <v>0</v>
      </c>
      <c r="BNK20" s="252">
        <v>0</v>
      </c>
      <c r="BNL20" s="252">
        <v>0</v>
      </c>
      <c r="BNM20" s="252">
        <v>0</v>
      </c>
      <c r="BNN20" s="252">
        <v>0</v>
      </c>
      <c r="BNO20" s="252">
        <v>0</v>
      </c>
      <c r="BNP20" s="252">
        <v>0</v>
      </c>
      <c r="BNQ20" s="252">
        <v>0</v>
      </c>
      <c r="BNR20" s="252">
        <v>0</v>
      </c>
      <c r="BNS20" s="252">
        <v>0</v>
      </c>
      <c r="BNT20" s="252">
        <v>0</v>
      </c>
      <c r="BNU20" s="252">
        <v>0</v>
      </c>
      <c r="BNV20" s="252">
        <v>0</v>
      </c>
      <c r="BNW20" s="252">
        <v>0</v>
      </c>
      <c r="BNX20" s="252">
        <v>0</v>
      </c>
      <c r="BNY20" s="252">
        <v>0</v>
      </c>
      <c r="BNZ20" s="252">
        <v>0</v>
      </c>
      <c r="BOA20" s="252">
        <v>0</v>
      </c>
      <c r="BOB20" s="252">
        <v>0</v>
      </c>
      <c r="BOC20" s="252">
        <v>0</v>
      </c>
      <c r="BOD20" s="252">
        <v>0</v>
      </c>
      <c r="BOE20" s="252">
        <v>0</v>
      </c>
      <c r="BOF20" s="252">
        <v>0</v>
      </c>
      <c r="BOG20" s="252">
        <v>0</v>
      </c>
      <c r="BOH20" s="252">
        <v>0</v>
      </c>
      <c r="BOI20" s="252">
        <v>0</v>
      </c>
      <c r="BOJ20" s="252">
        <v>0</v>
      </c>
      <c r="BOK20" s="252">
        <v>0</v>
      </c>
      <c r="BOL20" s="252">
        <v>0</v>
      </c>
      <c r="BOM20" s="252">
        <v>0</v>
      </c>
      <c r="BON20" s="252">
        <v>0</v>
      </c>
      <c r="BOO20" s="252">
        <v>0</v>
      </c>
      <c r="BOP20" s="252">
        <v>0</v>
      </c>
      <c r="BOQ20" s="252">
        <v>0</v>
      </c>
      <c r="BOR20" s="252">
        <v>0</v>
      </c>
      <c r="BOS20" s="252">
        <v>0</v>
      </c>
      <c r="BOT20" s="252">
        <v>0</v>
      </c>
      <c r="BOU20" s="252">
        <v>0</v>
      </c>
      <c r="BOV20" s="252">
        <v>0</v>
      </c>
      <c r="BOW20" s="252">
        <v>0</v>
      </c>
      <c r="BOX20" s="252">
        <v>0</v>
      </c>
      <c r="BOY20" s="252">
        <v>0</v>
      </c>
      <c r="BOZ20" s="252">
        <v>0</v>
      </c>
      <c r="BPA20" s="252">
        <v>0</v>
      </c>
      <c r="BPB20" s="252">
        <v>0</v>
      </c>
      <c r="BPC20" s="252">
        <v>0</v>
      </c>
      <c r="BPD20" s="252">
        <v>0</v>
      </c>
      <c r="BPE20" s="252">
        <v>0</v>
      </c>
      <c r="BPF20" s="252">
        <v>0</v>
      </c>
      <c r="BPG20" s="252">
        <v>0</v>
      </c>
      <c r="BPH20" s="252">
        <v>0</v>
      </c>
      <c r="BPI20" s="252">
        <v>0</v>
      </c>
      <c r="BPJ20" s="252">
        <v>0</v>
      </c>
      <c r="BPK20" s="252">
        <v>0</v>
      </c>
      <c r="BPL20" s="252">
        <v>0</v>
      </c>
      <c r="BPM20" s="252">
        <v>0</v>
      </c>
      <c r="BPN20" s="252">
        <v>0</v>
      </c>
      <c r="BPO20" s="252">
        <v>0</v>
      </c>
      <c r="BPP20" s="252">
        <v>0</v>
      </c>
      <c r="BPQ20" s="252">
        <v>0</v>
      </c>
      <c r="BPR20" s="252">
        <v>0</v>
      </c>
      <c r="BPS20" s="252">
        <v>0</v>
      </c>
      <c r="BPT20" s="252">
        <v>0</v>
      </c>
      <c r="BPU20" s="252">
        <v>0</v>
      </c>
      <c r="BPV20" s="252">
        <v>0</v>
      </c>
      <c r="BPW20" s="252">
        <v>0</v>
      </c>
      <c r="BPX20" s="252">
        <v>0</v>
      </c>
      <c r="BPY20" s="252">
        <v>0</v>
      </c>
      <c r="BPZ20" s="252">
        <v>0</v>
      </c>
      <c r="BQA20" s="252">
        <v>0</v>
      </c>
      <c r="BQB20" s="252">
        <v>0</v>
      </c>
      <c r="BQC20" s="252">
        <v>0</v>
      </c>
      <c r="BQD20" s="252">
        <v>0</v>
      </c>
      <c r="BQE20" s="252">
        <v>0</v>
      </c>
      <c r="BQF20" s="252">
        <v>0</v>
      </c>
      <c r="BQG20" s="252">
        <v>0</v>
      </c>
      <c r="BQH20" s="252">
        <v>0</v>
      </c>
      <c r="BQI20" s="252">
        <v>0</v>
      </c>
      <c r="BQJ20" s="252">
        <v>0</v>
      </c>
      <c r="BQK20" s="252">
        <v>0</v>
      </c>
      <c r="BQL20" s="252">
        <v>0</v>
      </c>
      <c r="BQM20" s="252">
        <v>0</v>
      </c>
      <c r="BQN20" s="252">
        <v>0</v>
      </c>
      <c r="BQO20" s="252">
        <v>0</v>
      </c>
      <c r="BQP20" s="252">
        <v>0</v>
      </c>
      <c r="BQQ20" s="252">
        <v>0</v>
      </c>
      <c r="BQR20" s="252">
        <v>0</v>
      </c>
      <c r="BQS20" s="252">
        <v>0</v>
      </c>
      <c r="BQT20" s="252">
        <v>0</v>
      </c>
      <c r="BQU20" s="252">
        <v>0</v>
      </c>
      <c r="BQV20" s="252">
        <v>0</v>
      </c>
      <c r="BQW20" s="252">
        <v>0</v>
      </c>
      <c r="BQX20" s="252">
        <v>0</v>
      </c>
      <c r="BQY20" s="252">
        <v>0</v>
      </c>
      <c r="BQZ20" s="252">
        <v>0</v>
      </c>
      <c r="BRA20" s="252">
        <v>0</v>
      </c>
      <c r="BRB20" s="252">
        <v>0</v>
      </c>
      <c r="BRC20" s="252">
        <v>0</v>
      </c>
      <c r="BRD20" s="252">
        <v>0</v>
      </c>
      <c r="BRE20" s="252">
        <v>0</v>
      </c>
      <c r="BRF20" s="252">
        <v>0</v>
      </c>
      <c r="BRG20" s="252">
        <v>0</v>
      </c>
      <c r="BRH20" s="252">
        <v>0</v>
      </c>
      <c r="BRI20" s="252">
        <v>0</v>
      </c>
      <c r="BRJ20" s="252">
        <v>0</v>
      </c>
      <c r="BRK20" s="252">
        <v>0</v>
      </c>
      <c r="BRL20" s="252">
        <v>0</v>
      </c>
      <c r="BRM20" s="252">
        <v>0</v>
      </c>
      <c r="BRN20" s="252">
        <v>0</v>
      </c>
      <c r="BRO20" s="252">
        <v>0</v>
      </c>
      <c r="BRP20" s="252">
        <v>0</v>
      </c>
      <c r="BRQ20" s="252">
        <v>0</v>
      </c>
      <c r="BRR20" s="252">
        <v>0</v>
      </c>
      <c r="BRS20" s="252">
        <v>0</v>
      </c>
      <c r="BRT20" s="252">
        <v>0</v>
      </c>
      <c r="BRU20" s="252">
        <v>0</v>
      </c>
      <c r="BRV20" s="252">
        <v>0</v>
      </c>
      <c r="BRW20" s="252">
        <v>0</v>
      </c>
      <c r="BRX20" s="252">
        <v>0</v>
      </c>
      <c r="BRY20" s="252">
        <v>0</v>
      </c>
      <c r="BRZ20" s="252">
        <v>0</v>
      </c>
      <c r="BSA20" s="252">
        <v>0</v>
      </c>
      <c r="BSB20" s="252">
        <v>0</v>
      </c>
      <c r="BSC20" s="252">
        <v>0</v>
      </c>
      <c r="BSD20" s="252">
        <v>0</v>
      </c>
      <c r="BSE20" s="252">
        <v>0</v>
      </c>
      <c r="BSF20" s="252">
        <v>0</v>
      </c>
      <c r="BSG20" s="252">
        <v>0</v>
      </c>
      <c r="BSH20" s="252">
        <v>0</v>
      </c>
      <c r="BSI20" s="252">
        <v>0</v>
      </c>
      <c r="BSJ20" s="252">
        <v>0</v>
      </c>
      <c r="BSK20" s="252">
        <v>0</v>
      </c>
      <c r="BSL20" s="252">
        <v>0</v>
      </c>
      <c r="BSM20" s="252">
        <v>0</v>
      </c>
      <c r="BSN20" s="252">
        <v>0</v>
      </c>
      <c r="BSO20" s="252">
        <v>0</v>
      </c>
      <c r="BSP20" s="252">
        <v>0</v>
      </c>
      <c r="BSQ20" s="252">
        <v>0</v>
      </c>
      <c r="BSR20" s="252">
        <v>0</v>
      </c>
      <c r="BSS20" s="252">
        <v>0</v>
      </c>
      <c r="BST20" s="252">
        <v>0</v>
      </c>
      <c r="BSU20" s="252">
        <v>0</v>
      </c>
      <c r="BSV20" s="252">
        <v>0</v>
      </c>
      <c r="BSW20" s="252">
        <v>0</v>
      </c>
      <c r="BSX20" s="252">
        <v>0</v>
      </c>
      <c r="BSY20" s="252">
        <v>0</v>
      </c>
      <c r="BSZ20" s="252">
        <v>0</v>
      </c>
      <c r="BTA20" s="252">
        <v>0</v>
      </c>
      <c r="BTB20" s="252">
        <v>0</v>
      </c>
      <c r="BTC20" s="252">
        <v>0</v>
      </c>
      <c r="BTD20" s="252">
        <v>0</v>
      </c>
      <c r="BTE20" s="252">
        <v>0</v>
      </c>
      <c r="BTF20" s="252">
        <v>0</v>
      </c>
      <c r="BTG20" s="252">
        <v>0</v>
      </c>
      <c r="BTH20" s="252">
        <v>0</v>
      </c>
      <c r="BTI20" s="252">
        <v>0</v>
      </c>
      <c r="BTJ20" s="252">
        <v>0</v>
      </c>
      <c r="BTK20" s="252">
        <v>0</v>
      </c>
      <c r="BTL20" s="252">
        <v>0</v>
      </c>
      <c r="BTM20" s="252">
        <v>0</v>
      </c>
      <c r="BTN20" s="252">
        <v>0</v>
      </c>
      <c r="BTO20" s="252">
        <v>0</v>
      </c>
      <c r="BTP20" s="252">
        <v>0</v>
      </c>
      <c r="BTQ20" s="252">
        <v>0</v>
      </c>
      <c r="BTR20" s="252">
        <v>0</v>
      </c>
      <c r="BTS20" s="252">
        <v>0</v>
      </c>
      <c r="BTT20" s="252">
        <v>0</v>
      </c>
      <c r="BTU20" s="252">
        <v>0</v>
      </c>
      <c r="BTV20" s="252">
        <v>0</v>
      </c>
      <c r="BTW20" s="252">
        <v>0</v>
      </c>
      <c r="BTX20" s="252">
        <v>0</v>
      </c>
      <c r="BTY20" s="252">
        <v>0</v>
      </c>
      <c r="BTZ20" s="252">
        <v>0</v>
      </c>
      <c r="BUA20" s="252">
        <v>0</v>
      </c>
      <c r="BUB20" s="252">
        <v>0</v>
      </c>
      <c r="BUC20" s="252">
        <v>0</v>
      </c>
      <c r="BUD20" s="252">
        <v>0</v>
      </c>
      <c r="BUE20" s="252">
        <v>0</v>
      </c>
      <c r="BUF20" s="252">
        <v>0</v>
      </c>
      <c r="BUG20" s="252">
        <v>0</v>
      </c>
      <c r="BUH20" s="252">
        <v>0</v>
      </c>
      <c r="BUI20" s="252">
        <v>0</v>
      </c>
      <c r="BUJ20" s="252">
        <v>0</v>
      </c>
      <c r="BUK20" s="252">
        <v>0</v>
      </c>
      <c r="BUL20" s="252">
        <v>0</v>
      </c>
      <c r="BUM20" s="252">
        <v>0</v>
      </c>
      <c r="BUN20" s="252">
        <v>0</v>
      </c>
      <c r="BUO20" s="252">
        <v>0</v>
      </c>
      <c r="BUP20" s="252">
        <v>0</v>
      </c>
      <c r="BUQ20" s="252">
        <v>0</v>
      </c>
      <c r="BUR20" s="252">
        <v>0</v>
      </c>
      <c r="BUS20" s="252">
        <v>0</v>
      </c>
      <c r="BUT20" s="252">
        <v>0</v>
      </c>
      <c r="BUU20" s="252">
        <v>0</v>
      </c>
      <c r="BUV20" s="252">
        <v>0</v>
      </c>
      <c r="BUW20" s="252">
        <v>0</v>
      </c>
      <c r="BUX20" s="252">
        <v>0</v>
      </c>
      <c r="BUY20" s="252">
        <v>0</v>
      </c>
      <c r="BUZ20" s="252">
        <v>0</v>
      </c>
      <c r="BVA20" s="252">
        <v>0</v>
      </c>
      <c r="BVB20" s="252">
        <v>0</v>
      </c>
      <c r="BVC20" s="252">
        <v>0</v>
      </c>
      <c r="BVD20" s="252">
        <v>0</v>
      </c>
      <c r="BVE20" s="252">
        <v>0</v>
      </c>
      <c r="BVF20" s="252">
        <v>0</v>
      </c>
      <c r="BVG20" s="252">
        <v>0</v>
      </c>
      <c r="BVH20" s="252">
        <v>0</v>
      </c>
      <c r="BVI20" s="252">
        <v>0</v>
      </c>
      <c r="BVJ20" s="252">
        <v>0</v>
      </c>
      <c r="BVK20" s="252">
        <v>0</v>
      </c>
      <c r="BVL20" s="252">
        <v>0</v>
      </c>
      <c r="BVM20" s="252">
        <v>0</v>
      </c>
      <c r="BVN20" s="252">
        <v>0</v>
      </c>
      <c r="BVO20" s="252">
        <v>0</v>
      </c>
      <c r="BVP20" s="252">
        <v>0</v>
      </c>
      <c r="BVQ20" s="252">
        <v>0</v>
      </c>
      <c r="BVR20" s="252">
        <v>0</v>
      </c>
      <c r="BVS20" s="252">
        <v>0</v>
      </c>
      <c r="BVT20" s="252">
        <v>0</v>
      </c>
      <c r="BVU20" s="252">
        <v>0</v>
      </c>
      <c r="BVV20" s="252">
        <v>0</v>
      </c>
      <c r="BVW20" s="252">
        <v>0</v>
      </c>
      <c r="BVX20" s="252">
        <v>0</v>
      </c>
      <c r="BVY20" s="252">
        <v>0</v>
      </c>
      <c r="BVZ20" s="252">
        <v>0</v>
      </c>
      <c r="BWA20" s="252">
        <v>0</v>
      </c>
      <c r="BWB20" s="252">
        <v>0</v>
      </c>
      <c r="BWC20" s="252">
        <v>0</v>
      </c>
      <c r="BWD20" s="252">
        <v>0</v>
      </c>
      <c r="BWE20" s="252">
        <v>0</v>
      </c>
      <c r="BWF20" s="252">
        <v>0</v>
      </c>
      <c r="BWG20" s="252">
        <v>0</v>
      </c>
      <c r="BWH20" s="252">
        <v>0</v>
      </c>
      <c r="BWI20" s="252">
        <v>0</v>
      </c>
      <c r="BWJ20" s="252">
        <v>0</v>
      </c>
      <c r="BWK20" s="252">
        <v>0</v>
      </c>
      <c r="BWL20" s="252">
        <v>0</v>
      </c>
      <c r="BWM20" s="252">
        <v>0</v>
      </c>
      <c r="BWN20" s="252">
        <v>0</v>
      </c>
      <c r="BWO20" s="252">
        <v>0</v>
      </c>
      <c r="BWP20" s="252">
        <v>0</v>
      </c>
      <c r="BWQ20" s="252">
        <v>0</v>
      </c>
      <c r="BWR20" s="252">
        <v>0</v>
      </c>
      <c r="BWS20" s="252">
        <v>0</v>
      </c>
      <c r="BWT20" s="252">
        <v>0</v>
      </c>
      <c r="BWU20" s="252">
        <v>0</v>
      </c>
      <c r="BWV20" s="252">
        <v>0</v>
      </c>
      <c r="BWW20" s="252">
        <v>0</v>
      </c>
      <c r="BWX20" s="252">
        <v>0</v>
      </c>
      <c r="BWY20" s="252">
        <v>0</v>
      </c>
      <c r="BWZ20" s="252">
        <v>0</v>
      </c>
      <c r="BXA20" s="252">
        <v>0</v>
      </c>
      <c r="BXB20" s="252">
        <v>0</v>
      </c>
      <c r="BXC20" s="252">
        <v>0</v>
      </c>
      <c r="BXD20" s="252">
        <v>0</v>
      </c>
      <c r="BXE20" s="252">
        <v>0</v>
      </c>
      <c r="BXF20" s="252">
        <v>0</v>
      </c>
      <c r="BXG20" s="252">
        <v>0</v>
      </c>
      <c r="BXH20" s="252">
        <v>0</v>
      </c>
      <c r="BXI20" s="252">
        <v>0</v>
      </c>
      <c r="BXJ20" s="252">
        <v>0</v>
      </c>
      <c r="BXK20" s="252">
        <v>0</v>
      </c>
      <c r="BXL20" s="252">
        <v>0</v>
      </c>
      <c r="BXM20" s="252">
        <v>0</v>
      </c>
      <c r="BXN20" s="252">
        <v>0</v>
      </c>
      <c r="BXO20" s="252">
        <v>0</v>
      </c>
      <c r="BXP20" s="252">
        <v>0</v>
      </c>
      <c r="BXQ20" s="252">
        <v>0</v>
      </c>
      <c r="BXR20" s="252">
        <v>0</v>
      </c>
      <c r="BXS20" s="252">
        <v>0</v>
      </c>
      <c r="BXT20" s="252">
        <v>0</v>
      </c>
      <c r="BXU20" s="252">
        <v>0</v>
      </c>
      <c r="BXV20" s="252">
        <v>0</v>
      </c>
      <c r="BXW20" s="252">
        <v>0</v>
      </c>
      <c r="BXX20" s="252">
        <v>0</v>
      </c>
      <c r="BXY20" s="252">
        <v>0</v>
      </c>
      <c r="BXZ20" s="252">
        <v>0</v>
      </c>
      <c r="BYA20" s="252">
        <v>0</v>
      </c>
      <c r="BYB20" s="252">
        <v>0</v>
      </c>
      <c r="BYC20" s="252">
        <v>0</v>
      </c>
      <c r="BYD20" s="252">
        <v>0</v>
      </c>
      <c r="BYE20" s="252">
        <v>0</v>
      </c>
      <c r="BYF20" s="252">
        <v>0</v>
      </c>
      <c r="BYG20" s="252">
        <v>0</v>
      </c>
      <c r="BYH20" s="252">
        <v>0</v>
      </c>
      <c r="BYI20" s="252">
        <v>0</v>
      </c>
      <c r="BYJ20" s="252">
        <v>0</v>
      </c>
      <c r="BYK20" s="252">
        <v>0</v>
      </c>
      <c r="BYL20" s="252">
        <v>0</v>
      </c>
      <c r="BYM20" s="252">
        <v>0</v>
      </c>
      <c r="BYN20" s="252">
        <v>0</v>
      </c>
      <c r="BYO20" s="252">
        <v>0</v>
      </c>
      <c r="BYP20" s="252">
        <v>0</v>
      </c>
      <c r="BYQ20" s="252">
        <v>0</v>
      </c>
      <c r="BYR20" s="252">
        <v>0</v>
      </c>
      <c r="BYS20" s="252">
        <v>0</v>
      </c>
      <c r="BYT20" s="252">
        <v>0</v>
      </c>
      <c r="BYU20" s="252">
        <v>0</v>
      </c>
      <c r="BYV20" s="252">
        <v>0</v>
      </c>
      <c r="BYW20" s="252">
        <v>0</v>
      </c>
      <c r="BYX20" s="252">
        <v>0</v>
      </c>
      <c r="BYY20" s="252">
        <v>0</v>
      </c>
      <c r="BYZ20" s="252">
        <v>0</v>
      </c>
      <c r="BZA20" s="252">
        <v>0</v>
      </c>
      <c r="BZB20" s="252">
        <v>0</v>
      </c>
      <c r="BZC20" s="252">
        <v>0</v>
      </c>
      <c r="BZD20" s="252">
        <v>0</v>
      </c>
      <c r="BZE20" s="252">
        <v>0</v>
      </c>
      <c r="BZF20" s="252">
        <v>0</v>
      </c>
      <c r="BZG20" s="252">
        <v>0</v>
      </c>
      <c r="BZH20" s="252">
        <v>0</v>
      </c>
      <c r="BZI20" s="252">
        <v>0</v>
      </c>
      <c r="BZJ20" s="252">
        <v>0</v>
      </c>
      <c r="BZK20" s="252">
        <v>0</v>
      </c>
      <c r="BZL20" s="252">
        <v>0</v>
      </c>
      <c r="BZM20" s="252">
        <v>0</v>
      </c>
      <c r="BZN20" s="252">
        <v>0</v>
      </c>
      <c r="BZO20" s="252">
        <v>0</v>
      </c>
      <c r="BZP20" s="252">
        <v>0</v>
      </c>
      <c r="BZQ20" s="252">
        <v>0</v>
      </c>
      <c r="BZR20" s="252">
        <v>0</v>
      </c>
      <c r="BZS20" s="252">
        <v>0</v>
      </c>
      <c r="BZT20" s="252">
        <v>0</v>
      </c>
      <c r="BZU20" s="252">
        <v>0</v>
      </c>
      <c r="BZV20" s="252">
        <v>0</v>
      </c>
      <c r="BZW20" s="252">
        <v>0</v>
      </c>
      <c r="BZX20" s="252">
        <v>0</v>
      </c>
      <c r="BZY20" s="252">
        <v>0</v>
      </c>
      <c r="BZZ20" s="252">
        <v>0</v>
      </c>
      <c r="CAA20" s="252">
        <v>0</v>
      </c>
      <c r="CAB20" s="252">
        <v>0</v>
      </c>
      <c r="CAC20" s="252">
        <v>0</v>
      </c>
      <c r="CAD20" s="252">
        <v>0</v>
      </c>
      <c r="CAE20" s="252">
        <v>0</v>
      </c>
      <c r="CAF20" s="252">
        <v>0</v>
      </c>
      <c r="CAG20" s="252">
        <v>0</v>
      </c>
      <c r="CAH20" s="252">
        <v>0</v>
      </c>
      <c r="CAI20" s="252">
        <v>0</v>
      </c>
      <c r="CAJ20" s="252">
        <v>0</v>
      </c>
      <c r="CAK20" s="252">
        <v>0</v>
      </c>
      <c r="CAL20" s="252">
        <v>0</v>
      </c>
      <c r="CAM20" s="252">
        <v>0</v>
      </c>
      <c r="CAN20" s="252">
        <v>0</v>
      </c>
      <c r="CAO20" s="252">
        <v>0</v>
      </c>
      <c r="CAP20" s="252">
        <v>0</v>
      </c>
      <c r="CAQ20" s="252">
        <v>0</v>
      </c>
      <c r="CAR20" s="252">
        <v>0</v>
      </c>
      <c r="CAS20" s="252">
        <v>0</v>
      </c>
      <c r="CAT20" s="252">
        <v>0</v>
      </c>
      <c r="CAU20" s="252">
        <v>0</v>
      </c>
      <c r="CAV20" s="252">
        <v>0</v>
      </c>
      <c r="CAW20" s="252">
        <v>0</v>
      </c>
      <c r="CAX20" s="252">
        <v>0</v>
      </c>
      <c r="CAY20" s="252">
        <v>0</v>
      </c>
      <c r="CAZ20" s="252">
        <v>0</v>
      </c>
      <c r="CBA20" s="252">
        <v>0</v>
      </c>
      <c r="CBB20" s="252">
        <v>0</v>
      </c>
      <c r="CBC20" s="252">
        <v>0</v>
      </c>
      <c r="CBD20" s="252">
        <v>0</v>
      </c>
      <c r="CBE20" s="252">
        <v>0</v>
      </c>
      <c r="CBF20" s="252">
        <v>0</v>
      </c>
      <c r="CBG20" s="252">
        <v>0</v>
      </c>
      <c r="CBH20" s="252">
        <v>0</v>
      </c>
      <c r="CBI20" s="252">
        <v>0</v>
      </c>
      <c r="CBJ20" s="252">
        <v>0</v>
      </c>
      <c r="CBK20" s="252">
        <v>0</v>
      </c>
      <c r="CBL20" s="252">
        <v>0</v>
      </c>
      <c r="CBM20" s="252">
        <v>0</v>
      </c>
      <c r="CBN20" s="252">
        <v>0</v>
      </c>
      <c r="CBO20" s="252">
        <v>0</v>
      </c>
      <c r="CBP20" s="252">
        <v>0</v>
      </c>
      <c r="CBQ20" s="252">
        <v>0</v>
      </c>
      <c r="CBR20" s="252">
        <v>0</v>
      </c>
      <c r="CBS20" s="252">
        <v>0</v>
      </c>
      <c r="CBT20" s="252">
        <v>0</v>
      </c>
      <c r="CBU20" s="252">
        <v>0</v>
      </c>
      <c r="CBV20" s="252">
        <v>0</v>
      </c>
      <c r="CBW20" s="252">
        <v>0</v>
      </c>
      <c r="CBX20" s="252">
        <v>0</v>
      </c>
      <c r="CBY20" s="252">
        <v>0</v>
      </c>
      <c r="CBZ20" s="252">
        <v>0</v>
      </c>
      <c r="CCA20" s="252">
        <v>0</v>
      </c>
      <c r="CCB20" s="252">
        <v>0</v>
      </c>
      <c r="CCC20" s="252">
        <v>0</v>
      </c>
      <c r="CCD20" s="252">
        <v>0</v>
      </c>
      <c r="CCE20" s="252">
        <v>0</v>
      </c>
      <c r="CCF20" s="252">
        <v>0</v>
      </c>
      <c r="CCG20" s="252">
        <v>0</v>
      </c>
      <c r="CCH20" s="252">
        <v>0</v>
      </c>
      <c r="CCI20" s="252">
        <v>0</v>
      </c>
      <c r="CCJ20" s="252">
        <v>0</v>
      </c>
      <c r="CCK20" s="252">
        <v>0</v>
      </c>
      <c r="CCL20" s="252">
        <v>0</v>
      </c>
      <c r="CCM20" s="252">
        <v>0</v>
      </c>
      <c r="CCN20" s="252">
        <v>0</v>
      </c>
      <c r="CCO20" s="252">
        <v>0</v>
      </c>
      <c r="CCP20" s="252">
        <v>0</v>
      </c>
      <c r="CCQ20" s="252">
        <v>0</v>
      </c>
      <c r="CCR20" s="252">
        <v>0</v>
      </c>
      <c r="CCS20" s="252">
        <v>0</v>
      </c>
      <c r="CCT20" s="252">
        <v>0</v>
      </c>
      <c r="CCU20" s="252">
        <v>0</v>
      </c>
      <c r="CCV20" s="252">
        <v>0</v>
      </c>
      <c r="CCW20" s="252">
        <v>0</v>
      </c>
      <c r="CCX20" s="252">
        <v>0</v>
      </c>
      <c r="CCY20" s="252">
        <v>0</v>
      </c>
      <c r="CCZ20" s="252">
        <v>0</v>
      </c>
      <c r="CDA20" s="252">
        <v>0</v>
      </c>
      <c r="CDB20" s="252">
        <v>0</v>
      </c>
      <c r="CDC20" s="252">
        <v>0</v>
      </c>
      <c r="CDD20" s="252">
        <v>0</v>
      </c>
      <c r="CDE20" s="252">
        <v>0</v>
      </c>
      <c r="CDF20" s="252">
        <v>0</v>
      </c>
      <c r="CDG20" s="252">
        <v>0</v>
      </c>
      <c r="CDH20" s="252">
        <v>0</v>
      </c>
      <c r="CDI20" s="252">
        <v>0</v>
      </c>
      <c r="CDJ20" s="252">
        <v>0</v>
      </c>
      <c r="CDK20" s="252">
        <v>0</v>
      </c>
      <c r="CDL20" s="252">
        <v>0</v>
      </c>
      <c r="CDM20" s="252">
        <v>0</v>
      </c>
      <c r="CDN20" s="252">
        <v>0</v>
      </c>
      <c r="CDO20" s="252">
        <v>0</v>
      </c>
      <c r="CDP20" s="252">
        <v>0</v>
      </c>
      <c r="CDQ20" s="252">
        <v>0</v>
      </c>
      <c r="CDR20" s="252">
        <v>0</v>
      </c>
      <c r="CDS20" s="252">
        <v>0</v>
      </c>
      <c r="CDT20" s="252">
        <v>0</v>
      </c>
      <c r="CDU20" s="252">
        <v>0</v>
      </c>
      <c r="CDV20" s="252">
        <v>0</v>
      </c>
      <c r="CDW20" s="252">
        <v>0</v>
      </c>
      <c r="CDX20" s="252">
        <v>0</v>
      </c>
      <c r="CDY20" s="252">
        <v>0</v>
      </c>
      <c r="CDZ20" s="252">
        <v>0</v>
      </c>
      <c r="CEA20" s="252">
        <v>0</v>
      </c>
      <c r="CEB20" s="252">
        <v>0</v>
      </c>
      <c r="CEC20" s="252">
        <v>0</v>
      </c>
      <c r="CED20" s="252">
        <v>0</v>
      </c>
      <c r="CEE20" s="252">
        <v>0</v>
      </c>
      <c r="CEF20" s="252">
        <v>0</v>
      </c>
      <c r="CEG20" s="252">
        <v>0</v>
      </c>
      <c r="CEH20" s="252">
        <v>0</v>
      </c>
      <c r="CEI20" s="252">
        <v>0</v>
      </c>
      <c r="CEJ20" s="252">
        <v>0</v>
      </c>
      <c r="CEK20" s="252">
        <v>0</v>
      </c>
      <c r="CEL20" s="252">
        <v>0</v>
      </c>
      <c r="CEM20" s="252">
        <v>0</v>
      </c>
      <c r="CEN20" s="252">
        <v>0</v>
      </c>
      <c r="CEO20" s="252">
        <v>0</v>
      </c>
      <c r="CEP20" s="252">
        <v>0</v>
      </c>
      <c r="CEQ20" s="252">
        <v>0</v>
      </c>
      <c r="CER20" s="252">
        <v>0</v>
      </c>
      <c r="CES20" s="252">
        <v>0</v>
      </c>
      <c r="CET20" s="252">
        <v>0</v>
      </c>
      <c r="CEU20" s="252">
        <v>0</v>
      </c>
      <c r="CEV20" s="252">
        <v>0</v>
      </c>
      <c r="CEW20" s="252">
        <v>0</v>
      </c>
      <c r="CEX20" s="252">
        <v>0</v>
      </c>
      <c r="CEY20" s="252">
        <v>0</v>
      </c>
      <c r="CEZ20" s="252">
        <v>0</v>
      </c>
      <c r="CFA20" s="252">
        <v>0</v>
      </c>
      <c r="CFB20" s="252">
        <v>0</v>
      </c>
      <c r="CFC20" s="252">
        <v>0</v>
      </c>
      <c r="CFD20" s="252">
        <v>0</v>
      </c>
      <c r="CFE20" s="252">
        <v>0</v>
      </c>
      <c r="CFF20" s="252">
        <v>0</v>
      </c>
      <c r="CFG20" s="252">
        <v>0</v>
      </c>
      <c r="CFH20" s="252">
        <v>0</v>
      </c>
      <c r="CFI20" s="252">
        <v>0</v>
      </c>
      <c r="CFJ20" s="252">
        <v>0</v>
      </c>
      <c r="CFK20" s="252">
        <v>0</v>
      </c>
      <c r="CFL20" s="252">
        <v>0</v>
      </c>
      <c r="CFM20" s="252">
        <v>0</v>
      </c>
      <c r="CFN20" s="252">
        <v>0</v>
      </c>
      <c r="CFO20" s="252">
        <v>0</v>
      </c>
      <c r="CFP20" s="252">
        <v>0</v>
      </c>
      <c r="CFQ20" s="252">
        <v>0</v>
      </c>
      <c r="CFR20" s="252">
        <v>0</v>
      </c>
      <c r="CFS20" s="252">
        <v>0</v>
      </c>
      <c r="CFT20" s="252">
        <v>0</v>
      </c>
      <c r="CFU20" s="252">
        <v>0</v>
      </c>
      <c r="CFV20" s="252">
        <v>0</v>
      </c>
      <c r="CFW20" s="252">
        <v>0</v>
      </c>
      <c r="CFX20" s="252">
        <v>0</v>
      </c>
      <c r="CFY20" s="252">
        <v>0</v>
      </c>
      <c r="CFZ20" s="252">
        <v>0</v>
      </c>
      <c r="CGA20" s="252">
        <v>0</v>
      </c>
      <c r="CGB20" s="252">
        <v>0</v>
      </c>
      <c r="CGC20" s="252">
        <v>0</v>
      </c>
      <c r="CGD20" s="252">
        <v>0</v>
      </c>
      <c r="CGE20" s="252">
        <v>0</v>
      </c>
      <c r="CGF20" s="252">
        <v>0</v>
      </c>
      <c r="CGG20" s="252">
        <v>0</v>
      </c>
      <c r="CGH20" s="252">
        <v>0</v>
      </c>
      <c r="CGI20" s="252">
        <v>0</v>
      </c>
      <c r="CGJ20" s="252">
        <v>0</v>
      </c>
      <c r="CGK20" s="252">
        <v>0</v>
      </c>
      <c r="CGL20" s="252">
        <v>0</v>
      </c>
      <c r="CGM20" s="252">
        <v>0</v>
      </c>
      <c r="CGN20" s="252">
        <v>0</v>
      </c>
      <c r="CGO20" s="252">
        <v>0</v>
      </c>
      <c r="CGP20" s="252">
        <v>0</v>
      </c>
      <c r="CGQ20" s="252">
        <v>0</v>
      </c>
      <c r="CGR20" s="252">
        <v>0</v>
      </c>
      <c r="CGS20" s="252">
        <v>0</v>
      </c>
      <c r="CGT20" s="252">
        <v>0</v>
      </c>
      <c r="CGU20" s="252">
        <v>0</v>
      </c>
      <c r="CGV20" s="252">
        <v>0</v>
      </c>
      <c r="CGW20" s="252">
        <v>0</v>
      </c>
      <c r="CGX20" s="252">
        <v>0</v>
      </c>
      <c r="CGY20" s="252">
        <v>0</v>
      </c>
      <c r="CGZ20" s="252">
        <v>0</v>
      </c>
      <c r="CHA20" s="252">
        <v>0</v>
      </c>
      <c r="CHB20" s="252">
        <v>0</v>
      </c>
      <c r="CHC20" s="252">
        <v>0</v>
      </c>
      <c r="CHD20" s="252">
        <v>0</v>
      </c>
      <c r="CHE20" s="252">
        <v>0</v>
      </c>
      <c r="CHF20" s="252">
        <v>0</v>
      </c>
      <c r="CHG20" s="252">
        <v>0</v>
      </c>
      <c r="CHH20" s="252">
        <v>0</v>
      </c>
      <c r="CHI20" s="252">
        <v>0</v>
      </c>
      <c r="CHJ20" s="252">
        <v>0</v>
      </c>
      <c r="CHK20" s="252">
        <v>0</v>
      </c>
      <c r="CHL20" s="252">
        <v>0</v>
      </c>
      <c r="CHM20" s="252">
        <v>0</v>
      </c>
      <c r="CHN20" s="252">
        <v>0</v>
      </c>
      <c r="CHO20" s="252">
        <v>0</v>
      </c>
      <c r="CHP20" s="252">
        <v>0</v>
      </c>
      <c r="CHQ20" s="252">
        <v>0</v>
      </c>
      <c r="CHR20" s="252">
        <v>0</v>
      </c>
      <c r="CHS20" s="252">
        <v>0</v>
      </c>
      <c r="CHT20" s="252">
        <v>0</v>
      </c>
      <c r="CHU20" s="252">
        <v>0</v>
      </c>
      <c r="CHV20" s="252">
        <v>0</v>
      </c>
      <c r="CHW20" s="252">
        <v>0</v>
      </c>
      <c r="CHX20" s="252">
        <v>0</v>
      </c>
      <c r="CHY20" s="252">
        <v>0</v>
      </c>
      <c r="CHZ20" s="252">
        <v>0</v>
      </c>
      <c r="CIA20" s="252">
        <v>0</v>
      </c>
      <c r="CIB20" s="252">
        <v>0</v>
      </c>
      <c r="CIC20" s="252">
        <v>0</v>
      </c>
      <c r="CID20" s="252">
        <v>0</v>
      </c>
      <c r="CIE20" s="252">
        <v>0</v>
      </c>
      <c r="CIF20" s="252">
        <v>0</v>
      </c>
      <c r="CIG20" s="252">
        <v>0</v>
      </c>
      <c r="CIH20" s="252">
        <v>0</v>
      </c>
      <c r="CII20" s="252">
        <v>0</v>
      </c>
      <c r="CIJ20" s="252">
        <v>0</v>
      </c>
      <c r="CIK20" s="252">
        <v>0</v>
      </c>
      <c r="CIL20" s="252">
        <v>0</v>
      </c>
      <c r="CIM20" s="252">
        <v>0</v>
      </c>
      <c r="CIN20" s="252">
        <v>0</v>
      </c>
      <c r="CIO20" s="252">
        <v>0</v>
      </c>
      <c r="CIP20" s="252">
        <v>0</v>
      </c>
      <c r="CIQ20" s="252">
        <v>0</v>
      </c>
      <c r="CIR20" s="252">
        <v>0</v>
      </c>
      <c r="CIS20" s="252">
        <v>0</v>
      </c>
      <c r="CIT20" s="252">
        <v>0</v>
      </c>
      <c r="CIU20" s="252">
        <v>0</v>
      </c>
      <c r="CIV20" s="252">
        <v>0</v>
      </c>
      <c r="CIW20" s="252">
        <v>0</v>
      </c>
      <c r="CIX20" s="252">
        <v>0</v>
      </c>
      <c r="CIY20" s="252">
        <v>0</v>
      </c>
      <c r="CIZ20" s="252">
        <v>0</v>
      </c>
      <c r="CJA20" s="252">
        <v>0</v>
      </c>
      <c r="CJB20" s="252">
        <v>0</v>
      </c>
      <c r="CJC20" s="252">
        <v>0</v>
      </c>
      <c r="CJD20" s="252">
        <v>0</v>
      </c>
      <c r="CJE20" s="252">
        <v>0</v>
      </c>
      <c r="CJF20" s="252">
        <v>0</v>
      </c>
      <c r="CJG20" s="252">
        <v>0</v>
      </c>
      <c r="CJH20" s="252">
        <v>0</v>
      </c>
      <c r="CJI20" s="252">
        <v>0</v>
      </c>
      <c r="CJJ20" s="252">
        <v>0</v>
      </c>
      <c r="CJK20" s="252">
        <v>0</v>
      </c>
      <c r="CJL20" s="252">
        <v>0</v>
      </c>
      <c r="CJM20" s="252">
        <v>0</v>
      </c>
      <c r="CJN20" s="252">
        <v>0</v>
      </c>
      <c r="CJO20" s="252">
        <v>0</v>
      </c>
      <c r="CJP20" s="252">
        <v>0</v>
      </c>
      <c r="CJQ20" s="252">
        <v>0</v>
      </c>
      <c r="CJR20" s="252">
        <v>0</v>
      </c>
      <c r="CJS20" s="252">
        <v>0</v>
      </c>
      <c r="CJT20" s="252">
        <v>0</v>
      </c>
      <c r="CJU20" s="252">
        <v>0</v>
      </c>
      <c r="CJV20" s="252">
        <v>0</v>
      </c>
      <c r="CJW20" s="252">
        <v>0</v>
      </c>
      <c r="CJX20" s="252">
        <v>0</v>
      </c>
      <c r="CJY20" s="252">
        <v>0</v>
      </c>
      <c r="CJZ20" s="252">
        <v>0</v>
      </c>
      <c r="CKA20" s="252">
        <v>0</v>
      </c>
      <c r="CKB20" s="252">
        <v>0</v>
      </c>
      <c r="CKC20" s="252">
        <v>0</v>
      </c>
      <c r="CKD20" s="252">
        <v>0</v>
      </c>
      <c r="CKE20" s="252">
        <v>0</v>
      </c>
      <c r="CKF20" s="252">
        <v>0</v>
      </c>
      <c r="CKG20" s="252">
        <v>0</v>
      </c>
      <c r="CKH20" s="252">
        <v>0</v>
      </c>
      <c r="CKI20" s="252">
        <v>0</v>
      </c>
      <c r="CKJ20" s="252">
        <v>0</v>
      </c>
      <c r="CKK20" s="252">
        <v>0</v>
      </c>
      <c r="CKL20" s="252">
        <v>0</v>
      </c>
      <c r="CKM20" s="252">
        <v>0</v>
      </c>
      <c r="CKN20" s="252">
        <v>0</v>
      </c>
      <c r="CKO20" s="252">
        <v>0</v>
      </c>
      <c r="CKP20" s="252">
        <v>0</v>
      </c>
      <c r="CKQ20" s="252">
        <v>0</v>
      </c>
      <c r="CKR20" s="252">
        <v>0</v>
      </c>
      <c r="CKS20" s="252">
        <v>0</v>
      </c>
      <c r="CKT20" s="252">
        <v>0</v>
      </c>
      <c r="CKU20" s="252">
        <v>0</v>
      </c>
      <c r="CKV20" s="252">
        <v>0</v>
      </c>
      <c r="CKW20" s="252">
        <v>0</v>
      </c>
      <c r="CKX20" s="252">
        <v>0</v>
      </c>
      <c r="CKY20" s="252">
        <v>0</v>
      </c>
      <c r="CKZ20" s="252">
        <v>0</v>
      </c>
      <c r="CLA20" s="252">
        <v>0</v>
      </c>
      <c r="CLB20" s="252">
        <v>0</v>
      </c>
      <c r="CLC20" s="252">
        <v>0</v>
      </c>
      <c r="CLD20" s="252">
        <v>0</v>
      </c>
      <c r="CLE20" s="252">
        <v>0</v>
      </c>
      <c r="CLF20" s="252">
        <v>0</v>
      </c>
      <c r="CLG20" s="252">
        <v>0</v>
      </c>
      <c r="CLH20" s="252">
        <v>0</v>
      </c>
      <c r="CLI20" s="252">
        <v>0</v>
      </c>
      <c r="CLJ20" s="252">
        <v>0</v>
      </c>
      <c r="CLK20" s="252">
        <v>0</v>
      </c>
      <c r="CLL20" s="252">
        <v>0</v>
      </c>
      <c r="CLM20" s="252">
        <v>0</v>
      </c>
      <c r="CLN20" s="252">
        <v>0</v>
      </c>
      <c r="CLO20" s="252">
        <v>0</v>
      </c>
      <c r="CLP20" s="252">
        <v>0</v>
      </c>
      <c r="CLQ20" s="252">
        <v>0</v>
      </c>
      <c r="CLR20" s="252">
        <v>0</v>
      </c>
      <c r="CLS20" s="252">
        <v>0</v>
      </c>
      <c r="CLT20" s="252">
        <v>0</v>
      </c>
      <c r="CLU20" s="252">
        <v>0</v>
      </c>
      <c r="CLV20" s="252">
        <v>0</v>
      </c>
      <c r="CLW20" s="252">
        <v>0</v>
      </c>
      <c r="CLX20" s="252">
        <v>0</v>
      </c>
      <c r="CLY20" s="252">
        <v>0</v>
      </c>
      <c r="CLZ20" s="252">
        <v>0</v>
      </c>
      <c r="CMA20" s="252">
        <v>0</v>
      </c>
      <c r="CMB20" s="252">
        <v>0</v>
      </c>
      <c r="CMC20" s="252">
        <v>0</v>
      </c>
      <c r="CMD20" s="252">
        <v>0</v>
      </c>
      <c r="CME20" s="252">
        <v>0</v>
      </c>
      <c r="CMF20" s="252">
        <v>0</v>
      </c>
      <c r="CMG20" s="252">
        <v>0</v>
      </c>
      <c r="CMH20" s="252">
        <v>0</v>
      </c>
      <c r="CMI20" s="252">
        <v>0</v>
      </c>
      <c r="CMJ20" s="252">
        <v>0</v>
      </c>
      <c r="CMK20" s="252">
        <v>0</v>
      </c>
      <c r="CML20" s="252">
        <v>0</v>
      </c>
      <c r="CMM20" s="252">
        <v>0</v>
      </c>
      <c r="CMN20" s="252">
        <v>0</v>
      </c>
      <c r="CMO20" s="252">
        <v>0</v>
      </c>
      <c r="CMP20" s="252">
        <v>0</v>
      </c>
      <c r="CMQ20" s="252">
        <v>0</v>
      </c>
      <c r="CMR20" s="252">
        <v>0</v>
      </c>
      <c r="CMS20" s="252">
        <v>0</v>
      </c>
      <c r="CMT20" s="252">
        <v>0</v>
      </c>
      <c r="CMU20" s="252">
        <v>0</v>
      </c>
      <c r="CMV20" s="252">
        <v>0</v>
      </c>
      <c r="CMW20" s="252">
        <v>0</v>
      </c>
      <c r="CMX20" s="252">
        <v>0</v>
      </c>
      <c r="CMY20" s="252">
        <v>0</v>
      </c>
      <c r="CMZ20" s="252">
        <v>0</v>
      </c>
      <c r="CNA20" s="252">
        <v>0</v>
      </c>
      <c r="CNB20" s="252">
        <v>0</v>
      </c>
      <c r="CNC20" s="252">
        <v>0</v>
      </c>
      <c r="CND20" s="252">
        <v>0</v>
      </c>
      <c r="CNE20" s="252">
        <v>0</v>
      </c>
      <c r="CNF20" s="252">
        <v>0</v>
      </c>
      <c r="CNG20" s="252">
        <v>0</v>
      </c>
      <c r="CNH20" s="252">
        <v>0</v>
      </c>
      <c r="CNI20" s="252">
        <v>0</v>
      </c>
      <c r="CNJ20" s="252">
        <v>0</v>
      </c>
      <c r="CNK20" s="252">
        <v>0</v>
      </c>
      <c r="CNL20" s="252">
        <v>0</v>
      </c>
      <c r="CNM20" s="252">
        <v>0</v>
      </c>
      <c r="CNN20" s="252">
        <v>0</v>
      </c>
      <c r="CNO20" s="252">
        <v>0</v>
      </c>
      <c r="CNP20" s="252">
        <v>0</v>
      </c>
      <c r="CNQ20" s="252">
        <v>0</v>
      </c>
      <c r="CNR20" s="252">
        <v>0</v>
      </c>
      <c r="CNS20" s="252">
        <v>0</v>
      </c>
      <c r="CNT20" s="252">
        <v>0</v>
      </c>
      <c r="CNU20" s="252">
        <v>0</v>
      </c>
      <c r="CNV20" s="252">
        <v>0</v>
      </c>
      <c r="CNW20" s="252">
        <v>0</v>
      </c>
      <c r="CNX20" s="252">
        <v>0</v>
      </c>
      <c r="CNY20" s="252">
        <v>0</v>
      </c>
      <c r="CNZ20" s="252">
        <v>0</v>
      </c>
      <c r="COA20" s="252">
        <v>0</v>
      </c>
      <c r="COB20" s="252">
        <v>0</v>
      </c>
      <c r="COC20" s="252">
        <v>0</v>
      </c>
      <c r="COD20" s="252">
        <v>0</v>
      </c>
      <c r="COE20" s="252">
        <v>0</v>
      </c>
      <c r="COF20" s="252">
        <v>0</v>
      </c>
      <c r="COG20" s="252">
        <v>0</v>
      </c>
      <c r="COH20" s="252">
        <v>0</v>
      </c>
      <c r="COI20" s="252">
        <v>0</v>
      </c>
      <c r="COJ20" s="252">
        <v>0</v>
      </c>
      <c r="COK20" s="252">
        <v>0</v>
      </c>
      <c r="COL20" s="252">
        <v>0</v>
      </c>
      <c r="COM20" s="252">
        <v>0</v>
      </c>
      <c r="CON20" s="252">
        <v>0</v>
      </c>
      <c r="COO20" s="252">
        <v>0</v>
      </c>
      <c r="COP20" s="252">
        <v>0</v>
      </c>
      <c r="COQ20" s="252">
        <v>0</v>
      </c>
      <c r="COR20" s="252">
        <v>0</v>
      </c>
      <c r="COS20" s="252">
        <v>0</v>
      </c>
      <c r="COT20" s="252">
        <v>0</v>
      </c>
      <c r="COU20" s="252">
        <v>0</v>
      </c>
      <c r="COV20" s="252">
        <v>0</v>
      </c>
      <c r="COW20" s="252">
        <v>0</v>
      </c>
      <c r="COX20" s="252">
        <v>0</v>
      </c>
      <c r="COY20" s="252">
        <v>0</v>
      </c>
      <c r="COZ20" s="252">
        <v>0</v>
      </c>
      <c r="CPA20" s="252">
        <v>0</v>
      </c>
      <c r="CPB20" s="252">
        <v>0</v>
      </c>
      <c r="CPC20" s="252">
        <v>0</v>
      </c>
      <c r="CPD20" s="252">
        <v>0</v>
      </c>
      <c r="CPE20" s="252">
        <v>0</v>
      </c>
      <c r="CPF20" s="252">
        <v>0</v>
      </c>
      <c r="CPG20" s="252">
        <v>0</v>
      </c>
      <c r="CPH20" s="252">
        <v>0</v>
      </c>
      <c r="CPI20" s="252">
        <v>0</v>
      </c>
      <c r="CPJ20" s="252">
        <v>0</v>
      </c>
      <c r="CPK20" s="252">
        <v>0</v>
      </c>
      <c r="CPL20" s="252">
        <v>0</v>
      </c>
      <c r="CPM20" s="252">
        <v>0</v>
      </c>
      <c r="CPN20" s="252">
        <v>0</v>
      </c>
      <c r="CPO20" s="252">
        <v>0</v>
      </c>
      <c r="CPP20" s="252">
        <v>0</v>
      </c>
      <c r="CPQ20" s="252">
        <v>0</v>
      </c>
      <c r="CPR20" s="252">
        <v>0</v>
      </c>
      <c r="CPS20" s="252">
        <v>0</v>
      </c>
      <c r="CPT20" s="252">
        <v>0</v>
      </c>
      <c r="CPU20" s="252">
        <v>0</v>
      </c>
      <c r="CPV20" s="252">
        <v>0</v>
      </c>
      <c r="CPW20" s="252">
        <v>0</v>
      </c>
      <c r="CPX20" s="252">
        <v>0</v>
      </c>
      <c r="CPY20" s="252">
        <v>0</v>
      </c>
      <c r="CPZ20" s="252">
        <v>0</v>
      </c>
      <c r="CQA20" s="252">
        <v>0</v>
      </c>
      <c r="CQB20" s="252">
        <v>0</v>
      </c>
      <c r="CQC20" s="252">
        <v>0</v>
      </c>
      <c r="CQD20" s="252">
        <v>0</v>
      </c>
      <c r="CQE20" s="252">
        <v>0</v>
      </c>
      <c r="CQF20" s="252">
        <v>0</v>
      </c>
      <c r="CQG20" s="252">
        <v>0</v>
      </c>
      <c r="CQH20" s="252">
        <v>0</v>
      </c>
      <c r="CQI20" s="252">
        <v>0</v>
      </c>
      <c r="CQJ20" s="252">
        <v>0</v>
      </c>
      <c r="CQK20" s="252">
        <v>0</v>
      </c>
      <c r="CQL20" s="252">
        <v>0</v>
      </c>
      <c r="CQM20" s="252">
        <v>0</v>
      </c>
      <c r="CQN20" s="252">
        <v>0</v>
      </c>
      <c r="CQO20" s="252">
        <v>0</v>
      </c>
      <c r="CQP20" s="252">
        <v>0</v>
      </c>
      <c r="CQQ20" s="252">
        <v>0</v>
      </c>
      <c r="CQR20" s="252">
        <v>0</v>
      </c>
      <c r="CQS20" s="252">
        <v>0</v>
      </c>
      <c r="CQT20" s="252">
        <v>0</v>
      </c>
      <c r="CQU20" s="252">
        <v>0</v>
      </c>
      <c r="CQV20" s="252">
        <v>0</v>
      </c>
      <c r="CQW20" s="252">
        <v>0</v>
      </c>
      <c r="CQX20" s="252">
        <v>0</v>
      </c>
      <c r="CQY20" s="252">
        <v>0</v>
      </c>
      <c r="CQZ20" s="252">
        <v>0</v>
      </c>
      <c r="CRA20" s="252">
        <v>0</v>
      </c>
      <c r="CRB20" s="252">
        <v>0</v>
      </c>
      <c r="CRC20" s="252">
        <v>0</v>
      </c>
      <c r="CRD20" s="252">
        <v>0</v>
      </c>
      <c r="CRE20" s="252">
        <v>0</v>
      </c>
      <c r="CRF20" s="252">
        <v>0</v>
      </c>
      <c r="CRG20" s="252">
        <v>0</v>
      </c>
      <c r="CRH20" s="252">
        <v>0</v>
      </c>
      <c r="CRI20" s="252">
        <v>0</v>
      </c>
      <c r="CRJ20" s="252">
        <v>0</v>
      </c>
      <c r="CRK20" s="252">
        <v>0</v>
      </c>
      <c r="CRL20" s="252">
        <v>0</v>
      </c>
      <c r="CRM20" s="252">
        <v>0</v>
      </c>
      <c r="CRN20" s="252">
        <v>0</v>
      </c>
      <c r="CRO20" s="252">
        <v>0</v>
      </c>
      <c r="CRP20" s="252">
        <v>0</v>
      </c>
      <c r="CRQ20" s="252">
        <v>0</v>
      </c>
      <c r="CRR20" s="252">
        <v>0</v>
      </c>
      <c r="CRS20" s="252">
        <v>0</v>
      </c>
      <c r="CRT20" s="252">
        <v>0</v>
      </c>
      <c r="CRU20" s="252">
        <v>0</v>
      </c>
      <c r="CRV20" s="252">
        <v>0</v>
      </c>
      <c r="CRW20" s="252">
        <v>0</v>
      </c>
      <c r="CRX20" s="252">
        <v>0</v>
      </c>
      <c r="CRY20" s="252">
        <v>0</v>
      </c>
      <c r="CRZ20" s="252">
        <v>0</v>
      </c>
      <c r="CSA20" s="252">
        <v>0</v>
      </c>
      <c r="CSB20" s="252">
        <v>0</v>
      </c>
      <c r="CSC20" s="252">
        <v>0</v>
      </c>
      <c r="CSD20" s="252">
        <v>0</v>
      </c>
      <c r="CSE20" s="252">
        <v>0</v>
      </c>
      <c r="CSF20" s="252">
        <v>0</v>
      </c>
      <c r="CSG20" s="252">
        <v>0</v>
      </c>
      <c r="CSH20" s="252">
        <v>0</v>
      </c>
      <c r="CSI20" s="252">
        <v>0</v>
      </c>
      <c r="CSJ20" s="252">
        <v>0</v>
      </c>
      <c r="CSK20" s="252">
        <v>0</v>
      </c>
      <c r="CSL20" s="252">
        <v>0</v>
      </c>
      <c r="CSM20" s="252">
        <v>0</v>
      </c>
      <c r="CSN20" s="252">
        <v>0</v>
      </c>
      <c r="CSO20" s="252">
        <v>0</v>
      </c>
      <c r="CSP20" s="252">
        <v>0</v>
      </c>
      <c r="CSQ20" s="252">
        <v>0</v>
      </c>
      <c r="CSR20" s="252">
        <v>0</v>
      </c>
      <c r="CSS20" s="252">
        <v>0</v>
      </c>
      <c r="CST20" s="252">
        <v>0</v>
      </c>
      <c r="CSU20" s="252">
        <v>0</v>
      </c>
      <c r="CSV20" s="252">
        <v>0</v>
      </c>
      <c r="CSW20" s="252">
        <v>0</v>
      </c>
      <c r="CSX20" s="252">
        <v>0</v>
      </c>
      <c r="CSY20" s="252">
        <v>0</v>
      </c>
      <c r="CSZ20" s="252">
        <v>0</v>
      </c>
      <c r="CTA20" s="252">
        <v>0</v>
      </c>
      <c r="CTB20" s="252">
        <v>0</v>
      </c>
      <c r="CTC20" s="252">
        <v>0</v>
      </c>
      <c r="CTD20" s="252">
        <v>0</v>
      </c>
      <c r="CTE20" s="252">
        <v>0</v>
      </c>
      <c r="CTF20" s="252">
        <v>0</v>
      </c>
      <c r="CTG20" s="252">
        <v>0</v>
      </c>
      <c r="CTH20" s="252">
        <v>0</v>
      </c>
      <c r="CTI20" s="252">
        <v>0</v>
      </c>
      <c r="CTJ20" s="252">
        <v>0</v>
      </c>
      <c r="CTK20" s="252">
        <v>0</v>
      </c>
      <c r="CTL20" s="252">
        <v>0</v>
      </c>
      <c r="CTM20" s="252">
        <v>0</v>
      </c>
      <c r="CTN20" s="252">
        <v>0</v>
      </c>
      <c r="CTO20" s="252">
        <v>0</v>
      </c>
      <c r="CTP20" s="252">
        <v>0</v>
      </c>
      <c r="CTQ20" s="252">
        <v>0</v>
      </c>
      <c r="CTR20" s="252">
        <v>0</v>
      </c>
      <c r="CTS20" s="252">
        <v>0</v>
      </c>
      <c r="CTT20" s="252">
        <v>0</v>
      </c>
      <c r="CTU20" s="252">
        <v>0</v>
      </c>
      <c r="CTV20" s="252">
        <v>0</v>
      </c>
      <c r="CTW20" s="252">
        <v>0</v>
      </c>
      <c r="CTX20" s="252">
        <v>0</v>
      </c>
      <c r="CTY20" s="252">
        <v>0</v>
      </c>
      <c r="CTZ20" s="252">
        <v>0</v>
      </c>
      <c r="CUA20" s="252">
        <v>0</v>
      </c>
      <c r="CUB20" s="252">
        <v>0</v>
      </c>
      <c r="CUC20" s="252">
        <v>0</v>
      </c>
      <c r="CUD20" s="252">
        <v>0</v>
      </c>
      <c r="CUE20" s="252">
        <v>0</v>
      </c>
      <c r="CUF20" s="252">
        <v>0</v>
      </c>
      <c r="CUG20" s="252">
        <v>0</v>
      </c>
      <c r="CUH20" s="252">
        <v>0</v>
      </c>
      <c r="CUI20" s="252">
        <v>0</v>
      </c>
      <c r="CUJ20" s="252">
        <v>0</v>
      </c>
      <c r="CUK20" s="252">
        <v>0</v>
      </c>
      <c r="CUL20" s="252">
        <v>0</v>
      </c>
      <c r="CUM20" s="252">
        <v>0</v>
      </c>
      <c r="CUN20" s="252">
        <v>0</v>
      </c>
      <c r="CUO20" s="252">
        <v>0</v>
      </c>
      <c r="CUP20" s="252">
        <v>0</v>
      </c>
      <c r="CUQ20" s="252">
        <v>0</v>
      </c>
      <c r="CUR20" s="252">
        <v>0</v>
      </c>
      <c r="CUS20" s="252">
        <v>0</v>
      </c>
      <c r="CUT20" s="252">
        <v>0</v>
      </c>
      <c r="CUU20" s="252">
        <v>0</v>
      </c>
      <c r="CUV20" s="252">
        <v>0</v>
      </c>
      <c r="CUW20" s="252">
        <v>0</v>
      </c>
      <c r="CUX20" s="252">
        <v>0</v>
      </c>
      <c r="CUY20" s="252">
        <v>0</v>
      </c>
      <c r="CUZ20" s="252">
        <v>0</v>
      </c>
      <c r="CVA20" s="252">
        <v>0</v>
      </c>
      <c r="CVB20" s="252">
        <v>0</v>
      </c>
      <c r="CVC20" s="252">
        <v>0</v>
      </c>
      <c r="CVD20" s="252">
        <v>0</v>
      </c>
      <c r="CVE20" s="252">
        <v>0</v>
      </c>
      <c r="CVF20" s="252">
        <v>0</v>
      </c>
      <c r="CVG20" s="252">
        <v>0</v>
      </c>
      <c r="CVH20" s="252">
        <v>0</v>
      </c>
      <c r="CVI20" s="252">
        <v>0</v>
      </c>
      <c r="CVJ20" s="252">
        <v>0</v>
      </c>
      <c r="CVK20" s="252">
        <v>0</v>
      </c>
      <c r="CVL20" s="252">
        <v>0</v>
      </c>
      <c r="CVM20" s="252">
        <v>0</v>
      </c>
      <c r="CVN20" s="252">
        <v>0</v>
      </c>
      <c r="CVO20" s="252">
        <v>0</v>
      </c>
      <c r="CVP20" s="252">
        <v>0</v>
      </c>
      <c r="CVQ20" s="252">
        <v>0</v>
      </c>
      <c r="CVR20" s="252">
        <v>0</v>
      </c>
      <c r="CVS20" s="252">
        <v>0</v>
      </c>
      <c r="CVT20" s="252">
        <v>0</v>
      </c>
      <c r="CVU20" s="252">
        <v>0</v>
      </c>
      <c r="CVV20" s="252">
        <v>0</v>
      </c>
      <c r="CVW20" s="252">
        <v>0</v>
      </c>
      <c r="CVX20" s="252">
        <v>0</v>
      </c>
      <c r="CVY20" s="252">
        <v>0</v>
      </c>
      <c r="CVZ20" s="252">
        <v>0</v>
      </c>
      <c r="CWA20" s="252">
        <v>0</v>
      </c>
      <c r="CWB20" s="252">
        <v>0</v>
      </c>
      <c r="CWC20" s="252">
        <v>0</v>
      </c>
      <c r="CWD20" s="252">
        <v>0</v>
      </c>
      <c r="CWE20" s="252">
        <v>0</v>
      </c>
      <c r="CWF20" s="252">
        <v>0</v>
      </c>
      <c r="CWG20" s="252">
        <v>0</v>
      </c>
      <c r="CWH20" s="252">
        <v>0</v>
      </c>
      <c r="CWI20" s="252">
        <v>0</v>
      </c>
      <c r="CWJ20" s="252">
        <v>0</v>
      </c>
      <c r="CWK20" s="252">
        <v>0</v>
      </c>
      <c r="CWL20" s="252">
        <v>0</v>
      </c>
      <c r="CWM20" s="252">
        <v>0</v>
      </c>
      <c r="CWN20" s="252">
        <v>0</v>
      </c>
      <c r="CWO20" s="252">
        <v>0</v>
      </c>
      <c r="CWP20" s="252">
        <v>0</v>
      </c>
      <c r="CWQ20" s="252">
        <v>0</v>
      </c>
      <c r="CWR20" s="252">
        <v>0</v>
      </c>
      <c r="CWS20" s="252">
        <v>0</v>
      </c>
      <c r="CWT20" s="252">
        <v>0</v>
      </c>
      <c r="CWU20" s="252">
        <v>0</v>
      </c>
      <c r="CWV20" s="252">
        <v>0</v>
      </c>
      <c r="CWW20" s="252">
        <v>0</v>
      </c>
      <c r="CWX20" s="252">
        <v>0</v>
      </c>
      <c r="CWY20" s="252">
        <v>0</v>
      </c>
      <c r="CWZ20" s="252">
        <v>0</v>
      </c>
      <c r="CXA20" s="252">
        <v>0</v>
      </c>
      <c r="CXB20" s="252">
        <v>0</v>
      </c>
      <c r="CXC20" s="252">
        <v>0</v>
      </c>
      <c r="CXD20" s="252">
        <v>0</v>
      </c>
      <c r="CXE20" s="252">
        <v>0</v>
      </c>
      <c r="CXF20" s="252">
        <v>0</v>
      </c>
      <c r="CXG20" s="252">
        <v>0</v>
      </c>
      <c r="CXH20" s="252">
        <v>0</v>
      </c>
      <c r="CXI20" s="252">
        <v>0</v>
      </c>
      <c r="CXJ20" s="252">
        <v>0</v>
      </c>
      <c r="CXK20" s="252">
        <v>0</v>
      </c>
      <c r="CXL20" s="252">
        <v>0</v>
      </c>
      <c r="CXM20" s="252">
        <v>0</v>
      </c>
      <c r="CXN20" s="252">
        <v>0</v>
      </c>
      <c r="CXO20" s="252">
        <v>0</v>
      </c>
      <c r="CXP20" s="252">
        <v>0</v>
      </c>
      <c r="CXQ20" s="252">
        <v>0</v>
      </c>
      <c r="CXR20" s="252">
        <v>0</v>
      </c>
      <c r="CXS20" s="252">
        <v>0</v>
      </c>
      <c r="CXT20" s="252">
        <v>0</v>
      </c>
      <c r="CXU20" s="252">
        <v>0</v>
      </c>
      <c r="CXV20" s="252">
        <v>0</v>
      </c>
      <c r="CXW20" s="252">
        <v>0</v>
      </c>
      <c r="CXX20" s="252">
        <v>0</v>
      </c>
      <c r="CXY20" s="252">
        <v>0</v>
      </c>
      <c r="CXZ20" s="252">
        <v>0</v>
      </c>
      <c r="CYA20" s="252">
        <v>0</v>
      </c>
      <c r="CYB20" s="252">
        <v>0</v>
      </c>
      <c r="CYC20" s="252">
        <v>0</v>
      </c>
      <c r="CYD20" s="252">
        <v>0</v>
      </c>
      <c r="CYE20" s="252">
        <v>0</v>
      </c>
      <c r="CYF20" s="252">
        <v>0</v>
      </c>
      <c r="CYG20" s="252">
        <v>0</v>
      </c>
      <c r="CYH20" s="252">
        <v>0</v>
      </c>
      <c r="CYI20" s="252">
        <v>0</v>
      </c>
      <c r="CYJ20" s="252">
        <v>0</v>
      </c>
      <c r="CYK20" s="252">
        <v>0</v>
      </c>
      <c r="CYL20" s="252">
        <v>0</v>
      </c>
      <c r="CYM20" s="252">
        <v>0</v>
      </c>
      <c r="CYN20" s="252">
        <v>0</v>
      </c>
      <c r="CYO20" s="252">
        <v>0</v>
      </c>
      <c r="CYP20" s="252">
        <v>0</v>
      </c>
      <c r="CYQ20" s="252">
        <v>0</v>
      </c>
      <c r="CYR20" s="252">
        <v>0</v>
      </c>
      <c r="CYS20" s="252">
        <v>0</v>
      </c>
      <c r="CYT20" s="252">
        <v>0</v>
      </c>
      <c r="CYU20" s="252">
        <v>0</v>
      </c>
      <c r="CYV20" s="252">
        <v>0</v>
      </c>
      <c r="CYW20" s="252">
        <v>0</v>
      </c>
      <c r="CYX20" s="252">
        <v>0</v>
      </c>
      <c r="CYY20" s="252">
        <v>0</v>
      </c>
      <c r="CYZ20" s="252">
        <v>0</v>
      </c>
      <c r="CZA20" s="252">
        <v>0</v>
      </c>
      <c r="CZB20" s="252">
        <v>0</v>
      </c>
      <c r="CZC20" s="252">
        <v>0</v>
      </c>
      <c r="CZD20" s="252">
        <v>0</v>
      </c>
      <c r="CZE20" s="252">
        <v>0</v>
      </c>
      <c r="CZF20" s="252">
        <v>0</v>
      </c>
      <c r="CZG20" s="252">
        <v>0</v>
      </c>
      <c r="CZH20" s="252">
        <v>0</v>
      </c>
      <c r="CZI20" s="252">
        <v>0</v>
      </c>
      <c r="CZJ20" s="252">
        <v>0</v>
      </c>
      <c r="CZK20" s="252">
        <v>0</v>
      </c>
      <c r="CZL20" s="252">
        <v>0</v>
      </c>
      <c r="CZM20" s="252">
        <v>0</v>
      </c>
      <c r="CZN20" s="252">
        <v>0</v>
      </c>
      <c r="CZO20" s="252">
        <v>0</v>
      </c>
      <c r="CZP20" s="252">
        <v>0</v>
      </c>
      <c r="CZQ20" s="252">
        <v>0</v>
      </c>
      <c r="CZR20" s="252">
        <v>0</v>
      </c>
      <c r="CZS20" s="252">
        <v>0</v>
      </c>
      <c r="CZT20" s="252">
        <v>0</v>
      </c>
      <c r="CZU20" s="252">
        <v>0</v>
      </c>
      <c r="CZV20" s="252">
        <v>0</v>
      </c>
      <c r="CZW20" s="252">
        <v>0</v>
      </c>
      <c r="CZX20" s="252">
        <v>0</v>
      </c>
      <c r="CZY20" s="252">
        <v>0</v>
      </c>
      <c r="CZZ20" s="252">
        <v>0</v>
      </c>
      <c r="DAA20" s="252">
        <v>0</v>
      </c>
      <c r="DAB20" s="252">
        <v>0</v>
      </c>
      <c r="DAC20" s="252">
        <v>0</v>
      </c>
      <c r="DAD20" s="252">
        <v>0</v>
      </c>
      <c r="DAE20" s="252">
        <v>0</v>
      </c>
      <c r="DAF20" s="252">
        <v>0</v>
      </c>
      <c r="DAG20" s="252">
        <v>0</v>
      </c>
      <c r="DAH20" s="252">
        <v>0</v>
      </c>
      <c r="DAI20" s="252">
        <v>0</v>
      </c>
      <c r="DAJ20" s="252">
        <v>0</v>
      </c>
      <c r="DAK20" s="252">
        <v>0</v>
      </c>
      <c r="DAL20" s="252">
        <v>0</v>
      </c>
      <c r="DAM20" s="252">
        <v>0</v>
      </c>
      <c r="DAN20" s="252">
        <v>0</v>
      </c>
      <c r="DAO20" s="252">
        <v>0</v>
      </c>
      <c r="DAP20" s="252">
        <v>0</v>
      </c>
      <c r="DAQ20" s="252">
        <v>0</v>
      </c>
      <c r="DAR20" s="252">
        <v>0</v>
      </c>
      <c r="DAS20" s="252">
        <v>0</v>
      </c>
      <c r="DAT20" s="252">
        <v>0</v>
      </c>
      <c r="DAU20" s="252">
        <v>0</v>
      </c>
      <c r="DAV20" s="252">
        <v>0</v>
      </c>
      <c r="DAW20" s="252">
        <v>0</v>
      </c>
      <c r="DAX20" s="252">
        <v>0</v>
      </c>
      <c r="DAY20" s="252">
        <v>0</v>
      </c>
      <c r="DAZ20" s="252">
        <v>0</v>
      </c>
      <c r="DBA20" s="252">
        <v>0</v>
      </c>
      <c r="DBB20" s="252">
        <v>0</v>
      </c>
      <c r="DBC20" s="252">
        <v>0</v>
      </c>
      <c r="DBD20" s="252">
        <v>0</v>
      </c>
      <c r="DBE20" s="252">
        <v>0</v>
      </c>
      <c r="DBF20" s="252">
        <v>0</v>
      </c>
      <c r="DBG20" s="252">
        <v>0</v>
      </c>
      <c r="DBH20" s="252">
        <v>0</v>
      </c>
      <c r="DBI20" s="252">
        <v>0</v>
      </c>
      <c r="DBJ20" s="252">
        <v>0</v>
      </c>
      <c r="DBK20" s="252">
        <v>0</v>
      </c>
      <c r="DBL20" s="252">
        <v>0</v>
      </c>
      <c r="DBM20" s="252">
        <v>0</v>
      </c>
      <c r="DBN20" s="252">
        <v>0</v>
      </c>
      <c r="DBO20" s="252">
        <v>0</v>
      </c>
      <c r="DBP20" s="252">
        <v>0</v>
      </c>
      <c r="DBQ20" s="252">
        <v>0</v>
      </c>
      <c r="DBR20" s="252">
        <v>0</v>
      </c>
      <c r="DBS20" s="252">
        <v>0</v>
      </c>
      <c r="DBT20" s="252">
        <v>0</v>
      </c>
      <c r="DBU20" s="252">
        <v>0</v>
      </c>
      <c r="DBV20" s="252">
        <v>0</v>
      </c>
      <c r="DBW20" s="252">
        <v>0</v>
      </c>
      <c r="DBX20" s="252">
        <v>0</v>
      </c>
      <c r="DBY20" s="252">
        <v>0</v>
      </c>
      <c r="DBZ20" s="252">
        <v>0</v>
      </c>
      <c r="DCA20" s="252">
        <v>0</v>
      </c>
      <c r="DCB20" s="252">
        <v>0</v>
      </c>
      <c r="DCC20" s="252">
        <v>0</v>
      </c>
      <c r="DCD20" s="252">
        <v>0</v>
      </c>
      <c r="DCE20" s="252">
        <v>0</v>
      </c>
      <c r="DCF20" s="252">
        <v>0</v>
      </c>
      <c r="DCG20" s="252">
        <v>0</v>
      </c>
      <c r="DCH20" s="252">
        <v>0</v>
      </c>
      <c r="DCI20" s="252">
        <v>0</v>
      </c>
      <c r="DCJ20" s="252">
        <v>0</v>
      </c>
      <c r="DCK20" s="252">
        <v>0</v>
      </c>
      <c r="DCL20" s="252">
        <v>0</v>
      </c>
      <c r="DCM20" s="252">
        <v>0</v>
      </c>
      <c r="DCN20" s="252">
        <v>0</v>
      </c>
      <c r="DCO20" s="252">
        <v>0</v>
      </c>
      <c r="DCP20" s="252">
        <v>0</v>
      </c>
      <c r="DCQ20" s="252">
        <v>0</v>
      </c>
      <c r="DCR20" s="252">
        <v>0</v>
      </c>
      <c r="DCS20" s="252">
        <v>0</v>
      </c>
      <c r="DCT20" s="252">
        <v>0</v>
      </c>
      <c r="DCU20" s="252">
        <v>0</v>
      </c>
      <c r="DCV20" s="252">
        <v>0</v>
      </c>
      <c r="DCW20" s="252">
        <v>0</v>
      </c>
      <c r="DCX20" s="252">
        <v>0</v>
      </c>
      <c r="DCY20" s="252">
        <v>0</v>
      </c>
      <c r="DCZ20" s="252">
        <v>0</v>
      </c>
      <c r="DDA20" s="252">
        <v>0</v>
      </c>
      <c r="DDB20" s="252">
        <v>0</v>
      </c>
      <c r="DDC20" s="252">
        <v>0</v>
      </c>
      <c r="DDD20" s="252">
        <v>0</v>
      </c>
      <c r="DDE20" s="252">
        <v>0</v>
      </c>
      <c r="DDF20" s="252">
        <v>0</v>
      </c>
      <c r="DDG20" s="252">
        <v>0</v>
      </c>
      <c r="DDH20" s="252">
        <v>0</v>
      </c>
      <c r="DDI20" s="252">
        <v>0</v>
      </c>
      <c r="DDJ20" s="252">
        <v>0</v>
      </c>
      <c r="DDK20" s="252">
        <v>0</v>
      </c>
      <c r="DDL20" s="252">
        <v>0</v>
      </c>
      <c r="DDM20" s="252">
        <v>0</v>
      </c>
      <c r="DDN20" s="252">
        <v>0</v>
      </c>
      <c r="DDO20" s="252">
        <v>0</v>
      </c>
      <c r="DDP20" s="252">
        <v>0</v>
      </c>
      <c r="DDQ20" s="252">
        <v>0</v>
      </c>
      <c r="DDR20" s="252">
        <v>0</v>
      </c>
      <c r="DDS20" s="252">
        <v>0</v>
      </c>
      <c r="DDT20" s="252">
        <v>0</v>
      </c>
      <c r="DDU20" s="252">
        <v>0</v>
      </c>
      <c r="DDV20" s="252">
        <v>0</v>
      </c>
      <c r="DDW20" s="252">
        <v>0</v>
      </c>
      <c r="DDX20" s="252">
        <v>0</v>
      </c>
      <c r="DDY20" s="252">
        <v>0</v>
      </c>
      <c r="DDZ20" s="252">
        <v>0</v>
      </c>
      <c r="DEA20" s="252">
        <v>0</v>
      </c>
      <c r="DEB20" s="252">
        <v>0</v>
      </c>
      <c r="DEC20" s="252">
        <v>0</v>
      </c>
      <c r="DED20" s="252">
        <v>0</v>
      </c>
      <c r="DEE20" s="252">
        <v>0</v>
      </c>
      <c r="DEF20" s="252">
        <v>0</v>
      </c>
      <c r="DEG20" s="252">
        <v>0</v>
      </c>
      <c r="DEH20" s="252">
        <v>0</v>
      </c>
      <c r="DEI20" s="252">
        <v>0</v>
      </c>
      <c r="DEJ20" s="252">
        <v>0</v>
      </c>
      <c r="DEK20" s="252">
        <v>0</v>
      </c>
      <c r="DEL20" s="252">
        <v>0</v>
      </c>
      <c r="DEM20" s="252">
        <v>0</v>
      </c>
      <c r="DEN20" s="252">
        <v>0</v>
      </c>
      <c r="DEO20" s="252">
        <v>0</v>
      </c>
      <c r="DEP20" s="252">
        <v>0</v>
      </c>
      <c r="DEQ20" s="252">
        <v>0</v>
      </c>
      <c r="DER20" s="252">
        <v>0</v>
      </c>
      <c r="DES20" s="252">
        <v>0</v>
      </c>
      <c r="DET20" s="252">
        <v>0</v>
      </c>
      <c r="DEU20" s="252">
        <v>0</v>
      </c>
      <c r="DEV20" s="252">
        <v>0</v>
      </c>
      <c r="DEW20" s="252">
        <v>0</v>
      </c>
      <c r="DEX20" s="252">
        <v>0</v>
      </c>
      <c r="DEY20" s="252">
        <v>0</v>
      </c>
      <c r="DEZ20" s="252">
        <v>0</v>
      </c>
      <c r="DFA20" s="252">
        <v>0</v>
      </c>
      <c r="DFB20" s="252">
        <v>0</v>
      </c>
      <c r="DFC20" s="252">
        <v>0</v>
      </c>
      <c r="DFD20" s="252">
        <v>0</v>
      </c>
      <c r="DFE20" s="252">
        <v>0</v>
      </c>
      <c r="DFF20" s="252">
        <v>0</v>
      </c>
      <c r="DFG20" s="252">
        <v>0</v>
      </c>
      <c r="DFH20" s="252">
        <v>0</v>
      </c>
      <c r="DFI20" s="252">
        <v>0</v>
      </c>
      <c r="DFJ20" s="252">
        <v>0</v>
      </c>
      <c r="DFK20" s="252">
        <v>0</v>
      </c>
      <c r="DFL20" s="252">
        <v>0</v>
      </c>
      <c r="DFM20" s="252">
        <v>0</v>
      </c>
      <c r="DFN20" s="252">
        <v>0</v>
      </c>
      <c r="DFO20" s="252">
        <v>0</v>
      </c>
      <c r="DFP20" s="252">
        <v>0</v>
      </c>
      <c r="DFQ20" s="252">
        <v>0</v>
      </c>
      <c r="DFR20" s="252">
        <v>0</v>
      </c>
      <c r="DFS20" s="252">
        <v>0</v>
      </c>
      <c r="DFT20" s="252">
        <v>0</v>
      </c>
      <c r="DFU20" s="252">
        <v>0</v>
      </c>
      <c r="DFV20" s="252">
        <v>0</v>
      </c>
      <c r="DFW20" s="252">
        <v>0</v>
      </c>
      <c r="DFX20" s="252">
        <v>0</v>
      </c>
      <c r="DFY20" s="252">
        <v>0</v>
      </c>
      <c r="DFZ20" s="252">
        <v>0</v>
      </c>
      <c r="DGA20" s="252">
        <v>0</v>
      </c>
      <c r="DGB20" s="252">
        <v>0</v>
      </c>
      <c r="DGC20" s="252">
        <v>0</v>
      </c>
      <c r="DGD20" s="252">
        <v>0</v>
      </c>
      <c r="DGE20" s="252">
        <v>0</v>
      </c>
      <c r="DGF20" s="252">
        <v>0</v>
      </c>
      <c r="DGG20" s="252">
        <v>0</v>
      </c>
      <c r="DGH20" s="252">
        <v>0</v>
      </c>
      <c r="DGI20" s="252">
        <v>0</v>
      </c>
      <c r="DGJ20" s="252">
        <v>0</v>
      </c>
      <c r="DGK20" s="252">
        <v>0</v>
      </c>
      <c r="DGL20" s="252">
        <v>0</v>
      </c>
      <c r="DGM20" s="252">
        <v>0</v>
      </c>
      <c r="DGN20" s="252">
        <v>0</v>
      </c>
      <c r="DGO20" s="252">
        <v>0</v>
      </c>
      <c r="DGP20" s="252">
        <v>0</v>
      </c>
      <c r="DGQ20" s="252">
        <v>0</v>
      </c>
      <c r="DGR20" s="252">
        <v>0</v>
      </c>
      <c r="DGS20" s="252">
        <v>0</v>
      </c>
      <c r="DGT20" s="252">
        <v>0</v>
      </c>
      <c r="DGU20" s="252">
        <v>0</v>
      </c>
      <c r="DGV20" s="252">
        <v>0</v>
      </c>
      <c r="DGW20" s="252">
        <v>0</v>
      </c>
      <c r="DGX20" s="252">
        <v>0</v>
      </c>
      <c r="DGY20" s="252">
        <v>0</v>
      </c>
      <c r="DGZ20" s="252">
        <v>0</v>
      </c>
      <c r="DHA20" s="252">
        <v>0</v>
      </c>
      <c r="DHB20" s="252">
        <v>0</v>
      </c>
      <c r="DHC20" s="252">
        <v>0</v>
      </c>
      <c r="DHD20" s="252">
        <v>0</v>
      </c>
      <c r="DHE20" s="252">
        <v>0</v>
      </c>
      <c r="DHF20" s="252">
        <v>0</v>
      </c>
      <c r="DHG20" s="252">
        <v>0</v>
      </c>
      <c r="DHH20" s="252">
        <v>0</v>
      </c>
      <c r="DHI20" s="252">
        <v>0</v>
      </c>
      <c r="DHJ20" s="252">
        <v>0</v>
      </c>
      <c r="DHK20" s="252">
        <v>0</v>
      </c>
      <c r="DHL20" s="252">
        <v>0</v>
      </c>
      <c r="DHM20" s="252">
        <v>0</v>
      </c>
      <c r="DHN20" s="252">
        <v>0</v>
      </c>
      <c r="DHO20" s="252">
        <v>0</v>
      </c>
      <c r="DHP20" s="252">
        <v>0</v>
      </c>
      <c r="DHQ20" s="252">
        <v>0</v>
      </c>
      <c r="DHR20" s="252">
        <v>0</v>
      </c>
      <c r="DHS20" s="252">
        <v>0</v>
      </c>
      <c r="DHT20" s="252">
        <v>0</v>
      </c>
      <c r="DHU20" s="252">
        <v>0</v>
      </c>
      <c r="DHV20" s="252">
        <v>0</v>
      </c>
      <c r="DHW20" s="252">
        <v>0</v>
      </c>
      <c r="DHX20" s="252">
        <v>0</v>
      </c>
      <c r="DHY20" s="252">
        <v>0</v>
      </c>
      <c r="DHZ20" s="252">
        <v>0</v>
      </c>
      <c r="DIA20" s="252">
        <v>0</v>
      </c>
      <c r="DIB20" s="252">
        <v>0</v>
      </c>
      <c r="DIC20" s="252">
        <v>0</v>
      </c>
      <c r="DID20" s="252">
        <v>0</v>
      </c>
      <c r="DIE20" s="252">
        <v>0</v>
      </c>
      <c r="DIF20" s="252">
        <v>0</v>
      </c>
      <c r="DIG20" s="252">
        <v>0</v>
      </c>
      <c r="DIH20" s="252">
        <v>0</v>
      </c>
      <c r="DII20" s="252">
        <v>0</v>
      </c>
      <c r="DIJ20" s="252">
        <v>0</v>
      </c>
      <c r="DIK20" s="252">
        <v>0</v>
      </c>
      <c r="DIL20" s="252">
        <v>0</v>
      </c>
      <c r="DIM20" s="252">
        <v>0</v>
      </c>
      <c r="DIN20" s="252">
        <v>0</v>
      </c>
      <c r="DIO20" s="252">
        <v>0</v>
      </c>
      <c r="DIP20" s="252">
        <v>0</v>
      </c>
      <c r="DIQ20" s="252">
        <v>0</v>
      </c>
      <c r="DIR20" s="252">
        <v>0</v>
      </c>
      <c r="DIS20" s="252">
        <v>0</v>
      </c>
      <c r="DIT20" s="252">
        <v>0</v>
      </c>
      <c r="DIU20" s="252">
        <v>0</v>
      </c>
      <c r="DIV20" s="252">
        <v>0</v>
      </c>
      <c r="DIW20" s="252">
        <v>0</v>
      </c>
      <c r="DIX20" s="252">
        <v>0</v>
      </c>
      <c r="DIY20" s="252">
        <v>0</v>
      </c>
      <c r="DIZ20" s="252">
        <v>0</v>
      </c>
      <c r="DJA20" s="252">
        <v>0</v>
      </c>
      <c r="DJB20" s="252">
        <v>0</v>
      </c>
      <c r="DJC20" s="252">
        <v>0</v>
      </c>
      <c r="DJD20" s="252">
        <v>0</v>
      </c>
      <c r="DJE20" s="252">
        <v>0</v>
      </c>
      <c r="DJF20" s="252">
        <v>0</v>
      </c>
      <c r="DJG20" s="252">
        <v>0</v>
      </c>
      <c r="DJH20" s="252">
        <v>0</v>
      </c>
      <c r="DJI20" s="252">
        <v>0</v>
      </c>
      <c r="DJJ20" s="252">
        <v>0</v>
      </c>
      <c r="DJK20" s="252">
        <v>0</v>
      </c>
      <c r="DJL20" s="252">
        <v>0</v>
      </c>
      <c r="DJM20" s="252">
        <v>0</v>
      </c>
      <c r="DJN20" s="252">
        <v>0</v>
      </c>
      <c r="DJO20" s="252">
        <v>0</v>
      </c>
      <c r="DJP20" s="252">
        <v>0</v>
      </c>
      <c r="DJQ20" s="252">
        <v>0</v>
      </c>
      <c r="DJR20" s="252">
        <v>0</v>
      </c>
      <c r="DJS20" s="252">
        <v>0</v>
      </c>
      <c r="DJT20" s="252">
        <v>0</v>
      </c>
      <c r="DJU20" s="252">
        <v>0</v>
      </c>
      <c r="DJV20" s="252">
        <v>0</v>
      </c>
      <c r="DJW20" s="252">
        <v>0</v>
      </c>
      <c r="DJX20" s="252">
        <v>0</v>
      </c>
      <c r="DJY20" s="252">
        <v>0</v>
      </c>
      <c r="DJZ20" s="252">
        <v>0</v>
      </c>
      <c r="DKA20" s="252">
        <v>0</v>
      </c>
      <c r="DKB20" s="252">
        <v>0</v>
      </c>
      <c r="DKC20" s="252">
        <v>0</v>
      </c>
      <c r="DKD20" s="252">
        <v>0</v>
      </c>
      <c r="DKE20" s="252">
        <v>0</v>
      </c>
      <c r="DKF20" s="252">
        <v>0</v>
      </c>
      <c r="DKG20" s="252">
        <v>0</v>
      </c>
      <c r="DKH20" s="252">
        <v>0</v>
      </c>
      <c r="DKI20" s="252">
        <v>0</v>
      </c>
      <c r="DKJ20" s="252">
        <v>0</v>
      </c>
      <c r="DKK20" s="252">
        <v>0</v>
      </c>
      <c r="DKL20" s="252">
        <v>0</v>
      </c>
      <c r="DKM20" s="252">
        <v>0</v>
      </c>
      <c r="DKN20" s="252">
        <v>0</v>
      </c>
      <c r="DKO20" s="252">
        <v>0</v>
      </c>
      <c r="DKP20" s="252">
        <v>0</v>
      </c>
      <c r="DKQ20" s="252">
        <v>0</v>
      </c>
      <c r="DKR20" s="252">
        <v>0</v>
      </c>
      <c r="DKS20" s="252">
        <v>0</v>
      </c>
      <c r="DKT20" s="252">
        <v>0</v>
      </c>
      <c r="DKU20" s="252">
        <v>0</v>
      </c>
      <c r="DKV20" s="252">
        <v>0</v>
      </c>
      <c r="DKW20" s="252">
        <v>0</v>
      </c>
      <c r="DKX20" s="252">
        <v>0</v>
      </c>
      <c r="DKY20" s="252">
        <v>0</v>
      </c>
      <c r="DKZ20" s="252">
        <v>0</v>
      </c>
      <c r="DLA20" s="252">
        <v>0</v>
      </c>
      <c r="DLB20" s="252">
        <v>0</v>
      </c>
      <c r="DLC20" s="252">
        <v>0</v>
      </c>
      <c r="DLD20" s="252">
        <v>0</v>
      </c>
      <c r="DLE20" s="252">
        <v>0</v>
      </c>
      <c r="DLF20" s="252">
        <v>0</v>
      </c>
      <c r="DLG20" s="252">
        <v>0</v>
      </c>
      <c r="DLH20" s="252">
        <v>0</v>
      </c>
      <c r="DLI20" s="252">
        <v>0</v>
      </c>
      <c r="DLJ20" s="252">
        <v>0</v>
      </c>
      <c r="DLK20" s="252">
        <v>0</v>
      </c>
      <c r="DLL20" s="252">
        <v>0</v>
      </c>
      <c r="DLM20" s="252">
        <v>0</v>
      </c>
      <c r="DLN20" s="252">
        <v>0</v>
      </c>
      <c r="DLO20" s="252">
        <v>0</v>
      </c>
      <c r="DLP20" s="252">
        <v>0</v>
      </c>
      <c r="DLQ20" s="252">
        <v>0</v>
      </c>
      <c r="DLR20" s="252">
        <v>0</v>
      </c>
      <c r="DLS20" s="252">
        <v>0</v>
      </c>
      <c r="DLT20" s="252">
        <v>0</v>
      </c>
      <c r="DLU20" s="252">
        <v>0</v>
      </c>
      <c r="DLV20" s="252">
        <v>0</v>
      </c>
      <c r="DLW20" s="252">
        <v>0</v>
      </c>
      <c r="DLX20" s="252">
        <v>0</v>
      </c>
      <c r="DLY20" s="252">
        <v>0</v>
      </c>
      <c r="DLZ20" s="252">
        <v>0</v>
      </c>
      <c r="DMA20" s="252">
        <v>0</v>
      </c>
      <c r="DMB20" s="252">
        <v>0</v>
      </c>
      <c r="DMC20" s="252">
        <v>0</v>
      </c>
      <c r="DMD20" s="252">
        <v>0</v>
      </c>
      <c r="DME20" s="252">
        <v>0</v>
      </c>
      <c r="DMF20" s="252">
        <v>0</v>
      </c>
      <c r="DMG20" s="252">
        <v>0</v>
      </c>
      <c r="DMH20" s="252">
        <v>0</v>
      </c>
      <c r="DMI20" s="252">
        <v>0</v>
      </c>
      <c r="DMJ20" s="252">
        <v>0</v>
      </c>
      <c r="DMK20" s="252">
        <v>0</v>
      </c>
      <c r="DML20" s="252">
        <v>0</v>
      </c>
      <c r="DMM20" s="252">
        <v>0</v>
      </c>
      <c r="DMN20" s="252">
        <v>0</v>
      </c>
      <c r="DMO20" s="252">
        <v>0</v>
      </c>
      <c r="DMP20" s="252">
        <v>0</v>
      </c>
      <c r="DMQ20" s="252">
        <v>0</v>
      </c>
      <c r="DMR20" s="252">
        <v>0</v>
      </c>
      <c r="DMS20" s="252">
        <v>0</v>
      </c>
      <c r="DMT20" s="252">
        <v>0</v>
      </c>
      <c r="DMU20" s="252">
        <v>0</v>
      </c>
      <c r="DMV20" s="252">
        <v>0</v>
      </c>
      <c r="DMW20" s="252">
        <v>0</v>
      </c>
      <c r="DMX20" s="252">
        <v>0</v>
      </c>
      <c r="DMY20" s="252">
        <v>0</v>
      </c>
      <c r="DMZ20" s="252">
        <v>0</v>
      </c>
      <c r="DNA20" s="252">
        <v>0</v>
      </c>
      <c r="DNB20" s="252">
        <v>0</v>
      </c>
      <c r="DNC20" s="252">
        <v>0</v>
      </c>
      <c r="DND20" s="252">
        <v>0</v>
      </c>
      <c r="DNE20" s="252">
        <v>0</v>
      </c>
      <c r="DNF20" s="252">
        <v>0</v>
      </c>
      <c r="DNG20" s="252">
        <v>0</v>
      </c>
      <c r="DNH20" s="252">
        <v>0</v>
      </c>
      <c r="DNI20" s="252">
        <v>0</v>
      </c>
      <c r="DNJ20" s="252">
        <v>0</v>
      </c>
      <c r="DNK20" s="252">
        <v>0</v>
      </c>
      <c r="DNL20" s="252">
        <v>0</v>
      </c>
      <c r="DNM20" s="252">
        <v>0</v>
      </c>
      <c r="DNN20" s="252">
        <v>0</v>
      </c>
      <c r="DNO20" s="252">
        <v>0</v>
      </c>
      <c r="DNP20" s="252">
        <v>0</v>
      </c>
      <c r="DNQ20" s="252">
        <v>0</v>
      </c>
      <c r="DNR20" s="252">
        <v>0</v>
      </c>
      <c r="DNS20" s="252">
        <v>0</v>
      </c>
      <c r="DNT20" s="252">
        <v>0</v>
      </c>
      <c r="DNU20" s="252">
        <v>0</v>
      </c>
      <c r="DNV20" s="252">
        <v>0</v>
      </c>
      <c r="DNW20" s="252">
        <v>0</v>
      </c>
      <c r="DNX20" s="252">
        <v>0</v>
      </c>
      <c r="DNY20" s="252">
        <v>0</v>
      </c>
      <c r="DNZ20" s="252">
        <v>0</v>
      </c>
      <c r="DOA20" s="252">
        <v>0</v>
      </c>
      <c r="DOB20" s="252">
        <v>0</v>
      </c>
      <c r="DOC20" s="252">
        <v>0</v>
      </c>
      <c r="DOD20" s="252">
        <v>0</v>
      </c>
      <c r="DOE20" s="252">
        <v>0</v>
      </c>
      <c r="DOF20" s="252">
        <v>0</v>
      </c>
      <c r="DOG20" s="252">
        <v>0</v>
      </c>
      <c r="DOH20" s="252">
        <v>0</v>
      </c>
      <c r="DOI20" s="252">
        <v>0</v>
      </c>
      <c r="DOJ20" s="252">
        <v>0</v>
      </c>
      <c r="DOK20" s="252">
        <v>0</v>
      </c>
      <c r="DOL20" s="252">
        <v>0</v>
      </c>
      <c r="DOM20" s="252">
        <v>0</v>
      </c>
      <c r="DON20" s="252">
        <v>0</v>
      </c>
      <c r="DOO20" s="252">
        <v>0</v>
      </c>
      <c r="DOP20" s="252">
        <v>0</v>
      </c>
      <c r="DOQ20" s="252">
        <v>0</v>
      </c>
      <c r="DOR20" s="252">
        <v>0</v>
      </c>
      <c r="DOS20" s="252">
        <v>0</v>
      </c>
      <c r="DOT20" s="252">
        <v>0</v>
      </c>
      <c r="DOU20" s="252">
        <v>0</v>
      </c>
      <c r="DOV20" s="252">
        <v>0</v>
      </c>
      <c r="DOW20" s="252">
        <v>0</v>
      </c>
      <c r="DOX20" s="252">
        <v>0</v>
      </c>
      <c r="DOY20" s="252">
        <v>0</v>
      </c>
      <c r="DOZ20" s="252">
        <v>0</v>
      </c>
      <c r="DPA20" s="252">
        <v>0</v>
      </c>
      <c r="DPB20" s="252">
        <v>0</v>
      </c>
      <c r="DPC20" s="252">
        <v>0</v>
      </c>
      <c r="DPD20" s="252">
        <v>0</v>
      </c>
      <c r="DPE20" s="252">
        <v>0</v>
      </c>
      <c r="DPF20" s="252">
        <v>0</v>
      </c>
      <c r="DPG20" s="252">
        <v>0</v>
      </c>
      <c r="DPH20" s="252">
        <v>0</v>
      </c>
      <c r="DPI20" s="252">
        <v>0</v>
      </c>
      <c r="DPJ20" s="252">
        <v>0</v>
      </c>
      <c r="DPK20" s="252">
        <v>0</v>
      </c>
      <c r="DPL20" s="252">
        <v>0</v>
      </c>
      <c r="DPM20" s="252">
        <v>0</v>
      </c>
      <c r="DPN20" s="252">
        <v>0</v>
      </c>
      <c r="DPO20" s="252">
        <v>0</v>
      </c>
      <c r="DPP20" s="252">
        <v>0</v>
      </c>
      <c r="DPQ20" s="252">
        <v>0</v>
      </c>
      <c r="DPR20" s="252">
        <v>0</v>
      </c>
      <c r="DPS20" s="252">
        <v>0</v>
      </c>
      <c r="DPT20" s="252">
        <v>0</v>
      </c>
      <c r="DPU20" s="252">
        <v>0</v>
      </c>
      <c r="DPV20" s="252">
        <v>0</v>
      </c>
      <c r="DPW20" s="252">
        <v>0</v>
      </c>
      <c r="DPX20" s="252">
        <v>0</v>
      </c>
      <c r="DPY20" s="252">
        <v>0</v>
      </c>
      <c r="DPZ20" s="252">
        <v>0</v>
      </c>
      <c r="DQA20" s="252">
        <v>0</v>
      </c>
      <c r="DQB20" s="252">
        <v>0</v>
      </c>
      <c r="DQC20" s="252">
        <v>0</v>
      </c>
      <c r="DQD20" s="252">
        <v>0</v>
      </c>
      <c r="DQE20" s="252">
        <v>0</v>
      </c>
      <c r="DQF20" s="252">
        <v>0</v>
      </c>
      <c r="DQG20" s="252">
        <v>0</v>
      </c>
      <c r="DQH20" s="252">
        <v>0</v>
      </c>
      <c r="DQI20" s="252">
        <v>0</v>
      </c>
      <c r="DQJ20" s="252">
        <v>0</v>
      </c>
      <c r="DQK20" s="252">
        <v>0</v>
      </c>
      <c r="DQL20" s="252">
        <v>0</v>
      </c>
      <c r="DQM20" s="252">
        <v>0</v>
      </c>
      <c r="DQN20" s="252">
        <v>0</v>
      </c>
      <c r="DQO20" s="252">
        <v>0</v>
      </c>
      <c r="DQP20" s="252">
        <v>0</v>
      </c>
      <c r="DQQ20" s="252">
        <v>0</v>
      </c>
      <c r="DQR20" s="252">
        <v>0</v>
      </c>
      <c r="DQS20" s="252">
        <v>0</v>
      </c>
      <c r="DQT20" s="252">
        <v>0</v>
      </c>
      <c r="DQU20" s="252">
        <v>0</v>
      </c>
      <c r="DQV20" s="252">
        <v>0</v>
      </c>
      <c r="DQW20" s="252">
        <v>0</v>
      </c>
      <c r="DQX20" s="252">
        <v>0</v>
      </c>
      <c r="DQY20" s="252">
        <v>0</v>
      </c>
      <c r="DQZ20" s="252">
        <v>0</v>
      </c>
      <c r="DRA20" s="252">
        <v>0</v>
      </c>
      <c r="DRB20" s="252">
        <v>0</v>
      </c>
      <c r="DRC20" s="252">
        <v>0</v>
      </c>
      <c r="DRD20" s="252">
        <v>0</v>
      </c>
      <c r="DRE20" s="252">
        <v>0</v>
      </c>
      <c r="DRF20" s="252">
        <v>0</v>
      </c>
      <c r="DRG20" s="252">
        <v>0</v>
      </c>
      <c r="DRH20" s="252">
        <v>0</v>
      </c>
      <c r="DRI20" s="252">
        <v>0</v>
      </c>
      <c r="DRJ20" s="252">
        <v>0</v>
      </c>
      <c r="DRK20" s="252">
        <v>0</v>
      </c>
      <c r="DRL20" s="252">
        <v>0</v>
      </c>
      <c r="DRM20" s="252">
        <v>0</v>
      </c>
      <c r="DRN20" s="252">
        <v>0</v>
      </c>
      <c r="DRO20" s="252">
        <v>0</v>
      </c>
      <c r="DRP20" s="252">
        <v>0</v>
      </c>
      <c r="DRQ20" s="252">
        <v>0</v>
      </c>
      <c r="DRR20" s="252">
        <v>0</v>
      </c>
      <c r="DRS20" s="252">
        <v>0</v>
      </c>
      <c r="DRT20" s="252">
        <v>0</v>
      </c>
      <c r="DRU20" s="252">
        <v>0</v>
      </c>
      <c r="DRV20" s="252">
        <v>0</v>
      </c>
      <c r="DRW20" s="252">
        <v>0</v>
      </c>
      <c r="DRX20" s="252">
        <v>0</v>
      </c>
      <c r="DRY20" s="252">
        <v>0</v>
      </c>
      <c r="DRZ20" s="252">
        <v>0</v>
      </c>
      <c r="DSA20" s="252">
        <v>0</v>
      </c>
      <c r="DSB20" s="252">
        <v>0</v>
      </c>
      <c r="DSC20" s="252">
        <v>0</v>
      </c>
      <c r="DSD20" s="252">
        <v>0</v>
      </c>
      <c r="DSE20" s="252">
        <v>0</v>
      </c>
      <c r="DSF20" s="252">
        <v>0</v>
      </c>
      <c r="DSG20" s="252">
        <v>0</v>
      </c>
      <c r="DSH20" s="252">
        <v>0</v>
      </c>
      <c r="DSI20" s="252">
        <v>0</v>
      </c>
      <c r="DSJ20" s="252">
        <v>0</v>
      </c>
      <c r="DSK20" s="252">
        <v>0</v>
      </c>
      <c r="DSL20" s="252">
        <v>0</v>
      </c>
      <c r="DSM20" s="252">
        <v>0</v>
      </c>
      <c r="DSN20" s="252">
        <v>0</v>
      </c>
      <c r="DSO20" s="252">
        <v>0</v>
      </c>
      <c r="DSP20" s="252">
        <v>0</v>
      </c>
      <c r="DSQ20" s="252">
        <v>0</v>
      </c>
      <c r="DSR20" s="252">
        <v>0</v>
      </c>
      <c r="DSS20" s="252">
        <v>0</v>
      </c>
      <c r="DST20" s="252">
        <v>0</v>
      </c>
      <c r="DSU20" s="252">
        <v>0</v>
      </c>
      <c r="DSV20" s="252">
        <v>0</v>
      </c>
      <c r="DSW20" s="252">
        <v>0</v>
      </c>
      <c r="DSX20" s="252">
        <v>0</v>
      </c>
      <c r="DSY20" s="252">
        <v>0</v>
      </c>
      <c r="DSZ20" s="252">
        <v>0</v>
      </c>
      <c r="DTA20" s="252">
        <v>0</v>
      </c>
      <c r="DTB20" s="252">
        <v>0</v>
      </c>
      <c r="DTC20" s="252">
        <v>0</v>
      </c>
      <c r="DTD20" s="252">
        <v>0</v>
      </c>
      <c r="DTE20" s="252">
        <v>0</v>
      </c>
      <c r="DTF20" s="252">
        <v>0</v>
      </c>
      <c r="DTG20" s="252">
        <v>0</v>
      </c>
      <c r="DTH20" s="252">
        <v>0</v>
      </c>
      <c r="DTI20" s="252">
        <v>0</v>
      </c>
      <c r="DTJ20" s="252">
        <v>0</v>
      </c>
      <c r="DTK20" s="252">
        <v>0</v>
      </c>
      <c r="DTL20" s="252">
        <v>0</v>
      </c>
      <c r="DTM20" s="252">
        <v>0</v>
      </c>
      <c r="DTN20" s="252">
        <v>0</v>
      </c>
      <c r="DTO20" s="252">
        <v>0</v>
      </c>
      <c r="DTP20" s="252">
        <v>0</v>
      </c>
      <c r="DTQ20" s="252">
        <v>0</v>
      </c>
      <c r="DTR20" s="252">
        <v>0</v>
      </c>
      <c r="DTS20" s="252">
        <v>0</v>
      </c>
      <c r="DTT20" s="252">
        <v>0</v>
      </c>
      <c r="DTU20" s="252">
        <v>0</v>
      </c>
      <c r="DTV20" s="252">
        <v>0</v>
      </c>
      <c r="DTW20" s="252">
        <v>0</v>
      </c>
      <c r="DTX20" s="252">
        <v>0</v>
      </c>
      <c r="DTY20" s="252">
        <v>0</v>
      </c>
      <c r="DTZ20" s="252">
        <v>0</v>
      </c>
      <c r="DUA20" s="252">
        <v>0</v>
      </c>
      <c r="DUB20" s="252">
        <v>0</v>
      </c>
      <c r="DUC20" s="252">
        <v>0</v>
      </c>
      <c r="DUD20" s="252">
        <v>0</v>
      </c>
      <c r="DUE20" s="252">
        <v>0</v>
      </c>
      <c r="DUF20" s="252">
        <v>0</v>
      </c>
      <c r="DUG20" s="252">
        <v>0</v>
      </c>
      <c r="DUH20" s="252">
        <v>0</v>
      </c>
      <c r="DUI20" s="252">
        <v>0</v>
      </c>
      <c r="DUJ20" s="252">
        <v>0</v>
      </c>
      <c r="DUK20" s="252">
        <v>0</v>
      </c>
      <c r="DUL20" s="252">
        <v>0</v>
      </c>
      <c r="DUM20" s="252">
        <v>0</v>
      </c>
      <c r="DUN20" s="252">
        <v>0</v>
      </c>
      <c r="DUO20" s="252">
        <v>0</v>
      </c>
      <c r="DUP20" s="252">
        <v>0</v>
      </c>
      <c r="DUQ20" s="252">
        <v>0</v>
      </c>
      <c r="DUR20" s="252">
        <v>0</v>
      </c>
      <c r="DUS20" s="252">
        <v>0</v>
      </c>
      <c r="DUT20" s="252">
        <v>0</v>
      </c>
      <c r="DUU20" s="252">
        <v>0</v>
      </c>
      <c r="DUV20" s="252">
        <v>0</v>
      </c>
      <c r="DUW20" s="252">
        <v>0</v>
      </c>
      <c r="DUX20" s="252">
        <v>0</v>
      </c>
      <c r="DUY20" s="252">
        <v>0</v>
      </c>
      <c r="DUZ20" s="252">
        <v>0</v>
      </c>
      <c r="DVA20" s="252">
        <v>0</v>
      </c>
      <c r="DVB20" s="252">
        <v>0</v>
      </c>
      <c r="DVC20" s="252">
        <v>0</v>
      </c>
      <c r="DVD20" s="252">
        <v>0</v>
      </c>
      <c r="DVE20" s="252">
        <v>0</v>
      </c>
      <c r="DVF20" s="252">
        <v>0</v>
      </c>
      <c r="DVG20" s="252">
        <v>0</v>
      </c>
      <c r="DVH20" s="252">
        <v>0</v>
      </c>
      <c r="DVI20" s="252">
        <v>0</v>
      </c>
      <c r="DVJ20" s="252">
        <v>0</v>
      </c>
      <c r="DVK20" s="252">
        <v>0</v>
      </c>
      <c r="DVL20" s="252">
        <v>0</v>
      </c>
      <c r="DVM20" s="252">
        <v>0</v>
      </c>
      <c r="DVN20" s="252">
        <v>0</v>
      </c>
      <c r="DVO20" s="252">
        <v>0</v>
      </c>
      <c r="DVP20" s="252">
        <v>0</v>
      </c>
      <c r="DVQ20" s="252">
        <v>0</v>
      </c>
      <c r="DVR20" s="252">
        <v>0</v>
      </c>
      <c r="DVS20" s="252">
        <v>0</v>
      </c>
      <c r="DVT20" s="252">
        <v>0</v>
      </c>
      <c r="DVU20" s="252">
        <v>0</v>
      </c>
      <c r="DVV20" s="252">
        <v>0</v>
      </c>
      <c r="DVW20" s="252">
        <v>0</v>
      </c>
      <c r="DVX20" s="252">
        <v>0</v>
      </c>
      <c r="DVY20" s="252">
        <v>0</v>
      </c>
      <c r="DVZ20" s="252">
        <v>0</v>
      </c>
      <c r="DWA20" s="252">
        <v>0</v>
      </c>
      <c r="DWB20" s="252">
        <v>0</v>
      </c>
      <c r="DWC20" s="252">
        <v>0</v>
      </c>
      <c r="DWD20" s="252">
        <v>0</v>
      </c>
      <c r="DWE20" s="252">
        <v>0</v>
      </c>
      <c r="DWF20" s="252">
        <v>0</v>
      </c>
      <c r="DWG20" s="252">
        <v>0</v>
      </c>
      <c r="DWH20" s="252">
        <v>0</v>
      </c>
      <c r="DWI20" s="252">
        <v>0</v>
      </c>
      <c r="DWJ20" s="252">
        <v>0</v>
      </c>
      <c r="DWK20" s="252">
        <v>0</v>
      </c>
      <c r="DWL20" s="252">
        <v>0</v>
      </c>
      <c r="DWM20" s="252">
        <v>0</v>
      </c>
      <c r="DWN20" s="252">
        <v>0</v>
      </c>
      <c r="DWO20" s="252">
        <v>0</v>
      </c>
      <c r="DWP20" s="252">
        <v>0</v>
      </c>
      <c r="DWQ20" s="252">
        <v>0</v>
      </c>
      <c r="DWR20" s="252">
        <v>0</v>
      </c>
      <c r="DWS20" s="252">
        <v>0</v>
      </c>
      <c r="DWT20" s="252">
        <v>0</v>
      </c>
      <c r="DWU20" s="252">
        <v>0</v>
      </c>
      <c r="DWV20" s="252">
        <v>0</v>
      </c>
      <c r="DWW20" s="252">
        <v>0</v>
      </c>
      <c r="DWX20" s="252">
        <v>0</v>
      </c>
      <c r="DWY20" s="252">
        <v>0</v>
      </c>
      <c r="DWZ20" s="252">
        <v>0</v>
      </c>
      <c r="DXA20" s="252">
        <v>0</v>
      </c>
      <c r="DXB20" s="252">
        <v>0</v>
      </c>
      <c r="DXC20" s="252">
        <v>0</v>
      </c>
      <c r="DXD20" s="252">
        <v>0</v>
      </c>
      <c r="DXE20" s="252">
        <v>0</v>
      </c>
      <c r="DXF20" s="252">
        <v>0</v>
      </c>
      <c r="DXG20" s="252">
        <v>0</v>
      </c>
      <c r="DXH20" s="252">
        <v>0</v>
      </c>
      <c r="DXI20" s="252">
        <v>0</v>
      </c>
      <c r="DXJ20" s="252">
        <v>0</v>
      </c>
      <c r="DXK20" s="252">
        <v>0</v>
      </c>
      <c r="DXL20" s="252">
        <v>0</v>
      </c>
      <c r="DXM20" s="252">
        <v>0</v>
      </c>
      <c r="DXN20" s="252">
        <v>0</v>
      </c>
      <c r="DXO20" s="252">
        <v>0</v>
      </c>
      <c r="DXP20" s="252">
        <v>0</v>
      </c>
      <c r="DXQ20" s="252">
        <v>0</v>
      </c>
      <c r="DXR20" s="252">
        <v>0</v>
      </c>
      <c r="DXS20" s="252">
        <v>0</v>
      </c>
      <c r="DXT20" s="252">
        <v>0</v>
      </c>
      <c r="DXU20" s="252">
        <v>0</v>
      </c>
      <c r="DXV20" s="252">
        <v>0</v>
      </c>
      <c r="DXW20" s="252">
        <v>0</v>
      </c>
      <c r="DXX20" s="252">
        <v>0</v>
      </c>
      <c r="DXY20" s="252">
        <v>0</v>
      </c>
      <c r="DXZ20" s="252">
        <v>0</v>
      </c>
      <c r="DYA20" s="252">
        <v>0</v>
      </c>
      <c r="DYB20" s="252">
        <v>0</v>
      </c>
      <c r="DYC20" s="252">
        <v>0</v>
      </c>
      <c r="DYD20" s="252">
        <v>0</v>
      </c>
      <c r="DYE20" s="252">
        <v>0</v>
      </c>
      <c r="DYF20" s="252">
        <v>0</v>
      </c>
      <c r="DYG20" s="252">
        <v>0</v>
      </c>
      <c r="DYH20" s="252">
        <v>0</v>
      </c>
      <c r="DYI20" s="252">
        <v>0</v>
      </c>
      <c r="DYJ20" s="252">
        <v>0</v>
      </c>
      <c r="DYK20" s="252">
        <v>0</v>
      </c>
      <c r="DYL20" s="252">
        <v>0</v>
      </c>
      <c r="DYM20" s="252">
        <v>0</v>
      </c>
      <c r="DYN20" s="252">
        <v>0</v>
      </c>
      <c r="DYO20" s="252">
        <v>0</v>
      </c>
      <c r="DYP20" s="252">
        <v>0</v>
      </c>
      <c r="DYQ20" s="252">
        <v>0</v>
      </c>
      <c r="DYR20" s="252">
        <v>0</v>
      </c>
      <c r="DYS20" s="252">
        <v>0</v>
      </c>
      <c r="DYT20" s="252">
        <v>0</v>
      </c>
      <c r="DYU20" s="252">
        <v>0</v>
      </c>
      <c r="DYV20" s="252">
        <v>0</v>
      </c>
      <c r="DYW20" s="252">
        <v>0</v>
      </c>
      <c r="DYX20" s="252">
        <v>0</v>
      </c>
      <c r="DYY20" s="252">
        <v>0</v>
      </c>
      <c r="DYZ20" s="252">
        <v>0</v>
      </c>
      <c r="DZA20" s="252">
        <v>0</v>
      </c>
      <c r="DZB20" s="252">
        <v>0</v>
      </c>
      <c r="DZC20" s="252">
        <v>0</v>
      </c>
      <c r="DZD20" s="252">
        <v>0</v>
      </c>
      <c r="DZE20" s="252">
        <v>0</v>
      </c>
      <c r="DZF20" s="252">
        <v>0</v>
      </c>
      <c r="DZG20" s="252">
        <v>0</v>
      </c>
      <c r="DZH20" s="252">
        <v>0</v>
      </c>
      <c r="DZI20" s="252">
        <v>0</v>
      </c>
      <c r="DZJ20" s="252">
        <v>0</v>
      </c>
      <c r="DZK20" s="252">
        <v>0</v>
      </c>
      <c r="DZL20" s="252">
        <v>0</v>
      </c>
      <c r="DZM20" s="252">
        <v>0</v>
      </c>
      <c r="DZN20" s="252">
        <v>0</v>
      </c>
      <c r="DZO20" s="252">
        <v>0</v>
      </c>
      <c r="DZP20" s="252">
        <v>0</v>
      </c>
      <c r="DZQ20" s="252">
        <v>0</v>
      </c>
      <c r="DZR20" s="252">
        <v>0</v>
      </c>
      <c r="DZS20" s="252">
        <v>0</v>
      </c>
      <c r="DZT20" s="252">
        <v>0</v>
      </c>
      <c r="DZU20" s="252">
        <v>0</v>
      </c>
      <c r="DZV20" s="252">
        <v>0</v>
      </c>
      <c r="DZW20" s="252">
        <v>0</v>
      </c>
      <c r="DZX20" s="252">
        <v>0</v>
      </c>
      <c r="DZY20" s="252">
        <v>0</v>
      </c>
      <c r="DZZ20" s="252">
        <v>0</v>
      </c>
      <c r="EAA20" s="252">
        <v>0</v>
      </c>
      <c r="EAB20" s="252">
        <v>0</v>
      </c>
      <c r="EAC20" s="252">
        <v>0</v>
      </c>
      <c r="EAD20" s="252">
        <v>0</v>
      </c>
      <c r="EAE20" s="252">
        <v>0</v>
      </c>
      <c r="EAF20" s="252">
        <v>0</v>
      </c>
      <c r="EAG20" s="252">
        <v>0</v>
      </c>
      <c r="EAH20" s="252">
        <v>0</v>
      </c>
      <c r="EAI20" s="252">
        <v>0</v>
      </c>
      <c r="EAJ20" s="252">
        <v>0</v>
      </c>
      <c r="EAK20" s="252">
        <v>0</v>
      </c>
      <c r="EAL20" s="252">
        <v>0</v>
      </c>
      <c r="EAM20" s="252">
        <v>0</v>
      </c>
      <c r="EAN20" s="252">
        <v>0</v>
      </c>
      <c r="EAO20" s="252">
        <v>0</v>
      </c>
      <c r="EAP20" s="252">
        <v>0</v>
      </c>
      <c r="EAQ20" s="252">
        <v>0</v>
      </c>
      <c r="EAR20" s="252">
        <v>0</v>
      </c>
      <c r="EAS20" s="252">
        <v>0</v>
      </c>
      <c r="EAT20" s="252">
        <v>0</v>
      </c>
      <c r="EAU20" s="252">
        <v>0</v>
      </c>
      <c r="EAV20" s="252">
        <v>0</v>
      </c>
      <c r="EAW20" s="252">
        <v>0</v>
      </c>
      <c r="EAX20" s="252">
        <v>0</v>
      </c>
      <c r="EAY20" s="252">
        <v>0</v>
      </c>
      <c r="EAZ20" s="252">
        <v>0</v>
      </c>
      <c r="EBA20" s="252">
        <v>0</v>
      </c>
      <c r="EBB20" s="252">
        <v>0</v>
      </c>
      <c r="EBC20" s="252">
        <v>0</v>
      </c>
      <c r="EBD20" s="252">
        <v>0</v>
      </c>
      <c r="EBE20" s="252">
        <v>0</v>
      </c>
      <c r="EBF20" s="252">
        <v>0</v>
      </c>
      <c r="EBG20" s="252">
        <v>0</v>
      </c>
      <c r="EBH20" s="252">
        <v>0</v>
      </c>
      <c r="EBI20" s="252">
        <v>0</v>
      </c>
      <c r="EBJ20" s="252">
        <v>0</v>
      </c>
      <c r="EBK20" s="252">
        <v>0</v>
      </c>
      <c r="EBL20" s="252">
        <v>0</v>
      </c>
      <c r="EBM20" s="252">
        <v>0</v>
      </c>
      <c r="EBN20" s="252">
        <v>0</v>
      </c>
      <c r="EBO20" s="252">
        <v>0</v>
      </c>
      <c r="EBP20" s="252">
        <v>0</v>
      </c>
      <c r="EBQ20" s="252">
        <v>0</v>
      </c>
      <c r="EBR20" s="252">
        <v>0</v>
      </c>
      <c r="EBS20" s="252">
        <v>0</v>
      </c>
      <c r="EBT20" s="252">
        <v>0</v>
      </c>
      <c r="EBU20" s="252">
        <v>0</v>
      </c>
      <c r="EBV20" s="252">
        <v>0</v>
      </c>
      <c r="EBW20" s="252">
        <v>0</v>
      </c>
      <c r="EBX20" s="252">
        <v>0</v>
      </c>
      <c r="EBY20" s="252">
        <v>0</v>
      </c>
      <c r="EBZ20" s="252">
        <v>0</v>
      </c>
      <c r="ECA20" s="252">
        <v>0</v>
      </c>
      <c r="ECB20" s="252">
        <v>0</v>
      </c>
      <c r="ECC20" s="252">
        <v>0</v>
      </c>
      <c r="ECD20" s="252">
        <v>0</v>
      </c>
      <c r="ECE20" s="252">
        <v>0</v>
      </c>
      <c r="ECF20" s="252">
        <v>0</v>
      </c>
      <c r="ECG20" s="252">
        <v>0</v>
      </c>
      <c r="ECH20" s="252">
        <v>0</v>
      </c>
      <c r="ECI20" s="252">
        <v>0</v>
      </c>
      <c r="ECJ20" s="252">
        <v>0</v>
      </c>
      <c r="ECK20" s="252">
        <v>0</v>
      </c>
      <c r="ECL20" s="252">
        <v>0</v>
      </c>
      <c r="ECM20" s="252">
        <v>0</v>
      </c>
      <c r="ECN20" s="252">
        <v>0</v>
      </c>
      <c r="ECO20" s="252">
        <v>0</v>
      </c>
      <c r="ECP20" s="252">
        <v>0</v>
      </c>
      <c r="ECQ20" s="252">
        <v>0</v>
      </c>
      <c r="ECR20" s="252">
        <v>0</v>
      </c>
      <c r="ECS20" s="252">
        <v>0</v>
      </c>
      <c r="ECT20" s="252">
        <v>0</v>
      </c>
      <c r="ECU20" s="252">
        <v>0</v>
      </c>
      <c r="ECV20" s="252">
        <v>0</v>
      </c>
      <c r="ECW20" s="252">
        <v>0</v>
      </c>
      <c r="ECX20" s="252">
        <v>0</v>
      </c>
      <c r="ECY20" s="252">
        <v>0</v>
      </c>
      <c r="ECZ20" s="252">
        <v>0</v>
      </c>
      <c r="EDA20" s="252">
        <v>0</v>
      </c>
      <c r="EDB20" s="252">
        <v>0</v>
      </c>
      <c r="EDC20" s="252">
        <v>0</v>
      </c>
      <c r="EDD20" s="252">
        <v>0</v>
      </c>
      <c r="EDE20" s="252">
        <v>0</v>
      </c>
      <c r="EDF20" s="252">
        <v>0</v>
      </c>
      <c r="EDG20" s="252">
        <v>0</v>
      </c>
      <c r="EDH20" s="252">
        <v>0</v>
      </c>
      <c r="EDI20" s="252">
        <v>0</v>
      </c>
      <c r="EDJ20" s="252">
        <v>0</v>
      </c>
      <c r="EDK20" s="252">
        <v>0</v>
      </c>
      <c r="EDL20" s="252">
        <v>0</v>
      </c>
      <c r="EDM20" s="252">
        <v>0</v>
      </c>
      <c r="EDN20" s="252">
        <v>0</v>
      </c>
      <c r="EDO20" s="252">
        <v>0</v>
      </c>
      <c r="EDP20" s="252">
        <v>0</v>
      </c>
      <c r="EDQ20" s="252">
        <v>0</v>
      </c>
      <c r="EDR20" s="252">
        <v>0</v>
      </c>
      <c r="EDS20" s="252">
        <v>0</v>
      </c>
      <c r="EDT20" s="252">
        <v>0</v>
      </c>
      <c r="EDU20" s="252">
        <v>0</v>
      </c>
      <c r="EDV20" s="252">
        <v>0</v>
      </c>
      <c r="EDW20" s="252">
        <v>0</v>
      </c>
      <c r="EDX20" s="252">
        <v>0</v>
      </c>
      <c r="EDY20" s="252">
        <v>0</v>
      </c>
      <c r="EDZ20" s="252">
        <v>0</v>
      </c>
      <c r="EEA20" s="252">
        <v>0</v>
      </c>
      <c r="EEB20" s="252">
        <v>0</v>
      </c>
      <c r="EEC20" s="252">
        <v>0</v>
      </c>
      <c r="EED20" s="252">
        <v>0</v>
      </c>
      <c r="EEE20" s="252">
        <v>0</v>
      </c>
      <c r="EEF20" s="252">
        <v>0</v>
      </c>
      <c r="EEG20" s="252">
        <v>0</v>
      </c>
      <c r="EEH20" s="252">
        <v>0</v>
      </c>
      <c r="EEI20" s="252">
        <v>0</v>
      </c>
      <c r="EEJ20" s="252">
        <v>0</v>
      </c>
      <c r="EEK20" s="252">
        <v>0</v>
      </c>
      <c r="EEL20" s="252">
        <v>0</v>
      </c>
      <c r="EEM20" s="252">
        <v>0</v>
      </c>
      <c r="EEN20" s="252">
        <v>0</v>
      </c>
      <c r="EEO20" s="252">
        <v>0</v>
      </c>
      <c r="EEP20" s="252">
        <v>0</v>
      </c>
      <c r="EEQ20" s="252">
        <v>0</v>
      </c>
      <c r="EER20" s="252">
        <v>0</v>
      </c>
      <c r="EES20" s="252">
        <v>0</v>
      </c>
      <c r="EET20" s="252">
        <v>0</v>
      </c>
      <c r="EEU20" s="252">
        <v>0</v>
      </c>
      <c r="EEV20" s="252">
        <v>0</v>
      </c>
      <c r="EEW20" s="252">
        <v>0</v>
      </c>
      <c r="EEX20" s="252">
        <v>0</v>
      </c>
      <c r="EEY20" s="252">
        <v>0</v>
      </c>
      <c r="EEZ20" s="252">
        <v>0</v>
      </c>
      <c r="EFA20" s="252">
        <v>0</v>
      </c>
      <c r="EFB20" s="252">
        <v>0</v>
      </c>
      <c r="EFC20" s="252">
        <v>0</v>
      </c>
      <c r="EFD20" s="252">
        <v>0</v>
      </c>
      <c r="EFE20" s="252">
        <v>0</v>
      </c>
      <c r="EFF20" s="252">
        <v>0</v>
      </c>
      <c r="EFG20" s="252">
        <v>0</v>
      </c>
      <c r="EFH20" s="252">
        <v>0</v>
      </c>
      <c r="EFI20" s="252">
        <v>0</v>
      </c>
      <c r="EFJ20" s="252">
        <v>0</v>
      </c>
      <c r="EFK20" s="252">
        <v>0</v>
      </c>
      <c r="EFL20" s="252">
        <v>0</v>
      </c>
      <c r="EFM20" s="252">
        <v>0</v>
      </c>
      <c r="EFN20" s="252">
        <v>0</v>
      </c>
      <c r="EFO20" s="252">
        <v>0</v>
      </c>
      <c r="EFP20" s="252">
        <v>0</v>
      </c>
      <c r="EFQ20" s="252">
        <v>0</v>
      </c>
      <c r="EFR20" s="252">
        <v>0</v>
      </c>
      <c r="EFS20" s="252">
        <v>0</v>
      </c>
      <c r="EFT20" s="252">
        <v>0</v>
      </c>
      <c r="EFU20" s="252">
        <v>0</v>
      </c>
      <c r="EFV20" s="252">
        <v>0</v>
      </c>
      <c r="EFW20" s="252">
        <v>0</v>
      </c>
      <c r="EFX20" s="252">
        <v>0</v>
      </c>
      <c r="EFY20" s="252">
        <v>0</v>
      </c>
      <c r="EFZ20" s="252">
        <v>0</v>
      </c>
      <c r="EGA20" s="252">
        <v>0</v>
      </c>
      <c r="EGB20" s="252">
        <v>0</v>
      </c>
      <c r="EGC20" s="252">
        <v>0</v>
      </c>
      <c r="EGD20" s="252">
        <v>0</v>
      </c>
      <c r="EGE20" s="252">
        <v>0</v>
      </c>
      <c r="EGF20" s="252">
        <v>0</v>
      </c>
      <c r="EGG20" s="252">
        <v>0</v>
      </c>
      <c r="EGH20" s="252">
        <v>0</v>
      </c>
      <c r="EGI20" s="252">
        <v>0</v>
      </c>
      <c r="EGJ20" s="252">
        <v>0</v>
      </c>
      <c r="EGK20" s="252">
        <v>0</v>
      </c>
      <c r="EGL20" s="252">
        <v>0</v>
      </c>
      <c r="EGM20" s="252">
        <v>0</v>
      </c>
      <c r="EGN20" s="252">
        <v>0</v>
      </c>
      <c r="EGO20" s="252">
        <v>0</v>
      </c>
      <c r="EGP20" s="252">
        <v>0</v>
      </c>
      <c r="EGQ20" s="252">
        <v>0</v>
      </c>
      <c r="EGR20" s="252">
        <v>0</v>
      </c>
      <c r="EGS20" s="252">
        <v>0</v>
      </c>
      <c r="EGT20" s="252">
        <v>0</v>
      </c>
      <c r="EGU20" s="252">
        <v>0</v>
      </c>
      <c r="EGV20" s="252">
        <v>0</v>
      </c>
      <c r="EGW20" s="252">
        <v>0</v>
      </c>
      <c r="EGX20" s="252">
        <v>0</v>
      </c>
      <c r="EGY20" s="252">
        <v>0</v>
      </c>
      <c r="EGZ20" s="252">
        <v>0</v>
      </c>
      <c r="EHA20" s="252">
        <v>0</v>
      </c>
      <c r="EHB20" s="252">
        <v>0</v>
      </c>
      <c r="EHC20" s="252">
        <v>0</v>
      </c>
      <c r="EHD20" s="252">
        <v>0</v>
      </c>
      <c r="EHE20" s="252">
        <v>0</v>
      </c>
      <c r="EHF20" s="252">
        <v>0</v>
      </c>
      <c r="EHG20" s="252">
        <v>0</v>
      </c>
      <c r="EHH20" s="252">
        <v>0</v>
      </c>
      <c r="EHI20" s="252">
        <v>0</v>
      </c>
      <c r="EHJ20" s="252">
        <v>0</v>
      </c>
      <c r="EHK20" s="252">
        <v>0</v>
      </c>
      <c r="EHL20" s="252">
        <v>0</v>
      </c>
      <c r="EHM20" s="252">
        <v>0</v>
      </c>
      <c r="EHN20" s="252">
        <v>0</v>
      </c>
      <c r="EHO20" s="252">
        <v>0</v>
      </c>
      <c r="EHP20" s="252">
        <v>0</v>
      </c>
      <c r="EHQ20" s="252">
        <v>0</v>
      </c>
      <c r="EHR20" s="252">
        <v>0</v>
      </c>
      <c r="EHS20" s="252">
        <v>0</v>
      </c>
      <c r="EHT20" s="252">
        <v>0</v>
      </c>
      <c r="EHU20" s="252">
        <v>0</v>
      </c>
      <c r="EHV20" s="252">
        <v>0</v>
      </c>
      <c r="EHW20" s="252">
        <v>0</v>
      </c>
      <c r="EHX20" s="252">
        <v>0</v>
      </c>
      <c r="EHY20" s="252">
        <v>0</v>
      </c>
      <c r="EHZ20" s="252">
        <v>0</v>
      </c>
      <c r="EIA20" s="252">
        <v>0</v>
      </c>
      <c r="EIB20" s="252">
        <v>0</v>
      </c>
      <c r="EIC20" s="252">
        <v>0</v>
      </c>
      <c r="EID20" s="252">
        <v>0</v>
      </c>
      <c r="EIE20" s="252">
        <v>0</v>
      </c>
      <c r="EIF20" s="252">
        <v>0</v>
      </c>
      <c r="EIG20" s="252">
        <v>0</v>
      </c>
      <c r="EIH20" s="252">
        <v>0</v>
      </c>
      <c r="EII20" s="252">
        <v>0</v>
      </c>
      <c r="EIJ20" s="252">
        <v>0</v>
      </c>
      <c r="EIK20" s="252">
        <v>0</v>
      </c>
      <c r="EIL20" s="252">
        <v>0</v>
      </c>
      <c r="EIM20" s="252">
        <v>0</v>
      </c>
      <c r="EIN20" s="252">
        <v>0</v>
      </c>
      <c r="EIO20" s="252">
        <v>0</v>
      </c>
      <c r="EIP20" s="252">
        <v>0</v>
      </c>
      <c r="EIQ20" s="252">
        <v>0</v>
      </c>
      <c r="EIR20" s="252">
        <v>0</v>
      </c>
      <c r="EIS20" s="252">
        <v>0</v>
      </c>
      <c r="EIT20" s="252">
        <v>0</v>
      </c>
      <c r="EIU20" s="252">
        <v>0</v>
      </c>
      <c r="EIV20" s="252">
        <v>0</v>
      </c>
      <c r="EIW20" s="252">
        <v>0</v>
      </c>
      <c r="EIX20" s="252">
        <v>0</v>
      </c>
      <c r="EIY20" s="252">
        <v>0</v>
      </c>
      <c r="EIZ20" s="252">
        <v>0</v>
      </c>
      <c r="EJA20" s="252">
        <v>0</v>
      </c>
      <c r="EJB20" s="252">
        <v>0</v>
      </c>
      <c r="EJC20" s="252">
        <v>0</v>
      </c>
      <c r="EJD20" s="252">
        <v>0</v>
      </c>
      <c r="EJE20" s="252">
        <v>0</v>
      </c>
      <c r="EJF20" s="252">
        <v>0</v>
      </c>
      <c r="EJG20" s="252">
        <v>0</v>
      </c>
      <c r="EJH20" s="252">
        <v>0</v>
      </c>
      <c r="EJI20" s="252">
        <v>0</v>
      </c>
      <c r="EJJ20" s="252">
        <v>0</v>
      </c>
      <c r="EJK20" s="252">
        <v>0</v>
      </c>
      <c r="EJL20" s="252">
        <v>0</v>
      </c>
      <c r="EJM20" s="252">
        <v>0</v>
      </c>
      <c r="EJN20" s="252">
        <v>0</v>
      </c>
      <c r="EJO20" s="252">
        <v>0</v>
      </c>
      <c r="EJP20" s="252">
        <v>0</v>
      </c>
      <c r="EJQ20" s="252">
        <v>0</v>
      </c>
      <c r="EJR20" s="252">
        <v>0</v>
      </c>
      <c r="EJS20" s="252">
        <v>0</v>
      </c>
      <c r="EJT20" s="252">
        <v>0</v>
      </c>
      <c r="EJU20" s="252">
        <v>0</v>
      </c>
      <c r="EJV20" s="252">
        <v>0</v>
      </c>
      <c r="EJW20" s="252">
        <v>0</v>
      </c>
      <c r="EJX20" s="252">
        <v>0</v>
      </c>
      <c r="EJY20" s="252">
        <v>0</v>
      </c>
      <c r="EJZ20" s="252">
        <v>0</v>
      </c>
      <c r="EKA20" s="252">
        <v>0</v>
      </c>
      <c r="EKB20" s="252">
        <v>0</v>
      </c>
      <c r="EKC20" s="252">
        <v>0</v>
      </c>
      <c r="EKD20" s="252">
        <v>0</v>
      </c>
      <c r="EKE20" s="252">
        <v>0</v>
      </c>
      <c r="EKF20" s="252">
        <v>0</v>
      </c>
      <c r="EKG20" s="252">
        <v>0</v>
      </c>
      <c r="EKH20" s="252">
        <v>0</v>
      </c>
      <c r="EKI20" s="252">
        <v>0</v>
      </c>
      <c r="EKJ20" s="252">
        <v>0</v>
      </c>
      <c r="EKK20" s="252">
        <v>0</v>
      </c>
      <c r="EKL20" s="252">
        <v>0</v>
      </c>
      <c r="EKM20" s="252">
        <v>0</v>
      </c>
      <c r="EKN20" s="252">
        <v>0</v>
      </c>
      <c r="EKO20" s="252">
        <v>0</v>
      </c>
      <c r="EKP20" s="252">
        <v>0</v>
      </c>
      <c r="EKQ20" s="252">
        <v>0</v>
      </c>
      <c r="EKR20" s="252">
        <v>0</v>
      </c>
      <c r="EKS20" s="252">
        <v>0</v>
      </c>
      <c r="EKT20" s="252">
        <v>0</v>
      </c>
      <c r="EKU20" s="252">
        <v>0</v>
      </c>
      <c r="EKV20" s="252">
        <v>0</v>
      </c>
      <c r="EKW20" s="252">
        <v>0</v>
      </c>
      <c r="EKX20" s="252">
        <v>0</v>
      </c>
      <c r="EKY20" s="252">
        <v>0</v>
      </c>
      <c r="EKZ20" s="252">
        <v>0</v>
      </c>
      <c r="ELA20" s="252">
        <v>0</v>
      </c>
      <c r="ELB20" s="252">
        <v>0</v>
      </c>
      <c r="ELC20" s="252">
        <v>0</v>
      </c>
      <c r="ELD20" s="252">
        <v>0</v>
      </c>
      <c r="ELE20" s="252">
        <v>0</v>
      </c>
      <c r="ELF20" s="252">
        <v>0</v>
      </c>
      <c r="ELG20" s="252">
        <v>0</v>
      </c>
      <c r="ELH20" s="252">
        <v>0</v>
      </c>
      <c r="ELI20" s="252">
        <v>0</v>
      </c>
      <c r="ELJ20" s="252">
        <v>0</v>
      </c>
      <c r="ELK20" s="252">
        <v>0</v>
      </c>
      <c r="ELL20" s="252">
        <v>0</v>
      </c>
      <c r="ELM20" s="252">
        <v>0</v>
      </c>
      <c r="ELN20" s="252">
        <v>0</v>
      </c>
      <c r="ELO20" s="252">
        <v>0</v>
      </c>
      <c r="ELP20" s="252">
        <v>0</v>
      </c>
      <c r="ELQ20" s="252">
        <v>0</v>
      </c>
      <c r="ELR20" s="252">
        <v>0</v>
      </c>
      <c r="ELS20" s="252">
        <v>0</v>
      </c>
      <c r="ELT20" s="252">
        <v>0</v>
      </c>
      <c r="ELU20" s="252">
        <v>0</v>
      </c>
      <c r="ELV20" s="252">
        <v>0</v>
      </c>
      <c r="ELW20" s="252">
        <v>0</v>
      </c>
      <c r="ELX20" s="252">
        <v>0</v>
      </c>
      <c r="ELY20" s="252">
        <v>0</v>
      </c>
      <c r="ELZ20" s="252">
        <v>0</v>
      </c>
      <c r="EMA20" s="252">
        <v>0</v>
      </c>
      <c r="EMB20" s="252">
        <v>0</v>
      </c>
      <c r="EMC20" s="252">
        <v>0</v>
      </c>
      <c r="EMD20" s="252">
        <v>0</v>
      </c>
      <c r="EME20" s="252">
        <v>0</v>
      </c>
      <c r="EMF20" s="252">
        <v>0</v>
      </c>
      <c r="EMG20" s="252">
        <v>0</v>
      </c>
      <c r="EMH20" s="252">
        <v>0</v>
      </c>
      <c r="EMI20" s="252">
        <v>0</v>
      </c>
      <c r="EMJ20" s="252">
        <v>0</v>
      </c>
      <c r="EMK20" s="252">
        <v>0</v>
      </c>
      <c r="EML20" s="252">
        <v>0</v>
      </c>
      <c r="EMM20" s="252">
        <v>0</v>
      </c>
      <c r="EMN20" s="252">
        <v>0</v>
      </c>
      <c r="EMO20" s="252">
        <v>0</v>
      </c>
      <c r="EMP20" s="252">
        <v>0</v>
      </c>
      <c r="EMQ20" s="252">
        <v>0</v>
      </c>
      <c r="EMR20" s="252">
        <v>0</v>
      </c>
      <c r="EMS20" s="252">
        <v>0</v>
      </c>
      <c r="EMT20" s="252">
        <v>0</v>
      </c>
      <c r="EMU20" s="252">
        <v>0</v>
      </c>
      <c r="EMV20" s="252">
        <v>0</v>
      </c>
      <c r="EMW20" s="252">
        <v>0</v>
      </c>
      <c r="EMX20" s="252">
        <v>0</v>
      </c>
      <c r="EMY20" s="252">
        <v>0</v>
      </c>
      <c r="EMZ20" s="252">
        <v>0</v>
      </c>
      <c r="ENA20" s="252">
        <v>0</v>
      </c>
      <c r="ENB20" s="252">
        <v>0</v>
      </c>
      <c r="ENC20" s="252">
        <v>0</v>
      </c>
      <c r="END20" s="252">
        <v>0</v>
      </c>
      <c r="ENE20" s="252">
        <v>0</v>
      </c>
      <c r="ENF20" s="252">
        <v>0</v>
      </c>
      <c r="ENG20" s="252">
        <v>0</v>
      </c>
      <c r="ENH20" s="252">
        <v>0</v>
      </c>
      <c r="ENI20" s="252">
        <v>0</v>
      </c>
      <c r="ENJ20" s="252">
        <v>0</v>
      </c>
      <c r="ENK20" s="252">
        <v>0</v>
      </c>
      <c r="ENL20" s="252">
        <v>0</v>
      </c>
      <c r="ENM20" s="252">
        <v>0</v>
      </c>
      <c r="ENN20" s="252">
        <v>0</v>
      </c>
      <c r="ENO20" s="252">
        <v>0</v>
      </c>
      <c r="ENP20" s="252">
        <v>0</v>
      </c>
      <c r="ENQ20" s="252">
        <v>0</v>
      </c>
      <c r="ENR20" s="252">
        <v>0</v>
      </c>
      <c r="ENS20" s="252">
        <v>0</v>
      </c>
      <c r="ENT20" s="252">
        <v>0</v>
      </c>
      <c r="ENU20" s="252">
        <v>0</v>
      </c>
      <c r="ENV20" s="252">
        <v>0</v>
      </c>
      <c r="ENW20" s="252">
        <v>0</v>
      </c>
      <c r="ENX20" s="252">
        <v>0</v>
      </c>
      <c r="ENY20" s="252">
        <v>0</v>
      </c>
      <c r="ENZ20" s="252">
        <v>0</v>
      </c>
      <c r="EOA20" s="252">
        <v>0</v>
      </c>
      <c r="EOB20" s="252">
        <v>0</v>
      </c>
      <c r="EOC20" s="252">
        <v>0</v>
      </c>
      <c r="EOD20" s="252">
        <v>0</v>
      </c>
      <c r="EOE20" s="252">
        <v>0</v>
      </c>
      <c r="EOF20" s="252">
        <v>0</v>
      </c>
      <c r="EOG20" s="252">
        <v>0</v>
      </c>
      <c r="EOH20" s="252">
        <v>0</v>
      </c>
      <c r="EOI20" s="252">
        <v>0</v>
      </c>
      <c r="EOJ20" s="252">
        <v>0</v>
      </c>
      <c r="EOK20" s="252">
        <v>0</v>
      </c>
      <c r="EOL20" s="252">
        <v>0</v>
      </c>
      <c r="EOM20" s="252">
        <v>0</v>
      </c>
      <c r="EON20" s="252">
        <v>0</v>
      </c>
      <c r="EOO20" s="252">
        <v>0</v>
      </c>
      <c r="EOP20" s="252">
        <v>0</v>
      </c>
      <c r="EOQ20" s="252">
        <v>0</v>
      </c>
      <c r="EOR20" s="252">
        <v>0</v>
      </c>
      <c r="EOS20" s="252">
        <v>0</v>
      </c>
      <c r="EOT20" s="252">
        <v>0</v>
      </c>
      <c r="EOU20" s="252">
        <v>0</v>
      </c>
      <c r="EOV20" s="252">
        <v>0</v>
      </c>
      <c r="EOW20" s="252">
        <v>0</v>
      </c>
      <c r="EOX20" s="252">
        <v>0</v>
      </c>
      <c r="EOY20" s="252">
        <v>0</v>
      </c>
      <c r="EOZ20" s="252">
        <v>0</v>
      </c>
      <c r="EPA20" s="252">
        <v>0</v>
      </c>
      <c r="EPB20" s="252">
        <v>0</v>
      </c>
      <c r="EPC20" s="252">
        <v>0</v>
      </c>
      <c r="EPD20" s="252">
        <v>0</v>
      </c>
      <c r="EPE20" s="252">
        <v>0</v>
      </c>
      <c r="EPF20" s="252">
        <v>0</v>
      </c>
      <c r="EPG20" s="252">
        <v>0</v>
      </c>
      <c r="EPH20" s="252">
        <v>0</v>
      </c>
      <c r="EPI20" s="252">
        <v>0</v>
      </c>
      <c r="EPJ20" s="252">
        <v>0</v>
      </c>
      <c r="EPK20" s="252">
        <v>0</v>
      </c>
      <c r="EPL20" s="252">
        <v>0</v>
      </c>
      <c r="EPM20" s="252">
        <v>0</v>
      </c>
      <c r="EPN20" s="252">
        <v>0</v>
      </c>
      <c r="EPO20" s="252">
        <v>0</v>
      </c>
      <c r="EPP20" s="252">
        <v>0</v>
      </c>
      <c r="EPQ20" s="252">
        <v>0</v>
      </c>
      <c r="EPR20" s="252">
        <v>0</v>
      </c>
      <c r="EPS20" s="252">
        <v>0</v>
      </c>
      <c r="EPT20" s="252">
        <v>0</v>
      </c>
      <c r="EPU20" s="252">
        <v>0</v>
      </c>
      <c r="EPV20" s="252">
        <v>0</v>
      </c>
      <c r="EPW20" s="252">
        <v>0</v>
      </c>
      <c r="EPX20" s="252">
        <v>0</v>
      </c>
      <c r="EPY20" s="252">
        <v>0</v>
      </c>
      <c r="EPZ20" s="252">
        <v>0</v>
      </c>
      <c r="EQA20" s="252">
        <v>0</v>
      </c>
      <c r="EQB20" s="252">
        <v>0</v>
      </c>
      <c r="EQC20" s="252">
        <v>0</v>
      </c>
      <c r="EQD20" s="252">
        <v>0</v>
      </c>
      <c r="EQE20" s="252">
        <v>0</v>
      </c>
      <c r="EQF20" s="252">
        <v>0</v>
      </c>
      <c r="EQG20" s="252">
        <v>0</v>
      </c>
      <c r="EQH20" s="252">
        <v>0</v>
      </c>
      <c r="EQI20" s="252">
        <v>0</v>
      </c>
      <c r="EQJ20" s="252">
        <v>0</v>
      </c>
      <c r="EQK20" s="252">
        <v>0</v>
      </c>
      <c r="EQL20" s="252">
        <v>0</v>
      </c>
      <c r="EQM20" s="252">
        <v>0</v>
      </c>
      <c r="EQN20" s="252">
        <v>0</v>
      </c>
      <c r="EQO20" s="252">
        <v>0</v>
      </c>
      <c r="EQP20" s="252">
        <v>0</v>
      </c>
      <c r="EQQ20" s="252">
        <v>0</v>
      </c>
      <c r="EQR20" s="252">
        <v>0</v>
      </c>
      <c r="EQS20" s="252">
        <v>0</v>
      </c>
      <c r="EQT20" s="252">
        <v>0</v>
      </c>
      <c r="EQU20" s="252">
        <v>0</v>
      </c>
      <c r="EQV20" s="252">
        <v>0</v>
      </c>
      <c r="EQW20" s="252">
        <v>0</v>
      </c>
      <c r="EQX20" s="252">
        <v>0</v>
      </c>
      <c r="EQY20" s="252">
        <v>0</v>
      </c>
      <c r="EQZ20" s="252">
        <v>0</v>
      </c>
      <c r="ERA20" s="252">
        <v>0</v>
      </c>
      <c r="ERB20" s="252">
        <v>0</v>
      </c>
      <c r="ERC20" s="252">
        <v>0</v>
      </c>
      <c r="ERD20" s="252">
        <v>0</v>
      </c>
      <c r="ERE20" s="252">
        <v>0</v>
      </c>
      <c r="ERF20" s="252">
        <v>0</v>
      </c>
      <c r="ERG20" s="252">
        <v>0</v>
      </c>
      <c r="ERH20" s="252">
        <v>0</v>
      </c>
      <c r="ERI20" s="252">
        <v>0</v>
      </c>
      <c r="ERJ20" s="252">
        <v>0</v>
      </c>
      <c r="ERK20" s="252">
        <v>0</v>
      </c>
      <c r="ERL20" s="252">
        <v>0</v>
      </c>
      <c r="ERM20" s="252">
        <v>0</v>
      </c>
      <c r="ERN20" s="252">
        <v>0</v>
      </c>
      <c r="ERO20" s="252">
        <v>0</v>
      </c>
      <c r="ERP20" s="252">
        <v>0</v>
      </c>
      <c r="ERQ20" s="252">
        <v>0</v>
      </c>
      <c r="ERR20" s="252">
        <v>0</v>
      </c>
      <c r="ERS20" s="252">
        <v>0</v>
      </c>
      <c r="ERT20" s="252">
        <v>0</v>
      </c>
      <c r="ERU20" s="252">
        <v>0</v>
      </c>
      <c r="ERV20" s="252">
        <v>0</v>
      </c>
      <c r="ERW20" s="252">
        <v>0</v>
      </c>
      <c r="ERX20" s="252">
        <v>0</v>
      </c>
      <c r="ERY20" s="252">
        <v>0</v>
      </c>
      <c r="ERZ20" s="252">
        <v>0</v>
      </c>
      <c r="ESA20" s="252">
        <v>0</v>
      </c>
      <c r="ESB20" s="252">
        <v>0</v>
      </c>
      <c r="ESC20" s="252">
        <v>0</v>
      </c>
      <c r="ESD20" s="252">
        <v>0</v>
      </c>
      <c r="ESE20" s="252">
        <v>0</v>
      </c>
      <c r="ESF20" s="252">
        <v>0</v>
      </c>
      <c r="ESG20" s="252">
        <v>0</v>
      </c>
      <c r="ESH20" s="252">
        <v>0</v>
      </c>
      <c r="ESI20" s="252">
        <v>0</v>
      </c>
      <c r="ESJ20" s="252">
        <v>0</v>
      </c>
      <c r="ESK20" s="252">
        <v>0</v>
      </c>
      <c r="ESL20" s="252">
        <v>0</v>
      </c>
      <c r="ESM20" s="252">
        <v>0</v>
      </c>
      <c r="ESN20" s="252">
        <v>0</v>
      </c>
      <c r="ESO20" s="252">
        <v>0</v>
      </c>
      <c r="ESP20" s="252">
        <v>0</v>
      </c>
      <c r="ESQ20" s="252">
        <v>0</v>
      </c>
      <c r="ESR20" s="252">
        <v>0</v>
      </c>
      <c r="ESS20" s="252">
        <v>0</v>
      </c>
      <c r="EST20" s="252">
        <v>0</v>
      </c>
      <c r="ESU20" s="252">
        <v>0</v>
      </c>
      <c r="ESV20" s="252">
        <v>0</v>
      </c>
      <c r="ESW20" s="252">
        <v>0</v>
      </c>
      <c r="ESX20" s="252">
        <v>0</v>
      </c>
      <c r="ESY20" s="252">
        <v>0</v>
      </c>
      <c r="ESZ20" s="252">
        <v>0</v>
      </c>
      <c r="ETA20" s="252">
        <v>0</v>
      </c>
      <c r="ETB20" s="252">
        <v>0</v>
      </c>
      <c r="ETC20" s="252">
        <v>0</v>
      </c>
      <c r="ETD20" s="252">
        <v>0</v>
      </c>
      <c r="ETE20" s="252">
        <v>0</v>
      </c>
      <c r="ETF20" s="252">
        <v>0</v>
      </c>
      <c r="ETG20" s="252">
        <v>0</v>
      </c>
      <c r="ETH20" s="252">
        <v>0</v>
      </c>
      <c r="ETI20" s="252">
        <v>0</v>
      </c>
      <c r="ETJ20" s="252">
        <v>0</v>
      </c>
      <c r="ETK20" s="252">
        <v>0</v>
      </c>
      <c r="ETL20" s="252">
        <v>0</v>
      </c>
      <c r="ETM20" s="252">
        <v>0</v>
      </c>
      <c r="ETN20" s="252">
        <v>0</v>
      </c>
      <c r="ETO20" s="252">
        <v>0</v>
      </c>
      <c r="ETP20" s="252">
        <v>0</v>
      </c>
      <c r="ETQ20" s="252">
        <v>0</v>
      </c>
      <c r="ETR20" s="252">
        <v>0</v>
      </c>
      <c r="ETS20" s="252">
        <v>0</v>
      </c>
      <c r="ETT20" s="252">
        <v>0</v>
      </c>
      <c r="ETU20" s="252">
        <v>0</v>
      </c>
      <c r="ETV20" s="252">
        <v>0</v>
      </c>
      <c r="ETW20" s="252">
        <v>0</v>
      </c>
      <c r="ETX20" s="252">
        <v>0</v>
      </c>
      <c r="ETY20" s="252">
        <v>0</v>
      </c>
      <c r="ETZ20" s="252">
        <v>0</v>
      </c>
      <c r="EUA20" s="252">
        <v>0</v>
      </c>
      <c r="EUB20" s="252">
        <v>0</v>
      </c>
      <c r="EUC20" s="252">
        <v>0</v>
      </c>
      <c r="EUD20" s="252">
        <v>0</v>
      </c>
      <c r="EUE20" s="252">
        <v>0</v>
      </c>
      <c r="EUF20" s="252">
        <v>0</v>
      </c>
      <c r="EUG20" s="252">
        <v>0</v>
      </c>
      <c r="EUH20" s="252">
        <v>0</v>
      </c>
      <c r="EUI20" s="252">
        <v>0</v>
      </c>
      <c r="EUJ20" s="252">
        <v>0</v>
      </c>
      <c r="EUK20" s="252">
        <v>0</v>
      </c>
      <c r="EUL20" s="252">
        <v>0</v>
      </c>
      <c r="EUM20" s="252">
        <v>0</v>
      </c>
      <c r="EUN20" s="252">
        <v>0</v>
      </c>
      <c r="EUO20" s="252">
        <v>0</v>
      </c>
      <c r="EUP20" s="252">
        <v>0</v>
      </c>
      <c r="EUQ20" s="252">
        <v>0</v>
      </c>
      <c r="EUR20" s="252">
        <v>0</v>
      </c>
      <c r="EUS20" s="252">
        <v>0</v>
      </c>
      <c r="EUT20" s="252">
        <v>0</v>
      </c>
      <c r="EUU20" s="252">
        <v>0</v>
      </c>
      <c r="EUV20" s="252">
        <v>0</v>
      </c>
      <c r="EUW20" s="252">
        <v>0</v>
      </c>
      <c r="EUX20" s="252">
        <v>0</v>
      </c>
      <c r="EUY20" s="252">
        <v>0</v>
      </c>
      <c r="EUZ20" s="252">
        <v>0</v>
      </c>
      <c r="EVA20" s="252">
        <v>0</v>
      </c>
      <c r="EVB20" s="252">
        <v>0</v>
      </c>
      <c r="EVC20" s="252">
        <v>0</v>
      </c>
      <c r="EVD20" s="252">
        <v>0</v>
      </c>
      <c r="EVE20" s="252">
        <v>0</v>
      </c>
      <c r="EVF20" s="252">
        <v>0</v>
      </c>
      <c r="EVG20" s="252">
        <v>0</v>
      </c>
      <c r="EVH20" s="252">
        <v>0</v>
      </c>
      <c r="EVI20" s="252">
        <v>0</v>
      </c>
      <c r="EVJ20" s="252">
        <v>0</v>
      </c>
      <c r="EVK20" s="252">
        <v>0</v>
      </c>
      <c r="EVL20" s="252">
        <v>0</v>
      </c>
      <c r="EVM20" s="252">
        <v>0</v>
      </c>
      <c r="EVN20" s="252">
        <v>0</v>
      </c>
      <c r="EVO20" s="252">
        <v>0</v>
      </c>
      <c r="EVP20" s="252">
        <v>0</v>
      </c>
      <c r="EVQ20" s="252">
        <v>0</v>
      </c>
      <c r="EVR20" s="252">
        <v>0</v>
      </c>
      <c r="EVS20" s="252">
        <v>0</v>
      </c>
      <c r="EVT20" s="252">
        <v>0</v>
      </c>
      <c r="EVU20" s="252">
        <v>0</v>
      </c>
      <c r="EVV20" s="252">
        <v>0</v>
      </c>
      <c r="EVW20" s="252">
        <v>0</v>
      </c>
      <c r="EVX20" s="252">
        <v>0</v>
      </c>
      <c r="EVY20" s="252">
        <v>0</v>
      </c>
      <c r="EVZ20" s="252">
        <v>0</v>
      </c>
      <c r="EWA20" s="252">
        <v>0</v>
      </c>
      <c r="EWB20" s="252">
        <v>0</v>
      </c>
      <c r="EWC20" s="252">
        <v>0</v>
      </c>
      <c r="EWD20" s="252">
        <v>0</v>
      </c>
      <c r="EWE20" s="252">
        <v>0</v>
      </c>
      <c r="EWF20" s="252">
        <v>0</v>
      </c>
      <c r="EWG20" s="252">
        <v>0</v>
      </c>
      <c r="EWH20" s="252">
        <v>0</v>
      </c>
      <c r="EWI20" s="252">
        <v>0</v>
      </c>
      <c r="EWJ20" s="252">
        <v>0</v>
      </c>
      <c r="EWK20" s="252">
        <v>0</v>
      </c>
      <c r="EWL20" s="252">
        <v>0</v>
      </c>
      <c r="EWM20" s="252">
        <v>0</v>
      </c>
      <c r="EWN20" s="252">
        <v>0</v>
      </c>
      <c r="EWO20" s="252">
        <v>0</v>
      </c>
      <c r="EWP20" s="252">
        <v>0</v>
      </c>
      <c r="EWQ20" s="252">
        <v>0</v>
      </c>
      <c r="EWR20" s="252">
        <v>0</v>
      </c>
      <c r="EWS20" s="252">
        <v>0</v>
      </c>
      <c r="EWT20" s="252">
        <v>0</v>
      </c>
      <c r="EWU20" s="252">
        <v>0</v>
      </c>
      <c r="EWV20" s="252">
        <v>0</v>
      </c>
      <c r="EWW20" s="252">
        <v>0</v>
      </c>
      <c r="EWX20" s="252">
        <v>0</v>
      </c>
      <c r="EWY20" s="252">
        <v>0</v>
      </c>
      <c r="EWZ20" s="252">
        <v>0</v>
      </c>
      <c r="EXA20" s="252">
        <v>0</v>
      </c>
      <c r="EXB20" s="252">
        <v>0</v>
      </c>
      <c r="EXC20" s="252">
        <v>0</v>
      </c>
      <c r="EXD20" s="252">
        <v>0</v>
      </c>
      <c r="EXE20" s="252">
        <v>0</v>
      </c>
      <c r="EXF20" s="252">
        <v>0</v>
      </c>
      <c r="EXG20" s="252">
        <v>0</v>
      </c>
      <c r="EXH20" s="252">
        <v>0</v>
      </c>
      <c r="EXI20" s="252">
        <v>0</v>
      </c>
      <c r="EXJ20" s="252">
        <v>0</v>
      </c>
      <c r="EXK20" s="252">
        <v>0</v>
      </c>
      <c r="EXL20" s="252">
        <v>0</v>
      </c>
      <c r="EXM20" s="252">
        <v>0</v>
      </c>
      <c r="EXN20" s="252">
        <v>0</v>
      </c>
      <c r="EXO20" s="252">
        <v>0</v>
      </c>
      <c r="EXP20" s="252">
        <v>0</v>
      </c>
      <c r="EXQ20" s="252">
        <v>0</v>
      </c>
      <c r="EXR20" s="252">
        <v>0</v>
      </c>
      <c r="EXS20" s="252">
        <v>0</v>
      </c>
      <c r="EXT20" s="252">
        <v>0</v>
      </c>
      <c r="EXU20" s="252">
        <v>0</v>
      </c>
      <c r="EXV20" s="252">
        <v>0</v>
      </c>
      <c r="EXW20" s="252">
        <v>0</v>
      </c>
      <c r="EXX20" s="252">
        <v>0</v>
      </c>
      <c r="EXY20" s="252">
        <v>0</v>
      </c>
      <c r="EXZ20" s="252">
        <v>0</v>
      </c>
      <c r="EYA20" s="252">
        <v>0</v>
      </c>
      <c r="EYB20" s="252">
        <v>0</v>
      </c>
      <c r="EYC20" s="252">
        <v>0</v>
      </c>
      <c r="EYD20" s="252">
        <v>0</v>
      </c>
      <c r="EYE20" s="252">
        <v>0</v>
      </c>
      <c r="EYF20" s="252">
        <v>0</v>
      </c>
      <c r="EYG20" s="252">
        <v>0</v>
      </c>
      <c r="EYH20" s="252">
        <v>0</v>
      </c>
      <c r="EYI20" s="252">
        <v>0</v>
      </c>
      <c r="EYJ20" s="252">
        <v>0</v>
      </c>
      <c r="EYK20" s="252">
        <v>0</v>
      </c>
      <c r="EYL20" s="252">
        <v>0</v>
      </c>
      <c r="EYM20" s="252">
        <v>0</v>
      </c>
      <c r="EYN20" s="252">
        <v>0</v>
      </c>
      <c r="EYO20" s="252">
        <v>0</v>
      </c>
      <c r="EYP20" s="252">
        <v>0</v>
      </c>
      <c r="EYQ20" s="252">
        <v>0</v>
      </c>
      <c r="EYR20" s="252">
        <v>0</v>
      </c>
      <c r="EYS20" s="252">
        <v>0</v>
      </c>
      <c r="EYT20" s="252">
        <v>0</v>
      </c>
      <c r="EYU20" s="252">
        <v>0</v>
      </c>
      <c r="EYV20" s="252">
        <v>0</v>
      </c>
      <c r="EYW20" s="252">
        <v>0</v>
      </c>
      <c r="EYX20" s="252">
        <v>0</v>
      </c>
      <c r="EYY20" s="252">
        <v>0</v>
      </c>
      <c r="EYZ20" s="252">
        <v>0</v>
      </c>
      <c r="EZA20" s="252">
        <v>0</v>
      </c>
      <c r="EZB20" s="252">
        <v>0</v>
      </c>
      <c r="EZC20" s="252">
        <v>0</v>
      </c>
      <c r="EZD20" s="252">
        <v>0</v>
      </c>
      <c r="EZE20" s="252">
        <v>0</v>
      </c>
      <c r="EZF20" s="252">
        <v>0</v>
      </c>
      <c r="EZG20" s="252">
        <v>0</v>
      </c>
      <c r="EZH20" s="252">
        <v>0</v>
      </c>
      <c r="EZI20" s="252">
        <v>0</v>
      </c>
      <c r="EZJ20" s="252">
        <v>0</v>
      </c>
      <c r="EZK20" s="252">
        <v>0</v>
      </c>
      <c r="EZL20" s="252">
        <v>0</v>
      </c>
      <c r="EZM20" s="252">
        <v>0</v>
      </c>
      <c r="EZN20" s="252">
        <v>0</v>
      </c>
      <c r="EZO20" s="252">
        <v>0</v>
      </c>
      <c r="EZP20" s="252">
        <v>0</v>
      </c>
      <c r="EZQ20" s="252">
        <v>0</v>
      </c>
      <c r="EZR20" s="252">
        <v>0</v>
      </c>
      <c r="EZS20" s="252">
        <v>0</v>
      </c>
      <c r="EZT20" s="252">
        <v>0</v>
      </c>
      <c r="EZU20" s="252">
        <v>0</v>
      </c>
      <c r="EZV20" s="252">
        <v>0</v>
      </c>
      <c r="EZW20" s="252">
        <v>0</v>
      </c>
      <c r="EZX20" s="252">
        <v>0</v>
      </c>
      <c r="EZY20" s="252">
        <v>0</v>
      </c>
      <c r="EZZ20" s="252">
        <v>0</v>
      </c>
      <c r="FAA20" s="252">
        <v>0</v>
      </c>
      <c r="FAB20" s="252">
        <v>0</v>
      </c>
      <c r="FAC20" s="252">
        <v>0</v>
      </c>
      <c r="FAD20" s="252">
        <v>0</v>
      </c>
      <c r="FAE20" s="252">
        <v>0</v>
      </c>
      <c r="FAF20" s="252">
        <v>0</v>
      </c>
      <c r="FAG20" s="252">
        <v>0</v>
      </c>
      <c r="FAH20" s="252">
        <v>0</v>
      </c>
      <c r="FAI20" s="252">
        <v>0</v>
      </c>
      <c r="FAJ20" s="252">
        <v>0</v>
      </c>
      <c r="FAK20" s="252">
        <v>0</v>
      </c>
      <c r="FAL20" s="252">
        <v>0</v>
      </c>
      <c r="FAM20" s="252">
        <v>0</v>
      </c>
      <c r="FAN20" s="252">
        <v>0</v>
      </c>
      <c r="FAO20" s="252">
        <v>0</v>
      </c>
      <c r="FAP20" s="252">
        <v>0</v>
      </c>
      <c r="FAQ20" s="252">
        <v>0</v>
      </c>
      <c r="FAR20" s="252">
        <v>0</v>
      </c>
      <c r="FAS20" s="252">
        <v>0</v>
      </c>
      <c r="FAT20" s="252">
        <v>0</v>
      </c>
      <c r="FAU20" s="252">
        <v>0</v>
      </c>
      <c r="FAV20" s="252">
        <v>0</v>
      </c>
      <c r="FAW20" s="252">
        <v>0</v>
      </c>
      <c r="FAX20" s="252">
        <v>0</v>
      </c>
      <c r="FAY20" s="252">
        <v>0</v>
      </c>
      <c r="FAZ20" s="252">
        <v>0</v>
      </c>
      <c r="FBA20" s="252">
        <v>0</v>
      </c>
      <c r="FBB20" s="252">
        <v>0</v>
      </c>
      <c r="FBC20" s="252">
        <v>0</v>
      </c>
      <c r="FBD20" s="252">
        <v>0</v>
      </c>
      <c r="FBE20" s="252">
        <v>0</v>
      </c>
      <c r="FBF20" s="252">
        <v>0</v>
      </c>
      <c r="FBG20" s="252">
        <v>0</v>
      </c>
      <c r="FBH20" s="252">
        <v>0</v>
      </c>
      <c r="FBI20" s="252">
        <v>0</v>
      </c>
      <c r="FBJ20" s="252">
        <v>0</v>
      </c>
      <c r="FBK20" s="252">
        <v>0</v>
      </c>
      <c r="FBL20" s="252">
        <v>0</v>
      </c>
      <c r="FBM20" s="252">
        <v>0</v>
      </c>
      <c r="FBN20" s="252">
        <v>0</v>
      </c>
      <c r="FBO20" s="252">
        <v>0</v>
      </c>
      <c r="FBP20" s="252">
        <v>0</v>
      </c>
      <c r="FBQ20" s="252">
        <v>0</v>
      </c>
      <c r="FBR20" s="252">
        <v>0</v>
      </c>
      <c r="FBS20" s="252">
        <v>0</v>
      </c>
      <c r="FBT20" s="252">
        <v>0</v>
      </c>
      <c r="FBU20" s="252">
        <v>0</v>
      </c>
      <c r="FBV20" s="252">
        <v>0</v>
      </c>
      <c r="FBW20" s="252">
        <v>0</v>
      </c>
      <c r="FBX20" s="252">
        <v>0</v>
      </c>
      <c r="FBY20" s="252">
        <v>0</v>
      </c>
      <c r="FBZ20" s="252">
        <v>0</v>
      </c>
      <c r="FCA20" s="252">
        <v>0</v>
      </c>
      <c r="FCB20" s="252">
        <v>0</v>
      </c>
      <c r="FCC20" s="252">
        <v>0</v>
      </c>
      <c r="FCD20" s="252">
        <v>0</v>
      </c>
      <c r="FCE20" s="252">
        <v>0</v>
      </c>
      <c r="FCF20" s="252">
        <v>0</v>
      </c>
      <c r="FCG20" s="252">
        <v>0</v>
      </c>
      <c r="FCH20" s="252">
        <v>0</v>
      </c>
      <c r="FCI20" s="252">
        <v>0</v>
      </c>
      <c r="FCJ20" s="252">
        <v>0</v>
      </c>
      <c r="FCK20" s="252">
        <v>0</v>
      </c>
      <c r="FCL20" s="252">
        <v>0</v>
      </c>
      <c r="FCM20" s="252">
        <v>0</v>
      </c>
      <c r="FCN20" s="252">
        <v>0</v>
      </c>
      <c r="FCO20" s="252">
        <v>0</v>
      </c>
      <c r="FCP20" s="252">
        <v>0</v>
      </c>
      <c r="FCQ20" s="252">
        <v>0</v>
      </c>
      <c r="FCR20" s="252">
        <v>0</v>
      </c>
      <c r="FCS20" s="252">
        <v>0</v>
      </c>
      <c r="FCT20" s="252">
        <v>0</v>
      </c>
      <c r="FCU20" s="252">
        <v>0</v>
      </c>
      <c r="FCV20" s="252">
        <v>0</v>
      </c>
      <c r="FCW20" s="252">
        <v>0</v>
      </c>
      <c r="FCX20" s="252">
        <v>0</v>
      </c>
      <c r="FCY20" s="252">
        <v>0</v>
      </c>
      <c r="FCZ20" s="252">
        <v>0</v>
      </c>
      <c r="FDA20" s="252">
        <v>0</v>
      </c>
      <c r="FDB20" s="252">
        <v>0</v>
      </c>
      <c r="FDC20" s="252">
        <v>0</v>
      </c>
      <c r="FDD20" s="252">
        <v>0</v>
      </c>
      <c r="FDE20" s="252">
        <v>0</v>
      </c>
      <c r="FDF20" s="252">
        <v>0</v>
      </c>
      <c r="FDG20" s="252">
        <v>0</v>
      </c>
      <c r="FDH20" s="252">
        <v>0</v>
      </c>
      <c r="FDI20" s="252">
        <v>0</v>
      </c>
      <c r="FDJ20" s="252">
        <v>0</v>
      </c>
      <c r="FDK20" s="252">
        <v>0</v>
      </c>
      <c r="FDL20" s="252">
        <v>0</v>
      </c>
      <c r="FDM20" s="252">
        <v>0</v>
      </c>
      <c r="FDN20" s="252">
        <v>0</v>
      </c>
      <c r="FDO20" s="252">
        <v>0</v>
      </c>
      <c r="FDP20" s="252">
        <v>0</v>
      </c>
      <c r="FDQ20" s="252">
        <v>0</v>
      </c>
      <c r="FDR20" s="252">
        <v>0</v>
      </c>
      <c r="FDS20" s="252">
        <v>0</v>
      </c>
      <c r="FDT20" s="252">
        <v>0</v>
      </c>
      <c r="FDU20" s="252">
        <v>0</v>
      </c>
      <c r="FDV20" s="252">
        <v>0</v>
      </c>
      <c r="FDW20" s="252">
        <v>0</v>
      </c>
      <c r="FDX20" s="252">
        <v>0</v>
      </c>
      <c r="FDY20" s="252">
        <v>0</v>
      </c>
      <c r="FDZ20" s="252">
        <v>0</v>
      </c>
      <c r="FEA20" s="252">
        <v>0</v>
      </c>
      <c r="FEB20" s="252">
        <v>0</v>
      </c>
      <c r="FEC20" s="252">
        <v>0</v>
      </c>
      <c r="FED20" s="252">
        <v>0</v>
      </c>
      <c r="FEE20" s="252">
        <v>0</v>
      </c>
      <c r="FEF20" s="252">
        <v>0</v>
      </c>
      <c r="FEG20" s="252">
        <v>0</v>
      </c>
      <c r="FEH20" s="252">
        <v>0</v>
      </c>
      <c r="FEI20" s="252">
        <v>0</v>
      </c>
      <c r="FEJ20" s="252">
        <v>0</v>
      </c>
      <c r="FEK20" s="252">
        <v>0</v>
      </c>
      <c r="FEL20" s="252">
        <v>0</v>
      </c>
      <c r="FEM20" s="252">
        <v>0</v>
      </c>
      <c r="FEN20" s="252">
        <v>0</v>
      </c>
      <c r="FEO20" s="252">
        <v>0</v>
      </c>
      <c r="FEP20" s="252">
        <v>0</v>
      </c>
      <c r="FEQ20" s="252">
        <v>0</v>
      </c>
      <c r="FER20" s="252">
        <v>0</v>
      </c>
      <c r="FES20" s="252">
        <v>0</v>
      </c>
      <c r="FET20" s="252">
        <v>0</v>
      </c>
      <c r="FEU20" s="252">
        <v>0</v>
      </c>
      <c r="FEV20" s="252">
        <v>0</v>
      </c>
      <c r="FEW20" s="252">
        <v>0</v>
      </c>
      <c r="FEX20" s="252">
        <v>0</v>
      </c>
      <c r="FEY20" s="252">
        <v>0</v>
      </c>
      <c r="FEZ20" s="252">
        <v>0</v>
      </c>
      <c r="FFA20" s="252">
        <v>0</v>
      </c>
      <c r="FFB20" s="252">
        <v>0</v>
      </c>
      <c r="FFC20" s="252">
        <v>0</v>
      </c>
      <c r="FFD20" s="252">
        <v>0</v>
      </c>
      <c r="FFE20" s="252">
        <v>0</v>
      </c>
      <c r="FFF20" s="252">
        <v>0</v>
      </c>
      <c r="FFG20" s="252">
        <v>0</v>
      </c>
      <c r="FFH20" s="252">
        <v>0</v>
      </c>
      <c r="FFI20" s="252">
        <v>0</v>
      </c>
      <c r="FFJ20" s="252">
        <v>0</v>
      </c>
      <c r="FFK20" s="252">
        <v>0</v>
      </c>
      <c r="FFL20" s="252">
        <v>0</v>
      </c>
      <c r="FFM20" s="252">
        <v>0</v>
      </c>
      <c r="FFN20" s="252">
        <v>0</v>
      </c>
      <c r="FFO20" s="252">
        <v>0</v>
      </c>
      <c r="FFP20" s="252">
        <v>0</v>
      </c>
      <c r="FFQ20" s="252">
        <v>0</v>
      </c>
      <c r="FFR20" s="252">
        <v>0</v>
      </c>
      <c r="FFS20" s="252">
        <v>0</v>
      </c>
      <c r="FFT20" s="252">
        <v>0</v>
      </c>
      <c r="FFU20" s="252">
        <v>0</v>
      </c>
      <c r="FFV20" s="252">
        <v>0</v>
      </c>
      <c r="FFW20" s="252">
        <v>0</v>
      </c>
      <c r="FFX20" s="252">
        <v>0</v>
      </c>
      <c r="FFY20" s="252">
        <v>0</v>
      </c>
      <c r="FFZ20" s="252">
        <v>0</v>
      </c>
      <c r="FGA20" s="252">
        <v>0</v>
      </c>
      <c r="FGB20" s="252">
        <v>0</v>
      </c>
      <c r="FGC20" s="252">
        <v>0</v>
      </c>
      <c r="FGD20" s="252">
        <v>0</v>
      </c>
      <c r="FGE20" s="252">
        <v>0</v>
      </c>
      <c r="FGF20" s="252">
        <v>0</v>
      </c>
      <c r="FGG20" s="252">
        <v>0</v>
      </c>
      <c r="FGH20" s="252">
        <v>0</v>
      </c>
      <c r="FGI20" s="252">
        <v>0</v>
      </c>
      <c r="FGJ20" s="252">
        <v>0</v>
      </c>
      <c r="FGK20" s="252">
        <v>0</v>
      </c>
      <c r="FGL20" s="252">
        <v>0</v>
      </c>
      <c r="FGM20" s="252">
        <v>0</v>
      </c>
      <c r="FGN20" s="252">
        <v>0</v>
      </c>
      <c r="FGO20" s="252">
        <v>0</v>
      </c>
      <c r="FGP20" s="252">
        <v>0</v>
      </c>
      <c r="FGQ20" s="252">
        <v>0</v>
      </c>
      <c r="FGR20" s="252">
        <v>0</v>
      </c>
      <c r="FGS20" s="252">
        <v>0</v>
      </c>
      <c r="FGT20" s="252">
        <v>0</v>
      </c>
      <c r="FGU20" s="252">
        <v>0</v>
      </c>
      <c r="FGV20" s="252">
        <v>0</v>
      </c>
      <c r="FGW20" s="252">
        <v>0</v>
      </c>
      <c r="FGX20" s="252">
        <v>0</v>
      </c>
      <c r="FGY20" s="252">
        <v>0</v>
      </c>
      <c r="FGZ20" s="252">
        <v>0</v>
      </c>
      <c r="FHA20" s="252">
        <v>0</v>
      </c>
      <c r="FHB20" s="252">
        <v>0</v>
      </c>
      <c r="FHC20" s="252">
        <v>0</v>
      </c>
      <c r="FHD20" s="252">
        <v>0</v>
      </c>
      <c r="FHE20" s="252">
        <v>0</v>
      </c>
      <c r="FHF20" s="252">
        <v>0</v>
      </c>
      <c r="FHG20" s="252">
        <v>0</v>
      </c>
      <c r="FHH20" s="252">
        <v>0</v>
      </c>
      <c r="FHI20" s="252">
        <v>0</v>
      </c>
      <c r="FHJ20" s="252">
        <v>0</v>
      </c>
      <c r="FHK20" s="252">
        <v>0</v>
      </c>
      <c r="FHL20" s="252">
        <v>0</v>
      </c>
      <c r="FHM20" s="252">
        <v>0</v>
      </c>
      <c r="FHN20" s="252">
        <v>0</v>
      </c>
      <c r="FHO20" s="252">
        <v>0</v>
      </c>
      <c r="FHP20" s="252">
        <v>0</v>
      </c>
      <c r="FHQ20" s="252">
        <v>0</v>
      </c>
      <c r="FHR20" s="252">
        <v>0</v>
      </c>
      <c r="FHS20" s="252">
        <v>0</v>
      </c>
      <c r="FHT20" s="252">
        <v>0</v>
      </c>
      <c r="FHU20" s="252">
        <v>0</v>
      </c>
      <c r="FHV20" s="252">
        <v>0</v>
      </c>
      <c r="FHW20" s="252">
        <v>0</v>
      </c>
      <c r="FHX20" s="252">
        <v>0</v>
      </c>
      <c r="FHY20" s="252">
        <v>0</v>
      </c>
      <c r="FHZ20" s="252">
        <v>0</v>
      </c>
      <c r="FIA20" s="252">
        <v>0</v>
      </c>
      <c r="FIB20" s="252">
        <v>0</v>
      </c>
      <c r="FIC20" s="252">
        <v>0</v>
      </c>
      <c r="FID20" s="252">
        <v>0</v>
      </c>
      <c r="FIE20" s="252">
        <v>0</v>
      </c>
      <c r="FIF20" s="252">
        <v>0</v>
      </c>
      <c r="FIG20" s="252">
        <v>0</v>
      </c>
      <c r="FIH20" s="252">
        <v>0</v>
      </c>
      <c r="FII20" s="252">
        <v>0</v>
      </c>
      <c r="FIJ20" s="252">
        <v>0</v>
      </c>
      <c r="FIK20" s="252">
        <v>0</v>
      </c>
      <c r="FIL20" s="252">
        <v>0</v>
      </c>
      <c r="FIM20" s="252">
        <v>0</v>
      </c>
      <c r="FIN20" s="252">
        <v>0</v>
      </c>
      <c r="FIO20" s="252">
        <v>0</v>
      </c>
      <c r="FIP20" s="252">
        <v>0</v>
      </c>
      <c r="FIQ20" s="252">
        <v>0</v>
      </c>
      <c r="FIR20" s="252">
        <v>0</v>
      </c>
      <c r="FIS20" s="252">
        <v>0</v>
      </c>
      <c r="FIT20" s="252">
        <v>0</v>
      </c>
      <c r="FIU20" s="252">
        <v>0</v>
      </c>
      <c r="FIV20" s="252">
        <v>0</v>
      </c>
      <c r="FIW20" s="252">
        <v>0</v>
      </c>
      <c r="FIX20" s="252">
        <v>0</v>
      </c>
      <c r="FIY20" s="252">
        <v>0</v>
      </c>
      <c r="FIZ20" s="252">
        <v>0</v>
      </c>
      <c r="FJA20" s="252">
        <v>0</v>
      </c>
      <c r="FJB20" s="252">
        <v>0</v>
      </c>
      <c r="FJC20" s="252">
        <v>0</v>
      </c>
      <c r="FJD20" s="252">
        <v>0</v>
      </c>
      <c r="FJE20" s="252">
        <v>0</v>
      </c>
      <c r="FJF20" s="252">
        <v>0</v>
      </c>
      <c r="FJG20" s="252">
        <v>0</v>
      </c>
      <c r="FJH20" s="252">
        <v>0</v>
      </c>
      <c r="FJI20" s="252">
        <v>0</v>
      </c>
      <c r="FJJ20" s="252">
        <v>0</v>
      </c>
      <c r="FJK20" s="252">
        <v>0</v>
      </c>
      <c r="FJL20" s="252">
        <v>0</v>
      </c>
      <c r="FJM20" s="252">
        <v>0</v>
      </c>
      <c r="FJN20" s="252">
        <v>0</v>
      </c>
      <c r="FJO20" s="252">
        <v>0</v>
      </c>
      <c r="FJP20" s="252">
        <v>0</v>
      </c>
      <c r="FJQ20" s="252">
        <v>0</v>
      </c>
      <c r="FJR20" s="252">
        <v>0</v>
      </c>
      <c r="FJS20" s="252">
        <v>0</v>
      </c>
      <c r="FJT20" s="252">
        <v>0</v>
      </c>
      <c r="FJU20" s="252">
        <v>0</v>
      </c>
      <c r="FJV20" s="252">
        <v>0</v>
      </c>
      <c r="FJW20" s="252">
        <v>0</v>
      </c>
      <c r="FJX20" s="252">
        <v>0</v>
      </c>
      <c r="FJY20" s="252">
        <v>0</v>
      </c>
      <c r="FJZ20" s="252">
        <v>0</v>
      </c>
      <c r="FKA20" s="252">
        <v>0</v>
      </c>
      <c r="FKB20" s="252">
        <v>0</v>
      </c>
      <c r="FKC20" s="252">
        <v>0</v>
      </c>
      <c r="FKD20" s="252">
        <v>0</v>
      </c>
      <c r="FKE20" s="252">
        <v>0</v>
      </c>
      <c r="FKF20" s="252">
        <v>0</v>
      </c>
      <c r="FKG20" s="252">
        <v>0</v>
      </c>
      <c r="FKH20" s="252">
        <v>0</v>
      </c>
      <c r="FKI20" s="252">
        <v>0</v>
      </c>
      <c r="FKJ20" s="252">
        <v>0</v>
      </c>
      <c r="FKK20" s="252">
        <v>0</v>
      </c>
      <c r="FKL20" s="252">
        <v>0</v>
      </c>
      <c r="FKM20" s="252">
        <v>0</v>
      </c>
      <c r="FKN20" s="252">
        <v>0</v>
      </c>
      <c r="FKO20" s="252">
        <v>0</v>
      </c>
      <c r="FKP20" s="252">
        <v>0</v>
      </c>
      <c r="FKQ20" s="252">
        <v>0</v>
      </c>
      <c r="FKR20" s="252">
        <v>0</v>
      </c>
      <c r="FKS20" s="252">
        <v>0</v>
      </c>
      <c r="FKT20" s="252">
        <v>0</v>
      </c>
      <c r="FKU20" s="252">
        <v>0</v>
      </c>
      <c r="FKV20" s="252">
        <v>0</v>
      </c>
      <c r="FKW20" s="252">
        <v>0</v>
      </c>
      <c r="FKX20" s="252">
        <v>0</v>
      </c>
      <c r="FKY20" s="252">
        <v>0</v>
      </c>
      <c r="FKZ20" s="252">
        <v>0</v>
      </c>
      <c r="FLA20" s="252">
        <v>0</v>
      </c>
      <c r="FLB20" s="252">
        <v>0</v>
      </c>
      <c r="FLC20" s="252">
        <v>0</v>
      </c>
      <c r="FLD20" s="252">
        <v>0</v>
      </c>
      <c r="FLE20" s="252">
        <v>0</v>
      </c>
      <c r="FLF20" s="252">
        <v>0</v>
      </c>
      <c r="FLG20" s="252">
        <v>0</v>
      </c>
      <c r="FLH20" s="252">
        <v>0</v>
      </c>
      <c r="FLI20" s="252">
        <v>0</v>
      </c>
      <c r="FLJ20" s="252">
        <v>0</v>
      </c>
      <c r="FLK20" s="252">
        <v>0</v>
      </c>
      <c r="FLL20" s="252">
        <v>0</v>
      </c>
      <c r="FLM20" s="252">
        <v>0</v>
      </c>
      <c r="FLN20" s="252">
        <v>0</v>
      </c>
      <c r="FLO20" s="252">
        <v>0</v>
      </c>
      <c r="FLP20" s="252">
        <v>0</v>
      </c>
      <c r="FLQ20" s="252">
        <v>0</v>
      </c>
      <c r="FLR20" s="252">
        <v>0</v>
      </c>
      <c r="FLS20" s="252">
        <v>0</v>
      </c>
      <c r="FLT20" s="252">
        <v>0</v>
      </c>
      <c r="FLU20" s="252">
        <v>0</v>
      </c>
      <c r="FLV20" s="252">
        <v>0</v>
      </c>
      <c r="FLW20" s="252">
        <v>0</v>
      </c>
      <c r="FLX20" s="252">
        <v>0</v>
      </c>
      <c r="FLY20" s="252">
        <v>0</v>
      </c>
      <c r="FLZ20" s="252">
        <v>0</v>
      </c>
      <c r="FMA20" s="252">
        <v>0</v>
      </c>
      <c r="FMB20" s="252">
        <v>0</v>
      </c>
      <c r="FMC20" s="252">
        <v>0</v>
      </c>
      <c r="FMD20" s="252">
        <v>0</v>
      </c>
      <c r="FME20" s="252">
        <v>0</v>
      </c>
      <c r="FMF20" s="252">
        <v>0</v>
      </c>
      <c r="FMG20" s="252">
        <v>0</v>
      </c>
      <c r="FMH20" s="252">
        <v>0</v>
      </c>
      <c r="FMI20" s="252">
        <v>0</v>
      </c>
      <c r="FMJ20" s="252">
        <v>0</v>
      </c>
      <c r="FMK20" s="252">
        <v>0</v>
      </c>
      <c r="FML20" s="252">
        <v>0</v>
      </c>
      <c r="FMM20" s="252">
        <v>0</v>
      </c>
      <c r="FMN20" s="252">
        <v>0</v>
      </c>
      <c r="FMO20" s="252">
        <v>0</v>
      </c>
      <c r="FMP20" s="252">
        <v>0</v>
      </c>
      <c r="FMQ20" s="252">
        <v>0</v>
      </c>
      <c r="FMR20" s="252">
        <v>0</v>
      </c>
      <c r="FMS20" s="252">
        <v>0</v>
      </c>
      <c r="FMT20" s="252">
        <v>0</v>
      </c>
      <c r="FMU20" s="252">
        <v>0</v>
      </c>
      <c r="FMV20" s="252">
        <v>0</v>
      </c>
      <c r="FMW20" s="252">
        <v>0</v>
      </c>
      <c r="FMX20" s="252">
        <v>0</v>
      </c>
      <c r="FMY20" s="252">
        <v>0</v>
      </c>
      <c r="FMZ20" s="252">
        <v>0</v>
      </c>
      <c r="FNA20" s="252">
        <v>0</v>
      </c>
      <c r="FNB20" s="252">
        <v>0</v>
      </c>
      <c r="FNC20" s="252">
        <v>0</v>
      </c>
      <c r="FND20" s="252">
        <v>0</v>
      </c>
      <c r="FNE20" s="252">
        <v>0</v>
      </c>
      <c r="FNF20" s="252">
        <v>0</v>
      </c>
      <c r="FNG20" s="252">
        <v>0</v>
      </c>
      <c r="FNH20" s="252">
        <v>0</v>
      </c>
      <c r="FNI20" s="252">
        <v>0</v>
      </c>
      <c r="FNJ20" s="252">
        <v>0</v>
      </c>
      <c r="FNK20" s="252">
        <v>0</v>
      </c>
      <c r="FNL20" s="252">
        <v>0</v>
      </c>
      <c r="FNM20" s="252">
        <v>0</v>
      </c>
      <c r="FNN20" s="252">
        <v>0</v>
      </c>
      <c r="FNO20" s="252">
        <v>0</v>
      </c>
      <c r="FNP20" s="252">
        <v>0</v>
      </c>
      <c r="FNQ20" s="252">
        <v>0</v>
      </c>
      <c r="FNR20" s="252">
        <v>0</v>
      </c>
      <c r="FNS20" s="252">
        <v>0</v>
      </c>
      <c r="FNT20" s="252">
        <v>0</v>
      </c>
      <c r="FNU20" s="252">
        <v>0</v>
      </c>
      <c r="FNV20" s="252">
        <v>0</v>
      </c>
      <c r="FNW20" s="252">
        <v>0</v>
      </c>
      <c r="FNX20" s="252">
        <v>0</v>
      </c>
      <c r="FNY20" s="252">
        <v>0</v>
      </c>
      <c r="FNZ20" s="252">
        <v>0</v>
      </c>
      <c r="FOA20" s="252">
        <v>0</v>
      </c>
      <c r="FOB20" s="252">
        <v>0</v>
      </c>
      <c r="FOC20" s="252">
        <v>0</v>
      </c>
      <c r="FOD20" s="252">
        <v>0</v>
      </c>
      <c r="FOE20" s="252">
        <v>0</v>
      </c>
      <c r="FOF20" s="252">
        <v>0</v>
      </c>
      <c r="FOG20" s="252">
        <v>0</v>
      </c>
      <c r="FOH20" s="252">
        <v>0</v>
      </c>
      <c r="FOI20" s="252">
        <v>0</v>
      </c>
      <c r="FOJ20" s="252">
        <v>0</v>
      </c>
      <c r="FOK20" s="252">
        <v>0</v>
      </c>
      <c r="FOL20" s="252">
        <v>0</v>
      </c>
      <c r="FOM20" s="252">
        <v>0</v>
      </c>
      <c r="FON20" s="252">
        <v>0</v>
      </c>
      <c r="FOO20" s="252">
        <v>0</v>
      </c>
      <c r="FOP20" s="252">
        <v>0</v>
      </c>
      <c r="FOQ20" s="252">
        <v>0</v>
      </c>
      <c r="FOR20" s="252">
        <v>0</v>
      </c>
      <c r="FOS20" s="252">
        <v>0</v>
      </c>
      <c r="FOT20" s="252">
        <v>0</v>
      </c>
      <c r="FOU20" s="252">
        <v>0</v>
      </c>
      <c r="FOV20" s="252">
        <v>0</v>
      </c>
      <c r="FOW20" s="252">
        <v>0</v>
      </c>
      <c r="FOX20" s="252">
        <v>0</v>
      </c>
      <c r="FOY20" s="252">
        <v>0</v>
      </c>
      <c r="FOZ20" s="252">
        <v>0</v>
      </c>
      <c r="FPA20" s="252">
        <v>0</v>
      </c>
      <c r="FPB20" s="252">
        <v>0</v>
      </c>
      <c r="FPC20" s="252">
        <v>0</v>
      </c>
      <c r="FPD20" s="252">
        <v>0</v>
      </c>
      <c r="FPE20" s="252">
        <v>0</v>
      </c>
      <c r="FPF20" s="252">
        <v>0</v>
      </c>
      <c r="FPG20" s="252">
        <v>0</v>
      </c>
      <c r="FPH20" s="252">
        <v>0</v>
      </c>
      <c r="FPI20" s="252">
        <v>0</v>
      </c>
      <c r="FPJ20" s="252">
        <v>0</v>
      </c>
      <c r="FPK20" s="252">
        <v>0</v>
      </c>
      <c r="FPL20" s="252">
        <v>0</v>
      </c>
      <c r="FPM20" s="252">
        <v>0</v>
      </c>
      <c r="FPN20" s="252">
        <v>0</v>
      </c>
      <c r="FPO20" s="252">
        <v>0</v>
      </c>
      <c r="FPP20" s="252">
        <v>0</v>
      </c>
      <c r="FPQ20" s="252">
        <v>0</v>
      </c>
      <c r="FPR20" s="252">
        <v>0</v>
      </c>
      <c r="FPS20" s="252">
        <v>0</v>
      </c>
      <c r="FPT20" s="252">
        <v>0</v>
      </c>
      <c r="FPU20" s="252">
        <v>0</v>
      </c>
      <c r="FPV20" s="252">
        <v>0</v>
      </c>
      <c r="FPW20" s="252">
        <v>0</v>
      </c>
      <c r="FPX20" s="252">
        <v>0</v>
      </c>
      <c r="FPY20" s="252">
        <v>0</v>
      </c>
      <c r="FPZ20" s="252">
        <v>0</v>
      </c>
      <c r="FQA20" s="252">
        <v>0</v>
      </c>
      <c r="FQB20" s="252">
        <v>0</v>
      </c>
      <c r="FQC20" s="252">
        <v>0</v>
      </c>
      <c r="FQD20" s="252">
        <v>0</v>
      </c>
      <c r="FQE20" s="252">
        <v>0</v>
      </c>
      <c r="FQF20" s="252">
        <v>0</v>
      </c>
      <c r="FQG20" s="252">
        <v>0</v>
      </c>
      <c r="FQH20" s="252">
        <v>0</v>
      </c>
      <c r="FQI20" s="252">
        <v>0</v>
      </c>
      <c r="FQJ20" s="252">
        <v>0</v>
      </c>
      <c r="FQK20" s="252">
        <v>0</v>
      </c>
      <c r="FQL20" s="252">
        <v>0</v>
      </c>
      <c r="FQM20" s="252">
        <v>0</v>
      </c>
      <c r="FQN20" s="252">
        <v>0</v>
      </c>
      <c r="FQO20" s="252">
        <v>0</v>
      </c>
      <c r="FQP20" s="252">
        <v>0</v>
      </c>
      <c r="FQQ20" s="252">
        <v>0</v>
      </c>
      <c r="FQR20" s="252">
        <v>0</v>
      </c>
      <c r="FQS20" s="252">
        <v>0</v>
      </c>
      <c r="FQT20" s="252">
        <v>0</v>
      </c>
      <c r="FQU20" s="252">
        <v>0</v>
      </c>
      <c r="FQV20" s="252">
        <v>0</v>
      </c>
      <c r="FQW20" s="252">
        <v>0</v>
      </c>
      <c r="FQX20" s="252">
        <v>0</v>
      </c>
      <c r="FQY20" s="252">
        <v>0</v>
      </c>
      <c r="FQZ20" s="252">
        <v>0</v>
      </c>
      <c r="FRA20" s="252">
        <v>0</v>
      </c>
      <c r="FRB20" s="252">
        <v>0</v>
      </c>
      <c r="FRC20" s="252">
        <v>0</v>
      </c>
      <c r="FRD20" s="252">
        <v>0</v>
      </c>
      <c r="FRE20" s="252">
        <v>0</v>
      </c>
      <c r="FRF20" s="252">
        <v>0</v>
      </c>
      <c r="FRG20" s="252">
        <v>0</v>
      </c>
      <c r="FRH20" s="252">
        <v>0</v>
      </c>
      <c r="FRI20" s="252">
        <v>0</v>
      </c>
      <c r="FRJ20" s="252">
        <v>0</v>
      </c>
      <c r="FRK20" s="252">
        <v>0</v>
      </c>
      <c r="FRL20" s="252">
        <v>0</v>
      </c>
      <c r="FRM20" s="252">
        <v>0</v>
      </c>
      <c r="FRN20" s="252">
        <v>0</v>
      </c>
      <c r="FRO20" s="252">
        <v>0</v>
      </c>
      <c r="FRP20" s="252">
        <v>0</v>
      </c>
      <c r="FRQ20" s="252">
        <v>0</v>
      </c>
      <c r="FRR20" s="252">
        <v>0</v>
      </c>
      <c r="FRS20" s="252">
        <v>0</v>
      </c>
      <c r="FRT20" s="252">
        <v>0</v>
      </c>
      <c r="FRU20" s="252">
        <v>0</v>
      </c>
      <c r="FRV20" s="252">
        <v>0</v>
      </c>
      <c r="FRW20" s="252">
        <v>0</v>
      </c>
      <c r="FRX20" s="252">
        <v>0</v>
      </c>
      <c r="FRY20" s="252">
        <v>0</v>
      </c>
      <c r="FRZ20" s="252">
        <v>0</v>
      </c>
      <c r="FSA20" s="252">
        <v>0</v>
      </c>
      <c r="FSB20" s="252">
        <v>0</v>
      </c>
      <c r="FSC20" s="252">
        <v>0</v>
      </c>
      <c r="FSD20" s="252">
        <v>0</v>
      </c>
      <c r="FSE20" s="252">
        <v>0</v>
      </c>
      <c r="FSF20" s="252">
        <v>0</v>
      </c>
      <c r="FSG20" s="252">
        <v>0</v>
      </c>
      <c r="FSH20" s="252">
        <v>0</v>
      </c>
      <c r="FSI20" s="252">
        <v>0</v>
      </c>
      <c r="FSJ20" s="252">
        <v>0</v>
      </c>
      <c r="FSK20" s="252">
        <v>0</v>
      </c>
      <c r="FSL20" s="252">
        <v>0</v>
      </c>
      <c r="FSM20" s="252">
        <v>0</v>
      </c>
      <c r="FSN20" s="252">
        <v>0</v>
      </c>
      <c r="FSO20" s="252">
        <v>0</v>
      </c>
      <c r="FSP20" s="252">
        <v>0</v>
      </c>
      <c r="FSQ20" s="252">
        <v>0</v>
      </c>
      <c r="FSR20" s="252">
        <v>0</v>
      </c>
      <c r="FSS20" s="252">
        <v>0</v>
      </c>
      <c r="FST20" s="252">
        <v>0</v>
      </c>
      <c r="FSU20" s="252">
        <v>0</v>
      </c>
      <c r="FSV20" s="252">
        <v>0</v>
      </c>
      <c r="FSW20" s="252">
        <v>0</v>
      </c>
      <c r="FSX20" s="252">
        <v>0</v>
      </c>
      <c r="FSY20" s="252">
        <v>0</v>
      </c>
      <c r="FSZ20" s="252">
        <v>0</v>
      </c>
      <c r="FTA20" s="252">
        <v>0</v>
      </c>
      <c r="FTB20" s="252">
        <v>0</v>
      </c>
      <c r="FTC20" s="252">
        <v>0</v>
      </c>
      <c r="FTD20" s="252">
        <v>0</v>
      </c>
      <c r="FTE20" s="252">
        <v>0</v>
      </c>
      <c r="FTF20" s="252">
        <v>0</v>
      </c>
      <c r="FTG20" s="252">
        <v>0</v>
      </c>
      <c r="FTH20" s="252">
        <v>0</v>
      </c>
      <c r="FTI20" s="252">
        <v>0</v>
      </c>
      <c r="FTJ20" s="252">
        <v>0</v>
      </c>
      <c r="FTK20" s="252">
        <v>0</v>
      </c>
      <c r="FTL20" s="252">
        <v>0</v>
      </c>
      <c r="FTM20" s="252">
        <v>0</v>
      </c>
      <c r="FTN20" s="252">
        <v>0</v>
      </c>
      <c r="FTO20" s="252">
        <v>0</v>
      </c>
      <c r="FTP20" s="252">
        <v>0</v>
      </c>
      <c r="FTQ20" s="252">
        <v>0</v>
      </c>
      <c r="FTR20" s="252">
        <v>0</v>
      </c>
      <c r="FTS20" s="252">
        <v>0</v>
      </c>
      <c r="FTT20" s="252">
        <v>0</v>
      </c>
      <c r="FTU20" s="252">
        <v>0</v>
      </c>
      <c r="FTV20" s="252">
        <v>0</v>
      </c>
      <c r="FTW20" s="252">
        <v>0</v>
      </c>
      <c r="FTX20" s="252">
        <v>0</v>
      </c>
      <c r="FTY20" s="252">
        <v>0</v>
      </c>
      <c r="FTZ20" s="252">
        <v>0</v>
      </c>
      <c r="FUA20" s="252">
        <v>0</v>
      </c>
      <c r="FUB20" s="252">
        <v>0</v>
      </c>
      <c r="FUC20" s="252">
        <v>0</v>
      </c>
      <c r="FUD20" s="252">
        <v>0</v>
      </c>
      <c r="FUE20" s="252">
        <v>0</v>
      </c>
      <c r="FUF20" s="252">
        <v>0</v>
      </c>
      <c r="FUG20" s="252">
        <v>0</v>
      </c>
      <c r="FUH20" s="252">
        <v>0</v>
      </c>
      <c r="FUI20" s="252">
        <v>0</v>
      </c>
      <c r="FUJ20" s="252">
        <v>0</v>
      </c>
      <c r="FUK20" s="252">
        <v>0</v>
      </c>
      <c r="FUL20" s="252">
        <v>0</v>
      </c>
      <c r="FUM20" s="252">
        <v>0</v>
      </c>
      <c r="FUN20" s="252">
        <v>0</v>
      </c>
      <c r="FUO20" s="252">
        <v>0</v>
      </c>
      <c r="FUP20" s="252">
        <v>0</v>
      </c>
      <c r="FUQ20" s="252">
        <v>0</v>
      </c>
      <c r="FUR20" s="252">
        <v>0</v>
      </c>
      <c r="FUS20" s="252">
        <v>0</v>
      </c>
      <c r="FUT20" s="252">
        <v>0</v>
      </c>
      <c r="FUU20" s="252">
        <v>0</v>
      </c>
      <c r="FUV20" s="252">
        <v>0</v>
      </c>
      <c r="FUW20" s="252">
        <v>0</v>
      </c>
      <c r="FUX20" s="252">
        <v>0</v>
      </c>
      <c r="FUY20" s="252">
        <v>0</v>
      </c>
      <c r="FUZ20" s="252">
        <v>0</v>
      </c>
      <c r="FVA20" s="252">
        <v>0</v>
      </c>
      <c r="FVB20" s="252">
        <v>0</v>
      </c>
      <c r="FVC20" s="252">
        <v>0</v>
      </c>
      <c r="FVD20" s="252">
        <v>0</v>
      </c>
      <c r="FVE20" s="252">
        <v>0</v>
      </c>
      <c r="FVF20" s="252">
        <v>0</v>
      </c>
      <c r="FVG20" s="252">
        <v>0</v>
      </c>
      <c r="FVH20" s="252">
        <v>0</v>
      </c>
      <c r="FVI20" s="252">
        <v>0</v>
      </c>
      <c r="FVJ20" s="252">
        <v>0</v>
      </c>
      <c r="FVK20" s="252">
        <v>0</v>
      </c>
      <c r="FVL20" s="252">
        <v>0</v>
      </c>
      <c r="FVM20" s="252">
        <v>0</v>
      </c>
      <c r="FVN20" s="252">
        <v>0</v>
      </c>
      <c r="FVO20" s="252">
        <v>0</v>
      </c>
      <c r="FVP20" s="252">
        <v>0</v>
      </c>
      <c r="FVQ20" s="252">
        <v>0</v>
      </c>
      <c r="FVR20" s="252">
        <v>0</v>
      </c>
      <c r="FVS20" s="252">
        <v>0</v>
      </c>
      <c r="FVT20" s="252">
        <v>0</v>
      </c>
      <c r="FVU20" s="252">
        <v>0</v>
      </c>
      <c r="FVV20" s="252">
        <v>0</v>
      </c>
      <c r="FVW20" s="252">
        <v>0</v>
      </c>
      <c r="FVX20" s="252">
        <v>0</v>
      </c>
      <c r="FVY20" s="252">
        <v>0</v>
      </c>
      <c r="FVZ20" s="252">
        <v>0</v>
      </c>
      <c r="FWA20" s="252">
        <v>0</v>
      </c>
      <c r="FWB20" s="252">
        <v>0</v>
      </c>
      <c r="FWC20" s="252">
        <v>0</v>
      </c>
      <c r="FWD20" s="252">
        <v>0</v>
      </c>
      <c r="FWE20" s="252">
        <v>0</v>
      </c>
      <c r="FWF20" s="252">
        <v>0</v>
      </c>
      <c r="FWG20" s="252">
        <v>0</v>
      </c>
      <c r="FWH20" s="252">
        <v>0</v>
      </c>
      <c r="FWI20" s="252">
        <v>0</v>
      </c>
      <c r="FWJ20" s="252">
        <v>0</v>
      </c>
      <c r="FWK20" s="252">
        <v>0</v>
      </c>
      <c r="FWL20" s="252">
        <v>0</v>
      </c>
      <c r="FWM20" s="252">
        <v>0</v>
      </c>
      <c r="FWN20" s="252">
        <v>0</v>
      </c>
      <c r="FWO20" s="252">
        <v>0</v>
      </c>
      <c r="FWP20" s="252">
        <v>0</v>
      </c>
      <c r="FWQ20" s="252">
        <v>0</v>
      </c>
      <c r="FWR20" s="252">
        <v>0</v>
      </c>
      <c r="FWS20" s="252">
        <v>0</v>
      </c>
      <c r="FWT20" s="252">
        <v>0</v>
      </c>
      <c r="FWU20" s="252">
        <v>0</v>
      </c>
      <c r="FWV20" s="252">
        <v>0</v>
      </c>
      <c r="FWW20" s="252">
        <v>0</v>
      </c>
      <c r="FWX20" s="252">
        <v>0</v>
      </c>
      <c r="FWY20" s="252">
        <v>0</v>
      </c>
      <c r="FWZ20" s="252">
        <v>0</v>
      </c>
      <c r="FXA20" s="252">
        <v>0</v>
      </c>
      <c r="FXB20" s="252">
        <v>0</v>
      </c>
      <c r="FXC20" s="252">
        <v>0</v>
      </c>
      <c r="FXD20" s="252">
        <v>0</v>
      </c>
      <c r="FXE20" s="252">
        <v>0</v>
      </c>
      <c r="FXF20" s="252">
        <v>0</v>
      </c>
      <c r="FXG20" s="252">
        <v>0</v>
      </c>
      <c r="FXH20" s="252">
        <v>0</v>
      </c>
      <c r="FXI20" s="252">
        <v>0</v>
      </c>
      <c r="FXJ20" s="252">
        <v>0</v>
      </c>
      <c r="FXK20" s="252">
        <v>0</v>
      </c>
      <c r="FXL20" s="252">
        <v>0</v>
      </c>
      <c r="FXM20" s="252">
        <v>0</v>
      </c>
      <c r="FXN20" s="252">
        <v>0</v>
      </c>
      <c r="FXO20" s="252">
        <v>0</v>
      </c>
      <c r="FXP20" s="252">
        <v>0</v>
      </c>
      <c r="FXQ20" s="252">
        <v>0</v>
      </c>
      <c r="FXR20" s="252">
        <v>0</v>
      </c>
      <c r="FXS20" s="252">
        <v>0</v>
      </c>
      <c r="FXT20" s="252">
        <v>0</v>
      </c>
      <c r="FXU20" s="252">
        <v>0</v>
      </c>
      <c r="FXV20" s="252">
        <v>0</v>
      </c>
      <c r="FXW20" s="252">
        <v>0</v>
      </c>
      <c r="FXX20" s="252">
        <v>0</v>
      </c>
      <c r="FXY20" s="252">
        <v>0</v>
      </c>
      <c r="FXZ20" s="252">
        <v>0</v>
      </c>
      <c r="FYA20" s="252">
        <v>0</v>
      </c>
      <c r="FYB20" s="252">
        <v>0</v>
      </c>
      <c r="FYC20" s="252">
        <v>0</v>
      </c>
      <c r="FYD20" s="252">
        <v>0</v>
      </c>
      <c r="FYE20" s="252">
        <v>0</v>
      </c>
      <c r="FYF20" s="252">
        <v>0</v>
      </c>
      <c r="FYG20" s="252">
        <v>0</v>
      </c>
      <c r="FYH20" s="252">
        <v>0</v>
      </c>
      <c r="FYI20" s="252">
        <v>0</v>
      </c>
      <c r="FYJ20" s="252">
        <v>0</v>
      </c>
      <c r="FYK20" s="252">
        <v>0</v>
      </c>
      <c r="FYL20" s="252">
        <v>0</v>
      </c>
      <c r="FYM20" s="252">
        <v>0</v>
      </c>
      <c r="FYN20" s="252">
        <v>0</v>
      </c>
      <c r="FYO20" s="252">
        <v>0</v>
      </c>
      <c r="FYP20" s="252">
        <v>0</v>
      </c>
      <c r="FYQ20" s="252">
        <v>0</v>
      </c>
      <c r="FYR20" s="252">
        <v>0</v>
      </c>
      <c r="FYS20" s="252">
        <v>0</v>
      </c>
      <c r="FYT20" s="252">
        <v>0</v>
      </c>
      <c r="FYU20" s="252">
        <v>0</v>
      </c>
      <c r="FYV20" s="252">
        <v>0</v>
      </c>
      <c r="FYW20" s="252">
        <v>0</v>
      </c>
      <c r="FYX20" s="252">
        <v>0</v>
      </c>
      <c r="FYY20" s="252">
        <v>0</v>
      </c>
      <c r="FYZ20" s="252">
        <v>0</v>
      </c>
      <c r="FZA20" s="252">
        <v>0</v>
      </c>
      <c r="FZB20" s="252">
        <v>0</v>
      </c>
      <c r="FZC20" s="252">
        <v>0</v>
      </c>
      <c r="FZD20" s="252">
        <v>0</v>
      </c>
      <c r="FZE20" s="252">
        <v>0</v>
      </c>
      <c r="FZF20" s="252">
        <v>0</v>
      </c>
      <c r="FZG20" s="252">
        <v>0</v>
      </c>
      <c r="FZH20" s="252">
        <v>0</v>
      </c>
      <c r="FZI20" s="252">
        <v>0</v>
      </c>
      <c r="FZJ20" s="252">
        <v>0</v>
      </c>
      <c r="FZK20" s="252">
        <v>0</v>
      </c>
      <c r="FZL20" s="252">
        <v>0</v>
      </c>
      <c r="FZM20" s="252">
        <v>0</v>
      </c>
      <c r="FZN20" s="252">
        <v>0</v>
      </c>
      <c r="FZO20" s="252">
        <v>0</v>
      </c>
      <c r="FZP20" s="252">
        <v>0</v>
      </c>
      <c r="FZQ20" s="252">
        <v>0</v>
      </c>
      <c r="FZR20" s="252">
        <v>0</v>
      </c>
      <c r="FZS20" s="252">
        <v>0</v>
      </c>
      <c r="FZT20" s="252">
        <v>0</v>
      </c>
      <c r="FZU20" s="252">
        <v>0</v>
      </c>
      <c r="FZV20" s="252">
        <v>0</v>
      </c>
      <c r="FZW20" s="252">
        <v>0</v>
      </c>
      <c r="FZX20" s="252">
        <v>0</v>
      </c>
      <c r="FZY20" s="252">
        <v>0</v>
      </c>
      <c r="FZZ20" s="252">
        <v>0</v>
      </c>
      <c r="GAA20" s="252">
        <v>0</v>
      </c>
      <c r="GAB20" s="252">
        <v>0</v>
      </c>
      <c r="GAC20" s="252">
        <v>0</v>
      </c>
      <c r="GAD20" s="252">
        <v>0</v>
      </c>
      <c r="GAE20" s="252">
        <v>0</v>
      </c>
      <c r="GAF20" s="252">
        <v>0</v>
      </c>
      <c r="GAG20" s="252">
        <v>0</v>
      </c>
      <c r="GAH20" s="252">
        <v>0</v>
      </c>
      <c r="GAI20" s="252">
        <v>0</v>
      </c>
      <c r="GAJ20" s="252">
        <v>0</v>
      </c>
      <c r="GAK20" s="252">
        <v>0</v>
      </c>
      <c r="GAL20" s="252">
        <v>0</v>
      </c>
      <c r="GAM20" s="252">
        <v>0</v>
      </c>
      <c r="GAN20" s="252">
        <v>0</v>
      </c>
      <c r="GAO20" s="252">
        <v>0</v>
      </c>
      <c r="GAP20" s="252">
        <v>0</v>
      </c>
      <c r="GAQ20" s="252">
        <v>0</v>
      </c>
      <c r="GAR20" s="252">
        <v>0</v>
      </c>
      <c r="GAS20" s="252">
        <v>0</v>
      </c>
      <c r="GAT20" s="252">
        <v>0</v>
      </c>
      <c r="GAU20" s="252">
        <v>0</v>
      </c>
      <c r="GAV20" s="252">
        <v>0</v>
      </c>
      <c r="GAW20" s="252">
        <v>0</v>
      </c>
      <c r="GAX20" s="252">
        <v>0</v>
      </c>
      <c r="GAY20" s="252">
        <v>0</v>
      </c>
      <c r="GAZ20" s="252">
        <v>0</v>
      </c>
      <c r="GBA20" s="252">
        <v>0</v>
      </c>
      <c r="GBB20" s="252">
        <v>0</v>
      </c>
      <c r="GBC20" s="252">
        <v>0</v>
      </c>
      <c r="GBD20" s="252">
        <v>0</v>
      </c>
      <c r="GBE20" s="252">
        <v>0</v>
      </c>
      <c r="GBF20" s="252">
        <v>0</v>
      </c>
      <c r="GBG20" s="252">
        <v>0</v>
      </c>
      <c r="GBH20" s="252">
        <v>0</v>
      </c>
      <c r="GBI20" s="252">
        <v>0</v>
      </c>
      <c r="GBJ20" s="252">
        <v>0</v>
      </c>
      <c r="GBK20" s="252">
        <v>0</v>
      </c>
      <c r="GBL20" s="252">
        <v>0</v>
      </c>
      <c r="GBM20" s="252">
        <v>0</v>
      </c>
      <c r="GBN20" s="252">
        <v>0</v>
      </c>
      <c r="GBO20" s="252">
        <v>0</v>
      </c>
      <c r="GBP20" s="252">
        <v>0</v>
      </c>
      <c r="GBQ20" s="252">
        <v>0</v>
      </c>
      <c r="GBR20" s="252">
        <v>0</v>
      </c>
      <c r="GBS20" s="252">
        <v>0</v>
      </c>
      <c r="GBT20" s="252">
        <v>0</v>
      </c>
      <c r="GBU20" s="252">
        <v>0</v>
      </c>
      <c r="GBV20" s="252">
        <v>0</v>
      </c>
      <c r="GBW20" s="252">
        <v>0</v>
      </c>
      <c r="GBX20" s="252">
        <v>0</v>
      </c>
      <c r="GBY20" s="252">
        <v>0</v>
      </c>
      <c r="GBZ20" s="252">
        <v>0</v>
      </c>
      <c r="GCA20" s="252">
        <v>0</v>
      </c>
      <c r="GCB20" s="252">
        <v>0</v>
      </c>
      <c r="GCC20" s="252">
        <v>0</v>
      </c>
      <c r="GCD20" s="252">
        <v>0</v>
      </c>
      <c r="GCE20" s="252">
        <v>0</v>
      </c>
      <c r="GCF20" s="252">
        <v>0</v>
      </c>
      <c r="GCG20" s="252">
        <v>0</v>
      </c>
      <c r="GCH20" s="252">
        <v>0</v>
      </c>
      <c r="GCI20" s="252">
        <v>0</v>
      </c>
      <c r="GCJ20" s="252">
        <v>0</v>
      </c>
      <c r="GCK20" s="252">
        <v>0</v>
      </c>
      <c r="GCL20" s="252">
        <v>0</v>
      </c>
      <c r="GCM20" s="252">
        <v>0</v>
      </c>
      <c r="GCN20" s="252">
        <v>0</v>
      </c>
      <c r="GCO20" s="252">
        <v>0</v>
      </c>
      <c r="GCP20" s="252">
        <v>0</v>
      </c>
      <c r="GCQ20" s="252">
        <v>0</v>
      </c>
      <c r="GCR20" s="252">
        <v>0</v>
      </c>
      <c r="GCS20" s="252">
        <v>0</v>
      </c>
      <c r="GCT20" s="252">
        <v>0</v>
      </c>
      <c r="GCU20" s="252">
        <v>0</v>
      </c>
      <c r="GCV20" s="252">
        <v>0</v>
      </c>
      <c r="GCW20" s="252">
        <v>0</v>
      </c>
      <c r="GCX20" s="252">
        <v>0</v>
      </c>
      <c r="GCY20" s="252">
        <v>0</v>
      </c>
      <c r="GCZ20" s="252">
        <v>0</v>
      </c>
      <c r="GDA20" s="252">
        <v>0</v>
      </c>
      <c r="GDB20" s="252">
        <v>0</v>
      </c>
      <c r="GDC20" s="252">
        <v>0</v>
      </c>
      <c r="GDD20" s="252">
        <v>0</v>
      </c>
      <c r="GDE20" s="252">
        <v>0</v>
      </c>
      <c r="GDF20" s="252">
        <v>0</v>
      </c>
      <c r="GDG20" s="252">
        <v>0</v>
      </c>
      <c r="GDH20" s="252">
        <v>0</v>
      </c>
      <c r="GDI20" s="252">
        <v>0</v>
      </c>
      <c r="GDJ20" s="252">
        <v>0</v>
      </c>
      <c r="GDK20" s="252">
        <v>0</v>
      </c>
      <c r="GDL20" s="252">
        <v>0</v>
      </c>
      <c r="GDM20" s="252">
        <v>0</v>
      </c>
      <c r="GDN20" s="252">
        <v>0</v>
      </c>
      <c r="GDO20" s="252">
        <v>0</v>
      </c>
      <c r="GDP20" s="252">
        <v>0</v>
      </c>
      <c r="GDQ20" s="252">
        <v>0</v>
      </c>
      <c r="GDR20" s="252">
        <v>0</v>
      </c>
      <c r="GDS20" s="252">
        <v>0</v>
      </c>
      <c r="GDT20" s="252">
        <v>0</v>
      </c>
      <c r="GDU20" s="252">
        <v>0</v>
      </c>
      <c r="GDV20" s="252">
        <v>0</v>
      </c>
      <c r="GDW20" s="252">
        <v>0</v>
      </c>
      <c r="GDX20" s="252">
        <v>0</v>
      </c>
      <c r="GDY20" s="252">
        <v>0</v>
      </c>
      <c r="GDZ20" s="252">
        <v>0</v>
      </c>
      <c r="GEA20" s="252">
        <v>0</v>
      </c>
      <c r="GEB20" s="252">
        <v>0</v>
      </c>
      <c r="GEC20" s="252">
        <v>0</v>
      </c>
      <c r="GED20" s="252">
        <v>0</v>
      </c>
      <c r="GEE20" s="252">
        <v>0</v>
      </c>
      <c r="GEF20" s="252">
        <v>0</v>
      </c>
      <c r="GEG20" s="252">
        <v>0</v>
      </c>
      <c r="GEH20" s="252">
        <v>0</v>
      </c>
      <c r="GEI20" s="252">
        <v>0</v>
      </c>
      <c r="GEJ20" s="252">
        <v>0</v>
      </c>
      <c r="GEK20" s="252">
        <v>0</v>
      </c>
      <c r="GEL20" s="252">
        <v>0</v>
      </c>
      <c r="GEM20" s="252">
        <v>0</v>
      </c>
      <c r="GEN20" s="252">
        <v>0</v>
      </c>
      <c r="GEO20" s="252">
        <v>0</v>
      </c>
      <c r="GEP20" s="252">
        <v>0</v>
      </c>
      <c r="GEQ20" s="252">
        <v>0</v>
      </c>
      <c r="GER20" s="252">
        <v>0</v>
      </c>
      <c r="GES20" s="252">
        <v>0</v>
      </c>
      <c r="GET20" s="252">
        <v>0</v>
      </c>
      <c r="GEU20" s="252">
        <v>0</v>
      </c>
      <c r="GEV20" s="252">
        <v>0</v>
      </c>
      <c r="GEW20" s="252">
        <v>0</v>
      </c>
      <c r="GEX20" s="252">
        <v>0</v>
      </c>
      <c r="GEY20" s="252">
        <v>0</v>
      </c>
      <c r="GEZ20" s="252">
        <v>0</v>
      </c>
      <c r="GFA20" s="252">
        <v>0</v>
      </c>
      <c r="GFB20" s="252">
        <v>0</v>
      </c>
      <c r="GFC20" s="252">
        <v>0</v>
      </c>
      <c r="GFD20" s="252">
        <v>0</v>
      </c>
      <c r="GFE20" s="252">
        <v>0</v>
      </c>
      <c r="GFF20" s="252">
        <v>0</v>
      </c>
      <c r="GFG20" s="252">
        <v>0</v>
      </c>
      <c r="GFH20" s="252">
        <v>0</v>
      </c>
      <c r="GFI20" s="252">
        <v>0</v>
      </c>
      <c r="GFJ20" s="252">
        <v>0</v>
      </c>
      <c r="GFK20" s="252">
        <v>0</v>
      </c>
      <c r="GFL20" s="252">
        <v>0</v>
      </c>
      <c r="GFM20" s="252">
        <v>0</v>
      </c>
      <c r="GFN20" s="252">
        <v>0</v>
      </c>
      <c r="GFO20" s="252">
        <v>0</v>
      </c>
      <c r="GFP20" s="252">
        <v>0</v>
      </c>
      <c r="GFQ20" s="252">
        <v>0</v>
      </c>
      <c r="GFR20" s="252">
        <v>0</v>
      </c>
      <c r="GFS20" s="252">
        <v>0</v>
      </c>
      <c r="GFT20" s="252">
        <v>0</v>
      </c>
      <c r="GFU20" s="252">
        <v>0</v>
      </c>
      <c r="GFV20" s="252">
        <v>0</v>
      </c>
      <c r="GFW20" s="252">
        <v>0</v>
      </c>
      <c r="GFX20" s="252">
        <v>0</v>
      </c>
      <c r="GFY20" s="252">
        <v>0</v>
      </c>
      <c r="GFZ20" s="252">
        <v>0</v>
      </c>
      <c r="GGA20" s="252">
        <v>0</v>
      </c>
      <c r="GGB20" s="252">
        <v>0</v>
      </c>
      <c r="GGC20" s="252">
        <v>0</v>
      </c>
      <c r="GGD20" s="252">
        <v>0</v>
      </c>
      <c r="GGE20" s="252">
        <v>0</v>
      </c>
      <c r="GGF20" s="252">
        <v>0</v>
      </c>
      <c r="GGG20" s="252">
        <v>0</v>
      </c>
      <c r="GGH20" s="252">
        <v>0</v>
      </c>
      <c r="GGI20" s="252">
        <v>0</v>
      </c>
      <c r="GGJ20" s="252">
        <v>0</v>
      </c>
      <c r="GGK20" s="252">
        <v>0</v>
      </c>
      <c r="GGL20" s="252">
        <v>0</v>
      </c>
      <c r="GGM20" s="252">
        <v>0</v>
      </c>
      <c r="GGN20" s="252">
        <v>0</v>
      </c>
      <c r="GGO20" s="252">
        <v>0</v>
      </c>
      <c r="GGP20" s="252">
        <v>0</v>
      </c>
      <c r="GGQ20" s="252">
        <v>0</v>
      </c>
      <c r="GGR20" s="252">
        <v>0</v>
      </c>
      <c r="GGS20" s="252">
        <v>0</v>
      </c>
      <c r="GGT20" s="252">
        <v>0</v>
      </c>
      <c r="GGU20" s="252">
        <v>0</v>
      </c>
      <c r="GGV20" s="252">
        <v>0</v>
      </c>
      <c r="GGW20" s="252">
        <v>0</v>
      </c>
      <c r="GGX20" s="252">
        <v>0</v>
      </c>
      <c r="GGY20" s="252">
        <v>0</v>
      </c>
      <c r="GGZ20" s="252">
        <v>0</v>
      </c>
      <c r="GHA20" s="252">
        <v>0</v>
      </c>
      <c r="GHB20" s="252">
        <v>0</v>
      </c>
      <c r="GHC20" s="252">
        <v>0</v>
      </c>
      <c r="GHD20" s="252">
        <v>0</v>
      </c>
      <c r="GHE20" s="252">
        <v>0</v>
      </c>
      <c r="GHF20" s="252">
        <v>0</v>
      </c>
      <c r="GHG20" s="252">
        <v>0</v>
      </c>
      <c r="GHH20" s="252">
        <v>0</v>
      </c>
      <c r="GHI20" s="252">
        <v>0</v>
      </c>
      <c r="GHJ20" s="252">
        <v>0</v>
      </c>
      <c r="GHK20" s="252">
        <v>0</v>
      </c>
      <c r="GHL20" s="252">
        <v>0</v>
      </c>
      <c r="GHM20" s="252">
        <v>0</v>
      </c>
      <c r="GHN20" s="252">
        <v>0</v>
      </c>
      <c r="GHO20" s="252">
        <v>0</v>
      </c>
      <c r="GHP20" s="252">
        <v>0</v>
      </c>
      <c r="GHQ20" s="252">
        <v>0</v>
      </c>
      <c r="GHR20" s="252">
        <v>0</v>
      </c>
      <c r="GHS20" s="252">
        <v>0</v>
      </c>
      <c r="GHT20" s="252">
        <v>0</v>
      </c>
      <c r="GHU20" s="252">
        <v>0</v>
      </c>
      <c r="GHV20" s="252">
        <v>0</v>
      </c>
      <c r="GHW20" s="252">
        <v>0</v>
      </c>
      <c r="GHX20" s="252">
        <v>0</v>
      </c>
      <c r="GHY20" s="252">
        <v>0</v>
      </c>
      <c r="GHZ20" s="252">
        <v>0</v>
      </c>
      <c r="GIA20" s="252">
        <v>0</v>
      </c>
      <c r="GIB20" s="252">
        <v>0</v>
      </c>
      <c r="GIC20" s="252">
        <v>0</v>
      </c>
      <c r="GID20" s="252">
        <v>0</v>
      </c>
      <c r="GIE20" s="252">
        <v>0</v>
      </c>
      <c r="GIF20" s="252">
        <v>0</v>
      </c>
      <c r="GIG20" s="252">
        <v>0</v>
      </c>
      <c r="GIH20" s="252">
        <v>0</v>
      </c>
      <c r="GII20" s="252">
        <v>0</v>
      </c>
      <c r="GIJ20" s="252">
        <v>0</v>
      </c>
      <c r="GIK20" s="252">
        <v>0</v>
      </c>
      <c r="GIL20" s="252">
        <v>0</v>
      </c>
      <c r="GIM20" s="252">
        <v>0</v>
      </c>
      <c r="GIN20" s="252">
        <v>0</v>
      </c>
      <c r="GIO20" s="252">
        <v>0</v>
      </c>
      <c r="GIP20" s="252">
        <v>0</v>
      </c>
      <c r="GIQ20" s="252">
        <v>0</v>
      </c>
      <c r="GIR20" s="252">
        <v>0</v>
      </c>
      <c r="GIS20" s="252">
        <v>0</v>
      </c>
      <c r="GIT20" s="252">
        <v>0</v>
      </c>
      <c r="GIU20" s="252">
        <v>0</v>
      </c>
      <c r="GIV20" s="252">
        <v>0</v>
      </c>
      <c r="GIW20" s="252">
        <v>0</v>
      </c>
      <c r="GIX20" s="252">
        <v>0</v>
      </c>
      <c r="GIY20" s="252">
        <v>0</v>
      </c>
      <c r="GIZ20" s="252">
        <v>0</v>
      </c>
      <c r="GJA20" s="252">
        <v>0</v>
      </c>
      <c r="GJB20" s="252">
        <v>0</v>
      </c>
      <c r="GJC20" s="252">
        <v>0</v>
      </c>
      <c r="GJD20" s="252">
        <v>0</v>
      </c>
      <c r="GJE20" s="252">
        <v>0</v>
      </c>
      <c r="GJF20" s="252">
        <v>0</v>
      </c>
      <c r="GJG20" s="252">
        <v>0</v>
      </c>
      <c r="GJH20" s="252">
        <v>0</v>
      </c>
      <c r="GJI20" s="252">
        <v>0</v>
      </c>
      <c r="GJJ20" s="252">
        <v>0</v>
      </c>
      <c r="GJK20" s="252">
        <v>0</v>
      </c>
      <c r="GJL20" s="252">
        <v>0</v>
      </c>
      <c r="GJM20" s="252">
        <v>0</v>
      </c>
      <c r="GJN20" s="252">
        <v>0</v>
      </c>
      <c r="GJO20" s="252">
        <v>0</v>
      </c>
      <c r="GJP20" s="252">
        <v>0</v>
      </c>
      <c r="GJQ20" s="252">
        <v>0</v>
      </c>
      <c r="GJR20" s="252">
        <v>0</v>
      </c>
      <c r="GJS20" s="252">
        <v>0</v>
      </c>
      <c r="GJT20" s="252">
        <v>0</v>
      </c>
      <c r="GJU20" s="252">
        <v>0</v>
      </c>
      <c r="GJV20" s="252">
        <v>0</v>
      </c>
      <c r="GJW20" s="252">
        <v>0</v>
      </c>
      <c r="GJX20" s="252">
        <v>0</v>
      </c>
      <c r="GJY20" s="252">
        <v>0</v>
      </c>
      <c r="GJZ20" s="252">
        <v>0</v>
      </c>
      <c r="GKA20" s="252">
        <v>0</v>
      </c>
      <c r="GKB20" s="252">
        <v>0</v>
      </c>
      <c r="GKC20" s="252">
        <v>0</v>
      </c>
      <c r="GKD20" s="252">
        <v>0</v>
      </c>
      <c r="GKE20" s="252">
        <v>0</v>
      </c>
      <c r="GKF20" s="252">
        <v>0</v>
      </c>
      <c r="GKG20" s="252">
        <v>0</v>
      </c>
      <c r="GKH20" s="252">
        <v>0</v>
      </c>
      <c r="GKI20" s="252">
        <v>0</v>
      </c>
      <c r="GKJ20" s="252">
        <v>0</v>
      </c>
      <c r="GKK20" s="252">
        <v>0</v>
      </c>
      <c r="GKL20" s="252">
        <v>0</v>
      </c>
      <c r="GKM20" s="252">
        <v>0</v>
      </c>
      <c r="GKN20" s="252">
        <v>0</v>
      </c>
      <c r="GKO20" s="252">
        <v>0</v>
      </c>
      <c r="GKP20" s="252">
        <v>0</v>
      </c>
      <c r="GKQ20" s="252">
        <v>0</v>
      </c>
      <c r="GKR20" s="252">
        <v>0</v>
      </c>
      <c r="GKS20" s="252">
        <v>0</v>
      </c>
      <c r="GKT20" s="252">
        <v>0</v>
      </c>
      <c r="GKU20" s="252">
        <v>0</v>
      </c>
      <c r="GKV20" s="252">
        <v>0</v>
      </c>
      <c r="GKW20" s="252">
        <v>0</v>
      </c>
      <c r="GKX20" s="252">
        <v>0</v>
      </c>
      <c r="GKY20" s="252">
        <v>0</v>
      </c>
      <c r="GKZ20" s="252">
        <v>0</v>
      </c>
      <c r="GLA20" s="252">
        <v>0</v>
      </c>
      <c r="GLB20" s="252">
        <v>0</v>
      </c>
      <c r="GLC20" s="252">
        <v>0</v>
      </c>
      <c r="GLD20" s="252">
        <v>0</v>
      </c>
      <c r="GLE20" s="252">
        <v>0</v>
      </c>
      <c r="GLF20" s="252">
        <v>0</v>
      </c>
      <c r="GLG20" s="252">
        <v>0</v>
      </c>
      <c r="GLH20" s="252">
        <v>0</v>
      </c>
      <c r="GLI20" s="252">
        <v>0</v>
      </c>
      <c r="GLJ20" s="252">
        <v>0</v>
      </c>
      <c r="GLK20" s="252">
        <v>0</v>
      </c>
      <c r="GLL20" s="252">
        <v>0</v>
      </c>
      <c r="GLM20" s="252">
        <v>0</v>
      </c>
      <c r="GLN20" s="252">
        <v>0</v>
      </c>
      <c r="GLO20" s="252">
        <v>0</v>
      </c>
      <c r="GLP20" s="252">
        <v>0</v>
      </c>
      <c r="GLQ20" s="252">
        <v>0</v>
      </c>
      <c r="GLR20" s="252">
        <v>0</v>
      </c>
      <c r="GLS20" s="252">
        <v>0</v>
      </c>
      <c r="GLT20" s="252">
        <v>0</v>
      </c>
      <c r="GLU20" s="252">
        <v>0</v>
      </c>
      <c r="GLV20" s="252">
        <v>0</v>
      </c>
      <c r="GLW20" s="252">
        <v>0</v>
      </c>
      <c r="GLX20" s="252">
        <v>0</v>
      </c>
      <c r="GLY20" s="252">
        <v>0</v>
      </c>
      <c r="GLZ20" s="252">
        <v>0</v>
      </c>
      <c r="GMA20" s="252">
        <v>0</v>
      </c>
      <c r="GMB20" s="252">
        <v>0</v>
      </c>
      <c r="GMC20" s="252">
        <v>0</v>
      </c>
      <c r="GMD20" s="252">
        <v>0</v>
      </c>
      <c r="GME20" s="252">
        <v>0</v>
      </c>
      <c r="GMF20" s="252">
        <v>0</v>
      </c>
      <c r="GMG20" s="252">
        <v>0</v>
      </c>
      <c r="GMH20" s="252">
        <v>0</v>
      </c>
      <c r="GMI20" s="252">
        <v>0</v>
      </c>
      <c r="GMJ20" s="252">
        <v>0</v>
      </c>
      <c r="GMK20" s="252">
        <v>0</v>
      </c>
      <c r="GML20" s="252">
        <v>0</v>
      </c>
      <c r="GMM20" s="252">
        <v>0</v>
      </c>
      <c r="GMN20" s="252">
        <v>0</v>
      </c>
      <c r="GMO20" s="252">
        <v>0</v>
      </c>
      <c r="GMP20" s="252">
        <v>0</v>
      </c>
      <c r="GMQ20" s="252">
        <v>0</v>
      </c>
      <c r="GMR20" s="252">
        <v>0</v>
      </c>
      <c r="GMS20" s="252">
        <v>0</v>
      </c>
      <c r="GMT20" s="252">
        <v>0</v>
      </c>
      <c r="GMU20" s="252">
        <v>0</v>
      </c>
      <c r="GMV20" s="252">
        <v>0</v>
      </c>
      <c r="GMW20" s="252">
        <v>0</v>
      </c>
      <c r="GMX20" s="252">
        <v>0</v>
      </c>
      <c r="GMY20" s="252">
        <v>0</v>
      </c>
      <c r="GMZ20" s="252">
        <v>0</v>
      </c>
      <c r="GNA20" s="252">
        <v>0</v>
      </c>
      <c r="GNB20" s="252">
        <v>0</v>
      </c>
      <c r="GNC20" s="252">
        <v>0</v>
      </c>
      <c r="GND20" s="252">
        <v>0</v>
      </c>
      <c r="GNE20" s="252">
        <v>0</v>
      </c>
      <c r="GNF20" s="252">
        <v>0</v>
      </c>
      <c r="GNG20" s="252">
        <v>0</v>
      </c>
      <c r="GNH20" s="252">
        <v>0</v>
      </c>
      <c r="GNI20" s="252">
        <v>0</v>
      </c>
      <c r="GNJ20" s="252">
        <v>0</v>
      </c>
      <c r="GNK20" s="252">
        <v>0</v>
      </c>
      <c r="GNL20" s="252">
        <v>0</v>
      </c>
      <c r="GNM20" s="252">
        <v>0</v>
      </c>
      <c r="GNN20" s="252">
        <v>0</v>
      </c>
      <c r="GNO20" s="252">
        <v>0</v>
      </c>
      <c r="GNP20" s="252">
        <v>0</v>
      </c>
      <c r="GNQ20" s="252">
        <v>0</v>
      </c>
      <c r="GNR20" s="252">
        <v>0</v>
      </c>
      <c r="GNS20" s="252">
        <v>0</v>
      </c>
      <c r="GNT20" s="252">
        <v>0</v>
      </c>
      <c r="GNU20" s="252">
        <v>0</v>
      </c>
      <c r="GNV20" s="252">
        <v>0</v>
      </c>
      <c r="GNW20" s="252">
        <v>0</v>
      </c>
      <c r="GNX20" s="252">
        <v>0</v>
      </c>
      <c r="GNY20" s="252">
        <v>0</v>
      </c>
      <c r="GNZ20" s="252">
        <v>0</v>
      </c>
      <c r="GOA20" s="252">
        <v>0</v>
      </c>
      <c r="GOB20" s="252">
        <v>0</v>
      </c>
      <c r="GOC20" s="252">
        <v>0</v>
      </c>
      <c r="GOD20" s="252">
        <v>0</v>
      </c>
      <c r="GOE20" s="252">
        <v>0</v>
      </c>
      <c r="GOF20" s="252">
        <v>0</v>
      </c>
      <c r="GOG20" s="252">
        <v>0</v>
      </c>
      <c r="GOH20" s="252">
        <v>0</v>
      </c>
      <c r="GOI20" s="252">
        <v>0</v>
      </c>
      <c r="GOJ20" s="252">
        <v>0</v>
      </c>
      <c r="GOK20" s="252">
        <v>0</v>
      </c>
      <c r="GOL20" s="252">
        <v>0</v>
      </c>
      <c r="GOM20" s="252">
        <v>0</v>
      </c>
      <c r="GON20" s="252">
        <v>0</v>
      </c>
      <c r="GOO20" s="252">
        <v>0</v>
      </c>
      <c r="GOP20" s="252">
        <v>0</v>
      </c>
      <c r="GOQ20" s="252">
        <v>0</v>
      </c>
      <c r="GOR20" s="252">
        <v>0</v>
      </c>
      <c r="GOS20" s="252">
        <v>0</v>
      </c>
      <c r="GOT20" s="252">
        <v>0</v>
      </c>
      <c r="GOU20" s="252">
        <v>0</v>
      </c>
      <c r="GOV20" s="252">
        <v>0</v>
      </c>
      <c r="GOW20" s="252">
        <v>0</v>
      </c>
      <c r="GOX20" s="252">
        <v>0</v>
      </c>
      <c r="GOY20" s="252">
        <v>0</v>
      </c>
      <c r="GOZ20" s="252">
        <v>0</v>
      </c>
      <c r="GPA20" s="252">
        <v>0</v>
      </c>
      <c r="GPB20" s="252">
        <v>0</v>
      </c>
      <c r="GPC20" s="252">
        <v>0</v>
      </c>
      <c r="GPD20" s="252">
        <v>0</v>
      </c>
      <c r="GPE20" s="252">
        <v>0</v>
      </c>
      <c r="GPF20" s="252">
        <v>0</v>
      </c>
      <c r="GPG20" s="252">
        <v>0</v>
      </c>
      <c r="GPH20" s="252">
        <v>0</v>
      </c>
      <c r="GPI20" s="252">
        <v>0</v>
      </c>
      <c r="GPJ20" s="252">
        <v>0</v>
      </c>
      <c r="GPK20" s="252">
        <v>0</v>
      </c>
      <c r="GPL20" s="252">
        <v>0</v>
      </c>
      <c r="GPM20" s="252">
        <v>0</v>
      </c>
      <c r="GPN20" s="252">
        <v>0</v>
      </c>
      <c r="GPO20" s="252">
        <v>0</v>
      </c>
      <c r="GPP20" s="252">
        <v>0</v>
      </c>
      <c r="GPQ20" s="252">
        <v>0</v>
      </c>
      <c r="GPR20" s="252">
        <v>0</v>
      </c>
      <c r="GPS20" s="252">
        <v>0</v>
      </c>
      <c r="GPT20" s="252">
        <v>0</v>
      </c>
      <c r="GPU20" s="252">
        <v>0</v>
      </c>
      <c r="GPV20" s="252">
        <v>0</v>
      </c>
      <c r="GPW20" s="252">
        <v>0</v>
      </c>
      <c r="GPX20" s="252">
        <v>0</v>
      </c>
      <c r="GPY20" s="252">
        <v>0</v>
      </c>
      <c r="GPZ20" s="252">
        <v>0</v>
      </c>
      <c r="GQA20" s="252">
        <v>0</v>
      </c>
      <c r="GQB20" s="252">
        <v>0</v>
      </c>
      <c r="GQC20" s="252">
        <v>0</v>
      </c>
      <c r="GQD20" s="252">
        <v>0</v>
      </c>
      <c r="GQE20" s="252">
        <v>0</v>
      </c>
      <c r="GQF20" s="252">
        <v>0</v>
      </c>
      <c r="GQG20" s="252">
        <v>0</v>
      </c>
      <c r="GQH20" s="252">
        <v>0</v>
      </c>
      <c r="GQI20" s="252">
        <v>0</v>
      </c>
      <c r="GQJ20" s="252">
        <v>0</v>
      </c>
      <c r="GQK20" s="252">
        <v>0</v>
      </c>
      <c r="GQL20" s="252">
        <v>0</v>
      </c>
      <c r="GQM20" s="252">
        <v>0</v>
      </c>
      <c r="GQN20" s="252">
        <v>0</v>
      </c>
      <c r="GQO20" s="252">
        <v>0</v>
      </c>
      <c r="GQP20" s="252">
        <v>0</v>
      </c>
      <c r="GQQ20" s="252">
        <v>0</v>
      </c>
      <c r="GQR20" s="252">
        <v>0</v>
      </c>
      <c r="GQS20" s="252">
        <v>0</v>
      </c>
      <c r="GQT20" s="252">
        <v>0</v>
      </c>
      <c r="GQU20" s="252">
        <v>0</v>
      </c>
      <c r="GQV20" s="252">
        <v>0</v>
      </c>
      <c r="GQW20" s="252">
        <v>0</v>
      </c>
      <c r="GQX20" s="252">
        <v>0</v>
      </c>
      <c r="GQY20" s="252">
        <v>0</v>
      </c>
      <c r="GQZ20" s="252">
        <v>0</v>
      </c>
      <c r="GRA20" s="252">
        <v>0</v>
      </c>
      <c r="GRB20" s="252">
        <v>0</v>
      </c>
      <c r="GRC20" s="252">
        <v>0</v>
      </c>
      <c r="GRD20" s="252">
        <v>0</v>
      </c>
      <c r="GRE20" s="252">
        <v>0</v>
      </c>
      <c r="GRF20" s="252">
        <v>0</v>
      </c>
      <c r="GRG20" s="252">
        <v>0</v>
      </c>
      <c r="GRH20" s="252">
        <v>0</v>
      </c>
      <c r="GRI20" s="252">
        <v>0</v>
      </c>
      <c r="GRJ20" s="252">
        <v>0</v>
      </c>
      <c r="GRK20" s="252">
        <v>0</v>
      </c>
      <c r="GRL20" s="252">
        <v>0</v>
      </c>
      <c r="GRM20" s="252">
        <v>0</v>
      </c>
      <c r="GRN20" s="252">
        <v>0</v>
      </c>
      <c r="GRO20" s="252">
        <v>0</v>
      </c>
      <c r="GRP20" s="252">
        <v>0</v>
      </c>
      <c r="GRQ20" s="252">
        <v>0</v>
      </c>
      <c r="GRR20" s="252">
        <v>0</v>
      </c>
      <c r="GRS20" s="252">
        <v>0</v>
      </c>
      <c r="GRT20" s="252">
        <v>0</v>
      </c>
      <c r="GRU20" s="252">
        <v>0</v>
      </c>
      <c r="GRV20" s="252">
        <v>0</v>
      </c>
      <c r="GRW20" s="252">
        <v>0</v>
      </c>
      <c r="GRX20" s="252">
        <v>0</v>
      </c>
      <c r="GRY20" s="252">
        <v>0</v>
      </c>
      <c r="GRZ20" s="252">
        <v>0</v>
      </c>
      <c r="GSA20" s="252">
        <v>0</v>
      </c>
      <c r="GSB20" s="252">
        <v>0</v>
      </c>
      <c r="GSC20" s="252">
        <v>0</v>
      </c>
      <c r="GSD20" s="252">
        <v>0</v>
      </c>
      <c r="GSE20" s="252">
        <v>0</v>
      </c>
      <c r="GSF20" s="252">
        <v>0</v>
      </c>
      <c r="GSG20" s="252">
        <v>0</v>
      </c>
      <c r="GSH20" s="252">
        <v>0</v>
      </c>
      <c r="GSI20" s="252">
        <v>0</v>
      </c>
      <c r="GSJ20" s="252">
        <v>0</v>
      </c>
      <c r="GSK20" s="252">
        <v>0</v>
      </c>
      <c r="GSL20" s="252">
        <v>0</v>
      </c>
      <c r="GSM20" s="252">
        <v>0</v>
      </c>
      <c r="GSN20" s="252">
        <v>0</v>
      </c>
      <c r="GSO20" s="252">
        <v>0</v>
      </c>
      <c r="GSP20" s="252">
        <v>0</v>
      </c>
      <c r="GSQ20" s="252">
        <v>0</v>
      </c>
      <c r="GSR20" s="252">
        <v>0</v>
      </c>
      <c r="GSS20" s="252">
        <v>0</v>
      </c>
      <c r="GST20" s="252">
        <v>0</v>
      </c>
      <c r="GSU20" s="252">
        <v>0</v>
      </c>
      <c r="GSV20" s="252">
        <v>0</v>
      </c>
      <c r="GSW20" s="252">
        <v>0</v>
      </c>
      <c r="GSX20" s="252">
        <v>0</v>
      </c>
      <c r="GSY20" s="252">
        <v>0</v>
      </c>
      <c r="GSZ20" s="252">
        <v>0</v>
      </c>
      <c r="GTA20" s="252">
        <v>0</v>
      </c>
      <c r="GTB20" s="252">
        <v>0</v>
      </c>
      <c r="GTC20" s="252">
        <v>0</v>
      </c>
      <c r="GTD20" s="252">
        <v>0</v>
      </c>
      <c r="GTE20" s="252">
        <v>0</v>
      </c>
      <c r="GTF20" s="252">
        <v>0</v>
      </c>
      <c r="GTG20" s="252">
        <v>0</v>
      </c>
      <c r="GTH20" s="252">
        <v>0</v>
      </c>
      <c r="GTI20" s="252">
        <v>0</v>
      </c>
      <c r="GTJ20" s="252">
        <v>0</v>
      </c>
      <c r="GTK20" s="252">
        <v>0</v>
      </c>
      <c r="GTL20" s="252">
        <v>0</v>
      </c>
      <c r="GTM20" s="252">
        <v>0</v>
      </c>
      <c r="GTN20" s="252">
        <v>0</v>
      </c>
      <c r="GTO20" s="252">
        <v>0</v>
      </c>
      <c r="GTP20" s="252">
        <v>0</v>
      </c>
      <c r="GTQ20" s="252">
        <v>0</v>
      </c>
      <c r="GTR20" s="252">
        <v>0</v>
      </c>
      <c r="GTS20" s="252">
        <v>0</v>
      </c>
      <c r="GTT20" s="252">
        <v>0</v>
      </c>
      <c r="GTU20" s="252">
        <v>0</v>
      </c>
      <c r="GTV20" s="252">
        <v>0</v>
      </c>
      <c r="GTW20" s="252">
        <v>0</v>
      </c>
      <c r="GTX20" s="252">
        <v>0</v>
      </c>
      <c r="GTY20" s="252">
        <v>0</v>
      </c>
      <c r="GTZ20" s="252">
        <v>0</v>
      </c>
      <c r="GUA20" s="252">
        <v>0</v>
      </c>
      <c r="GUB20" s="252">
        <v>0</v>
      </c>
      <c r="GUC20" s="252">
        <v>0</v>
      </c>
      <c r="GUD20" s="252">
        <v>0</v>
      </c>
      <c r="GUE20" s="252">
        <v>0</v>
      </c>
      <c r="GUF20" s="252">
        <v>0</v>
      </c>
      <c r="GUG20" s="252">
        <v>0</v>
      </c>
      <c r="GUH20" s="252">
        <v>0</v>
      </c>
      <c r="GUI20" s="252">
        <v>0</v>
      </c>
      <c r="GUJ20" s="252">
        <v>0</v>
      </c>
      <c r="GUK20" s="252">
        <v>0</v>
      </c>
      <c r="GUL20" s="252">
        <v>0</v>
      </c>
      <c r="GUM20" s="252">
        <v>0</v>
      </c>
      <c r="GUN20" s="252">
        <v>0</v>
      </c>
      <c r="GUO20" s="252">
        <v>0</v>
      </c>
      <c r="GUP20" s="252">
        <v>0</v>
      </c>
      <c r="GUQ20" s="252">
        <v>0</v>
      </c>
      <c r="GUR20" s="252">
        <v>0</v>
      </c>
      <c r="GUS20" s="252">
        <v>0</v>
      </c>
      <c r="GUT20" s="252">
        <v>0</v>
      </c>
      <c r="GUU20" s="252">
        <v>0</v>
      </c>
      <c r="GUV20" s="252">
        <v>0</v>
      </c>
      <c r="GUW20" s="252">
        <v>0</v>
      </c>
      <c r="GUX20" s="252">
        <v>0</v>
      </c>
      <c r="GUY20" s="252">
        <v>0</v>
      </c>
      <c r="GUZ20" s="252">
        <v>0</v>
      </c>
      <c r="GVA20" s="252">
        <v>0</v>
      </c>
      <c r="GVB20" s="252">
        <v>0</v>
      </c>
      <c r="GVC20" s="252">
        <v>0</v>
      </c>
      <c r="GVD20" s="252">
        <v>0</v>
      </c>
      <c r="GVE20" s="252">
        <v>0</v>
      </c>
      <c r="GVF20" s="252">
        <v>0</v>
      </c>
      <c r="GVG20" s="252">
        <v>0</v>
      </c>
      <c r="GVH20" s="252">
        <v>0</v>
      </c>
      <c r="GVI20" s="252">
        <v>0</v>
      </c>
      <c r="GVJ20" s="252">
        <v>0</v>
      </c>
      <c r="GVK20" s="252">
        <v>0</v>
      </c>
      <c r="GVL20" s="252">
        <v>0</v>
      </c>
      <c r="GVM20" s="252">
        <v>0</v>
      </c>
      <c r="GVN20" s="252">
        <v>0</v>
      </c>
      <c r="GVO20" s="252">
        <v>0</v>
      </c>
      <c r="GVP20" s="252">
        <v>0</v>
      </c>
      <c r="GVQ20" s="252">
        <v>0</v>
      </c>
      <c r="GVR20" s="252">
        <v>0</v>
      </c>
      <c r="GVS20" s="252">
        <v>0</v>
      </c>
      <c r="GVT20" s="252">
        <v>0</v>
      </c>
      <c r="GVU20" s="252">
        <v>0</v>
      </c>
      <c r="GVV20" s="252">
        <v>0</v>
      </c>
      <c r="GVW20" s="252">
        <v>0</v>
      </c>
      <c r="GVX20" s="252">
        <v>0</v>
      </c>
      <c r="GVY20" s="252">
        <v>0</v>
      </c>
      <c r="GVZ20" s="252">
        <v>0</v>
      </c>
      <c r="GWA20" s="252">
        <v>0</v>
      </c>
      <c r="GWB20" s="252">
        <v>0</v>
      </c>
      <c r="GWC20" s="252">
        <v>0</v>
      </c>
      <c r="GWD20" s="252">
        <v>0</v>
      </c>
      <c r="GWE20" s="252">
        <v>0</v>
      </c>
      <c r="GWF20" s="252">
        <v>0</v>
      </c>
      <c r="GWG20" s="252">
        <v>0</v>
      </c>
      <c r="GWH20" s="252">
        <v>0</v>
      </c>
      <c r="GWI20" s="252">
        <v>0</v>
      </c>
      <c r="GWJ20" s="252">
        <v>0</v>
      </c>
      <c r="GWK20" s="252">
        <v>0</v>
      </c>
      <c r="GWL20" s="252">
        <v>0</v>
      </c>
      <c r="GWM20" s="252">
        <v>0</v>
      </c>
      <c r="GWN20" s="252">
        <v>0</v>
      </c>
      <c r="GWO20" s="252">
        <v>0</v>
      </c>
      <c r="GWP20" s="252">
        <v>0</v>
      </c>
      <c r="GWQ20" s="252">
        <v>0</v>
      </c>
      <c r="GWR20" s="252">
        <v>0</v>
      </c>
      <c r="GWS20" s="252">
        <v>0</v>
      </c>
      <c r="GWT20" s="252">
        <v>0</v>
      </c>
      <c r="GWU20" s="252">
        <v>0</v>
      </c>
      <c r="GWV20" s="252">
        <v>0</v>
      </c>
      <c r="GWW20" s="252">
        <v>0</v>
      </c>
      <c r="GWX20" s="252">
        <v>0</v>
      </c>
      <c r="GWY20" s="252">
        <v>0</v>
      </c>
      <c r="GWZ20" s="252">
        <v>0</v>
      </c>
      <c r="GXA20" s="252">
        <v>0</v>
      </c>
      <c r="GXB20" s="252">
        <v>0</v>
      </c>
      <c r="GXC20" s="252">
        <v>0</v>
      </c>
      <c r="GXD20" s="252">
        <v>0</v>
      </c>
      <c r="GXE20" s="252">
        <v>0</v>
      </c>
      <c r="GXF20" s="252">
        <v>0</v>
      </c>
      <c r="GXG20" s="252">
        <v>0</v>
      </c>
      <c r="GXH20" s="252">
        <v>0</v>
      </c>
      <c r="GXI20" s="252">
        <v>0</v>
      </c>
      <c r="GXJ20" s="252">
        <v>0</v>
      </c>
      <c r="GXK20" s="252">
        <v>0</v>
      </c>
      <c r="GXL20" s="252">
        <v>0</v>
      </c>
      <c r="GXM20" s="252">
        <v>0</v>
      </c>
      <c r="GXN20" s="252">
        <v>0</v>
      </c>
      <c r="GXO20" s="252">
        <v>0</v>
      </c>
      <c r="GXP20" s="252">
        <v>0</v>
      </c>
      <c r="GXQ20" s="252">
        <v>0</v>
      </c>
      <c r="GXR20" s="252">
        <v>0</v>
      </c>
      <c r="GXS20" s="252">
        <v>0</v>
      </c>
      <c r="GXT20" s="252">
        <v>0</v>
      </c>
      <c r="GXU20" s="252">
        <v>0</v>
      </c>
      <c r="GXV20" s="252">
        <v>0</v>
      </c>
      <c r="GXW20" s="252">
        <v>0</v>
      </c>
      <c r="GXX20" s="252">
        <v>0</v>
      </c>
      <c r="GXY20" s="252">
        <v>0</v>
      </c>
      <c r="GXZ20" s="252">
        <v>0</v>
      </c>
      <c r="GYA20" s="252">
        <v>0</v>
      </c>
      <c r="GYB20" s="252">
        <v>0</v>
      </c>
      <c r="GYC20" s="252">
        <v>0</v>
      </c>
      <c r="GYD20" s="252">
        <v>0</v>
      </c>
      <c r="GYE20" s="252">
        <v>0</v>
      </c>
      <c r="GYF20" s="252">
        <v>0</v>
      </c>
      <c r="GYG20" s="252">
        <v>0</v>
      </c>
      <c r="GYH20" s="252">
        <v>0</v>
      </c>
      <c r="GYI20" s="252">
        <v>0</v>
      </c>
      <c r="GYJ20" s="252">
        <v>0</v>
      </c>
      <c r="GYK20" s="252">
        <v>0</v>
      </c>
      <c r="GYL20" s="252">
        <v>0</v>
      </c>
      <c r="GYM20" s="252">
        <v>0</v>
      </c>
      <c r="GYN20" s="252">
        <v>0</v>
      </c>
      <c r="GYO20" s="252">
        <v>0</v>
      </c>
      <c r="GYP20" s="252">
        <v>0</v>
      </c>
      <c r="GYQ20" s="252">
        <v>0</v>
      </c>
      <c r="GYR20" s="252">
        <v>0</v>
      </c>
      <c r="GYS20" s="252">
        <v>0</v>
      </c>
      <c r="GYT20" s="252">
        <v>0</v>
      </c>
      <c r="GYU20" s="252">
        <v>0</v>
      </c>
      <c r="GYV20" s="252">
        <v>0</v>
      </c>
      <c r="GYW20" s="252">
        <v>0</v>
      </c>
      <c r="GYX20" s="252">
        <v>0</v>
      </c>
      <c r="GYY20" s="252">
        <v>0</v>
      </c>
      <c r="GYZ20" s="252">
        <v>0</v>
      </c>
      <c r="GZA20" s="252">
        <v>0</v>
      </c>
      <c r="GZB20" s="252">
        <v>0</v>
      </c>
      <c r="GZC20" s="252">
        <v>0</v>
      </c>
      <c r="GZD20" s="252">
        <v>0</v>
      </c>
      <c r="GZE20" s="252">
        <v>0</v>
      </c>
      <c r="GZF20" s="252">
        <v>0</v>
      </c>
      <c r="GZG20" s="252">
        <v>0</v>
      </c>
      <c r="GZH20" s="252">
        <v>0</v>
      </c>
      <c r="GZI20" s="252">
        <v>0</v>
      </c>
      <c r="GZJ20" s="252">
        <v>0</v>
      </c>
      <c r="GZK20" s="252">
        <v>0</v>
      </c>
      <c r="GZL20" s="252">
        <v>0</v>
      </c>
      <c r="GZM20" s="252">
        <v>0</v>
      </c>
      <c r="GZN20" s="252">
        <v>0</v>
      </c>
      <c r="GZO20" s="252">
        <v>0</v>
      </c>
      <c r="GZP20" s="252">
        <v>0</v>
      </c>
      <c r="GZQ20" s="252">
        <v>0</v>
      </c>
      <c r="GZR20" s="252">
        <v>0</v>
      </c>
      <c r="GZS20" s="252">
        <v>0</v>
      </c>
      <c r="GZT20" s="252">
        <v>0</v>
      </c>
      <c r="GZU20" s="252">
        <v>0</v>
      </c>
      <c r="GZV20" s="252">
        <v>0</v>
      </c>
      <c r="GZW20" s="252">
        <v>0</v>
      </c>
      <c r="GZX20" s="252">
        <v>0</v>
      </c>
      <c r="GZY20" s="252">
        <v>0</v>
      </c>
      <c r="GZZ20" s="252">
        <v>0</v>
      </c>
      <c r="HAA20" s="252">
        <v>0</v>
      </c>
      <c r="HAB20" s="252">
        <v>0</v>
      </c>
      <c r="HAC20" s="252">
        <v>0</v>
      </c>
      <c r="HAD20" s="252">
        <v>0</v>
      </c>
      <c r="HAE20" s="252">
        <v>0</v>
      </c>
      <c r="HAF20" s="252">
        <v>0</v>
      </c>
      <c r="HAG20" s="252">
        <v>0</v>
      </c>
      <c r="HAH20" s="252">
        <v>0</v>
      </c>
      <c r="HAI20" s="252">
        <v>0</v>
      </c>
      <c r="HAJ20" s="252">
        <v>0</v>
      </c>
      <c r="HAK20" s="252">
        <v>0</v>
      </c>
      <c r="HAL20" s="252">
        <v>0</v>
      </c>
      <c r="HAM20" s="252">
        <v>0</v>
      </c>
      <c r="HAN20" s="252">
        <v>0</v>
      </c>
      <c r="HAO20" s="252">
        <v>0</v>
      </c>
      <c r="HAP20" s="252">
        <v>0</v>
      </c>
      <c r="HAQ20" s="252">
        <v>0</v>
      </c>
      <c r="HAR20" s="252">
        <v>0</v>
      </c>
      <c r="HAS20" s="252">
        <v>0</v>
      </c>
      <c r="HAT20" s="252">
        <v>0</v>
      </c>
      <c r="HAU20" s="252">
        <v>0</v>
      </c>
      <c r="HAV20" s="252">
        <v>0</v>
      </c>
      <c r="HAW20" s="252">
        <v>0</v>
      </c>
      <c r="HAX20" s="252">
        <v>0</v>
      </c>
      <c r="HAY20" s="252">
        <v>0</v>
      </c>
      <c r="HAZ20" s="252">
        <v>0</v>
      </c>
      <c r="HBA20" s="252">
        <v>0</v>
      </c>
      <c r="HBB20" s="252">
        <v>0</v>
      </c>
      <c r="HBC20" s="252">
        <v>0</v>
      </c>
      <c r="HBD20" s="252">
        <v>0</v>
      </c>
      <c r="HBE20" s="252">
        <v>0</v>
      </c>
      <c r="HBF20" s="252">
        <v>0</v>
      </c>
      <c r="HBG20" s="252">
        <v>0</v>
      </c>
      <c r="HBH20" s="252">
        <v>0</v>
      </c>
      <c r="HBI20" s="252">
        <v>0</v>
      </c>
      <c r="HBJ20" s="252">
        <v>0</v>
      </c>
      <c r="HBK20" s="252">
        <v>0</v>
      </c>
      <c r="HBL20" s="252">
        <v>0</v>
      </c>
      <c r="HBM20" s="252">
        <v>0</v>
      </c>
      <c r="HBN20" s="252">
        <v>0</v>
      </c>
      <c r="HBO20" s="252">
        <v>0</v>
      </c>
      <c r="HBP20" s="252">
        <v>0</v>
      </c>
      <c r="HBQ20" s="252">
        <v>0</v>
      </c>
      <c r="HBR20" s="252">
        <v>0</v>
      </c>
      <c r="HBS20" s="252">
        <v>0</v>
      </c>
      <c r="HBT20" s="252">
        <v>0</v>
      </c>
      <c r="HBU20" s="252">
        <v>0</v>
      </c>
      <c r="HBV20" s="252">
        <v>0</v>
      </c>
      <c r="HBW20" s="252">
        <v>0</v>
      </c>
      <c r="HBX20" s="252">
        <v>0</v>
      </c>
      <c r="HBY20" s="252">
        <v>0</v>
      </c>
      <c r="HBZ20" s="252">
        <v>0</v>
      </c>
      <c r="HCA20" s="252">
        <v>0</v>
      </c>
      <c r="HCB20" s="252">
        <v>0</v>
      </c>
      <c r="HCC20" s="252">
        <v>0</v>
      </c>
      <c r="HCD20" s="252">
        <v>0</v>
      </c>
      <c r="HCE20" s="252">
        <v>0</v>
      </c>
      <c r="HCF20" s="252">
        <v>0</v>
      </c>
      <c r="HCG20" s="252">
        <v>0</v>
      </c>
      <c r="HCH20" s="252">
        <v>0</v>
      </c>
      <c r="HCI20" s="252">
        <v>0</v>
      </c>
      <c r="HCJ20" s="252">
        <v>0</v>
      </c>
      <c r="HCK20" s="252">
        <v>0</v>
      </c>
      <c r="HCL20" s="252">
        <v>0</v>
      </c>
      <c r="HCM20" s="252">
        <v>0</v>
      </c>
      <c r="HCN20" s="252">
        <v>0</v>
      </c>
      <c r="HCO20" s="252">
        <v>0</v>
      </c>
      <c r="HCP20" s="252">
        <v>0</v>
      </c>
      <c r="HCQ20" s="252">
        <v>0</v>
      </c>
      <c r="HCR20" s="252">
        <v>0</v>
      </c>
      <c r="HCS20" s="252">
        <v>0</v>
      </c>
      <c r="HCT20" s="252">
        <v>0</v>
      </c>
      <c r="HCU20" s="252">
        <v>0</v>
      </c>
      <c r="HCV20" s="252">
        <v>0</v>
      </c>
      <c r="HCW20" s="252">
        <v>0</v>
      </c>
      <c r="HCX20" s="252">
        <v>0</v>
      </c>
      <c r="HCY20" s="252">
        <v>0</v>
      </c>
      <c r="HCZ20" s="252">
        <v>0</v>
      </c>
      <c r="HDA20" s="252">
        <v>0</v>
      </c>
      <c r="HDB20" s="252">
        <v>0</v>
      </c>
      <c r="HDC20" s="252">
        <v>0</v>
      </c>
      <c r="HDD20" s="252">
        <v>0</v>
      </c>
      <c r="HDE20" s="252">
        <v>0</v>
      </c>
      <c r="HDF20" s="252">
        <v>0</v>
      </c>
      <c r="HDG20" s="252">
        <v>0</v>
      </c>
      <c r="HDH20" s="252">
        <v>0</v>
      </c>
      <c r="HDI20" s="252">
        <v>0</v>
      </c>
      <c r="HDJ20" s="252">
        <v>0</v>
      </c>
      <c r="HDK20" s="252">
        <v>0</v>
      </c>
      <c r="HDL20" s="252">
        <v>0</v>
      </c>
      <c r="HDM20" s="252">
        <v>0</v>
      </c>
      <c r="HDN20" s="252">
        <v>0</v>
      </c>
      <c r="HDO20" s="252">
        <v>0</v>
      </c>
      <c r="HDP20" s="252">
        <v>0</v>
      </c>
      <c r="HDQ20" s="252">
        <v>0</v>
      </c>
      <c r="HDR20" s="252">
        <v>0</v>
      </c>
      <c r="HDS20" s="252">
        <v>0</v>
      </c>
      <c r="HDT20" s="252">
        <v>0</v>
      </c>
      <c r="HDU20" s="252">
        <v>0</v>
      </c>
      <c r="HDV20" s="252">
        <v>0</v>
      </c>
      <c r="HDW20" s="252">
        <v>0</v>
      </c>
      <c r="HDX20" s="252">
        <v>0</v>
      </c>
      <c r="HDY20" s="252">
        <v>0</v>
      </c>
      <c r="HDZ20" s="252">
        <v>0</v>
      </c>
      <c r="HEA20" s="252">
        <v>0</v>
      </c>
      <c r="HEB20" s="252">
        <v>0</v>
      </c>
      <c r="HEC20" s="252">
        <v>0</v>
      </c>
      <c r="HED20" s="252">
        <v>0</v>
      </c>
      <c r="HEE20" s="252">
        <v>0</v>
      </c>
      <c r="HEF20" s="252">
        <v>0</v>
      </c>
      <c r="HEG20" s="252">
        <v>0</v>
      </c>
      <c r="HEH20" s="252">
        <v>0</v>
      </c>
      <c r="HEI20" s="252">
        <v>0</v>
      </c>
      <c r="HEJ20" s="252">
        <v>0</v>
      </c>
      <c r="HEK20" s="252">
        <v>0</v>
      </c>
      <c r="HEL20" s="252">
        <v>0</v>
      </c>
      <c r="HEM20" s="252">
        <v>0</v>
      </c>
      <c r="HEN20" s="252">
        <v>0</v>
      </c>
      <c r="HEO20" s="252">
        <v>0</v>
      </c>
      <c r="HEP20" s="252">
        <v>0</v>
      </c>
      <c r="HEQ20" s="252">
        <v>0</v>
      </c>
      <c r="HER20" s="252">
        <v>0</v>
      </c>
      <c r="HES20" s="252">
        <v>0</v>
      </c>
      <c r="HET20" s="252">
        <v>0</v>
      </c>
      <c r="HEU20" s="252">
        <v>0</v>
      </c>
      <c r="HEV20" s="252">
        <v>0</v>
      </c>
      <c r="HEW20" s="252">
        <v>0</v>
      </c>
      <c r="HEX20" s="252">
        <v>0</v>
      </c>
      <c r="HEY20" s="252">
        <v>0</v>
      </c>
      <c r="HEZ20" s="252">
        <v>0</v>
      </c>
      <c r="HFA20" s="252">
        <v>0</v>
      </c>
      <c r="HFB20" s="252">
        <v>0</v>
      </c>
      <c r="HFC20" s="252">
        <v>0</v>
      </c>
      <c r="HFD20" s="252">
        <v>0</v>
      </c>
      <c r="HFE20" s="252">
        <v>0</v>
      </c>
      <c r="HFF20" s="252">
        <v>0</v>
      </c>
      <c r="HFG20" s="252">
        <v>0</v>
      </c>
      <c r="HFH20" s="252">
        <v>0</v>
      </c>
      <c r="HFI20" s="252">
        <v>0</v>
      </c>
      <c r="HFJ20" s="252">
        <v>0</v>
      </c>
      <c r="HFK20" s="252">
        <v>0</v>
      </c>
      <c r="HFL20" s="252">
        <v>0</v>
      </c>
      <c r="HFM20" s="252">
        <v>0</v>
      </c>
      <c r="HFN20" s="252">
        <v>0</v>
      </c>
      <c r="HFO20" s="252">
        <v>0</v>
      </c>
      <c r="HFP20" s="252">
        <v>0</v>
      </c>
      <c r="HFQ20" s="252">
        <v>0</v>
      </c>
      <c r="HFR20" s="252">
        <v>0</v>
      </c>
      <c r="HFS20" s="252">
        <v>0</v>
      </c>
      <c r="HFT20" s="252">
        <v>0</v>
      </c>
      <c r="HFU20" s="252">
        <v>0</v>
      </c>
      <c r="HFV20" s="252">
        <v>0</v>
      </c>
      <c r="HFW20" s="252">
        <v>0</v>
      </c>
      <c r="HFX20" s="252">
        <v>0</v>
      </c>
      <c r="HFY20" s="252">
        <v>0</v>
      </c>
      <c r="HFZ20" s="252">
        <v>0</v>
      </c>
      <c r="HGA20" s="252">
        <v>0</v>
      </c>
      <c r="HGB20" s="252">
        <v>0</v>
      </c>
      <c r="HGC20" s="252">
        <v>0</v>
      </c>
      <c r="HGD20" s="252">
        <v>0</v>
      </c>
      <c r="HGE20" s="252">
        <v>0</v>
      </c>
      <c r="HGF20" s="252">
        <v>0</v>
      </c>
      <c r="HGG20" s="252">
        <v>0</v>
      </c>
      <c r="HGH20" s="252">
        <v>0</v>
      </c>
      <c r="HGI20" s="252">
        <v>0</v>
      </c>
      <c r="HGJ20" s="252">
        <v>0</v>
      </c>
      <c r="HGK20" s="252">
        <v>0</v>
      </c>
      <c r="HGL20" s="252">
        <v>0</v>
      </c>
      <c r="HGM20" s="252">
        <v>0</v>
      </c>
      <c r="HGN20" s="252">
        <v>0</v>
      </c>
      <c r="HGO20" s="252">
        <v>0</v>
      </c>
      <c r="HGP20" s="252">
        <v>0</v>
      </c>
      <c r="HGQ20" s="252">
        <v>0</v>
      </c>
      <c r="HGR20" s="252">
        <v>0</v>
      </c>
      <c r="HGS20" s="252">
        <v>0</v>
      </c>
      <c r="HGT20" s="252">
        <v>0</v>
      </c>
      <c r="HGU20" s="252">
        <v>0</v>
      </c>
      <c r="HGV20" s="252">
        <v>0</v>
      </c>
      <c r="HGW20" s="252">
        <v>0</v>
      </c>
      <c r="HGX20" s="252">
        <v>0</v>
      </c>
      <c r="HGY20" s="252">
        <v>0</v>
      </c>
      <c r="HGZ20" s="252">
        <v>0</v>
      </c>
      <c r="HHA20" s="252">
        <v>0</v>
      </c>
      <c r="HHB20" s="252">
        <v>0</v>
      </c>
      <c r="HHC20" s="252">
        <v>0</v>
      </c>
      <c r="HHD20" s="252">
        <v>0</v>
      </c>
      <c r="HHE20" s="252">
        <v>0</v>
      </c>
      <c r="HHF20" s="252">
        <v>0</v>
      </c>
      <c r="HHG20" s="252">
        <v>0</v>
      </c>
      <c r="HHH20" s="252">
        <v>0</v>
      </c>
      <c r="HHI20" s="252">
        <v>0</v>
      </c>
      <c r="HHJ20" s="252">
        <v>0</v>
      </c>
      <c r="HHK20" s="252">
        <v>0</v>
      </c>
      <c r="HHL20" s="252">
        <v>0</v>
      </c>
      <c r="HHM20" s="252">
        <v>0</v>
      </c>
      <c r="HHN20" s="252">
        <v>0</v>
      </c>
      <c r="HHO20" s="252">
        <v>0</v>
      </c>
      <c r="HHP20" s="252">
        <v>0</v>
      </c>
      <c r="HHQ20" s="252">
        <v>0</v>
      </c>
      <c r="HHR20" s="252">
        <v>0</v>
      </c>
      <c r="HHS20" s="252">
        <v>0</v>
      </c>
      <c r="HHT20" s="252">
        <v>0</v>
      </c>
      <c r="HHU20" s="252">
        <v>0</v>
      </c>
      <c r="HHV20" s="252">
        <v>0</v>
      </c>
      <c r="HHW20" s="252">
        <v>0</v>
      </c>
      <c r="HHX20" s="252">
        <v>0</v>
      </c>
      <c r="HHY20" s="252">
        <v>0</v>
      </c>
      <c r="HHZ20" s="252">
        <v>0</v>
      </c>
      <c r="HIA20" s="252">
        <v>0</v>
      </c>
      <c r="HIB20" s="252">
        <v>0</v>
      </c>
      <c r="HIC20" s="252">
        <v>0</v>
      </c>
      <c r="HID20" s="252">
        <v>0</v>
      </c>
      <c r="HIE20" s="252">
        <v>0</v>
      </c>
      <c r="HIF20" s="252">
        <v>0</v>
      </c>
      <c r="HIG20" s="252">
        <v>0</v>
      </c>
      <c r="HIH20" s="252">
        <v>0</v>
      </c>
      <c r="HII20" s="252">
        <v>0</v>
      </c>
      <c r="HIJ20" s="252">
        <v>0</v>
      </c>
      <c r="HIK20" s="252">
        <v>0</v>
      </c>
      <c r="HIL20" s="252">
        <v>0</v>
      </c>
      <c r="HIM20" s="252">
        <v>0</v>
      </c>
      <c r="HIN20" s="252">
        <v>0</v>
      </c>
      <c r="HIO20" s="252">
        <v>0</v>
      </c>
      <c r="HIP20" s="252">
        <v>0</v>
      </c>
      <c r="HIQ20" s="252">
        <v>0</v>
      </c>
      <c r="HIR20" s="252">
        <v>0</v>
      </c>
      <c r="HIS20" s="252">
        <v>0</v>
      </c>
      <c r="HIT20" s="252">
        <v>0</v>
      </c>
      <c r="HIU20" s="252">
        <v>0</v>
      </c>
      <c r="HIV20" s="252">
        <v>0</v>
      </c>
      <c r="HIW20" s="252">
        <v>0</v>
      </c>
      <c r="HIX20" s="252">
        <v>0</v>
      </c>
      <c r="HIY20" s="252">
        <v>0</v>
      </c>
      <c r="HIZ20" s="252">
        <v>0</v>
      </c>
      <c r="HJA20" s="252">
        <v>0</v>
      </c>
      <c r="HJB20" s="252">
        <v>0</v>
      </c>
      <c r="HJC20" s="252">
        <v>0</v>
      </c>
      <c r="HJD20" s="252">
        <v>0</v>
      </c>
      <c r="HJE20" s="252">
        <v>0</v>
      </c>
      <c r="HJF20" s="252">
        <v>0</v>
      </c>
      <c r="HJG20" s="252">
        <v>0</v>
      </c>
      <c r="HJH20" s="252">
        <v>0</v>
      </c>
      <c r="HJI20" s="252">
        <v>0</v>
      </c>
      <c r="HJJ20" s="252">
        <v>0</v>
      </c>
      <c r="HJK20" s="252">
        <v>0</v>
      </c>
      <c r="HJL20" s="252">
        <v>0</v>
      </c>
      <c r="HJM20" s="252">
        <v>0</v>
      </c>
      <c r="HJN20" s="252">
        <v>0</v>
      </c>
      <c r="HJO20" s="252">
        <v>0</v>
      </c>
      <c r="HJP20" s="252">
        <v>0</v>
      </c>
      <c r="HJQ20" s="252">
        <v>0</v>
      </c>
      <c r="HJR20" s="252">
        <v>0</v>
      </c>
      <c r="HJS20" s="252">
        <v>0</v>
      </c>
      <c r="HJT20" s="252">
        <v>0</v>
      </c>
      <c r="HJU20" s="252">
        <v>0</v>
      </c>
      <c r="HJV20" s="252">
        <v>0</v>
      </c>
      <c r="HJW20" s="252">
        <v>0</v>
      </c>
      <c r="HJX20" s="252">
        <v>0</v>
      </c>
      <c r="HJY20" s="252">
        <v>0</v>
      </c>
      <c r="HJZ20" s="252">
        <v>0</v>
      </c>
      <c r="HKA20" s="252">
        <v>0</v>
      </c>
      <c r="HKB20" s="252">
        <v>0</v>
      </c>
      <c r="HKC20" s="252">
        <v>0</v>
      </c>
      <c r="HKD20" s="252">
        <v>0</v>
      </c>
      <c r="HKE20" s="252">
        <v>0</v>
      </c>
      <c r="HKF20" s="252">
        <v>0</v>
      </c>
      <c r="HKG20" s="252">
        <v>0</v>
      </c>
      <c r="HKH20" s="252">
        <v>0</v>
      </c>
      <c r="HKI20" s="252">
        <v>0</v>
      </c>
      <c r="HKJ20" s="252">
        <v>0</v>
      </c>
      <c r="HKK20" s="252">
        <v>0</v>
      </c>
      <c r="HKL20" s="252">
        <v>0</v>
      </c>
      <c r="HKM20" s="252">
        <v>0</v>
      </c>
      <c r="HKN20" s="252">
        <v>0</v>
      </c>
      <c r="HKO20" s="252">
        <v>0</v>
      </c>
      <c r="HKP20" s="252">
        <v>0</v>
      </c>
      <c r="HKQ20" s="252">
        <v>0</v>
      </c>
      <c r="HKR20" s="252">
        <v>0</v>
      </c>
      <c r="HKS20" s="252">
        <v>0</v>
      </c>
      <c r="HKT20" s="252">
        <v>0</v>
      </c>
      <c r="HKU20" s="252">
        <v>0</v>
      </c>
      <c r="HKV20" s="252">
        <v>0</v>
      </c>
      <c r="HKW20" s="252">
        <v>0</v>
      </c>
      <c r="HKX20" s="252">
        <v>0</v>
      </c>
      <c r="HKY20" s="252">
        <v>0</v>
      </c>
      <c r="HKZ20" s="252">
        <v>0</v>
      </c>
      <c r="HLA20" s="252">
        <v>0</v>
      </c>
      <c r="HLB20" s="252">
        <v>0</v>
      </c>
      <c r="HLC20" s="252">
        <v>0</v>
      </c>
      <c r="HLD20" s="252">
        <v>0</v>
      </c>
      <c r="HLE20" s="252">
        <v>0</v>
      </c>
      <c r="HLF20" s="252">
        <v>0</v>
      </c>
      <c r="HLG20" s="252">
        <v>0</v>
      </c>
      <c r="HLH20" s="252">
        <v>0</v>
      </c>
      <c r="HLI20" s="252">
        <v>0</v>
      </c>
      <c r="HLJ20" s="252">
        <v>0</v>
      </c>
      <c r="HLK20" s="252">
        <v>0</v>
      </c>
      <c r="HLL20" s="252">
        <v>0</v>
      </c>
      <c r="HLM20" s="252">
        <v>0</v>
      </c>
      <c r="HLN20" s="252">
        <v>0</v>
      </c>
      <c r="HLO20" s="252">
        <v>0</v>
      </c>
      <c r="HLP20" s="252">
        <v>0</v>
      </c>
      <c r="HLQ20" s="252">
        <v>0</v>
      </c>
      <c r="HLR20" s="252">
        <v>0</v>
      </c>
      <c r="HLS20" s="252">
        <v>0</v>
      </c>
      <c r="HLT20" s="252">
        <v>0</v>
      </c>
      <c r="HLU20" s="252">
        <v>0</v>
      </c>
      <c r="HLV20" s="252">
        <v>0</v>
      </c>
      <c r="HLW20" s="252">
        <v>0</v>
      </c>
      <c r="HLX20" s="252">
        <v>0</v>
      </c>
      <c r="HLY20" s="252">
        <v>0</v>
      </c>
      <c r="HLZ20" s="252">
        <v>0</v>
      </c>
      <c r="HMA20" s="252">
        <v>0</v>
      </c>
      <c r="HMB20" s="252">
        <v>0</v>
      </c>
      <c r="HMC20" s="252">
        <v>0</v>
      </c>
      <c r="HMD20" s="252">
        <v>0</v>
      </c>
      <c r="HME20" s="252">
        <v>0</v>
      </c>
      <c r="HMF20" s="252">
        <v>0</v>
      </c>
      <c r="HMG20" s="252">
        <v>0</v>
      </c>
      <c r="HMH20" s="252">
        <v>0</v>
      </c>
      <c r="HMI20" s="252">
        <v>0</v>
      </c>
      <c r="HMJ20" s="252">
        <v>0</v>
      </c>
      <c r="HMK20" s="252">
        <v>0</v>
      </c>
      <c r="HML20" s="252">
        <v>0</v>
      </c>
      <c r="HMM20" s="252">
        <v>0</v>
      </c>
      <c r="HMN20" s="252">
        <v>0</v>
      </c>
      <c r="HMO20" s="252">
        <v>0</v>
      </c>
      <c r="HMP20" s="252">
        <v>0</v>
      </c>
      <c r="HMQ20" s="252">
        <v>0</v>
      </c>
      <c r="HMR20" s="252">
        <v>0</v>
      </c>
      <c r="HMS20" s="252">
        <v>0</v>
      </c>
      <c r="HMT20" s="252">
        <v>0</v>
      </c>
      <c r="HMU20" s="252">
        <v>0</v>
      </c>
      <c r="HMV20" s="252">
        <v>0</v>
      </c>
      <c r="HMW20" s="252">
        <v>0</v>
      </c>
      <c r="HMX20" s="252">
        <v>0</v>
      </c>
      <c r="HMY20" s="252">
        <v>0</v>
      </c>
      <c r="HMZ20" s="252">
        <v>0</v>
      </c>
      <c r="HNA20" s="252">
        <v>0</v>
      </c>
      <c r="HNB20" s="252">
        <v>0</v>
      </c>
      <c r="HNC20" s="252">
        <v>0</v>
      </c>
      <c r="HND20" s="252">
        <v>0</v>
      </c>
      <c r="HNE20" s="252">
        <v>0</v>
      </c>
      <c r="HNF20" s="252">
        <v>0</v>
      </c>
      <c r="HNG20" s="252">
        <v>0</v>
      </c>
      <c r="HNH20" s="252">
        <v>0</v>
      </c>
      <c r="HNI20" s="252">
        <v>0</v>
      </c>
      <c r="HNJ20" s="252">
        <v>0</v>
      </c>
      <c r="HNK20" s="252">
        <v>0</v>
      </c>
      <c r="HNL20" s="252">
        <v>0</v>
      </c>
      <c r="HNM20" s="252">
        <v>0</v>
      </c>
      <c r="HNN20" s="252">
        <v>0</v>
      </c>
      <c r="HNO20" s="252">
        <v>0</v>
      </c>
      <c r="HNP20" s="252">
        <v>0</v>
      </c>
      <c r="HNQ20" s="252">
        <v>0</v>
      </c>
      <c r="HNR20" s="252">
        <v>0</v>
      </c>
      <c r="HNS20" s="252">
        <v>0</v>
      </c>
      <c r="HNT20" s="252">
        <v>0</v>
      </c>
      <c r="HNU20" s="252">
        <v>0</v>
      </c>
      <c r="HNV20" s="252">
        <v>0</v>
      </c>
      <c r="HNW20" s="252">
        <v>0</v>
      </c>
      <c r="HNX20" s="252">
        <v>0</v>
      </c>
      <c r="HNY20" s="252">
        <v>0</v>
      </c>
      <c r="HNZ20" s="252">
        <v>0</v>
      </c>
      <c r="HOA20" s="252">
        <v>0</v>
      </c>
      <c r="HOB20" s="252">
        <v>0</v>
      </c>
      <c r="HOC20" s="252">
        <v>0</v>
      </c>
      <c r="HOD20" s="252">
        <v>0</v>
      </c>
      <c r="HOE20" s="252">
        <v>0</v>
      </c>
      <c r="HOF20" s="252">
        <v>0</v>
      </c>
      <c r="HOG20" s="252">
        <v>0</v>
      </c>
      <c r="HOH20" s="252">
        <v>0</v>
      </c>
      <c r="HOI20" s="252">
        <v>0</v>
      </c>
      <c r="HOJ20" s="252">
        <v>0</v>
      </c>
      <c r="HOK20" s="252">
        <v>0</v>
      </c>
      <c r="HOL20" s="252">
        <v>0</v>
      </c>
      <c r="HOM20" s="252">
        <v>0</v>
      </c>
      <c r="HON20" s="252">
        <v>0</v>
      </c>
      <c r="HOO20" s="252">
        <v>0</v>
      </c>
      <c r="HOP20" s="252">
        <v>0</v>
      </c>
      <c r="HOQ20" s="252">
        <v>0</v>
      </c>
      <c r="HOR20" s="252">
        <v>0</v>
      </c>
      <c r="HOS20" s="252">
        <v>0</v>
      </c>
      <c r="HOT20" s="252">
        <v>0</v>
      </c>
      <c r="HOU20" s="252">
        <v>0</v>
      </c>
      <c r="HOV20" s="252">
        <v>0</v>
      </c>
      <c r="HOW20" s="252">
        <v>0</v>
      </c>
      <c r="HOX20" s="252">
        <v>0</v>
      </c>
      <c r="HOY20" s="252">
        <v>0</v>
      </c>
      <c r="HOZ20" s="252">
        <v>0</v>
      </c>
      <c r="HPA20" s="252">
        <v>0</v>
      </c>
      <c r="HPB20" s="252">
        <v>0</v>
      </c>
      <c r="HPC20" s="252">
        <v>0</v>
      </c>
      <c r="HPD20" s="252">
        <v>0</v>
      </c>
      <c r="HPE20" s="252">
        <v>0</v>
      </c>
      <c r="HPF20" s="252">
        <v>0</v>
      </c>
      <c r="HPG20" s="252">
        <v>0</v>
      </c>
      <c r="HPH20" s="252">
        <v>0</v>
      </c>
      <c r="HPI20" s="252">
        <v>0</v>
      </c>
      <c r="HPJ20" s="252">
        <v>0</v>
      </c>
      <c r="HPK20" s="252">
        <v>0</v>
      </c>
      <c r="HPL20" s="252">
        <v>0</v>
      </c>
      <c r="HPM20" s="252">
        <v>0</v>
      </c>
      <c r="HPN20" s="252">
        <v>0</v>
      </c>
      <c r="HPO20" s="252">
        <v>0</v>
      </c>
      <c r="HPP20" s="252">
        <v>0</v>
      </c>
      <c r="HPQ20" s="252">
        <v>0</v>
      </c>
      <c r="HPR20" s="252">
        <v>0</v>
      </c>
      <c r="HPS20" s="252">
        <v>0</v>
      </c>
      <c r="HPT20" s="252">
        <v>0</v>
      </c>
      <c r="HPU20" s="252">
        <v>0</v>
      </c>
      <c r="HPV20" s="252">
        <v>0</v>
      </c>
      <c r="HPW20" s="252">
        <v>0</v>
      </c>
      <c r="HPX20" s="252">
        <v>0</v>
      </c>
      <c r="HPY20" s="252">
        <v>0</v>
      </c>
      <c r="HPZ20" s="252">
        <v>0</v>
      </c>
      <c r="HQA20" s="252">
        <v>0</v>
      </c>
      <c r="HQB20" s="252">
        <v>0</v>
      </c>
      <c r="HQC20" s="252">
        <v>0</v>
      </c>
      <c r="HQD20" s="252">
        <v>0</v>
      </c>
      <c r="HQE20" s="252">
        <v>0</v>
      </c>
      <c r="HQF20" s="252">
        <v>0</v>
      </c>
      <c r="HQG20" s="252">
        <v>0</v>
      </c>
      <c r="HQH20" s="252">
        <v>0</v>
      </c>
      <c r="HQI20" s="252">
        <v>0</v>
      </c>
      <c r="HQJ20" s="252">
        <v>0</v>
      </c>
      <c r="HQK20" s="252">
        <v>0</v>
      </c>
      <c r="HQL20" s="252">
        <v>0</v>
      </c>
      <c r="HQM20" s="252">
        <v>0</v>
      </c>
      <c r="HQN20" s="252">
        <v>0</v>
      </c>
      <c r="HQO20" s="252">
        <v>0</v>
      </c>
      <c r="HQP20" s="252">
        <v>0</v>
      </c>
      <c r="HQQ20" s="252">
        <v>0</v>
      </c>
      <c r="HQR20" s="252">
        <v>0</v>
      </c>
      <c r="HQS20" s="252">
        <v>0</v>
      </c>
      <c r="HQT20" s="252">
        <v>0</v>
      </c>
      <c r="HQU20" s="252">
        <v>0</v>
      </c>
      <c r="HQV20" s="252">
        <v>0</v>
      </c>
      <c r="HQW20" s="252">
        <v>0</v>
      </c>
      <c r="HQX20" s="252">
        <v>0</v>
      </c>
      <c r="HQY20" s="252">
        <v>0</v>
      </c>
      <c r="HQZ20" s="252">
        <v>0</v>
      </c>
      <c r="HRA20" s="252">
        <v>0</v>
      </c>
      <c r="HRB20" s="252">
        <v>0</v>
      </c>
      <c r="HRC20" s="252">
        <v>0</v>
      </c>
      <c r="HRD20" s="252">
        <v>0</v>
      </c>
      <c r="HRE20" s="252">
        <v>0</v>
      </c>
      <c r="HRF20" s="252">
        <v>0</v>
      </c>
      <c r="HRG20" s="252">
        <v>0</v>
      </c>
      <c r="HRH20" s="252">
        <v>0</v>
      </c>
      <c r="HRI20" s="252">
        <v>0</v>
      </c>
      <c r="HRJ20" s="252">
        <v>0</v>
      </c>
      <c r="HRK20" s="252">
        <v>0</v>
      </c>
      <c r="HRL20" s="252">
        <v>0</v>
      </c>
      <c r="HRM20" s="252">
        <v>0</v>
      </c>
      <c r="HRN20" s="252">
        <v>0</v>
      </c>
      <c r="HRO20" s="252">
        <v>0</v>
      </c>
      <c r="HRP20" s="252">
        <v>0</v>
      </c>
      <c r="HRQ20" s="252">
        <v>0</v>
      </c>
      <c r="HRR20" s="252">
        <v>0</v>
      </c>
      <c r="HRS20" s="252">
        <v>0</v>
      </c>
      <c r="HRT20" s="252">
        <v>0</v>
      </c>
      <c r="HRU20" s="252">
        <v>0</v>
      </c>
      <c r="HRV20" s="252">
        <v>0</v>
      </c>
      <c r="HRW20" s="252">
        <v>0</v>
      </c>
      <c r="HRX20" s="252">
        <v>0</v>
      </c>
      <c r="HRY20" s="252">
        <v>0</v>
      </c>
      <c r="HRZ20" s="252">
        <v>0</v>
      </c>
      <c r="HSA20" s="252">
        <v>0</v>
      </c>
      <c r="HSB20" s="252">
        <v>0</v>
      </c>
      <c r="HSC20" s="252">
        <v>0</v>
      </c>
      <c r="HSD20" s="252">
        <v>0</v>
      </c>
      <c r="HSE20" s="252">
        <v>0</v>
      </c>
      <c r="HSF20" s="252">
        <v>0</v>
      </c>
      <c r="HSG20" s="252">
        <v>0</v>
      </c>
      <c r="HSH20" s="252">
        <v>0</v>
      </c>
      <c r="HSI20" s="252">
        <v>0</v>
      </c>
      <c r="HSJ20" s="252">
        <v>0</v>
      </c>
      <c r="HSK20" s="252">
        <v>0</v>
      </c>
      <c r="HSL20" s="252">
        <v>0</v>
      </c>
      <c r="HSM20" s="252">
        <v>0</v>
      </c>
      <c r="HSN20" s="252">
        <v>0</v>
      </c>
      <c r="HSO20" s="252">
        <v>0</v>
      </c>
      <c r="HSP20" s="252">
        <v>0</v>
      </c>
      <c r="HSQ20" s="252">
        <v>0</v>
      </c>
      <c r="HSR20" s="252">
        <v>0</v>
      </c>
      <c r="HSS20" s="252">
        <v>0</v>
      </c>
      <c r="HST20" s="252">
        <v>0</v>
      </c>
      <c r="HSU20" s="252">
        <v>0</v>
      </c>
      <c r="HSV20" s="252">
        <v>0</v>
      </c>
      <c r="HSW20" s="252">
        <v>0</v>
      </c>
      <c r="HSX20" s="252">
        <v>0</v>
      </c>
      <c r="HSY20" s="252">
        <v>0</v>
      </c>
      <c r="HSZ20" s="252">
        <v>0</v>
      </c>
      <c r="HTA20" s="252">
        <v>0</v>
      </c>
      <c r="HTB20" s="252">
        <v>0</v>
      </c>
      <c r="HTC20" s="252">
        <v>0</v>
      </c>
      <c r="HTD20" s="252">
        <v>0</v>
      </c>
      <c r="HTE20" s="252">
        <v>0</v>
      </c>
      <c r="HTF20" s="252">
        <v>0</v>
      </c>
      <c r="HTG20" s="252">
        <v>0</v>
      </c>
      <c r="HTH20" s="252">
        <v>0</v>
      </c>
      <c r="HTI20" s="252">
        <v>0</v>
      </c>
      <c r="HTJ20" s="252">
        <v>0</v>
      </c>
      <c r="HTK20" s="252">
        <v>0</v>
      </c>
      <c r="HTL20" s="252">
        <v>0</v>
      </c>
      <c r="HTM20" s="252">
        <v>0</v>
      </c>
      <c r="HTN20" s="252">
        <v>0</v>
      </c>
      <c r="HTO20" s="252">
        <v>0</v>
      </c>
      <c r="HTP20" s="252">
        <v>0</v>
      </c>
      <c r="HTQ20" s="252">
        <v>0</v>
      </c>
      <c r="HTR20" s="252">
        <v>0</v>
      </c>
      <c r="HTS20" s="252">
        <v>0</v>
      </c>
      <c r="HTT20" s="252">
        <v>0</v>
      </c>
      <c r="HTU20" s="252">
        <v>0</v>
      </c>
      <c r="HTV20" s="252">
        <v>0</v>
      </c>
      <c r="HTW20" s="252">
        <v>0</v>
      </c>
      <c r="HTX20" s="252">
        <v>0</v>
      </c>
      <c r="HTY20" s="252">
        <v>0</v>
      </c>
      <c r="HTZ20" s="252">
        <v>0</v>
      </c>
      <c r="HUA20" s="252">
        <v>0</v>
      </c>
      <c r="HUB20" s="252">
        <v>0</v>
      </c>
      <c r="HUC20" s="252">
        <v>0</v>
      </c>
      <c r="HUD20" s="252">
        <v>0</v>
      </c>
      <c r="HUE20" s="252">
        <v>0</v>
      </c>
      <c r="HUF20" s="252">
        <v>0</v>
      </c>
      <c r="HUG20" s="252">
        <v>0</v>
      </c>
      <c r="HUH20" s="252">
        <v>0</v>
      </c>
      <c r="HUI20" s="252">
        <v>0</v>
      </c>
      <c r="HUJ20" s="252">
        <v>0</v>
      </c>
      <c r="HUK20" s="252">
        <v>0</v>
      </c>
      <c r="HUL20" s="252">
        <v>0</v>
      </c>
      <c r="HUM20" s="252">
        <v>0</v>
      </c>
      <c r="HUN20" s="252">
        <v>0</v>
      </c>
      <c r="HUO20" s="252">
        <v>0</v>
      </c>
      <c r="HUP20" s="252">
        <v>0</v>
      </c>
      <c r="HUQ20" s="252">
        <v>0</v>
      </c>
      <c r="HUR20" s="252">
        <v>0</v>
      </c>
      <c r="HUS20" s="252">
        <v>0</v>
      </c>
      <c r="HUT20" s="252">
        <v>0</v>
      </c>
      <c r="HUU20" s="252">
        <v>0</v>
      </c>
      <c r="HUV20" s="252">
        <v>0</v>
      </c>
      <c r="HUW20" s="252">
        <v>0</v>
      </c>
      <c r="HUX20" s="252">
        <v>0</v>
      </c>
      <c r="HUY20" s="252">
        <v>0</v>
      </c>
      <c r="HUZ20" s="252">
        <v>0</v>
      </c>
      <c r="HVA20" s="252">
        <v>0</v>
      </c>
      <c r="HVB20" s="252">
        <v>0</v>
      </c>
      <c r="HVC20" s="252">
        <v>0</v>
      </c>
      <c r="HVD20" s="252">
        <v>0</v>
      </c>
      <c r="HVE20" s="252">
        <v>0</v>
      </c>
      <c r="HVF20" s="252">
        <v>0</v>
      </c>
      <c r="HVG20" s="252">
        <v>0</v>
      </c>
      <c r="HVH20" s="252">
        <v>0</v>
      </c>
      <c r="HVI20" s="252">
        <v>0</v>
      </c>
      <c r="HVJ20" s="252">
        <v>0</v>
      </c>
      <c r="HVK20" s="252">
        <v>0</v>
      </c>
      <c r="HVL20" s="252">
        <v>0</v>
      </c>
      <c r="HVM20" s="252">
        <v>0</v>
      </c>
      <c r="HVN20" s="252">
        <v>0</v>
      </c>
      <c r="HVO20" s="252">
        <v>0</v>
      </c>
      <c r="HVP20" s="252">
        <v>0</v>
      </c>
      <c r="HVQ20" s="252">
        <v>0</v>
      </c>
      <c r="HVR20" s="252">
        <v>0</v>
      </c>
      <c r="HVS20" s="252">
        <v>0</v>
      </c>
      <c r="HVT20" s="252">
        <v>0</v>
      </c>
      <c r="HVU20" s="252">
        <v>0</v>
      </c>
      <c r="HVV20" s="252">
        <v>0</v>
      </c>
      <c r="HVW20" s="252">
        <v>0</v>
      </c>
      <c r="HVX20" s="252">
        <v>0</v>
      </c>
      <c r="HVY20" s="252">
        <v>0</v>
      </c>
      <c r="HVZ20" s="252">
        <v>0</v>
      </c>
      <c r="HWA20" s="252">
        <v>0</v>
      </c>
      <c r="HWB20" s="252">
        <v>0</v>
      </c>
      <c r="HWC20" s="252">
        <v>0</v>
      </c>
      <c r="HWD20" s="252">
        <v>0</v>
      </c>
      <c r="HWE20" s="252">
        <v>0</v>
      </c>
      <c r="HWF20" s="252">
        <v>0</v>
      </c>
      <c r="HWG20" s="252">
        <v>0</v>
      </c>
      <c r="HWH20" s="252">
        <v>0</v>
      </c>
      <c r="HWI20" s="252">
        <v>0</v>
      </c>
      <c r="HWJ20" s="252">
        <v>0</v>
      </c>
      <c r="HWK20" s="252">
        <v>0</v>
      </c>
      <c r="HWL20" s="252">
        <v>0</v>
      </c>
      <c r="HWM20" s="252">
        <v>0</v>
      </c>
      <c r="HWN20" s="252">
        <v>0</v>
      </c>
      <c r="HWO20" s="252">
        <v>0</v>
      </c>
      <c r="HWP20" s="252">
        <v>0</v>
      </c>
      <c r="HWQ20" s="252">
        <v>0</v>
      </c>
      <c r="HWR20" s="252">
        <v>0</v>
      </c>
      <c r="HWS20" s="252">
        <v>0</v>
      </c>
      <c r="HWT20" s="252">
        <v>0</v>
      </c>
      <c r="HWU20" s="252">
        <v>0</v>
      </c>
      <c r="HWV20" s="252">
        <v>0</v>
      </c>
      <c r="HWW20" s="252">
        <v>0</v>
      </c>
      <c r="HWX20" s="252">
        <v>0</v>
      </c>
      <c r="HWY20" s="252">
        <v>0</v>
      </c>
      <c r="HWZ20" s="252">
        <v>0</v>
      </c>
      <c r="HXA20" s="252">
        <v>0</v>
      </c>
      <c r="HXB20" s="252">
        <v>0</v>
      </c>
      <c r="HXC20" s="252">
        <v>0</v>
      </c>
      <c r="HXD20" s="252">
        <v>0</v>
      </c>
      <c r="HXE20" s="252">
        <v>0</v>
      </c>
      <c r="HXF20" s="252">
        <v>0</v>
      </c>
      <c r="HXG20" s="252">
        <v>0</v>
      </c>
      <c r="HXH20" s="252">
        <v>0</v>
      </c>
      <c r="HXI20" s="252">
        <v>0</v>
      </c>
      <c r="HXJ20" s="252">
        <v>0</v>
      </c>
      <c r="HXK20" s="252">
        <v>0</v>
      </c>
      <c r="HXL20" s="252">
        <v>0</v>
      </c>
      <c r="HXM20" s="252">
        <v>0</v>
      </c>
      <c r="HXN20" s="252">
        <v>0</v>
      </c>
      <c r="HXO20" s="252">
        <v>0</v>
      </c>
      <c r="HXP20" s="252">
        <v>0</v>
      </c>
      <c r="HXQ20" s="252">
        <v>0</v>
      </c>
      <c r="HXR20" s="252">
        <v>0</v>
      </c>
      <c r="HXS20" s="252">
        <v>0</v>
      </c>
      <c r="HXT20" s="252">
        <v>0</v>
      </c>
      <c r="HXU20" s="252">
        <v>0</v>
      </c>
      <c r="HXV20" s="252">
        <v>0</v>
      </c>
      <c r="HXW20" s="252">
        <v>0</v>
      </c>
      <c r="HXX20" s="252">
        <v>0</v>
      </c>
      <c r="HXY20" s="252">
        <v>0</v>
      </c>
      <c r="HXZ20" s="252">
        <v>0</v>
      </c>
      <c r="HYA20" s="252">
        <v>0</v>
      </c>
      <c r="HYB20" s="252">
        <v>0</v>
      </c>
      <c r="HYC20" s="252">
        <v>0</v>
      </c>
      <c r="HYD20" s="252">
        <v>0</v>
      </c>
      <c r="HYE20" s="252">
        <v>0</v>
      </c>
      <c r="HYF20" s="252">
        <v>0</v>
      </c>
      <c r="HYG20" s="252">
        <v>0</v>
      </c>
      <c r="HYH20" s="252">
        <v>0</v>
      </c>
      <c r="HYI20" s="252">
        <v>0</v>
      </c>
      <c r="HYJ20" s="252">
        <v>0</v>
      </c>
      <c r="HYK20" s="252">
        <v>0</v>
      </c>
      <c r="HYL20" s="252">
        <v>0</v>
      </c>
      <c r="HYM20" s="252">
        <v>0</v>
      </c>
      <c r="HYN20" s="252">
        <v>0</v>
      </c>
      <c r="HYO20" s="252">
        <v>0</v>
      </c>
      <c r="HYP20" s="252">
        <v>0</v>
      </c>
      <c r="HYQ20" s="252">
        <v>0</v>
      </c>
      <c r="HYR20" s="252">
        <v>0</v>
      </c>
      <c r="HYS20" s="252">
        <v>0</v>
      </c>
      <c r="HYT20" s="252">
        <v>0</v>
      </c>
      <c r="HYU20" s="252">
        <v>0</v>
      </c>
      <c r="HYV20" s="252">
        <v>0</v>
      </c>
      <c r="HYW20" s="252">
        <v>0</v>
      </c>
      <c r="HYX20" s="252">
        <v>0</v>
      </c>
      <c r="HYY20" s="252">
        <v>0</v>
      </c>
      <c r="HYZ20" s="252">
        <v>0</v>
      </c>
      <c r="HZA20" s="252">
        <v>0</v>
      </c>
      <c r="HZB20" s="252">
        <v>0</v>
      </c>
      <c r="HZC20" s="252">
        <v>0</v>
      </c>
      <c r="HZD20" s="252">
        <v>0</v>
      </c>
      <c r="HZE20" s="252">
        <v>0</v>
      </c>
      <c r="HZF20" s="252">
        <v>0</v>
      </c>
      <c r="HZG20" s="252">
        <v>0</v>
      </c>
      <c r="HZH20" s="252">
        <v>0</v>
      </c>
      <c r="HZI20" s="252">
        <v>0</v>
      </c>
      <c r="HZJ20" s="252">
        <v>0</v>
      </c>
      <c r="HZK20" s="252">
        <v>0</v>
      </c>
      <c r="HZL20" s="252">
        <v>0</v>
      </c>
      <c r="HZM20" s="252">
        <v>0</v>
      </c>
      <c r="HZN20" s="252">
        <v>0</v>
      </c>
      <c r="HZO20" s="252">
        <v>0</v>
      </c>
      <c r="HZP20" s="252">
        <v>0</v>
      </c>
      <c r="HZQ20" s="252">
        <v>0</v>
      </c>
      <c r="HZR20" s="252">
        <v>0</v>
      </c>
      <c r="HZS20" s="252">
        <v>0</v>
      </c>
      <c r="HZT20" s="252">
        <v>0</v>
      </c>
      <c r="HZU20" s="252">
        <v>0</v>
      </c>
      <c r="HZV20" s="252">
        <v>0</v>
      </c>
      <c r="HZW20" s="252">
        <v>0</v>
      </c>
      <c r="HZX20" s="252">
        <v>0</v>
      </c>
      <c r="HZY20" s="252">
        <v>0</v>
      </c>
      <c r="HZZ20" s="252">
        <v>0</v>
      </c>
      <c r="IAA20" s="252">
        <v>0</v>
      </c>
      <c r="IAB20" s="252">
        <v>0</v>
      </c>
      <c r="IAC20" s="252">
        <v>0</v>
      </c>
      <c r="IAD20" s="252">
        <v>0</v>
      </c>
      <c r="IAE20" s="252">
        <v>0</v>
      </c>
      <c r="IAF20" s="252">
        <v>0</v>
      </c>
      <c r="IAG20" s="252">
        <v>0</v>
      </c>
      <c r="IAH20" s="252">
        <v>0</v>
      </c>
      <c r="IAI20" s="252">
        <v>0</v>
      </c>
      <c r="IAJ20" s="252">
        <v>0</v>
      </c>
      <c r="IAK20" s="252">
        <v>0</v>
      </c>
      <c r="IAL20" s="252">
        <v>0</v>
      </c>
      <c r="IAM20" s="252">
        <v>0</v>
      </c>
      <c r="IAN20" s="252">
        <v>0</v>
      </c>
      <c r="IAO20" s="252">
        <v>0</v>
      </c>
      <c r="IAP20" s="252">
        <v>0</v>
      </c>
      <c r="IAQ20" s="252">
        <v>0</v>
      </c>
      <c r="IAR20" s="252">
        <v>0</v>
      </c>
      <c r="IAS20" s="252">
        <v>0</v>
      </c>
      <c r="IAT20" s="252">
        <v>0</v>
      </c>
      <c r="IAU20" s="252">
        <v>0</v>
      </c>
      <c r="IAV20" s="252">
        <v>0</v>
      </c>
      <c r="IAW20" s="252">
        <v>0</v>
      </c>
      <c r="IAX20" s="252">
        <v>0</v>
      </c>
      <c r="IAY20" s="252">
        <v>0</v>
      </c>
      <c r="IAZ20" s="252">
        <v>0</v>
      </c>
      <c r="IBA20" s="252">
        <v>0</v>
      </c>
      <c r="IBB20" s="252">
        <v>0</v>
      </c>
      <c r="IBC20" s="252">
        <v>0</v>
      </c>
      <c r="IBD20" s="252">
        <v>0</v>
      </c>
      <c r="IBE20" s="252">
        <v>0</v>
      </c>
      <c r="IBF20" s="252">
        <v>0</v>
      </c>
      <c r="IBG20" s="252">
        <v>0</v>
      </c>
      <c r="IBH20" s="252">
        <v>0</v>
      </c>
      <c r="IBI20" s="252">
        <v>0</v>
      </c>
      <c r="IBJ20" s="252">
        <v>0</v>
      </c>
      <c r="IBK20" s="252">
        <v>0</v>
      </c>
      <c r="IBL20" s="252">
        <v>0</v>
      </c>
      <c r="IBM20" s="252">
        <v>0</v>
      </c>
      <c r="IBN20" s="252">
        <v>0</v>
      </c>
      <c r="IBO20" s="252">
        <v>0</v>
      </c>
      <c r="IBP20" s="252">
        <v>0</v>
      </c>
      <c r="IBQ20" s="252">
        <v>0</v>
      </c>
      <c r="IBR20" s="252">
        <v>0</v>
      </c>
      <c r="IBS20" s="252">
        <v>0</v>
      </c>
      <c r="IBT20" s="252">
        <v>0</v>
      </c>
      <c r="IBU20" s="252">
        <v>0</v>
      </c>
      <c r="IBV20" s="252">
        <v>0</v>
      </c>
      <c r="IBW20" s="252">
        <v>0</v>
      </c>
      <c r="IBX20" s="252">
        <v>0</v>
      </c>
      <c r="IBY20" s="252">
        <v>0</v>
      </c>
      <c r="IBZ20" s="252">
        <v>0</v>
      </c>
      <c r="ICA20" s="252">
        <v>0</v>
      </c>
      <c r="ICB20" s="252">
        <v>0</v>
      </c>
      <c r="ICC20" s="252">
        <v>0</v>
      </c>
      <c r="ICD20" s="252">
        <v>0</v>
      </c>
      <c r="ICE20" s="252">
        <v>0</v>
      </c>
      <c r="ICF20" s="252">
        <v>0</v>
      </c>
      <c r="ICG20" s="252">
        <v>0</v>
      </c>
      <c r="ICH20" s="252">
        <v>0</v>
      </c>
      <c r="ICI20" s="252">
        <v>0</v>
      </c>
      <c r="ICJ20" s="252">
        <v>0</v>
      </c>
      <c r="ICK20" s="252">
        <v>0</v>
      </c>
      <c r="ICL20" s="252">
        <v>0</v>
      </c>
      <c r="ICM20" s="252">
        <v>0</v>
      </c>
      <c r="ICN20" s="252">
        <v>0</v>
      </c>
      <c r="ICO20" s="252">
        <v>0</v>
      </c>
      <c r="ICP20" s="252">
        <v>0</v>
      </c>
      <c r="ICQ20" s="252">
        <v>0</v>
      </c>
      <c r="ICR20" s="252">
        <v>0</v>
      </c>
      <c r="ICS20" s="252">
        <v>0</v>
      </c>
      <c r="ICT20" s="252">
        <v>0</v>
      </c>
      <c r="ICU20" s="252">
        <v>0</v>
      </c>
      <c r="ICV20" s="252">
        <v>0</v>
      </c>
      <c r="ICW20" s="252">
        <v>0</v>
      </c>
      <c r="ICX20" s="252">
        <v>0</v>
      </c>
      <c r="ICY20" s="252">
        <v>0</v>
      </c>
      <c r="ICZ20" s="252">
        <v>0</v>
      </c>
      <c r="IDA20" s="252">
        <v>0</v>
      </c>
      <c r="IDB20" s="252">
        <v>0</v>
      </c>
      <c r="IDC20" s="252">
        <v>0</v>
      </c>
      <c r="IDD20" s="252">
        <v>0</v>
      </c>
      <c r="IDE20" s="252">
        <v>0</v>
      </c>
      <c r="IDF20" s="252">
        <v>0</v>
      </c>
      <c r="IDG20" s="252">
        <v>0</v>
      </c>
      <c r="IDH20" s="252">
        <v>0</v>
      </c>
      <c r="IDI20" s="252">
        <v>0</v>
      </c>
      <c r="IDJ20" s="252">
        <v>0</v>
      </c>
      <c r="IDK20" s="252">
        <v>0</v>
      </c>
      <c r="IDL20" s="252">
        <v>0</v>
      </c>
      <c r="IDM20" s="252">
        <v>0</v>
      </c>
      <c r="IDN20" s="252">
        <v>0</v>
      </c>
      <c r="IDO20" s="252">
        <v>0</v>
      </c>
      <c r="IDP20" s="252">
        <v>0</v>
      </c>
      <c r="IDQ20" s="252">
        <v>0</v>
      </c>
      <c r="IDR20" s="252">
        <v>0</v>
      </c>
      <c r="IDS20" s="252">
        <v>0</v>
      </c>
      <c r="IDT20" s="252">
        <v>0</v>
      </c>
      <c r="IDU20" s="252">
        <v>0</v>
      </c>
      <c r="IDV20" s="252">
        <v>0</v>
      </c>
      <c r="IDW20" s="252">
        <v>0</v>
      </c>
      <c r="IDX20" s="252">
        <v>0</v>
      </c>
      <c r="IDY20" s="252">
        <v>0</v>
      </c>
      <c r="IDZ20" s="252">
        <v>0</v>
      </c>
      <c r="IEA20" s="252">
        <v>0</v>
      </c>
      <c r="IEB20" s="252">
        <v>0</v>
      </c>
      <c r="IEC20" s="252">
        <v>0</v>
      </c>
      <c r="IED20" s="252">
        <v>0</v>
      </c>
      <c r="IEE20" s="252">
        <v>0</v>
      </c>
      <c r="IEF20" s="252">
        <v>0</v>
      </c>
      <c r="IEG20" s="252">
        <v>0</v>
      </c>
      <c r="IEH20" s="252">
        <v>0</v>
      </c>
      <c r="IEI20" s="252">
        <v>0</v>
      </c>
      <c r="IEJ20" s="252">
        <v>0</v>
      </c>
      <c r="IEK20" s="252">
        <v>0</v>
      </c>
      <c r="IEL20" s="252">
        <v>0</v>
      </c>
      <c r="IEM20" s="252">
        <v>0</v>
      </c>
      <c r="IEN20" s="252">
        <v>0</v>
      </c>
      <c r="IEO20" s="252">
        <v>0</v>
      </c>
      <c r="IEP20" s="252">
        <v>0</v>
      </c>
      <c r="IEQ20" s="252">
        <v>0</v>
      </c>
      <c r="IER20" s="252">
        <v>0</v>
      </c>
      <c r="IES20" s="252">
        <v>0</v>
      </c>
      <c r="IET20" s="252">
        <v>0</v>
      </c>
      <c r="IEU20" s="252">
        <v>0</v>
      </c>
      <c r="IEV20" s="252">
        <v>0</v>
      </c>
      <c r="IEW20" s="252">
        <v>0</v>
      </c>
      <c r="IEX20" s="252">
        <v>0</v>
      </c>
      <c r="IEY20" s="252">
        <v>0</v>
      </c>
      <c r="IEZ20" s="252">
        <v>0</v>
      </c>
      <c r="IFA20" s="252">
        <v>0</v>
      </c>
      <c r="IFB20" s="252">
        <v>0</v>
      </c>
      <c r="IFC20" s="252">
        <v>0</v>
      </c>
      <c r="IFD20" s="252">
        <v>0</v>
      </c>
      <c r="IFE20" s="252">
        <v>0</v>
      </c>
      <c r="IFF20" s="252">
        <v>0</v>
      </c>
      <c r="IFG20" s="252">
        <v>0</v>
      </c>
      <c r="IFH20" s="252">
        <v>0</v>
      </c>
      <c r="IFI20" s="252">
        <v>0</v>
      </c>
      <c r="IFJ20" s="252">
        <v>0</v>
      </c>
      <c r="IFK20" s="252">
        <v>0</v>
      </c>
      <c r="IFL20" s="252">
        <v>0</v>
      </c>
      <c r="IFM20" s="252">
        <v>0</v>
      </c>
      <c r="IFN20" s="252">
        <v>0</v>
      </c>
      <c r="IFO20" s="252">
        <v>0</v>
      </c>
      <c r="IFP20" s="252">
        <v>0</v>
      </c>
      <c r="IFQ20" s="252">
        <v>0</v>
      </c>
      <c r="IFR20" s="252">
        <v>0</v>
      </c>
      <c r="IFS20" s="252">
        <v>0</v>
      </c>
      <c r="IFT20" s="252">
        <v>0</v>
      </c>
      <c r="IFU20" s="252">
        <v>0</v>
      </c>
      <c r="IFV20" s="252">
        <v>0</v>
      </c>
      <c r="IFW20" s="252">
        <v>0</v>
      </c>
      <c r="IFX20" s="252">
        <v>0</v>
      </c>
      <c r="IFY20" s="252">
        <v>0</v>
      </c>
      <c r="IFZ20" s="252">
        <v>0</v>
      </c>
      <c r="IGA20" s="252">
        <v>0</v>
      </c>
      <c r="IGB20" s="252">
        <v>0</v>
      </c>
      <c r="IGC20" s="252">
        <v>0</v>
      </c>
      <c r="IGD20" s="252">
        <v>0</v>
      </c>
      <c r="IGE20" s="252">
        <v>0</v>
      </c>
      <c r="IGF20" s="252">
        <v>0</v>
      </c>
      <c r="IGG20" s="252">
        <v>0</v>
      </c>
      <c r="IGH20" s="252">
        <v>0</v>
      </c>
      <c r="IGI20" s="252">
        <v>0</v>
      </c>
      <c r="IGJ20" s="252">
        <v>0</v>
      </c>
      <c r="IGK20" s="252">
        <v>0</v>
      </c>
      <c r="IGL20" s="252">
        <v>0</v>
      </c>
      <c r="IGM20" s="252">
        <v>0</v>
      </c>
      <c r="IGN20" s="252">
        <v>0</v>
      </c>
      <c r="IGO20" s="252">
        <v>0</v>
      </c>
      <c r="IGP20" s="252">
        <v>0</v>
      </c>
      <c r="IGQ20" s="252">
        <v>0</v>
      </c>
      <c r="IGR20" s="252">
        <v>0</v>
      </c>
      <c r="IGS20" s="252">
        <v>0</v>
      </c>
      <c r="IGT20" s="252">
        <v>0</v>
      </c>
      <c r="IGU20" s="252">
        <v>0</v>
      </c>
      <c r="IGV20" s="252">
        <v>0</v>
      </c>
      <c r="IGW20" s="252">
        <v>0</v>
      </c>
      <c r="IGX20" s="252">
        <v>0</v>
      </c>
      <c r="IGY20" s="252">
        <v>0</v>
      </c>
      <c r="IGZ20" s="252">
        <v>0</v>
      </c>
      <c r="IHA20" s="252">
        <v>0</v>
      </c>
      <c r="IHB20" s="252">
        <v>0</v>
      </c>
      <c r="IHC20" s="252">
        <v>0</v>
      </c>
      <c r="IHD20" s="252">
        <v>0</v>
      </c>
      <c r="IHE20" s="252">
        <v>0</v>
      </c>
      <c r="IHF20" s="252">
        <v>0</v>
      </c>
      <c r="IHG20" s="252">
        <v>0</v>
      </c>
      <c r="IHH20" s="252">
        <v>0</v>
      </c>
      <c r="IHI20" s="252">
        <v>0</v>
      </c>
      <c r="IHJ20" s="252">
        <v>0</v>
      </c>
      <c r="IHK20" s="252">
        <v>0</v>
      </c>
      <c r="IHL20" s="252">
        <v>0</v>
      </c>
      <c r="IHM20" s="252">
        <v>0</v>
      </c>
      <c r="IHN20" s="252">
        <v>0</v>
      </c>
      <c r="IHO20" s="252">
        <v>0</v>
      </c>
      <c r="IHP20" s="252">
        <v>0</v>
      </c>
      <c r="IHQ20" s="252">
        <v>0</v>
      </c>
      <c r="IHR20" s="252">
        <v>0</v>
      </c>
      <c r="IHS20" s="252">
        <v>0</v>
      </c>
      <c r="IHT20" s="252">
        <v>0</v>
      </c>
      <c r="IHU20" s="252">
        <v>0</v>
      </c>
      <c r="IHV20" s="252">
        <v>0</v>
      </c>
      <c r="IHW20" s="252">
        <v>0</v>
      </c>
      <c r="IHX20" s="252">
        <v>0</v>
      </c>
      <c r="IHY20" s="252">
        <v>0</v>
      </c>
      <c r="IHZ20" s="252">
        <v>0</v>
      </c>
      <c r="IIA20" s="252">
        <v>0</v>
      </c>
      <c r="IIB20" s="252">
        <v>0</v>
      </c>
      <c r="IIC20" s="252">
        <v>0</v>
      </c>
      <c r="IID20" s="252">
        <v>0</v>
      </c>
      <c r="IIE20" s="252">
        <v>0</v>
      </c>
      <c r="IIF20" s="252">
        <v>0</v>
      </c>
      <c r="IIG20" s="252">
        <v>0</v>
      </c>
      <c r="IIH20" s="252">
        <v>0</v>
      </c>
      <c r="III20" s="252">
        <v>0</v>
      </c>
      <c r="IIJ20" s="252">
        <v>0</v>
      </c>
      <c r="IIK20" s="252">
        <v>0</v>
      </c>
      <c r="IIL20" s="252">
        <v>0</v>
      </c>
      <c r="IIM20" s="252">
        <v>0</v>
      </c>
      <c r="IIN20" s="252">
        <v>0</v>
      </c>
      <c r="IIO20" s="252">
        <v>0</v>
      </c>
      <c r="IIP20" s="252">
        <v>0</v>
      </c>
      <c r="IIQ20" s="252">
        <v>0</v>
      </c>
      <c r="IIR20" s="252">
        <v>0</v>
      </c>
      <c r="IIS20" s="252">
        <v>0</v>
      </c>
      <c r="IIT20" s="252">
        <v>0</v>
      </c>
      <c r="IIU20" s="252">
        <v>0</v>
      </c>
      <c r="IIV20" s="252">
        <v>0</v>
      </c>
      <c r="IIW20" s="252">
        <v>0</v>
      </c>
      <c r="IIX20" s="252">
        <v>0</v>
      </c>
      <c r="IIY20" s="252">
        <v>0</v>
      </c>
      <c r="IIZ20" s="252">
        <v>0</v>
      </c>
      <c r="IJA20" s="252">
        <v>0</v>
      </c>
      <c r="IJB20" s="252">
        <v>0</v>
      </c>
      <c r="IJC20" s="252">
        <v>0</v>
      </c>
      <c r="IJD20" s="252">
        <v>0</v>
      </c>
      <c r="IJE20" s="252">
        <v>0</v>
      </c>
      <c r="IJF20" s="252">
        <v>0</v>
      </c>
      <c r="IJG20" s="252">
        <v>0</v>
      </c>
      <c r="IJH20" s="252">
        <v>0</v>
      </c>
      <c r="IJI20" s="252">
        <v>0</v>
      </c>
      <c r="IJJ20" s="252">
        <v>0</v>
      </c>
      <c r="IJK20" s="252">
        <v>0</v>
      </c>
      <c r="IJL20" s="252">
        <v>0</v>
      </c>
      <c r="IJM20" s="252">
        <v>0</v>
      </c>
      <c r="IJN20" s="252">
        <v>0</v>
      </c>
      <c r="IJO20" s="252">
        <v>0</v>
      </c>
      <c r="IJP20" s="252">
        <v>0</v>
      </c>
      <c r="IJQ20" s="252">
        <v>0</v>
      </c>
      <c r="IJR20" s="252">
        <v>0</v>
      </c>
      <c r="IJS20" s="252">
        <v>0</v>
      </c>
      <c r="IJT20" s="252">
        <v>0</v>
      </c>
      <c r="IJU20" s="252">
        <v>0</v>
      </c>
      <c r="IJV20" s="252">
        <v>0</v>
      </c>
      <c r="IJW20" s="252">
        <v>0</v>
      </c>
      <c r="IJX20" s="252">
        <v>0</v>
      </c>
      <c r="IJY20" s="252">
        <v>0</v>
      </c>
      <c r="IJZ20" s="252">
        <v>0</v>
      </c>
      <c r="IKA20" s="252">
        <v>0</v>
      </c>
      <c r="IKB20" s="252">
        <v>0</v>
      </c>
      <c r="IKC20" s="252">
        <v>0</v>
      </c>
      <c r="IKD20" s="252">
        <v>0</v>
      </c>
      <c r="IKE20" s="252">
        <v>0</v>
      </c>
      <c r="IKF20" s="252">
        <v>0</v>
      </c>
      <c r="IKG20" s="252">
        <v>0</v>
      </c>
      <c r="IKH20" s="252">
        <v>0</v>
      </c>
      <c r="IKI20" s="252">
        <v>0</v>
      </c>
      <c r="IKJ20" s="252">
        <v>0</v>
      </c>
      <c r="IKK20" s="252">
        <v>0</v>
      </c>
      <c r="IKL20" s="252">
        <v>0</v>
      </c>
      <c r="IKM20" s="252">
        <v>0</v>
      </c>
      <c r="IKN20" s="252">
        <v>0</v>
      </c>
      <c r="IKO20" s="252">
        <v>0</v>
      </c>
      <c r="IKP20" s="252">
        <v>0</v>
      </c>
      <c r="IKQ20" s="252">
        <v>0</v>
      </c>
      <c r="IKR20" s="252">
        <v>0</v>
      </c>
      <c r="IKS20" s="252">
        <v>0</v>
      </c>
      <c r="IKT20" s="252">
        <v>0</v>
      </c>
      <c r="IKU20" s="252">
        <v>0</v>
      </c>
      <c r="IKV20" s="252">
        <v>0</v>
      </c>
      <c r="IKW20" s="252">
        <v>0</v>
      </c>
      <c r="IKX20" s="252">
        <v>0</v>
      </c>
      <c r="IKY20" s="252">
        <v>0</v>
      </c>
      <c r="IKZ20" s="252">
        <v>0</v>
      </c>
      <c r="ILA20" s="252">
        <v>0</v>
      </c>
      <c r="ILB20" s="252">
        <v>0</v>
      </c>
      <c r="ILC20" s="252">
        <v>0</v>
      </c>
      <c r="ILD20" s="252">
        <v>0</v>
      </c>
      <c r="ILE20" s="252">
        <v>0</v>
      </c>
      <c r="ILF20" s="252">
        <v>0</v>
      </c>
      <c r="ILG20" s="252">
        <v>0</v>
      </c>
      <c r="ILH20" s="252">
        <v>0</v>
      </c>
      <c r="ILI20" s="252">
        <v>0</v>
      </c>
      <c r="ILJ20" s="252">
        <v>0</v>
      </c>
      <c r="ILK20" s="252">
        <v>0</v>
      </c>
      <c r="ILL20" s="252">
        <v>0</v>
      </c>
      <c r="ILM20" s="252">
        <v>0</v>
      </c>
      <c r="ILN20" s="252">
        <v>0</v>
      </c>
      <c r="ILO20" s="252">
        <v>0</v>
      </c>
      <c r="ILP20" s="252">
        <v>0</v>
      </c>
      <c r="ILQ20" s="252">
        <v>0</v>
      </c>
      <c r="ILR20" s="252">
        <v>0</v>
      </c>
      <c r="ILS20" s="252">
        <v>0</v>
      </c>
      <c r="ILT20" s="252">
        <v>0</v>
      </c>
      <c r="ILU20" s="252">
        <v>0</v>
      </c>
      <c r="ILV20" s="252">
        <v>0</v>
      </c>
      <c r="ILW20" s="252">
        <v>0</v>
      </c>
      <c r="ILX20" s="252">
        <v>0</v>
      </c>
      <c r="ILY20" s="252">
        <v>0</v>
      </c>
      <c r="ILZ20" s="252">
        <v>0</v>
      </c>
      <c r="IMA20" s="252">
        <v>0</v>
      </c>
      <c r="IMB20" s="252">
        <v>0</v>
      </c>
      <c r="IMC20" s="252">
        <v>0</v>
      </c>
      <c r="IMD20" s="252">
        <v>0</v>
      </c>
      <c r="IME20" s="252">
        <v>0</v>
      </c>
      <c r="IMF20" s="252">
        <v>0</v>
      </c>
      <c r="IMG20" s="252">
        <v>0</v>
      </c>
      <c r="IMH20" s="252">
        <v>0</v>
      </c>
      <c r="IMI20" s="252">
        <v>0</v>
      </c>
      <c r="IMJ20" s="252">
        <v>0</v>
      </c>
      <c r="IMK20" s="252">
        <v>0</v>
      </c>
      <c r="IML20" s="252">
        <v>0</v>
      </c>
      <c r="IMM20" s="252">
        <v>0</v>
      </c>
      <c r="IMN20" s="252">
        <v>0</v>
      </c>
      <c r="IMO20" s="252">
        <v>0</v>
      </c>
      <c r="IMP20" s="252">
        <v>0</v>
      </c>
      <c r="IMQ20" s="252">
        <v>0</v>
      </c>
      <c r="IMR20" s="252">
        <v>0</v>
      </c>
      <c r="IMS20" s="252">
        <v>0</v>
      </c>
      <c r="IMT20" s="252">
        <v>0</v>
      </c>
      <c r="IMU20" s="252">
        <v>0</v>
      </c>
      <c r="IMV20" s="252">
        <v>0</v>
      </c>
      <c r="IMW20" s="252">
        <v>0</v>
      </c>
      <c r="IMX20" s="252">
        <v>0</v>
      </c>
      <c r="IMY20" s="252">
        <v>0</v>
      </c>
      <c r="IMZ20" s="252">
        <v>0</v>
      </c>
      <c r="INA20" s="252">
        <v>0</v>
      </c>
      <c r="INB20" s="252">
        <v>0</v>
      </c>
      <c r="INC20" s="252">
        <v>0</v>
      </c>
      <c r="IND20" s="252">
        <v>0</v>
      </c>
      <c r="INE20" s="252">
        <v>0</v>
      </c>
      <c r="INF20" s="252">
        <v>0</v>
      </c>
      <c r="ING20" s="252">
        <v>0</v>
      </c>
      <c r="INH20" s="252">
        <v>0</v>
      </c>
      <c r="INI20" s="252">
        <v>0</v>
      </c>
      <c r="INJ20" s="252">
        <v>0</v>
      </c>
      <c r="INK20" s="252">
        <v>0</v>
      </c>
      <c r="INL20" s="252">
        <v>0</v>
      </c>
      <c r="INM20" s="252">
        <v>0</v>
      </c>
      <c r="INN20" s="252">
        <v>0</v>
      </c>
      <c r="INO20" s="252">
        <v>0</v>
      </c>
      <c r="INP20" s="252">
        <v>0</v>
      </c>
      <c r="INQ20" s="252">
        <v>0</v>
      </c>
      <c r="INR20" s="252">
        <v>0</v>
      </c>
      <c r="INS20" s="252">
        <v>0</v>
      </c>
      <c r="INT20" s="252">
        <v>0</v>
      </c>
      <c r="INU20" s="252">
        <v>0</v>
      </c>
      <c r="INV20" s="252">
        <v>0</v>
      </c>
      <c r="INW20" s="252">
        <v>0</v>
      </c>
      <c r="INX20" s="252">
        <v>0</v>
      </c>
      <c r="INY20" s="252">
        <v>0</v>
      </c>
      <c r="INZ20" s="252">
        <v>0</v>
      </c>
      <c r="IOA20" s="252">
        <v>0</v>
      </c>
      <c r="IOB20" s="252">
        <v>0</v>
      </c>
      <c r="IOC20" s="252">
        <v>0</v>
      </c>
      <c r="IOD20" s="252">
        <v>0</v>
      </c>
      <c r="IOE20" s="252">
        <v>0</v>
      </c>
      <c r="IOF20" s="252">
        <v>0</v>
      </c>
      <c r="IOG20" s="252">
        <v>0</v>
      </c>
      <c r="IOH20" s="252">
        <v>0</v>
      </c>
      <c r="IOI20" s="252">
        <v>0</v>
      </c>
      <c r="IOJ20" s="252">
        <v>0</v>
      </c>
      <c r="IOK20" s="252">
        <v>0</v>
      </c>
      <c r="IOL20" s="252">
        <v>0</v>
      </c>
      <c r="IOM20" s="252">
        <v>0</v>
      </c>
      <c r="ION20" s="252">
        <v>0</v>
      </c>
      <c r="IOO20" s="252">
        <v>0</v>
      </c>
      <c r="IOP20" s="252">
        <v>0</v>
      </c>
      <c r="IOQ20" s="252">
        <v>0</v>
      </c>
      <c r="IOR20" s="252">
        <v>0</v>
      </c>
      <c r="IOS20" s="252">
        <v>0</v>
      </c>
      <c r="IOT20" s="252">
        <v>0</v>
      </c>
      <c r="IOU20" s="252">
        <v>0</v>
      </c>
      <c r="IOV20" s="252">
        <v>0</v>
      </c>
      <c r="IOW20" s="252">
        <v>0</v>
      </c>
      <c r="IOX20" s="252">
        <v>0</v>
      </c>
      <c r="IOY20" s="252">
        <v>0</v>
      </c>
      <c r="IOZ20" s="252">
        <v>0</v>
      </c>
      <c r="IPA20" s="252">
        <v>0</v>
      </c>
      <c r="IPB20" s="252">
        <v>0</v>
      </c>
      <c r="IPC20" s="252">
        <v>0</v>
      </c>
      <c r="IPD20" s="252">
        <v>0</v>
      </c>
      <c r="IPE20" s="252">
        <v>0</v>
      </c>
      <c r="IPF20" s="252">
        <v>0</v>
      </c>
      <c r="IPG20" s="252">
        <v>0</v>
      </c>
      <c r="IPH20" s="252">
        <v>0</v>
      </c>
      <c r="IPI20" s="252">
        <v>0</v>
      </c>
      <c r="IPJ20" s="252">
        <v>0</v>
      </c>
      <c r="IPK20" s="252">
        <v>0</v>
      </c>
      <c r="IPL20" s="252">
        <v>0</v>
      </c>
      <c r="IPM20" s="252">
        <v>0</v>
      </c>
      <c r="IPN20" s="252">
        <v>0</v>
      </c>
      <c r="IPO20" s="252">
        <v>0</v>
      </c>
      <c r="IPP20" s="252">
        <v>0</v>
      </c>
      <c r="IPQ20" s="252">
        <v>0</v>
      </c>
      <c r="IPR20" s="252">
        <v>0</v>
      </c>
      <c r="IPS20" s="252">
        <v>0</v>
      </c>
      <c r="IPT20" s="252">
        <v>0</v>
      </c>
      <c r="IPU20" s="252">
        <v>0</v>
      </c>
      <c r="IPV20" s="252">
        <v>0</v>
      </c>
      <c r="IPW20" s="252">
        <v>0</v>
      </c>
      <c r="IPX20" s="252">
        <v>0</v>
      </c>
      <c r="IPY20" s="252">
        <v>0</v>
      </c>
      <c r="IPZ20" s="252">
        <v>0</v>
      </c>
      <c r="IQA20" s="252">
        <v>0</v>
      </c>
      <c r="IQB20" s="252">
        <v>0</v>
      </c>
      <c r="IQC20" s="252">
        <v>0</v>
      </c>
      <c r="IQD20" s="252">
        <v>0</v>
      </c>
      <c r="IQE20" s="252">
        <v>0</v>
      </c>
      <c r="IQF20" s="252">
        <v>0</v>
      </c>
      <c r="IQG20" s="252">
        <v>0</v>
      </c>
      <c r="IQH20" s="252">
        <v>0</v>
      </c>
      <c r="IQI20" s="252">
        <v>0</v>
      </c>
      <c r="IQJ20" s="252">
        <v>0</v>
      </c>
      <c r="IQK20" s="252">
        <v>0</v>
      </c>
      <c r="IQL20" s="252">
        <v>0</v>
      </c>
      <c r="IQM20" s="252">
        <v>0</v>
      </c>
      <c r="IQN20" s="252">
        <v>0</v>
      </c>
      <c r="IQO20" s="252">
        <v>0</v>
      </c>
      <c r="IQP20" s="252">
        <v>0</v>
      </c>
      <c r="IQQ20" s="252">
        <v>0</v>
      </c>
      <c r="IQR20" s="252">
        <v>0</v>
      </c>
      <c r="IQS20" s="252">
        <v>0</v>
      </c>
      <c r="IQT20" s="252">
        <v>0</v>
      </c>
      <c r="IQU20" s="252">
        <v>0</v>
      </c>
      <c r="IQV20" s="252">
        <v>0</v>
      </c>
      <c r="IQW20" s="252">
        <v>0</v>
      </c>
      <c r="IQX20" s="252">
        <v>0</v>
      </c>
      <c r="IQY20" s="252">
        <v>0</v>
      </c>
      <c r="IQZ20" s="252">
        <v>0</v>
      </c>
      <c r="IRA20" s="252">
        <v>0</v>
      </c>
      <c r="IRB20" s="252">
        <v>0</v>
      </c>
      <c r="IRC20" s="252">
        <v>0</v>
      </c>
      <c r="IRD20" s="252">
        <v>0</v>
      </c>
      <c r="IRE20" s="252">
        <v>0</v>
      </c>
      <c r="IRF20" s="252">
        <v>0</v>
      </c>
      <c r="IRG20" s="252">
        <v>0</v>
      </c>
      <c r="IRH20" s="252">
        <v>0</v>
      </c>
      <c r="IRI20" s="252">
        <v>0</v>
      </c>
      <c r="IRJ20" s="252">
        <v>0</v>
      </c>
      <c r="IRK20" s="252">
        <v>0</v>
      </c>
      <c r="IRL20" s="252">
        <v>0</v>
      </c>
      <c r="IRM20" s="252">
        <v>0</v>
      </c>
      <c r="IRN20" s="252">
        <v>0</v>
      </c>
      <c r="IRO20" s="252">
        <v>0</v>
      </c>
      <c r="IRP20" s="252">
        <v>0</v>
      </c>
      <c r="IRQ20" s="252">
        <v>0</v>
      </c>
      <c r="IRR20" s="252">
        <v>0</v>
      </c>
      <c r="IRS20" s="252">
        <v>0</v>
      </c>
      <c r="IRT20" s="252">
        <v>0</v>
      </c>
      <c r="IRU20" s="252">
        <v>0</v>
      </c>
      <c r="IRV20" s="252">
        <v>0</v>
      </c>
      <c r="IRW20" s="252">
        <v>0</v>
      </c>
      <c r="IRX20" s="252">
        <v>0</v>
      </c>
      <c r="IRY20" s="252">
        <v>0</v>
      </c>
      <c r="IRZ20" s="252">
        <v>0</v>
      </c>
      <c r="ISA20" s="252">
        <v>0</v>
      </c>
      <c r="ISB20" s="252">
        <v>0</v>
      </c>
      <c r="ISC20" s="252">
        <v>0</v>
      </c>
      <c r="ISD20" s="252">
        <v>0</v>
      </c>
      <c r="ISE20" s="252">
        <v>0</v>
      </c>
      <c r="ISF20" s="252">
        <v>0</v>
      </c>
      <c r="ISG20" s="252">
        <v>0</v>
      </c>
      <c r="ISH20" s="252">
        <v>0</v>
      </c>
      <c r="ISI20" s="252">
        <v>0</v>
      </c>
      <c r="ISJ20" s="252">
        <v>0</v>
      </c>
      <c r="ISK20" s="252">
        <v>0</v>
      </c>
      <c r="ISL20" s="252">
        <v>0</v>
      </c>
      <c r="ISM20" s="252">
        <v>0</v>
      </c>
      <c r="ISN20" s="252">
        <v>0</v>
      </c>
      <c r="ISO20" s="252">
        <v>0</v>
      </c>
      <c r="ISP20" s="252">
        <v>0</v>
      </c>
      <c r="ISQ20" s="252">
        <v>0</v>
      </c>
      <c r="ISR20" s="252">
        <v>0</v>
      </c>
      <c r="ISS20" s="252">
        <v>0</v>
      </c>
      <c r="IST20" s="252">
        <v>0</v>
      </c>
      <c r="ISU20" s="252">
        <v>0</v>
      </c>
      <c r="ISV20" s="252">
        <v>0</v>
      </c>
      <c r="ISW20" s="252">
        <v>0</v>
      </c>
      <c r="ISX20" s="252">
        <v>0</v>
      </c>
      <c r="ISY20" s="252">
        <v>0</v>
      </c>
      <c r="ISZ20" s="252">
        <v>0</v>
      </c>
      <c r="ITA20" s="252">
        <v>0</v>
      </c>
      <c r="ITB20" s="252">
        <v>0</v>
      </c>
      <c r="ITC20" s="252">
        <v>0</v>
      </c>
      <c r="ITD20" s="252">
        <v>0</v>
      </c>
      <c r="ITE20" s="252">
        <v>0</v>
      </c>
      <c r="ITF20" s="252">
        <v>0</v>
      </c>
      <c r="ITG20" s="252">
        <v>0</v>
      </c>
      <c r="ITH20" s="252">
        <v>0</v>
      </c>
      <c r="ITI20" s="252">
        <v>0</v>
      </c>
      <c r="ITJ20" s="252">
        <v>0</v>
      </c>
      <c r="ITK20" s="252">
        <v>0</v>
      </c>
      <c r="ITL20" s="252">
        <v>0</v>
      </c>
      <c r="ITM20" s="252">
        <v>0</v>
      </c>
      <c r="ITN20" s="252">
        <v>0</v>
      </c>
      <c r="ITO20" s="252">
        <v>0</v>
      </c>
      <c r="ITP20" s="252">
        <v>0</v>
      </c>
      <c r="ITQ20" s="252">
        <v>0</v>
      </c>
      <c r="ITR20" s="252">
        <v>0</v>
      </c>
      <c r="ITS20" s="252">
        <v>0</v>
      </c>
      <c r="ITT20" s="252">
        <v>0</v>
      </c>
      <c r="ITU20" s="252">
        <v>0</v>
      </c>
      <c r="ITV20" s="252">
        <v>0</v>
      </c>
      <c r="ITW20" s="252">
        <v>0</v>
      </c>
      <c r="ITX20" s="252">
        <v>0</v>
      </c>
      <c r="ITY20" s="252">
        <v>0</v>
      </c>
      <c r="ITZ20" s="252">
        <v>0</v>
      </c>
      <c r="IUA20" s="252">
        <v>0</v>
      </c>
      <c r="IUB20" s="252">
        <v>0</v>
      </c>
      <c r="IUC20" s="252">
        <v>0</v>
      </c>
      <c r="IUD20" s="252">
        <v>0</v>
      </c>
      <c r="IUE20" s="252">
        <v>0</v>
      </c>
      <c r="IUF20" s="252">
        <v>0</v>
      </c>
      <c r="IUG20" s="252">
        <v>0</v>
      </c>
      <c r="IUH20" s="252">
        <v>0</v>
      </c>
      <c r="IUI20" s="252">
        <v>0</v>
      </c>
      <c r="IUJ20" s="252">
        <v>0</v>
      </c>
      <c r="IUK20" s="252">
        <v>0</v>
      </c>
      <c r="IUL20" s="252">
        <v>0</v>
      </c>
      <c r="IUM20" s="252">
        <v>0</v>
      </c>
      <c r="IUN20" s="252">
        <v>0</v>
      </c>
      <c r="IUO20" s="252">
        <v>0</v>
      </c>
      <c r="IUP20" s="252">
        <v>0</v>
      </c>
      <c r="IUQ20" s="252">
        <v>0</v>
      </c>
      <c r="IUR20" s="252">
        <v>0</v>
      </c>
      <c r="IUS20" s="252">
        <v>0</v>
      </c>
      <c r="IUT20" s="252">
        <v>0</v>
      </c>
      <c r="IUU20" s="252">
        <v>0</v>
      </c>
      <c r="IUV20" s="252">
        <v>0</v>
      </c>
      <c r="IUW20" s="252">
        <v>0</v>
      </c>
      <c r="IUX20" s="252">
        <v>0</v>
      </c>
      <c r="IUY20" s="252">
        <v>0</v>
      </c>
      <c r="IUZ20" s="252">
        <v>0</v>
      </c>
      <c r="IVA20" s="252">
        <v>0</v>
      </c>
      <c r="IVB20" s="252">
        <v>0</v>
      </c>
      <c r="IVC20" s="252">
        <v>0</v>
      </c>
      <c r="IVD20" s="252">
        <v>0</v>
      </c>
      <c r="IVE20" s="252">
        <v>0</v>
      </c>
      <c r="IVF20" s="252">
        <v>0</v>
      </c>
      <c r="IVG20" s="252">
        <v>0</v>
      </c>
      <c r="IVH20" s="252">
        <v>0</v>
      </c>
      <c r="IVI20" s="252">
        <v>0</v>
      </c>
      <c r="IVJ20" s="252">
        <v>0</v>
      </c>
      <c r="IVK20" s="252">
        <v>0</v>
      </c>
      <c r="IVL20" s="252">
        <v>0</v>
      </c>
      <c r="IVM20" s="252">
        <v>0</v>
      </c>
      <c r="IVN20" s="252">
        <v>0</v>
      </c>
      <c r="IVO20" s="252">
        <v>0</v>
      </c>
      <c r="IVP20" s="252">
        <v>0</v>
      </c>
      <c r="IVQ20" s="252">
        <v>0</v>
      </c>
      <c r="IVR20" s="252">
        <v>0</v>
      </c>
      <c r="IVS20" s="252">
        <v>0</v>
      </c>
      <c r="IVT20" s="252">
        <v>0</v>
      </c>
      <c r="IVU20" s="252">
        <v>0</v>
      </c>
      <c r="IVV20" s="252">
        <v>0</v>
      </c>
      <c r="IVW20" s="252">
        <v>0</v>
      </c>
      <c r="IVX20" s="252">
        <v>0</v>
      </c>
      <c r="IVY20" s="252">
        <v>0</v>
      </c>
      <c r="IVZ20" s="252">
        <v>0</v>
      </c>
      <c r="IWA20" s="252">
        <v>0</v>
      </c>
      <c r="IWB20" s="252">
        <v>0</v>
      </c>
      <c r="IWC20" s="252">
        <v>0</v>
      </c>
      <c r="IWD20" s="252">
        <v>0</v>
      </c>
      <c r="IWE20" s="252">
        <v>0</v>
      </c>
      <c r="IWF20" s="252">
        <v>0</v>
      </c>
      <c r="IWG20" s="252">
        <v>0</v>
      </c>
      <c r="IWH20" s="252">
        <v>0</v>
      </c>
      <c r="IWI20" s="252">
        <v>0</v>
      </c>
      <c r="IWJ20" s="252">
        <v>0</v>
      </c>
      <c r="IWK20" s="252">
        <v>0</v>
      </c>
      <c r="IWL20" s="252">
        <v>0</v>
      </c>
      <c r="IWM20" s="252">
        <v>0</v>
      </c>
      <c r="IWN20" s="252">
        <v>0</v>
      </c>
      <c r="IWO20" s="252">
        <v>0</v>
      </c>
      <c r="IWP20" s="252">
        <v>0</v>
      </c>
      <c r="IWQ20" s="252">
        <v>0</v>
      </c>
      <c r="IWR20" s="252">
        <v>0</v>
      </c>
      <c r="IWS20" s="252">
        <v>0</v>
      </c>
      <c r="IWT20" s="252">
        <v>0</v>
      </c>
      <c r="IWU20" s="252">
        <v>0</v>
      </c>
      <c r="IWV20" s="252">
        <v>0</v>
      </c>
      <c r="IWW20" s="252">
        <v>0</v>
      </c>
      <c r="IWX20" s="252">
        <v>0</v>
      </c>
      <c r="IWY20" s="252">
        <v>0</v>
      </c>
      <c r="IWZ20" s="252">
        <v>0</v>
      </c>
      <c r="IXA20" s="252">
        <v>0</v>
      </c>
      <c r="IXB20" s="252">
        <v>0</v>
      </c>
      <c r="IXC20" s="252">
        <v>0</v>
      </c>
      <c r="IXD20" s="252">
        <v>0</v>
      </c>
      <c r="IXE20" s="252">
        <v>0</v>
      </c>
      <c r="IXF20" s="252">
        <v>0</v>
      </c>
      <c r="IXG20" s="252">
        <v>0</v>
      </c>
      <c r="IXH20" s="252">
        <v>0</v>
      </c>
      <c r="IXI20" s="252">
        <v>0</v>
      </c>
      <c r="IXJ20" s="252">
        <v>0</v>
      </c>
      <c r="IXK20" s="252">
        <v>0</v>
      </c>
      <c r="IXL20" s="252">
        <v>0</v>
      </c>
      <c r="IXM20" s="252">
        <v>0</v>
      </c>
      <c r="IXN20" s="252">
        <v>0</v>
      </c>
      <c r="IXO20" s="252">
        <v>0</v>
      </c>
      <c r="IXP20" s="252">
        <v>0</v>
      </c>
      <c r="IXQ20" s="252">
        <v>0</v>
      </c>
      <c r="IXR20" s="252">
        <v>0</v>
      </c>
      <c r="IXS20" s="252">
        <v>0</v>
      </c>
      <c r="IXT20" s="252">
        <v>0</v>
      </c>
      <c r="IXU20" s="252">
        <v>0</v>
      </c>
      <c r="IXV20" s="252">
        <v>0</v>
      </c>
      <c r="IXW20" s="252">
        <v>0</v>
      </c>
      <c r="IXX20" s="252">
        <v>0</v>
      </c>
      <c r="IXY20" s="252">
        <v>0</v>
      </c>
      <c r="IXZ20" s="252">
        <v>0</v>
      </c>
      <c r="IYA20" s="252">
        <v>0</v>
      </c>
      <c r="IYB20" s="252">
        <v>0</v>
      </c>
      <c r="IYC20" s="252">
        <v>0</v>
      </c>
      <c r="IYD20" s="252">
        <v>0</v>
      </c>
      <c r="IYE20" s="252">
        <v>0</v>
      </c>
      <c r="IYF20" s="252">
        <v>0</v>
      </c>
      <c r="IYG20" s="252">
        <v>0</v>
      </c>
      <c r="IYH20" s="252">
        <v>0</v>
      </c>
      <c r="IYI20" s="252">
        <v>0</v>
      </c>
      <c r="IYJ20" s="252">
        <v>0</v>
      </c>
      <c r="IYK20" s="252">
        <v>0</v>
      </c>
      <c r="IYL20" s="252">
        <v>0</v>
      </c>
      <c r="IYM20" s="252">
        <v>0</v>
      </c>
      <c r="IYN20" s="252">
        <v>0</v>
      </c>
      <c r="IYO20" s="252">
        <v>0</v>
      </c>
      <c r="IYP20" s="252">
        <v>0</v>
      </c>
      <c r="IYQ20" s="252">
        <v>0</v>
      </c>
      <c r="IYR20" s="252">
        <v>0</v>
      </c>
      <c r="IYS20" s="252">
        <v>0</v>
      </c>
      <c r="IYT20" s="252">
        <v>0</v>
      </c>
      <c r="IYU20" s="252">
        <v>0</v>
      </c>
      <c r="IYV20" s="252">
        <v>0</v>
      </c>
      <c r="IYW20" s="252">
        <v>0</v>
      </c>
      <c r="IYX20" s="252">
        <v>0</v>
      </c>
      <c r="IYY20" s="252">
        <v>0</v>
      </c>
      <c r="IYZ20" s="252">
        <v>0</v>
      </c>
      <c r="IZA20" s="252">
        <v>0</v>
      </c>
      <c r="IZB20" s="252">
        <v>0</v>
      </c>
      <c r="IZC20" s="252">
        <v>0</v>
      </c>
      <c r="IZD20" s="252">
        <v>0</v>
      </c>
      <c r="IZE20" s="252">
        <v>0</v>
      </c>
      <c r="IZF20" s="252">
        <v>0</v>
      </c>
      <c r="IZG20" s="252">
        <v>0</v>
      </c>
      <c r="IZH20" s="252">
        <v>0</v>
      </c>
      <c r="IZI20" s="252">
        <v>0</v>
      </c>
      <c r="IZJ20" s="252">
        <v>0</v>
      </c>
      <c r="IZK20" s="252">
        <v>0</v>
      </c>
      <c r="IZL20" s="252">
        <v>0</v>
      </c>
      <c r="IZM20" s="252">
        <v>0</v>
      </c>
      <c r="IZN20" s="252">
        <v>0</v>
      </c>
      <c r="IZO20" s="252">
        <v>0</v>
      </c>
      <c r="IZP20" s="252">
        <v>0</v>
      </c>
      <c r="IZQ20" s="252">
        <v>0</v>
      </c>
      <c r="IZR20" s="252">
        <v>0</v>
      </c>
      <c r="IZS20" s="252">
        <v>0</v>
      </c>
      <c r="IZT20" s="252">
        <v>0</v>
      </c>
      <c r="IZU20" s="252">
        <v>0</v>
      </c>
      <c r="IZV20" s="252">
        <v>0</v>
      </c>
      <c r="IZW20" s="252">
        <v>0</v>
      </c>
      <c r="IZX20" s="252">
        <v>0</v>
      </c>
      <c r="IZY20" s="252">
        <v>0</v>
      </c>
      <c r="IZZ20" s="252">
        <v>0</v>
      </c>
      <c r="JAA20" s="252">
        <v>0</v>
      </c>
      <c r="JAB20" s="252">
        <v>0</v>
      </c>
      <c r="JAC20" s="252">
        <v>0</v>
      </c>
      <c r="JAD20" s="252">
        <v>0</v>
      </c>
      <c r="JAE20" s="252">
        <v>0</v>
      </c>
      <c r="JAF20" s="252">
        <v>0</v>
      </c>
      <c r="JAG20" s="252">
        <v>0</v>
      </c>
      <c r="JAH20" s="252">
        <v>0</v>
      </c>
      <c r="JAI20" s="252">
        <v>0</v>
      </c>
      <c r="JAJ20" s="252">
        <v>0</v>
      </c>
      <c r="JAK20" s="252">
        <v>0</v>
      </c>
      <c r="JAL20" s="252">
        <v>0</v>
      </c>
      <c r="JAM20" s="252">
        <v>0</v>
      </c>
      <c r="JAN20" s="252">
        <v>0</v>
      </c>
      <c r="JAO20" s="252">
        <v>0</v>
      </c>
      <c r="JAP20" s="252">
        <v>0</v>
      </c>
      <c r="JAQ20" s="252">
        <v>0</v>
      </c>
      <c r="JAR20" s="252">
        <v>0</v>
      </c>
      <c r="JAS20" s="252">
        <v>0</v>
      </c>
      <c r="JAT20" s="252">
        <v>0</v>
      </c>
      <c r="JAU20" s="252">
        <v>0</v>
      </c>
      <c r="JAV20" s="252">
        <v>0</v>
      </c>
      <c r="JAW20" s="252">
        <v>0</v>
      </c>
      <c r="JAX20" s="252">
        <v>0</v>
      </c>
      <c r="JAY20" s="252">
        <v>0</v>
      </c>
      <c r="JAZ20" s="252">
        <v>0</v>
      </c>
      <c r="JBA20" s="252">
        <v>0</v>
      </c>
      <c r="JBB20" s="252">
        <v>0</v>
      </c>
      <c r="JBC20" s="252">
        <v>0</v>
      </c>
      <c r="JBD20" s="252">
        <v>0</v>
      </c>
      <c r="JBE20" s="252">
        <v>0</v>
      </c>
      <c r="JBF20" s="252">
        <v>0</v>
      </c>
      <c r="JBG20" s="252">
        <v>0</v>
      </c>
      <c r="JBH20" s="252">
        <v>0</v>
      </c>
      <c r="JBI20" s="252">
        <v>0</v>
      </c>
      <c r="JBJ20" s="252">
        <v>0</v>
      </c>
      <c r="JBK20" s="252">
        <v>0</v>
      </c>
      <c r="JBL20" s="252">
        <v>0</v>
      </c>
      <c r="JBM20" s="252">
        <v>0</v>
      </c>
      <c r="JBN20" s="252">
        <v>0</v>
      </c>
      <c r="JBO20" s="252">
        <v>0</v>
      </c>
      <c r="JBP20" s="252">
        <v>0</v>
      </c>
      <c r="JBQ20" s="252">
        <v>0</v>
      </c>
      <c r="JBR20" s="252">
        <v>0</v>
      </c>
      <c r="JBS20" s="252">
        <v>0</v>
      </c>
      <c r="JBT20" s="252">
        <v>0</v>
      </c>
      <c r="JBU20" s="252">
        <v>0</v>
      </c>
      <c r="JBV20" s="252">
        <v>0</v>
      </c>
      <c r="JBW20" s="252">
        <v>0</v>
      </c>
      <c r="JBX20" s="252">
        <v>0</v>
      </c>
      <c r="JBY20" s="252">
        <v>0</v>
      </c>
      <c r="JBZ20" s="252">
        <v>0</v>
      </c>
      <c r="JCA20" s="252">
        <v>0</v>
      </c>
      <c r="JCB20" s="252">
        <v>0</v>
      </c>
      <c r="JCC20" s="252">
        <v>0</v>
      </c>
      <c r="JCD20" s="252">
        <v>0</v>
      </c>
      <c r="JCE20" s="252">
        <v>0</v>
      </c>
      <c r="JCF20" s="252">
        <v>0</v>
      </c>
      <c r="JCG20" s="252">
        <v>0</v>
      </c>
      <c r="JCH20" s="252">
        <v>0</v>
      </c>
      <c r="JCI20" s="252">
        <v>0</v>
      </c>
      <c r="JCJ20" s="252">
        <v>0</v>
      </c>
      <c r="JCK20" s="252">
        <v>0</v>
      </c>
      <c r="JCL20" s="252">
        <v>0</v>
      </c>
      <c r="JCM20" s="252">
        <v>0</v>
      </c>
      <c r="JCN20" s="252">
        <v>0</v>
      </c>
      <c r="JCO20" s="252">
        <v>0</v>
      </c>
      <c r="JCP20" s="252">
        <v>0</v>
      </c>
      <c r="JCQ20" s="252">
        <v>0</v>
      </c>
      <c r="JCR20" s="252">
        <v>0</v>
      </c>
      <c r="JCS20" s="252">
        <v>0</v>
      </c>
      <c r="JCT20" s="252">
        <v>0</v>
      </c>
      <c r="JCU20" s="252">
        <v>0</v>
      </c>
      <c r="JCV20" s="252">
        <v>0</v>
      </c>
      <c r="JCW20" s="252">
        <v>0</v>
      </c>
      <c r="JCX20" s="252">
        <v>0</v>
      </c>
      <c r="JCY20" s="252">
        <v>0</v>
      </c>
      <c r="JCZ20" s="252">
        <v>0</v>
      </c>
      <c r="JDA20" s="252">
        <v>0</v>
      </c>
      <c r="JDB20" s="252">
        <v>0</v>
      </c>
      <c r="JDC20" s="252">
        <v>0</v>
      </c>
      <c r="JDD20" s="252">
        <v>0</v>
      </c>
      <c r="JDE20" s="252">
        <v>0</v>
      </c>
      <c r="JDF20" s="252">
        <v>0</v>
      </c>
      <c r="JDG20" s="252">
        <v>0</v>
      </c>
      <c r="JDH20" s="252">
        <v>0</v>
      </c>
      <c r="JDI20" s="252">
        <v>0</v>
      </c>
      <c r="JDJ20" s="252">
        <v>0</v>
      </c>
      <c r="JDK20" s="252">
        <v>0</v>
      </c>
      <c r="JDL20" s="252">
        <v>0</v>
      </c>
      <c r="JDM20" s="252">
        <v>0</v>
      </c>
      <c r="JDN20" s="252">
        <v>0</v>
      </c>
      <c r="JDO20" s="252">
        <v>0</v>
      </c>
      <c r="JDP20" s="252">
        <v>0</v>
      </c>
      <c r="JDQ20" s="252">
        <v>0</v>
      </c>
      <c r="JDR20" s="252">
        <v>0</v>
      </c>
      <c r="JDS20" s="252">
        <v>0</v>
      </c>
      <c r="JDT20" s="252">
        <v>0</v>
      </c>
      <c r="JDU20" s="252">
        <v>0</v>
      </c>
      <c r="JDV20" s="252">
        <v>0</v>
      </c>
      <c r="JDW20" s="252">
        <v>0</v>
      </c>
      <c r="JDX20" s="252">
        <v>0</v>
      </c>
      <c r="JDY20" s="252">
        <v>0</v>
      </c>
      <c r="JDZ20" s="252">
        <v>0</v>
      </c>
      <c r="JEA20" s="252">
        <v>0</v>
      </c>
      <c r="JEB20" s="252">
        <v>0</v>
      </c>
      <c r="JEC20" s="252">
        <v>0</v>
      </c>
      <c r="JED20" s="252">
        <v>0</v>
      </c>
      <c r="JEE20" s="252">
        <v>0</v>
      </c>
      <c r="JEF20" s="252">
        <v>0</v>
      </c>
      <c r="JEG20" s="252">
        <v>0</v>
      </c>
      <c r="JEH20" s="252">
        <v>0</v>
      </c>
      <c r="JEI20" s="252">
        <v>0</v>
      </c>
      <c r="JEJ20" s="252">
        <v>0</v>
      </c>
      <c r="JEK20" s="252">
        <v>0</v>
      </c>
      <c r="JEL20" s="252">
        <v>0</v>
      </c>
      <c r="JEM20" s="252">
        <v>0</v>
      </c>
      <c r="JEN20" s="252">
        <v>0</v>
      </c>
      <c r="JEO20" s="252">
        <v>0</v>
      </c>
      <c r="JEP20" s="252">
        <v>0</v>
      </c>
      <c r="JEQ20" s="252">
        <v>0</v>
      </c>
      <c r="JER20" s="252">
        <v>0</v>
      </c>
      <c r="JES20" s="252">
        <v>0</v>
      </c>
      <c r="JET20" s="252">
        <v>0</v>
      </c>
      <c r="JEU20" s="252">
        <v>0</v>
      </c>
      <c r="JEV20" s="252">
        <v>0</v>
      </c>
      <c r="JEW20" s="252">
        <v>0</v>
      </c>
      <c r="JEX20" s="252">
        <v>0</v>
      </c>
      <c r="JEY20" s="252">
        <v>0</v>
      </c>
      <c r="JEZ20" s="252">
        <v>0</v>
      </c>
      <c r="JFA20" s="252">
        <v>0</v>
      </c>
      <c r="JFB20" s="252">
        <v>0</v>
      </c>
      <c r="JFC20" s="252">
        <v>0</v>
      </c>
      <c r="JFD20" s="252">
        <v>0</v>
      </c>
      <c r="JFE20" s="252">
        <v>0</v>
      </c>
      <c r="JFF20" s="252">
        <v>0</v>
      </c>
      <c r="JFG20" s="252">
        <v>0</v>
      </c>
      <c r="JFH20" s="252">
        <v>0</v>
      </c>
      <c r="JFI20" s="252">
        <v>0</v>
      </c>
      <c r="JFJ20" s="252">
        <v>0</v>
      </c>
      <c r="JFK20" s="252">
        <v>0</v>
      </c>
      <c r="JFL20" s="252">
        <v>0</v>
      </c>
      <c r="JFM20" s="252">
        <v>0</v>
      </c>
      <c r="JFN20" s="252">
        <v>0</v>
      </c>
      <c r="JFO20" s="252">
        <v>0</v>
      </c>
      <c r="JFP20" s="252">
        <v>0</v>
      </c>
      <c r="JFQ20" s="252">
        <v>0</v>
      </c>
      <c r="JFR20" s="252">
        <v>0</v>
      </c>
      <c r="JFS20" s="252">
        <v>0</v>
      </c>
      <c r="JFT20" s="252">
        <v>0</v>
      </c>
      <c r="JFU20" s="252">
        <v>0</v>
      </c>
      <c r="JFV20" s="252">
        <v>0</v>
      </c>
      <c r="JFW20" s="252">
        <v>0</v>
      </c>
      <c r="JFX20" s="252">
        <v>0</v>
      </c>
      <c r="JFY20" s="252">
        <v>0</v>
      </c>
      <c r="JFZ20" s="252">
        <v>0</v>
      </c>
      <c r="JGA20" s="252">
        <v>0</v>
      </c>
      <c r="JGB20" s="252">
        <v>0</v>
      </c>
      <c r="JGC20" s="252">
        <v>0</v>
      </c>
      <c r="JGD20" s="252">
        <v>0</v>
      </c>
      <c r="JGE20" s="252">
        <v>0</v>
      </c>
      <c r="JGF20" s="252">
        <v>0</v>
      </c>
      <c r="JGG20" s="252">
        <v>0</v>
      </c>
      <c r="JGH20" s="252">
        <v>0</v>
      </c>
      <c r="JGI20" s="252">
        <v>0</v>
      </c>
      <c r="JGJ20" s="252">
        <v>0</v>
      </c>
      <c r="JGK20" s="252">
        <v>0</v>
      </c>
      <c r="JGL20" s="252">
        <v>0</v>
      </c>
      <c r="JGM20" s="252">
        <v>0</v>
      </c>
      <c r="JGN20" s="252">
        <v>0</v>
      </c>
      <c r="JGO20" s="252">
        <v>0</v>
      </c>
      <c r="JGP20" s="252">
        <v>0</v>
      </c>
      <c r="JGQ20" s="252">
        <v>0</v>
      </c>
      <c r="JGR20" s="252">
        <v>0</v>
      </c>
      <c r="JGS20" s="252">
        <v>0</v>
      </c>
      <c r="JGT20" s="252">
        <v>0</v>
      </c>
      <c r="JGU20" s="252">
        <v>0</v>
      </c>
      <c r="JGV20" s="252">
        <v>0</v>
      </c>
      <c r="JGW20" s="252">
        <v>0</v>
      </c>
      <c r="JGX20" s="252">
        <v>0</v>
      </c>
      <c r="JGY20" s="252">
        <v>0</v>
      </c>
      <c r="JGZ20" s="252">
        <v>0</v>
      </c>
      <c r="JHA20" s="252">
        <v>0</v>
      </c>
      <c r="JHB20" s="252">
        <v>0</v>
      </c>
      <c r="JHC20" s="252">
        <v>0</v>
      </c>
      <c r="JHD20" s="252">
        <v>0</v>
      </c>
      <c r="JHE20" s="252">
        <v>0</v>
      </c>
      <c r="JHF20" s="252">
        <v>0</v>
      </c>
      <c r="JHG20" s="252">
        <v>0</v>
      </c>
      <c r="JHH20" s="252">
        <v>0</v>
      </c>
      <c r="JHI20" s="252">
        <v>0</v>
      </c>
      <c r="JHJ20" s="252">
        <v>0</v>
      </c>
      <c r="JHK20" s="252">
        <v>0</v>
      </c>
      <c r="JHL20" s="252">
        <v>0</v>
      </c>
      <c r="JHM20" s="252">
        <v>0</v>
      </c>
      <c r="JHN20" s="252">
        <v>0</v>
      </c>
      <c r="JHO20" s="252">
        <v>0</v>
      </c>
      <c r="JHP20" s="252">
        <v>0</v>
      </c>
      <c r="JHQ20" s="252">
        <v>0</v>
      </c>
      <c r="JHR20" s="252">
        <v>0</v>
      </c>
      <c r="JHS20" s="252">
        <v>0</v>
      </c>
      <c r="JHT20" s="252">
        <v>0</v>
      </c>
      <c r="JHU20" s="252">
        <v>0</v>
      </c>
      <c r="JHV20" s="252">
        <v>0</v>
      </c>
      <c r="JHW20" s="252">
        <v>0</v>
      </c>
      <c r="JHX20" s="252">
        <v>0</v>
      </c>
      <c r="JHY20" s="252">
        <v>0</v>
      </c>
      <c r="JHZ20" s="252">
        <v>0</v>
      </c>
      <c r="JIA20" s="252">
        <v>0</v>
      </c>
      <c r="JIB20" s="252">
        <v>0</v>
      </c>
      <c r="JIC20" s="252">
        <v>0</v>
      </c>
      <c r="JID20" s="252">
        <v>0</v>
      </c>
      <c r="JIE20" s="252">
        <v>0</v>
      </c>
      <c r="JIF20" s="252">
        <v>0</v>
      </c>
      <c r="JIG20" s="252">
        <v>0</v>
      </c>
      <c r="JIH20" s="252">
        <v>0</v>
      </c>
      <c r="JII20" s="252">
        <v>0</v>
      </c>
      <c r="JIJ20" s="252">
        <v>0</v>
      </c>
      <c r="JIK20" s="252">
        <v>0</v>
      </c>
      <c r="JIL20" s="252">
        <v>0</v>
      </c>
      <c r="JIM20" s="252">
        <v>0</v>
      </c>
      <c r="JIN20" s="252">
        <v>0</v>
      </c>
      <c r="JIO20" s="252">
        <v>0</v>
      </c>
      <c r="JIP20" s="252">
        <v>0</v>
      </c>
      <c r="JIQ20" s="252">
        <v>0</v>
      </c>
      <c r="JIR20" s="252">
        <v>0</v>
      </c>
      <c r="JIS20" s="252">
        <v>0</v>
      </c>
      <c r="JIT20" s="252">
        <v>0</v>
      </c>
      <c r="JIU20" s="252">
        <v>0</v>
      </c>
      <c r="JIV20" s="252">
        <v>0</v>
      </c>
      <c r="JIW20" s="252">
        <v>0</v>
      </c>
      <c r="JIX20" s="252">
        <v>0</v>
      </c>
      <c r="JIY20" s="252">
        <v>0</v>
      </c>
      <c r="JIZ20" s="252">
        <v>0</v>
      </c>
      <c r="JJA20" s="252">
        <v>0</v>
      </c>
      <c r="JJB20" s="252">
        <v>0</v>
      </c>
      <c r="JJC20" s="252">
        <v>0</v>
      </c>
      <c r="JJD20" s="252">
        <v>0</v>
      </c>
      <c r="JJE20" s="252">
        <v>0</v>
      </c>
      <c r="JJF20" s="252">
        <v>0</v>
      </c>
      <c r="JJG20" s="252">
        <v>0</v>
      </c>
      <c r="JJH20" s="252">
        <v>0</v>
      </c>
      <c r="JJI20" s="252">
        <v>0</v>
      </c>
      <c r="JJJ20" s="252">
        <v>0</v>
      </c>
      <c r="JJK20" s="252">
        <v>0</v>
      </c>
      <c r="JJL20" s="252">
        <v>0</v>
      </c>
      <c r="JJM20" s="252">
        <v>0</v>
      </c>
      <c r="JJN20" s="252">
        <v>0</v>
      </c>
      <c r="JJO20" s="252">
        <v>0</v>
      </c>
      <c r="JJP20" s="252">
        <v>0</v>
      </c>
      <c r="JJQ20" s="252">
        <v>0</v>
      </c>
      <c r="JJR20" s="252">
        <v>0</v>
      </c>
      <c r="JJS20" s="252">
        <v>0</v>
      </c>
      <c r="JJT20" s="252">
        <v>0</v>
      </c>
      <c r="JJU20" s="252">
        <v>0</v>
      </c>
      <c r="JJV20" s="252">
        <v>0</v>
      </c>
      <c r="JJW20" s="252">
        <v>0</v>
      </c>
      <c r="JJX20" s="252">
        <v>0</v>
      </c>
      <c r="JJY20" s="252">
        <v>0</v>
      </c>
      <c r="JJZ20" s="252">
        <v>0</v>
      </c>
      <c r="JKA20" s="252">
        <v>0</v>
      </c>
      <c r="JKB20" s="252">
        <v>0</v>
      </c>
      <c r="JKC20" s="252">
        <v>0</v>
      </c>
      <c r="JKD20" s="252">
        <v>0</v>
      </c>
      <c r="JKE20" s="252">
        <v>0</v>
      </c>
      <c r="JKF20" s="252">
        <v>0</v>
      </c>
      <c r="JKG20" s="252">
        <v>0</v>
      </c>
      <c r="JKH20" s="252">
        <v>0</v>
      </c>
      <c r="JKI20" s="252">
        <v>0</v>
      </c>
      <c r="JKJ20" s="252">
        <v>0</v>
      </c>
      <c r="JKK20" s="252">
        <v>0</v>
      </c>
      <c r="JKL20" s="252">
        <v>0</v>
      </c>
      <c r="JKM20" s="252">
        <v>0</v>
      </c>
      <c r="JKN20" s="252">
        <v>0</v>
      </c>
      <c r="JKO20" s="252">
        <v>0</v>
      </c>
      <c r="JKP20" s="252">
        <v>0</v>
      </c>
      <c r="JKQ20" s="252">
        <v>0</v>
      </c>
      <c r="JKR20" s="252">
        <v>0</v>
      </c>
      <c r="JKS20" s="252">
        <v>0</v>
      </c>
      <c r="JKT20" s="252">
        <v>0</v>
      </c>
      <c r="JKU20" s="252">
        <v>0</v>
      </c>
      <c r="JKV20" s="252">
        <v>0</v>
      </c>
      <c r="JKW20" s="252">
        <v>0</v>
      </c>
      <c r="JKX20" s="252">
        <v>0</v>
      </c>
      <c r="JKY20" s="252">
        <v>0</v>
      </c>
      <c r="JKZ20" s="252">
        <v>0</v>
      </c>
      <c r="JLA20" s="252">
        <v>0</v>
      </c>
      <c r="JLB20" s="252">
        <v>0</v>
      </c>
      <c r="JLC20" s="252">
        <v>0</v>
      </c>
      <c r="JLD20" s="252">
        <v>0</v>
      </c>
      <c r="JLE20" s="252">
        <v>0</v>
      </c>
      <c r="JLF20" s="252">
        <v>0</v>
      </c>
      <c r="JLG20" s="252">
        <v>0</v>
      </c>
      <c r="JLH20" s="252">
        <v>0</v>
      </c>
      <c r="JLI20" s="252">
        <v>0</v>
      </c>
      <c r="JLJ20" s="252">
        <v>0</v>
      </c>
      <c r="JLK20" s="252">
        <v>0</v>
      </c>
      <c r="JLL20" s="252">
        <v>0</v>
      </c>
      <c r="JLM20" s="252">
        <v>0</v>
      </c>
      <c r="JLN20" s="252">
        <v>0</v>
      </c>
      <c r="JLO20" s="252">
        <v>0</v>
      </c>
      <c r="JLP20" s="252">
        <v>0</v>
      </c>
      <c r="JLQ20" s="252">
        <v>0</v>
      </c>
      <c r="JLR20" s="252">
        <v>0</v>
      </c>
      <c r="JLS20" s="252">
        <v>0</v>
      </c>
      <c r="JLT20" s="252">
        <v>0</v>
      </c>
      <c r="JLU20" s="252">
        <v>0</v>
      </c>
      <c r="JLV20" s="252">
        <v>0</v>
      </c>
      <c r="JLW20" s="252">
        <v>0</v>
      </c>
      <c r="JLX20" s="252">
        <v>0</v>
      </c>
      <c r="JLY20" s="252">
        <v>0</v>
      </c>
      <c r="JLZ20" s="252">
        <v>0</v>
      </c>
      <c r="JMA20" s="252">
        <v>0</v>
      </c>
      <c r="JMB20" s="252">
        <v>0</v>
      </c>
      <c r="JMC20" s="252">
        <v>0</v>
      </c>
      <c r="JMD20" s="252">
        <v>0</v>
      </c>
      <c r="JME20" s="252">
        <v>0</v>
      </c>
      <c r="JMF20" s="252">
        <v>0</v>
      </c>
      <c r="JMG20" s="252">
        <v>0</v>
      </c>
      <c r="JMH20" s="252">
        <v>0</v>
      </c>
      <c r="JMI20" s="252">
        <v>0</v>
      </c>
      <c r="JMJ20" s="252">
        <v>0</v>
      </c>
      <c r="JMK20" s="252">
        <v>0</v>
      </c>
      <c r="JML20" s="252">
        <v>0</v>
      </c>
      <c r="JMM20" s="252">
        <v>0</v>
      </c>
      <c r="JMN20" s="252">
        <v>0</v>
      </c>
      <c r="JMO20" s="252">
        <v>0</v>
      </c>
      <c r="JMP20" s="252">
        <v>0</v>
      </c>
      <c r="JMQ20" s="252">
        <v>0</v>
      </c>
      <c r="JMR20" s="252">
        <v>0</v>
      </c>
      <c r="JMS20" s="252">
        <v>0</v>
      </c>
      <c r="JMT20" s="252">
        <v>0</v>
      </c>
      <c r="JMU20" s="252">
        <v>0</v>
      </c>
      <c r="JMV20" s="252">
        <v>0</v>
      </c>
      <c r="JMW20" s="252">
        <v>0</v>
      </c>
      <c r="JMX20" s="252">
        <v>0</v>
      </c>
      <c r="JMY20" s="252">
        <v>0</v>
      </c>
      <c r="JMZ20" s="252">
        <v>0</v>
      </c>
      <c r="JNA20" s="252">
        <v>0</v>
      </c>
      <c r="JNB20" s="252">
        <v>0</v>
      </c>
      <c r="JNC20" s="252">
        <v>0</v>
      </c>
      <c r="JND20" s="252">
        <v>0</v>
      </c>
      <c r="JNE20" s="252">
        <v>0</v>
      </c>
      <c r="JNF20" s="252">
        <v>0</v>
      </c>
      <c r="JNG20" s="252">
        <v>0</v>
      </c>
      <c r="JNH20" s="252">
        <v>0</v>
      </c>
      <c r="JNI20" s="252">
        <v>0</v>
      </c>
      <c r="JNJ20" s="252">
        <v>0</v>
      </c>
      <c r="JNK20" s="252">
        <v>0</v>
      </c>
      <c r="JNL20" s="252">
        <v>0</v>
      </c>
      <c r="JNM20" s="252">
        <v>0</v>
      </c>
      <c r="JNN20" s="252">
        <v>0</v>
      </c>
      <c r="JNO20" s="252">
        <v>0</v>
      </c>
      <c r="JNP20" s="252">
        <v>0</v>
      </c>
      <c r="JNQ20" s="252">
        <v>0</v>
      </c>
      <c r="JNR20" s="252">
        <v>0</v>
      </c>
      <c r="JNS20" s="252">
        <v>0</v>
      </c>
      <c r="JNT20" s="252">
        <v>0</v>
      </c>
      <c r="JNU20" s="252">
        <v>0</v>
      </c>
      <c r="JNV20" s="252">
        <v>0</v>
      </c>
      <c r="JNW20" s="252">
        <v>0</v>
      </c>
      <c r="JNX20" s="252">
        <v>0</v>
      </c>
      <c r="JNY20" s="252">
        <v>0</v>
      </c>
      <c r="JNZ20" s="252">
        <v>0</v>
      </c>
      <c r="JOA20" s="252">
        <v>0</v>
      </c>
      <c r="JOB20" s="252">
        <v>0</v>
      </c>
      <c r="JOC20" s="252">
        <v>0</v>
      </c>
      <c r="JOD20" s="252">
        <v>0</v>
      </c>
      <c r="JOE20" s="252">
        <v>0</v>
      </c>
      <c r="JOF20" s="252">
        <v>0</v>
      </c>
      <c r="JOG20" s="252">
        <v>0</v>
      </c>
      <c r="JOH20" s="252">
        <v>0</v>
      </c>
      <c r="JOI20" s="252">
        <v>0</v>
      </c>
      <c r="JOJ20" s="252">
        <v>0</v>
      </c>
      <c r="JOK20" s="252">
        <v>0</v>
      </c>
      <c r="JOL20" s="252">
        <v>0</v>
      </c>
      <c r="JOM20" s="252">
        <v>0</v>
      </c>
      <c r="JON20" s="252">
        <v>0</v>
      </c>
      <c r="JOO20" s="252">
        <v>0</v>
      </c>
      <c r="JOP20" s="252">
        <v>0</v>
      </c>
      <c r="JOQ20" s="252">
        <v>0</v>
      </c>
      <c r="JOR20" s="252">
        <v>0</v>
      </c>
      <c r="JOS20" s="252">
        <v>0</v>
      </c>
      <c r="JOT20" s="252">
        <v>0</v>
      </c>
      <c r="JOU20" s="252">
        <v>0</v>
      </c>
      <c r="JOV20" s="252">
        <v>0</v>
      </c>
      <c r="JOW20" s="252">
        <v>0</v>
      </c>
      <c r="JOX20" s="252">
        <v>0</v>
      </c>
      <c r="JOY20" s="252">
        <v>0</v>
      </c>
      <c r="JOZ20" s="252">
        <v>0</v>
      </c>
      <c r="JPA20" s="252">
        <v>0</v>
      </c>
      <c r="JPB20" s="252">
        <v>0</v>
      </c>
      <c r="JPC20" s="252">
        <v>0</v>
      </c>
      <c r="JPD20" s="252">
        <v>0</v>
      </c>
      <c r="JPE20" s="252">
        <v>0</v>
      </c>
      <c r="JPF20" s="252">
        <v>0</v>
      </c>
      <c r="JPG20" s="252">
        <v>0</v>
      </c>
      <c r="JPH20" s="252">
        <v>0</v>
      </c>
      <c r="JPI20" s="252">
        <v>0</v>
      </c>
      <c r="JPJ20" s="252">
        <v>0</v>
      </c>
      <c r="JPK20" s="252">
        <v>0</v>
      </c>
      <c r="JPL20" s="252">
        <v>0</v>
      </c>
      <c r="JPM20" s="252">
        <v>0</v>
      </c>
      <c r="JPN20" s="252">
        <v>0</v>
      </c>
      <c r="JPO20" s="252">
        <v>0</v>
      </c>
      <c r="JPP20" s="252">
        <v>0</v>
      </c>
      <c r="JPQ20" s="252">
        <v>0</v>
      </c>
      <c r="JPR20" s="252">
        <v>0</v>
      </c>
      <c r="JPS20" s="252">
        <v>0</v>
      </c>
      <c r="JPT20" s="252">
        <v>0</v>
      </c>
      <c r="JPU20" s="252">
        <v>0</v>
      </c>
      <c r="JPV20" s="252">
        <v>0</v>
      </c>
      <c r="JPW20" s="252">
        <v>0</v>
      </c>
      <c r="JPX20" s="252">
        <v>0</v>
      </c>
      <c r="JPY20" s="252">
        <v>0</v>
      </c>
      <c r="JPZ20" s="252">
        <v>0</v>
      </c>
      <c r="JQA20" s="252">
        <v>0</v>
      </c>
      <c r="JQB20" s="252">
        <v>0</v>
      </c>
      <c r="JQC20" s="252">
        <v>0</v>
      </c>
      <c r="JQD20" s="252">
        <v>0</v>
      </c>
      <c r="JQE20" s="252">
        <v>0</v>
      </c>
      <c r="JQF20" s="252">
        <v>0</v>
      </c>
      <c r="JQG20" s="252">
        <v>0</v>
      </c>
      <c r="JQH20" s="252">
        <v>0</v>
      </c>
      <c r="JQI20" s="252">
        <v>0</v>
      </c>
      <c r="JQJ20" s="252">
        <v>0</v>
      </c>
      <c r="JQK20" s="252">
        <v>0</v>
      </c>
      <c r="JQL20" s="252">
        <v>0</v>
      </c>
      <c r="JQM20" s="252">
        <v>0</v>
      </c>
      <c r="JQN20" s="252">
        <v>0</v>
      </c>
      <c r="JQO20" s="252">
        <v>0</v>
      </c>
      <c r="JQP20" s="252">
        <v>0</v>
      </c>
      <c r="JQQ20" s="252">
        <v>0</v>
      </c>
      <c r="JQR20" s="252">
        <v>0</v>
      </c>
      <c r="JQS20" s="252">
        <v>0</v>
      </c>
      <c r="JQT20" s="252">
        <v>0</v>
      </c>
      <c r="JQU20" s="252">
        <v>0</v>
      </c>
      <c r="JQV20" s="252">
        <v>0</v>
      </c>
      <c r="JQW20" s="252">
        <v>0</v>
      </c>
      <c r="JQX20" s="252">
        <v>0</v>
      </c>
      <c r="JQY20" s="252">
        <v>0</v>
      </c>
      <c r="JQZ20" s="252">
        <v>0</v>
      </c>
      <c r="JRA20" s="252">
        <v>0</v>
      </c>
      <c r="JRB20" s="252">
        <v>0</v>
      </c>
      <c r="JRC20" s="252">
        <v>0</v>
      </c>
      <c r="JRD20" s="252">
        <v>0</v>
      </c>
      <c r="JRE20" s="252">
        <v>0</v>
      </c>
      <c r="JRF20" s="252">
        <v>0</v>
      </c>
      <c r="JRG20" s="252">
        <v>0</v>
      </c>
      <c r="JRH20" s="252">
        <v>0</v>
      </c>
      <c r="JRI20" s="252">
        <v>0</v>
      </c>
      <c r="JRJ20" s="252">
        <v>0</v>
      </c>
      <c r="JRK20" s="252">
        <v>0</v>
      </c>
      <c r="JRL20" s="252">
        <v>0</v>
      </c>
      <c r="JRM20" s="252">
        <v>0</v>
      </c>
      <c r="JRN20" s="252">
        <v>0</v>
      </c>
      <c r="JRO20" s="252">
        <v>0</v>
      </c>
      <c r="JRP20" s="252">
        <v>0</v>
      </c>
      <c r="JRQ20" s="252">
        <v>0</v>
      </c>
      <c r="JRR20" s="252">
        <v>0</v>
      </c>
      <c r="JRS20" s="252">
        <v>0</v>
      </c>
      <c r="JRT20" s="252">
        <v>0</v>
      </c>
      <c r="JRU20" s="252">
        <v>0</v>
      </c>
      <c r="JRV20" s="252">
        <v>0</v>
      </c>
      <c r="JRW20" s="252">
        <v>0</v>
      </c>
      <c r="JRX20" s="252">
        <v>0</v>
      </c>
      <c r="JRY20" s="252">
        <v>0</v>
      </c>
      <c r="JRZ20" s="252">
        <v>0</v>
      </c>
      <c r="JSA20" s="252">
        <v>0</v>
      </c>
      <c r="JSB20" s="252">
        <v>0</v>
      </c>
      <c r="JSC20" s="252">
        <v>0</v>
      </c>
      <c r="JSD20" s="252">
        <v>0</v>
      </c>
      <c r="JSE20" s="252">
        <v>0</v>
      </c>
      <c r="JSF20" s="252">
        <v>0</v>
      </c>
      <c r="JSG20" s="252">
        <v>0</v>
      </c>
      <c r="JSH20" s="252">
        <v>0</v>
      </c>
      <c r="JSI20" s="252">
        <v>0</v>
      </c>
      <c r="JSJ20" s="252">
        <v>0</v>
      </c>
      <c r="JSK20" s="252">
        <v>0</v>
      </c>
      <c r="JSL20" s="252">
        <v>0</v>
      </c>
      <c r="JSM20" s="252">
        <v>0</v>
      </c>
      <c r="JSN20" s="252">
        <v>0</v>
      </c>
      <c r="JSO20" s="252">
        <v>0</v>
      </c>
      <c r="JSP20" s="252">
        <v>0</v>
      </c>
      <c r="JSQ20" s="252">
        <v>0</v>
      </c>
      <c r="JSR20" s="252">
        <v>0</v>
      </c>
      <c r="JSS20" s="252">
        <v>0</v>
      </c>
      <c r="JST20" s="252">
        <v>0</v>
      </c>
      <c r="JSU20" s="252">
        <v>0</v>
      </c>
      <c r="JSV20" s="252">
        <v>0</v>
      </c>
      <c r="JSW20" s="252">
        <v>0</v>
      </c>
      <c r="JSX20" s="252">
        <v>0</v>
      </c>
      <c r="JSY20" s="252">
        <v>0</v>
      </c>
      <c r="JSZ20" s="252">
        <v>0</v>
      </c>
      <c r="JTA20" s="252">
        <v>0</v>
      </c>
      <c r="JTB20" s="252">
        <v>0</v>
      </c>
      <c r="JTC20" s="252">
        <v>0</v>
      </c>
      <c r="JTD20" s="252">
        <v>0</v>
      </c>
      <c r="JTE20" s="252">
        <v>0</v>
      </c>
      <c r="JTF20" s="252">
        <v>0</v>
      </c>
      <c r="JTG20" s="252">
        <v>0</v>
      </c>
      <c r="JTH20" s="252">
        <v>0</v>
      </c>
      <c r="JTI20" s="252">
        <v>0</v>
      </c>
      <c r="JTJ20" s="252">
        <v>0</v>
      </c>
      <c r="JTK20" s="252">
        <v>0</v>
      </c>
      <c r="JTL20" s="252">
        <v>0</v>
      </c>
      <c r="JTM20" s="252">
        <v>0</v>
      </c>
      <c r="JTN20" s="252">
        <v>0</v>
      </c>
      <c r="JTO20" s="252">
        <v>0</v>
      </c>
      <c r="JTP20" s="252">
        <v>0</v>
      </c>
      <c r="JTQ20" s="252">
        <v>0</v>
      </c>
      <c r="JTR20" s="252">
        <v>0</v>
      </c>
      <c r="JTS20" s="252">
        <v>0</v>
      </c>
      <c r="JTT20" s="252">
        <v>0</v>
      </c>
      <c r="JTU20" s="252">
        <v>0</v>
      </c>
      <c r="JTV20" s="252">
        <v>0</v>
      </c>
      <c r="JTW20" s="252">
        <v>0</v>
      </c>
      <c r="JTX20" s="252">
        <v>0</v>
      </c>
      <c r="JTY20" s="252">
        <v>0</v>
      </c>
      <c r="JTZ20" s="252">
        <v>0</v>
      </c>
      <c r="JUA20" s="252">
        <v>0</v>
      </c>
      <c r="JUB20" s="252">
        <v>0</v>
      </c>
      <c r="JUC20" s="252">
        <v>0</v>
      </c>
      <c r="JUD20" s="252">
        <v>0</v>
      </c>
      <c r="JUE20" s="252">
        <v>0</v>
      </c>
      <c r="JUF20" s="252">
        <v>0</v>
      </c>
      <c r="JUG20" s="252">
        <v>0</v>
      </c>
      <c r="JUH20" s="252">
        <v>0</v>
      </c>
      <c r="JUI20" s="252">
        <v>0</v>
      </c>
      <c r="JUJ20" s="252">
        <v>0</v>
      </c>
      <c r="JUK20" s="252">
        <v>0</v>
      </c>
      <c r="JUL20" s="252">
        <v>0</v>
      </c>
      <c r="JUM20" s="252">
        <v>0</v>
      </c>
      <c r="JUN20" s="252">
        <v>0</v>
      </c>
      <c r="JUO20" s="252">
        <v>0</v>
      </c>
      <c r="JUP20" s="252">
        <v>0</v>
      </c>
      <c r="JUQ20" s="252">
        <v>0</v>
      </c>
      <c r="JUR20" s="252">
        <v>0</v>
      </c>
      <c r="JUS20" s="252">
        <v>0</v>
      </c>
      <c r="JUT20" s="252">
        <v>0</v>
      </c>
      <c r="JUU20" s="252">
        <v>0</v>
      </c>
      <c r="JUV20" s="252">
        <v>0</v>
      </c>
      <c r="JUW20" s="252">
        <v>0</v>
      </c>
      <c r="JUX20" s="252">
        <v>0</v>
      </c>
      <c r="JUY20" s="252">
        <v>0</v>
      </c>
      <c r="JUZ20" s="252">
        <v>0</v>
      </c>
      <c r="JVA20" s="252">
        <v>0</v>
      </c>
      <c r="JVB20" s="252">
        <v>0</v>
      </c>
      <c r="JVC20" s="252">
        <v>0</v>
      </c>
      <c r="JVD20" s="252">
        <v>0</v>
      </c>
      <c r="JVE20" s="252">
        <v>0</v>
      </c>
      <c r="JVF20" s="252">
        <v>0</v>
      </c>
      <c r="JVG20" s="252">
        <v>0</v>
      </c>
      <c r="JVH20" s="252">
        <v>0</v>
      </c>
      <c r="JVI20" s="252">
        <v>0</v>
      </c>
      <c r="JVJ20" s="252">
        <v>0</v>
      </c>
      <c r="JVK20" s="252">
        <v>0</v>
      </c>
      <c r="JVL20" s="252">
        <v>0</v>
      </c>
      <c r="JVM20" s="252">
        <v>0</v>
      </c>
      <c r="JVN20" s="252">
        <v>0</v>
      </c>
      <c r="JVO20" s="252">
        <v>0</v>
      </c>
      <c r="JVP20" s="252">
        <v>0</v>
      </c>
      <c r="JVQ20" s="252">
        <v>0</v>
      </c>
      <c r="JVR20" s="252">
        <v>0</v>
      </c>
      <c r="JVS20" s="252">
        <v>0</v>
      </c>
      <c r="JVT20" s="252">
        <v>0</v>
      </c>
      <c r="JVU20" s="252">
        <v>0</v>
      </c>
      <c r="JVV20" s="252">
        <v>0</v>
      </c>
      <c r="JVW20" s="252">
        <v>0</v>
      </c>
      <c r="JVX20" s="252">
        <v>0</v>
      </c>
      <c r="JVY20" s="252">
        <v>0</v>
      </c>
      <c r="JVZ20" s="252">
        <v>0</v>
      </c>
      <c r="JWA20" s="252">
        <v>0</v>
      </c>
      <c r="JWB20" s="252">
        <v>0</v>
      </c>
      <c r="JWC20" s="252">
        <v>0</v>
      </c>
      <c r="JWD20" s="252">
        <v>0</v>
      </c>
      <c r="JWE20" s="252">
        <v>0</v>
      </c>
      <c r="JWF20" s="252">
        <v>0</v>
      </c>
      <c r="JWG20" s="252">
        <v>0</v>
      </c>
      <c r="JWH20" s="252">
        <v>0</v>
      </c>
      <c r="JWI20" s="252">
        <v>0</v>
      </c>
      <c r="JWJ20" s="252">
        <v>0</v>
      </c>
      <c r="JWK20" s="252">
        <v>0</v>
      </c>
      <c r="JWL20" s="252">
        <v>0</v>
      </c>
      <c r="JWM20" s="252">
        <v>0</v>
      </c>
      <c r="JWN20" s="252">
        <v>0</v>
      </c>
      <c r="JWO20" s="252">
        <v>0</v>
      </c>
      <c r="JWP20" s="252">
        <v>0</v>
      </c>
      <c r="JWQ20" s="252">
        <v>0</v>
      </c>
      <c r="JWR20" s="252">
        <v>0</v>
      </c>
      <c r="JWS20" s="252">
        <v>0</v>
      </c>
      <c r="JWT20" s="252">
        <v>0</v>
      </c>
      <c r="JWU20" s="252">
        <v>0</v>
      </c>
      <c r="JWV20" s="252">
        <v>0</v>
      </c>
      <c r="JWW20" s="252">
        <v>0</v>
      </c>
      <c r="JWX20" s="252">
        <v>0</v>
      </c>
      <c r="JWY20" s="252">
        <v>0</v>
      </c>
      <c r="JWZ20" s="252">
        <v>0</v>
      </c>
      <c r="JXA20" s="252">
        <v>0</v>
      </c>
      <c r="JXB20" s="252">
        <v>0</v>
      </c>
      <c r="JXC20" s="252">
        <v>0</v>
      </c>
      <c r="JXD20" s="252">
        <v>0</v>
      </c>
      <c r="JXE20" s="252">
        <v>0</v>
      </c>
      <c r="JXF20" s="252">
        <v>0</v>
      </c>
      <c r="JXG20" s="252">
        <v>0</v>
      </c>
      <c r="JXH20" s="252">
        <v>0</v>
      </c>
      <c r="JXI20" s="252">
        <v>0</v>
      </c>
      <c r="JXJ20" s="252">
        <v>0</v>
      </c>
      <c r="JXK20" s="252">
        <v>0</v>
      </c>
      <c r="JXL20" s="252">
        <v>0</v>
      </c>
      <c r="JXM20" s="252">
        <v>0</v>
      </c>
      <c r="JXN20" s="252">
        <v>0</v>
      </c>
      <c r="JXO20" s="252">
        <v>0</v>
      </c>
      <c r="JXP20" s="252">
        <v>0</v>
      </c>
      <c r="JXQ20" s="252">
        <v>0</v>
      </c>
      <c r="JXR20" s="252">
        <v>0</v>
      </c>
      <c r="JXS20" s="252">
        <v>0</v>
      </c>
      <c r="JXT20" s="252">
        <v>0</v>
      </c>
      <c r="JXU20" s="252">
        <v>0</v>
      </c>
      <c r="JXV20" s="252">
        <v>0</v>
      </c>
      <c r="JXW20" s="252">
        <v>0</v>
      </c>
      <c r="JXX20" s="252">
        <v>0</v>
      </c>
      <c r="JXY20" s="252">
        <v>0</v>
      </c>
      <c r="JXZ20" s="252">
        <v>0</v>
      </c>
      <c r="JYA20" s="252">
        <v>0</v>
      </c>
      <c r="JYB20" s="252">
        <v>0</v>
      </c>
      <c r="JYC20" s="252">
        <v>0</v>
      </c>
      <c r="JYD20" s="252">
        <v>0</v>
      </c>
      <c r="JYE20" s="252">
        <v>0</v>
      </c>
      <c r="JYF20" s="252">
        <v>0</v>
      </c>
      <c r="JYG20" s="252">
        <v>0</v>
      </c>
      <c r="JYH20" s="252">
        <v>0</v>
      </c>
      <c r="JYI20" s="252">
        <v>0</v>
      </c>
      <c r="JYJ20" s="252">
        <v>0</v>
      </c>
      <c r="JYK20" s="252">
        <v>0</v>
      </c>
      <c r="JYL20" s="252">
        <v>0</v>
      </c>
      <c r="JYM20" s="252">
        <v>0</v>
      </c>
      <c r="JYN20" s="252">
        <v>0</v>
      </c>
      <c r="JYO20" s="252">
        <v>0</v>
      </c>
      <c r="JYP20" s="252">
        <v>0</v>
      </c>
      <c r="JYQ20" s="252">
        <v>0</v>
      </c>
      <c r="JYR20" s="252">
        <v>0</v>
      </c>
      <c r="JYS20" s="252">
        <v>0</v>
      </c>
      <c r="JYT20" s="252">
        <v>0</v>
      </c>
      <c r="JYU20" s="252">
        <v>0</v>
      </c>
      <c r="JYV20" s="252">
        <v>0</v>
      </c>
      <c r="JYW20" s="252">
        <v>0</v>
      </c>
      <c r="JYX20" s="252">
        <v>0</v>
      </c>
      <c r="JYY20" s="252">
        <v>0</v>
      </c>
      <c r="JYZ20" s="252">
        <v>0</v>
      </c>
      <c r="JZA20" s="252">
        <v>0</v>
      </c>
      <c r="JZB20" s="252">
        <v>0</v>
      </c>
      <c r="JZC20" s="252">
        <v>0</v>
      </c>
      <c r="JZD20" s="252">
        <v>0</v>
      </c>
      <c r="JZE20" s="252">
        <v>0</v>
      </c>
      <c r="JZF20" s="252">
        <v>0</v>
      </c>
      <c r="JZG20" s="252">
        <v>0</v>
      </c>
      <c r="JZH20" s="252">
        <v>0</v>
      </c>
      <c r="JZI20" s="252">
        <v>0</v>
      </c>
      <c r="JZJ20" s="252">
        <v>0</v>
      </c>
      <c r="JZK20" s="252">
        <v>0</v>
      </c>
      <c r="JZL20" s="252">
        <v>0</v>
      </c>
      <c r="JZM20" s="252">
        <v>0</v>
      </c>
      <c r="JZN20" s="252">
        <v>0</v>
      </c>
      <c r="JZO20" s="252">
        <v>0</v>
      </c>
      <c r="JZP20" s="252">
        <v>0</v>
      </c>
      <c r="JZQ20" s="252">
        <v>0</v>
      </c>
      <c r="JZR20" s="252">
        <v>0</v>
      </c>
      <c r="JZS20" s="252">
        <v>0</v>
      </c>
      <c r="JZT20" s="252">
        <v>0</v>
      </c>
      <c r="JZU20" s="252">
        <v>0</v>
      </c>
      <c r="JZV20" s="252">
        <v>0</v>
      </c>
      <c r="JZW20" s="252">
        <v>0</v>
      </c>
      <c r="JZX20" s="252">
        <v>0</v>
      </c>
      <c r="JZY20" s="252">
        <v>0</v>
      </c>
      <c r="JZZ20" s="252">
        <v>0</v>
      </c>
      <c r="KAA20" s="252">
        <v>0</v>
      </c>
      <c r="KAB20" s="252">
        <v>0</v>
      </c>
      <c r="KAC20" s="252">
        <v>0</v>
      </c>
      <c r="KAD20" s="252">
        <v>0</v>
      </c>
      <c r="KAE20" s="252">
        <v>0</v>
      </c>
      <c r="KAF20" s="252">
        <v>0</v>
      </c>
      <c r="KAG20" s="252">
        <v>0</v>
      </c>
      <c r="KAH20" s="252">
        <v>0</v>
      </c>
      <c r="KAI20" s="252">
        <v>0</v>
      </c>
      <c r="KAJ20" s="252">
        <v>0</v>
      </c>
      <c r="KAK20" s="252">
        <v>0</v>
      </c>
      <c r="KAL20" s="252">
        <v>0</v>
      </c>
      <c r="KAM20" s="252">
        <v>0</v>
      </c>
      <c r="KAN20" s="252">
        <v>0</v>
      </c>
      <c r="KAO20" s="252">
        <v>0</v>
      </c>
      <c r="KAP20" s="252">
        <v>0</v>
      </c>
      <c r="KAQ20" s="252">
        <v>0</v>
      </c>
      <c r="KAR20" s="252">
        <v>0</v>
      </c>
      <c r="KAS20" s="252">
        <v>0</v>
      </c>
      <c r="KAT20" s="252">
        <v>0</v>
      </c>
      <c r="KAU20" s="252">
        <v>0</v>
      </c>
      <c r="KAV20" s="252">
        <v>0</v>
      </c>
      <c r="KAW20" s="252">
        <v>0</v>
      </c>
      <c r="KAX20" s="252">
        <v>0</v>
      </c>
      <c r="KAY20" s="252">
        <v>0</v>
      </c>
      <c r="KAZ20" s="252">
        <v>0</v>
      </c>
      <c r="KBA20" s="252">
        <v>0</v>
      </c>
      <c r="KBB20" s="252">
        <v>0</v>
      </c>
      <c r="KBC20" s="252">
        <v>0</v>
      </c>
      <c r="KBD20" s="252">
        <v>0</v>
      </c>
      <c r="KBE20" s="252">
        <v>0</v>
      </c>
      <c r="KBF20" s="252">
        <v>0</v>
      </c>
      <c r="KBG20" s="252">
        <v>0</v>
      </c>
      <c r="KBH20" s="252">
        <v>0</v>
      </c>
      <c r="KBI20" s="252">
        <v>0</v>
      </c>
      <c r="KBJ20" s="252">
        <v>0</v>
      </c>
      <c r="KBK20" s="252">
        <v>0</v>
      </c>
      <c r="KBL20" s="252">
        <v>0</v>
      </c>
      <c r="KBM20" s="252">
        <v>0</v>
      </c>
      <c r="KBN20" s="252">
        <v>0</v>
      </c>
      <c r="KBO20" s="252">
        <v>0</v>
      </c>
      <c r="KBP20" s="252">
        <v>0</v>
      </c>
      <c r="KBQ20" s="252">
        <v>0</v>
      </c>
      <c r="KBR20" s="252">
        <v>0</v>
      </c>
      <c r="KBS20" s="252">
        <v>0</v>
      </c>
      <c r="KBT20" s="252">
        <v>0</v>
      </c>
      <c r="KBU20" s="252">
        <v>0</v>
      </c>
      <c r="KBV20" s="252">
        <v>0</v>
      </c>
      <c r="KBW20" s="252">
        <v>0</v>
      </c>
      <c r="KBX20" s="252">
        <v>0</v>
      </c>
      <c r="KBY20" s="252">
        <v>0</v>
      </c>
      <c r="KBZ20" s="252">
        <v>0</v>
      </c>
      <c r="KCA20" s="252">
        <v>0</v>
      </c>
      <c r="KCB20" s="252">
        <v>0</v>
      </c>
      <c r="KCC20" s="252">
        <v>0</v>
      </c>
      <c r="KCD20" s="252">
        <v>0</v>
      </c>
      <c r="KCE20" s="252">
        <v>0</v>
      </c>
      <c r="KCF20" s="252">
        <v>0</v>
      </c>
      <c r="KCG20" s="252">
        <v>0</v>
      </c>
      <c r="KCH20" s="252">
        <v>0</v>
      </c>
      <c r="KCI20" s="252">
        <v>0</v>
      </c>
      <c r="KCJ20" s="252">
        <v>0</v>
      </c>
      <c r="KCK20" s="252">
        <v>0</v>
      </c>
      <c r="KCL20" s="252">
        <v>0</v>
      </c>
      <c r="KCM20" s="252">
        <v>0</v>
      </c>
      <c r="KCN20" s="252">
        <v>0</v>
      </c>
      <c r="KCO20" s="252">
        <v>0</v>
      </c>
      <c r="KCP20" s="252">
        <v>0</v>
      </c>
      <c r="KCQ20" s="252">
        <v>0</v>
      </c>
      <c r="KCR20" s="252">
        <v>0</v>
      </c>
      <c r="KCS20" s="252">
        <v>0</v>
      </c>
      <c r="KCT20" s="252">
        <v>0</v>
      </c>
      <c r="KCU20" s="252">
        <v>0</v>
      </c>
      <c r="KCV20" s="252">
        <v>0</v>
      </c>
      <c r="KCW20" s="252">
        <v>0</v>
      </c>
      <c r="KCX20" s="252">
        <v>0</v>
      </c>
      <c r="KCY20" s="252">
        <v>0</v>
      </c>
      <c r="KCZ20" s="252">
        <v>0</v>
      </c>
      <c r="KDA20" s="252">
        <v>0</v>
      </c>
      <c r="KDB20" s="252">
        <v>0</v>
      </c>
      <c r="KDC20" s="252">
        <v>0</v>
      </c>
      <c r="KDD20" s="252">
        <v>0</v>
      </c>
      <c r="KDE20" s="252">
        <v>0</v>
      </c>
      <c r="KDF20" s="252">
        <v>0</v>
      </c>
      <c r="KDG20" s="252">
        <v>0</v>
      </c>
      <c r="KDH20" s="252">
        <v>0</v>
      </c>
      <c r="KDI20" s="252">
        <v>0</v>
      </c>
      <c r="KDJ20" s="252">
        <v>0</v>
      </c>
      <c r="KDK20" s="252">
        <v>0</v>
      </c>
      <c r="KDL20" s="252">
        <v>0</v>
      </c>
      <c r="KDM20" s="252">
        <v>0</v>
      </c>
      <c r="KDN20" s="252">
        <v>0</v>
      </c>
      <c r="KDO20" s="252">
        <v>0</v>
      </c>
      <c r="KDP20" s="252">
        <v>0</v>
      </c>
      <c r="KDQ20" s="252">
        <v>0</v>
      </c>
      <c r="KDR20" s="252">
        <v>0</v>
      </c>
      <c r="KDS20" s="252">
        <v>0</v>
      </c>
      <c r="KDT20" s="252">
        <v>0</v>
      </c>
      <c r="KDU20" s="252">
        <v>0</v>
      </c>
      <c r="KDV20" s="252">
        <v>0</v>
      </c>
      <c r="KDW20" s="252">
        <v>0</v>
      </c>
      <c r="KDX20" s="252">
        <v>0</v>
      </c>
      <c r="KDY20" s="252">
        <v>0</v>
      </c>
      <c r="KDZ20" s="252">
        <v>0</v>
      </c>
      <c r="KEA20" s="252">
        <v>0</v>
      </c>
      <c r="KEB20" s="252">
        <v>0</v>
      </c>
      <c r="KEC20" s="252">
        <v>0</v>
      </c>
      <c r="KED20" s="252">
        <v>0</v>
      </c>
      <c r="KEE20" s="252">
        <v>0</v>
      </c>
      <c r="KEF20" s="252">
        <v>0</v>
      </c>
      <c r="KEG20" s="252">
        <v>0</v>
      </c>
      <c r="KEH20" s="252">
        <v>0</v>
      </c>
      <c r="KEI20" s="252">
        <v>0</v>
      </c>
      <c r="KEJ20" s="252">
        <v>0</v>
      </c>
      <c r="KEK20" s="252">
        <v>0</v>
      </c>
      <c r="KEL20" s="252">
        <v>0</v>
      </c>
      <c r="KEM20" s="252">
        <v>0</v>
      </c>
      <c r="KEN20" s="252">
        <v>0</v>
      </c>
      <c r="KEO20" s="252">
        <v>0</v>
      </c>
      <c r="KEP20" s="252">
        <v>0</v>
      </c>
      <c r="KEQ20" s="252">
        <v>0</v>
      </c>
      <c r="KER20" s="252">
        <v>0</v>
      </c>
      <c r="KES20" s="252">
        <v>0</v>
      </c>
      <c r="KET20" s="252">
        <v>0</v>
      </c>
      <c r="KEU20" s="252">
        <v>0</v>
      </c>
      <c r="KEV20" s="252">
        <v>0</v>
      </c>
      <c r="KEW20" s="252">
        <v>0</v>
      </c>
      <c r="KEX20" s="252">
        <v>0</v>
      </c>
      <c r="KEY20" s="252">
        <v>0</v>
      </c>
      <c r="KEZ20" s="252">
        <v>0</v>
      </c>
      <c r="KFA20" s="252">
        <v>0</v>
      </c>
      <c r="KFB20" s="252">
        <v>0</v>
      </c>
      <c r="KFC20" s="252">
        <v>0</v>
      </c>
      <c r="KFD20" s="252">
        <v>0</v>
      </c>
      <c r="KFE20" s="252">
        <v>0</v>
      </c>
      <c r="KFF20" s="252">
        <v>0</v>
      </c>
      <c r="KFG20" s="252">
        <v>0</v>
      </c>
      <c r="KFH20" s="252">
        <v>0</v>
      </c>
      <c r="KFI20" s="252">
        <v>0</v>
      </c>
      <c r="KFJ20" s="252">
        <v>0</v>
      </c>
      <c r="KFK20" s="252">
        <v>0</v>
      </c>
      <c r="KFL20" s="252">
        <v>0</v>
      </c>
      <c r="KFM20" s="252">
        <v>0</v>
      </c>
      <c r="KFN20" s="252">
        <v>0</v>
      </c>
      <c r="KFO20" s="252">
        <v>0</v>
      </c>
      <c r="KFP20" s="252">
        <v>0</v>
      </c>
      <c r="KFQ20" s="252">
        <v>0</v>
      </c>
      <c r="KFR20" s="252">
        <v>0</v>
      </c>
      <c r="KFS20" s="252">
        <v>0</v>
      </c>
      <c r="KFT20" s="252">
        <v>0</v>
      </c>
      <c r="KFU20" s="252">
        <v>0</v>
      </c>
      <c r="KFV20" s="252">
        <v>0</v>
      </c>
      <c r="KFW20" s="252">
        <v>0</v>
      </c>
      <c r="KFX20" s="252">
        <v>0</v>
      </c>
      <c r="KFY20" s="252">
        <v>0</v>
      </c>
      <c r="KFZ20" s="252">
        <v>0</v>
      </c>
      <c r="KGA20" s="252">
        <v>0</v>
      </c>
      <c r="KGB20" s="252">
        <v>0</v>
      </c>
      <c r="KGC20" s="252">
        <v>0</v>
      </c>
      <c r="KGD20" s="252">
        <v>0</v>
      </c>
      <c r="KGE20" s="252">
        <v>0</v>
      </c>
      <c r="KGF20" s="252">
        <v>0</v>
      </c>
      <c r="KGG20" s="252">
        <v>0</v>
      </c>
      <c r="KGH20" s="252">
        <v>0</v>
      </c>
      <c r="KGI20" s="252">
        <v>0</v>
      </c>
      <c r="KGJ20" s="252">
        <v>0</v>
      </c>
      <c r="KGK20" s="252">
        <v>0</v>
      </c>
      <c r="KGL20" s="252">
        <v>0</v>
      </c>
      <c r="KGM20" s="252">
        <v>0</v>
      </c>
      <c r="KGN20" s="252">
        <v>0</v>
      </c>
      <c r="KGO20" s="252">
        <v>0</v>
      </c>
      <c r="KGP20" s="252">
        <v>0</v>
      </c>
      <c r="KGQ20" s="252">
        <v>0</v>
      </c>
      <c r="KGR20" s="252">
        <v>0</v>
      </c>
      <c r="KGS20" s="252">
        <v>0</v>
      </c>
      <c r="KGT20" s="252">
        <v>0</v>
      </c>
      <c r="KGU20" s="252">
        <v>0</v>
      </c>
      <c r="KGV20" s="252">
        <v>0</v>
      </c>
      <c r="KGW20" s="252">
        <v>0</v>
      </c>
      <c r="KGX20" s="252">
        <v>0</v>
      </c>
      <c r="KGY20" s="252">
        <v>0</v>
      </c>
      <c r="KGZ20" s="252">
        <v>0</v>
      </c>
      <c r="KHA20" s="252">
        <v>0</v>
      </c>
      <c r="KHB20" s="252">
        <v>0</v>
      </c>
      <c r="KHC20" s="252">
        <v>0</v>
      </c>
      <c r="KHD20" s="252">
        <v>0</v>
      </c>
      <c r="KHE20" s="252">
        <v>0</v>
      </c>
      <c r="KHF20" s="252">
        <v>0</v>
      </c>
      <c r="KHG20" s="252">
        <v>0</v>
      </c>
      <c r="KHH20" s="252">
        <v>0</v>
      </c>
      <c r="KHI20" s="252">
        <v>0</v>
      </c>
      <c r="KHJ20" s="252">
        <v>0</v>
      </c>
      <c r="KHK20" s="252">
        <v>0</v>
      </c>
      <c r="KHL20" s="252">
        <v>0</v>
      </c>
      <c r="KHM20" s="252">
        <v>0</v>
      </c>
      <c r="KHN20" s="252">
        <v>0</v>
      </c>
      <c r="KHO20" s="252">
        <v>0</v>
      </c>
      <c r="KHP20" s="252">
        <v>0</v>
      </c>
      <c r="KHQ20" s="252">
        <v>0</v>
      </c>
      <c r="KHR20" s="252">
        <v>0</v>
      </c>
      <c r="KHS20" s="252">
        <v>0</v>
      </c>
      <c r="KHT20" s="252">
        <v>0</v>
      </c>
      <c r="KHU20" s="252">
        <v>0</v>
      </c>
      <c r="KHV20" s="252">
        <v>0</v>
      </c>
      <c r="KHW20" s="252">
        <v>0</v>
      </c>
      <c r="KHX20" s="252">
        <v>0</v>
      </c>
      <c r="KHY20" s="252">
        <v>0</v>
      </c>
      <c r="KHZ20" s="252">
        <v>0</v>
      </c>
      <c r="KIA20" s="252">
        <v>0</v>
      </c>
      <c r="KIB20" s="252">
        <v>0</v>
      </c>
      <c r="KIC20" s="252">
        <v>0</v>
      </c>
      <c r="KID20" s="252">
        <v>0</v>
      </c>
      <c r="KIE20" s="252">
        <v>0</v>
      </c>
      <c r="KIF20" s="252">
        <v>0</v>
      </c>
      <c r="KIG20" s="252">
        <v>0</v>
      </c>
      <c r="KIH20" s="252">
        <v>0</v>
      </c>
      <c r="KII20" s="252">
        <v>0</v>
      </c>
      <c r="KIJ20" s="252">
        <v>0</v>
      </c>
      <c r="KIK20" s="252">
        <v>0</v>
      </c>
      <c r="KIL20" s="252">
        <v>0</v>
      </c>
      <c r="KIM20" s="252">
        <v>0</v>
      </c>
      <c r="KIN20" s="252">
        <v>0</v>
      </c>
      <c r="KIO20" s="252">
        <v>0</v>
      </c>
      <c r="KIP20" s="252">
        <v>0</v>
      </c>
      <c r="KIQ20" s="252">
        <v>0</v>
      </c>
      <c r="KIR20" s="252">
        <v>0</v>
      </c>
      <c r="KIS20" s="252">
        <v>0</v>
      </c>
      <c r="KIT20" s="252">
        <v>0</v>
      </c>
      <c r="KIU20" s="252">
        <v>0</v>
      </c>
      <c r="KIV20" s="252">
        <v>0</v>
      </c>
      <c r="KIW20" s="252">
        <v>0</v>
      </c>
      <c r="KIX20" s="252">
        <v>0</v>
      </c>
      <c r="KIY20" s="252">
        <v>0</v>
      </c>
      <c r="KIZ20" s="252">
        <v>0</v>
      </c>
      <c r="KJA20" s="252">
        <v>0</v>
      </c>
      <c r="KJB20" s="252">
        <v>0</v>
      </c>
      <c r="KJC20" s="252">
        <v>0</v>
      </c>
      <c r="KJD20" s="252">
        <v>0</v>
      </c>
      <c r="KJE20" s="252">
        <v>0</v>
      </c>
      <c r="KJF20" s="252">
        <v>0</v>
      </c>
      <c r="KJG20" s="252">
        <v>0</v>
      </c>
      <c r="KJH20" s="252">
        <v>0</v>
      </c>
      <c r="KJI20" s="252">
        <v>0</v>
      </c>
      <c r="KJJ20" s="252">
        <v>0</v>
      </c>
      <c r="KJK20" s="252">
        <v>0</v>
      </c>
      <c r="KJL20" s="252">
        <v>0</v>
      </c>
      <c r="KJM20" s="252">
        <v>0</v>
      </c>
      <c r="KJN20" s="252">
        <v>0</v>
      </c>
      <c r="KJO20" s="252">
        <v>0</v>
      </c>
      <c r="KJP20" s="252">
        <v>0</v>
      </c>
      <c r="KJQ20" s="252">
        <v>0</v>
      </c>
      <c r="KJR20" s="252">
        <v>0</v>
      </c>
      <c r="KJS20" s="252">
        <v>0</v>
      </c>
      <c r="KJT20" s="252">
        <v>0</v>
      </c>
      <c r="KJU20" s="252">
        <v>0</v>
      </c>
      <c r="KJV20" s="252">
        <v>0</v>
      </c>
      <c r="KJW20" s="252">
        <v>0</v>
      </c>
      <c r="KJX20" s="252">
        <v>0</v>
      </c>
      <c r="KJY20" s="252">
        <v>0</v>
      </c>
      <c r="KJZ20" s="252">
        <v>0</v>
      </c>
      <c r="KKA20" s="252">
        <v>0</v>
      </c>
      <c r="KKB20" s="252">
        <v>0</v>
      </c>
      <c r="KKC20" s="252">
        <v>0</v>
      </c>
      <c r="KKD20" s="252">
        <v>0</v>
      </c>
      <c r="KKE20" s="252">
        <v>0</v>
      </c>
      <c r="KKF20" s="252">
        <v>0</v>
      </c>
      <c r="KKG20" s="252">
        <v>0</v>
      </c>
      <c r="KKH20" s="252">
        <v>0</v>
      </c>
      <c r="KKI20" s="252">
        <v>0</v>
      </c>
      <c r="KKJ20" s="252">
        <v>0</v>
      </c>
      <c r="KKK20" s="252">
        <v>0</v>
      </c>
      <c r="KKL20" s="252">
        <v>0</v>
      </c>
      <c r="KKM20" s="252">
        <v>0</v>
      </c>
      <c r="KKN20" s="252">
        <v>0</v>
      </c>
      <c r="KKO20" s="252">
        <v>0</v>
      </c>
      <c r="KKP20" s="252">
        <v>0</v>
      </c>
      <c r="KKQ20" s="252">
        <v>0</v>
      </c>
      <c r="KKR20" s="252">
        <v>0</v>
      </c>
      <c r="KKS20" s="252">
        <v>0</v>
      </c>
      <c r="KKT20" s="252">
        <v>0</v>
      </c>
      <c r="KKU20" s="252">
        <v>0</v>
      </c>
      <c r="KKV20" s="252">
        <v>0</v>
      </c>
      <c r="KKW20" s="252">
        <v>0</v>
      </c>
      <c r="KKX20" s="252">
        <v>0</v>
      </c>
      <c r="KKY20" s="252">
        <v>0</v>
      </c>
      <c r="KKZ20" s="252">
        <v>0</v>
      </c>
      <c r="KLA20" s="252">
        <v>0</v>
      </c>
      <c r="KLB20" s="252">
        <v>0</v>
      </c>
      <c r="KLC20" s="252">
        <v>0</v>
      </c>
      <c r="KLD20" s="252">
        <v>0</v>
      </c>
      <c r="KLE20" s="252">
        <v>0</v>
      </c>
      <c r="KLF20" s="252">
        <v>0</v>
      </c>
      <c r="KLG20" s="252">
        <v>0</v>
      </c>
      <c r="KLH20" s="252">
        <v>0</v>
      </c>
      <c r="KLI20" s="252">
        <v>0</v>
      </c>
      <c r="KLJ20" s="252">
        <v>0</v>
      </c>
      <c r="KLK20" s="252">
        <v>0</v>
      </c>
      <c r="KLL20" s="252">
        <v>0</v>
      </c>
      <c r="KLM20" s="252">
        <v>0</v>
      </c>
      <c r="KLN20" s="252">
        <v>0</v>
      </c>
      <c r="KLO20" s="252">
        <v>0</v>
      </c>
      <c r="KLP20" s="252">
        <v>0</v>
      </c>
      <c r="KLQ20" s="252">
        <v>0</v>
      </c>
      <c r="KLR20" s="252">
        <v>0</v>
      </c>
      <c r="KLS20" s="252">
        <v>0</v>
      </c>
      <c r="KLT20" s="252">
        <v>0</v>
      </c>
      <c r="KLU20" s="252">
        <v>0</v>
      </c>
      <c r="KLV20" s="252">
        <v>0</v>
      </c>
      <c r="KLW20" s="252">
        <v>0</v>
      </c>
      <c r="KLX20" s="252">
        <v>0</v>
      </c>
      <c r="KLY20" s="252">
        <v>0</v>
      </c>
      <c r="KLZ20" s="252">
        <v>0</v>
      </c>
      <c r="KMA20" s="252">
        <v>0</v>
      </c>
      <c r="KMB20" s="252">
        <v>0</v>
      </c>
      <c r="KMC20" s="252">
        <v>0</v>
      </c>
      <c r="KMD20" s="252">
        <v>0</v>
      </c>
      <c r="KME20" s="252">
        <v>0</v>
      </c>
      <c r="KMF20" s="252">
        <v>0</v>
      </c>
      <c r="KMG20" s="252">
        <v>0</v>
      </c>
      <c r="KMH20" s="252">
        <v>0</v>
      </c>
      <c r="KMI20" s="252">
        <v>0</v>
      </c>
      <c r="KMJ20" s="252">
        <v>0</v>
      </c>
      <c r="KMK20" s="252">
        <v>0</v>
      </c>
      <c r="KML20" s="252">
        <v>0</v>
      </c>
      <c r="KMM20" s="252">
        <v>0</v>
      </c>
      <c r="KMN20" s="252">
        <v>0</v>
      </c>
      <c r="KMO20" s="252">
        <v>0</v>
      </c>
      <c r="KMP20" s="252">
        <v>0</v>
      </c>
      <c r="KMQ20" s="252">
        <v>0</v>
      </c>
      <c r="KMR20" s="252">
        <v>0</v>
      </c>
      <c r="KMS20" s="252">
        <v>0</v>
      </c>
      <c r="KMT20" s="252">
        <v>0</v>
      </c>
      <c r="KMU20" s="252">
        <v>0</v>
      </c>
      <c r="KMV20" s="252">
        <v>0</v>
      </c>
      <c r="KMW20" s="252">
        <v>0</v>
      </c>
      <c r="KMX20" s="252">
        <v>0</v>
      </c>
      <c r="KMY20" s="252">
        <v>0</v>
      </c>
      <c r="KMZ20" s="252">
        <v>0</v>
      </c>
      <c r="KNA20" s="252">
        <v>0</v>
      </c>
      <c r="KNB20" s="252">
        <v>0</v>
      </c>
      <c r="KNC20" s="252">
        <v>0</v>
      </c>
      <c r="KND20" s="252">
        <v>0</v>
      </c>
      <c r="KNE20" s="252">
        <v>0</v>
      </c>
      <c r="KNF20" s="252">
        <v>0</v>
      </c>
      <c r="KNG20" s="252">
        <v>0</v>
      </c>
      <c r="KNH20" s="252">
        <v>0</v>
      </c>
      <c r="KNI20" s="252">
        <v>0</v>
      </c>
      <c r="KNJ20" s="252">
        <v>0</v>
      </c>
      <c r="KNK20" s="252">
        <v>0</v>
      </c>
      <c r="KNL20" s="252">
        <v>0</v>
      </c>
      <c r="KNM20" s="252">
        <v>0</v>
      </c>
      <c r="KNN20" s="252">
        <v>0</v>
      </c>
      <c r="KNO20" s="252">
        <v>0</v>
      </c>
      <c r="KNP20" s="252">
        <v>0</v>
      </c>
      <c r="KNQ20" s="252">
        <v>0</v>
      </c>
      <c r="KNR20" s="252">
        <v>0</v>
      </c>
      <c r="KNS20" s="252">
        <v>0</v>
      </c>
      <c r="KNT20" s="252">
        <v>0</v>
      </c>
      <c r="KNU20" s="252">
        <v>0</v>
      </c>
      <c r="KNV20" s="252">
        <v>0</v>
      </c>
      <c r="KNW20" s="252">
        <v>0</v>
      </c>
      <c r="KNX20" s="252">
        <v>0</v>
      </c>
      <c r="KNY20" s="252">
        <v>0</v>
      </c>
      <c r="KNZ20" s="252">
        <v>0</v>
      </c>
      <c r="KOA20" s="252">
        <v>0</v>
      </c>
      <c r="KOB20" s="252">
        <v>0</v>
      </c>
      <c r="KOC20" s="252">
        <v>0</v>
      </c>
      <c r="KOD20" s="252">
        <v>0</v>
      </c>
      <c r="KOE20" s="252">
        <v>0</v>
      </c>
      <c r="KOF20" s="252">
        <v>0</v>
      </c>
      <c r="KOG20" s="252">
        <v>0</v>
      </c>
      <c r="KOH20" s="252">
        <v>0</v>
      </c>
      <c r="KOI20" s="252">
        <v>0</v>
      </c>
      <c r="KOJ20" s="252">
        <v>0</v>
      </c>
      <c r="KOK20" s="252">
        <v>0</v>
      </c>
      <c r="KOL20" s="252">
        <v>0</v>
      </c>
      <c r="KOM20" s="252">
        <v>0</v>
      </c>
      <c r="KON20" s="252">
        <v>0</v>
      </c>
      <c r="KOO20" s="252">
        <v>0</v>
      </c>
      <c r="KOP20" s="252">
        <v>0</v>
      </c>
      <c r="KOQ20" s="252">
        <v>0</v>
      </c>
      <c r="KOR20" s="252">
        <v>0</v>
      </c>
      <c r="KOS20" s="252">
        <v>0</v>
      </c>
      <c r="KOT20" s="252">
        <v>0</v>
      </c>
      <c r="KOU20" s="252">
        <v>0</v>
      </c>
      <c r="KOV20" s="252">
        <v>0</v>
      </c>
      <c r="KOW20" s="252">
        <v>0</v>
      </c>
      <c r="KOX20" s="252">
        <v>0</v>
      </c>
      <c r="KOY20" s="252">
        <v>0</v>
      </c>
      <c r="KOZ20" s="252">
        <v>0</v>
      </c>
      <c r="KPA20" s="252">
        <v>0</v>
      </c>
      <c r="KPB20" s="252">
        <v>0</v>
      </c>
      <c r="KPC20" s="252">
        <v>0</v>
      </c>
      <c r="KPD20" s="252">
        <v>0</v>
      </c>
      <c r="KPE20" s="252">
        <v>0</v>
      </c>
      <c r="KPF20" s="252">
        <v>0</v>
      </c>
      <c r="KPG20" s="252">
        <v>0</v>
      </c>
      <c r="KPH20" s="252">
        <v>0</v>
      </c>
      <c r="KPI20" s="252">
        <v>0</v>
      </c>
      <c r="KPJ20" s="252">
        <v>0</v>
      </c>
      <c r="KPK20" s="252">
        <v>0</v>
      </c>
      <c r="KPL20" s="252">
        <v>0</v>
      </c>
      <c r="KPM20" s="252">
        <v>0</v>
      </c>
      <c r="KPN20" s="252">
        <v>0</v>
      </c>
      <c r="KPO20" s="252">
        <v>0</v>
      </c>
      <c r="KPP20" s="252">
        <v>0</v>
      </c>
      <c r="KPQ20" s="252">
        <v>0</v>
      </c>
      <c r="KPR20" s="252">
        <v>0</v>
      </c>
      <c r="KPS20" s="252">
        <v>0</v>
      </c>
      <c r="KPT20" s="252">
        <v>0</v>
      </c>
      <c r="KPU20" s="252">
        <v>0</v>
      </c>
      <c r="KPV20" s="252">
        <v>0</v>
      </c>
      <c r="KPW20" s="252">
        <v>0</v>
      </c>
      <c r="KPX20" s="252">
        <v>0</v>
      </c>
      <c r="KPY20" s="252">
        <v>0</v>
      </c>
      <c r="KPZ20" s="252">
        <v>0</v>
      </c>
      <c r="KQA20" s="252">
        <v>0</v>
      </c>
      <c r="KQB20" s="252">
        <v>0</v>
      </c>
      <c r="KQC20" s="252">
        <v>0</v>
      </c>
      <c r="KQD20" s="252">
        <v>0</v>
      </c>
      <c r="KQE20" s="252">
        <v>0</v>
      </c>
      <c r="KQF20" s="252">
        <v>0</v>
      </c>
      <c r="KQG20" s="252">
        <v>0</v>
      </c>
      <c r="KQH20" s="252">
        <v>0</v>
      </c>
      <c r="KQI20" s="252">
        <v>0</v>
      </c>
      <c r="KQJ20" s="252">
        <v>0</v>
      </c>
      <c r="KQK20" s="252">
        <v>0</v>
      </c>
      <c r="KQL20" s="252">
        <v>0</v>
      </c>
      <c r="KQM20" s="252">
        <v>0</v>
      </c>
      <c r="KQN20" s="252">
        <v>0</v>
      </c>
      <c r="KQO20" s="252">
        <v>0</v>
      </c>
      <c r="KQP20" s="252">
        <v>0</v>
      </c>
      <c r="KQQ20" s="252">
        <v>0</v>
      </c>
      <c r="KQR20" s="252">
        <v>0</v>
      </c>
      <c r="KQS20" s="252">
        <v>0</v>
      </c>
      <c r="KQT20" s="252">
        <v>0</v>
      </c>
      <c r="KQU20" s="252">
        <v>0</v>
      </c>
      <c r="KQV20" s="252">
        <v>0</v>
      </c>
      <c r="KQW20" s="252">
        <v>0</v>
      </c>
      <c r="KQX20" s="252">
        <v>0</v>
      </c>
      <c r="KQY20" s="252">
        <v>0</v>
      </c>
      <c r="KQZ20" s="252">
        <v>0</v>
      </c>
      <c r="KRA20" s="252">
        <v>0</v>
      </c>
      <c r="KRB20" s="252">
        <v>0</v>
      </c>
      <c r="KRC20" s="252">
        <v>0</v>
      </c>
      <c r="KRD20" s="252">
        <v>0</v>
      </c>
      <c r="KRE20" s="252">
        <v>0</v>
      </c>
      <c r="KRF20" s="252">
        <v>0</v>
      </c>
      <c r="KRG20" s="252">
        <v>0</v>
      </c>
      <c r="KRH20" s="252">
        <v>0</v>
      </c>
      <c r="KRI20" s="252">
        <v>0</v>
      </c>
      <c r="KRJ20" s="252">
        <v>0</v>
      </c>
      <c r="KRK20" s="252">
        <v>0</v>
      </c>
      <c r="KRL20" s="252">
        <v>0</v>
      </c>
      <c r="KRM20" s="252">
        <v>0</v>
      </c>
      <c r="KRN20" s="252">
        <v>0</v>
      </c>
      <c r="KRO20" s="252">
        <v>0</v>
      </c>
      <c r="KRP20" s="252">
        <v>0</v>
      </c>
      <c r="KRQ20" s="252">
        <v>0</v>
      </c>
      <c r="KRR20" s="252">
        <v>0</v>
      </c>
      <c r="KRS20" s="252">
        <v>0</v>
      </c>
      <c r="KRT20" s="252">
        <v>0</v>
      </c>
      <c r="KRU20" s="252">
        <v>0</v>
      </c>
      <c r="KRV20" s="252">
        <v>0</v>
      </c>
      <c r="KRW20" s="252">
        <v>0</v>
      </c>
      <c r="KRX20" s="252">
        <v>0</v>
      </c>
      <c r="KRY20" s="252">
        <v>0</v>
      </c>
      <c r="KRZ20" s="252">
        <v>0</v>
      </c>
      <c r="KSA20" s="252">
        <v>0</v>
      </c>
      <c r="KSB20" s="252">
        <v>0</v>
      </c>
      <c r="KSC20" s="252">
        <v>0</v>
      </c>
      <c r="KSD20" s="252">
        <v>0</v>
      </c>
      <c r="KSE20" s="252">
        <v>0</v>
      </c>
      <c r="KSF20" s="252">
        <v>0</v>
      </c>
      <c r="KSG20" s="252">
        <v>0</v>
      </c>
      <c r="KSH20" s="252">
        <v>0</v>
      </c>
      <c r="KSI20" s="252">
        <v>0</v>
      </c>
      <c r="KSJ20" s="252">
        <v>0</v>
      </c>
      <c r="KSK20" s="252">
        <v>0</v>
      </c>
      <c r="KSL20" s="252">
        <v>0</v>
      </c>
      <c r="KSM20" s="252">
        <v>0</v>
      </c>
      <c r="KSN20" s="252">
        <v>0</v>
      </c>
      <c r="KSO20" s="252">
        <v>0</v>
      </c>
      <c r="KSP20" s="252">
        <v>0</v>
      </c>
      <c r="KSQ20" s="252">
        <v>0</v>
      </c>
      <c r="KSR20" s="252">
        <v>0</v>
      </c>
      <c r="KSS20" s="252">
        <v>0</v>
      </c>
      <c r="KST20" s="252">
        <v>0</v>
      </c>
      <c r="KSU20" s="252">
        <v>0</v>
      </c>
      <c r="KSV20" s="252">
        <v>0</v>
      </c>
      <c r="KSW20" s="252">
        <v>0</v>
      </c>
      <c r="KSX20" s="252">
        <v>0</v>
      </c>
      <c r="KSY20" s="252">
        <v>0</v>
      </c>
      <c r="KSZ20" s="252">
        <v>0</v>
      </c>
      <c r="KTA20" s="252">
        <v>0</v>
      </c>
      <c r="KTB20" s="252">
        <v>0</v>
      </c>
      <c r="KTC20" s="252">
        <v>0</v>
      </c>
      <c r="KTD20" s="252">
        <v>0</v>
      </c>
      <c r="KTE20" s="252">
        <v>0</v>
      </c>
      <c r="KTF20" s="252">
        <v>0</v>
      </c>
      <c r="KTG20" s="252">
        <v>0</v>
      </c>
      <c r="KTH20" s="252">
        <v>0</v>
      </c>
      <c r="KTI20" s="252">
        <v>0</v>
      </c>
      <c r="KTJ20" s="252">
        <v>0</v>
      </c>
      <c r="KTK20" s="252">
        <v>0</v>
      </c>
      <c r="KTL20" s="252">
        <v>0</v>
      </c>
      <c r="KTM20" s="252">
        <v>0</v>
      </c>
      <c r="KTN20" s="252">
        <v>0</v>
      </c>
      <c r="KTO20" s="252">
        <v>0</v>
      </c>
      <c r="KTP20" s="252">
        <v>0</v>
      </c>
      <c r="KTQ20" s="252">
        <v>0</v>
      </c>
      <c r="KTR20" s="252">
        <v>0</v>
      </c>
      <c r="KTS20" s="252">
        <v>0</v>
      </c>
      <c r="KTT20" s="252">
        <v>0</v>
      </c>
      <c r="KTU20" s="252">
        <v>0</v>
      </c>
      <c r="KTV20" s="252">
        <v>0</v>
      </c>
      <c r="KTW20" s="252">
        <v>0</v>
      </c>
      <c r="KTX20" s="252">
        <v>0</v>
      </c>
      <c r="KTY20" s="252">
        <v>0</v>
      </c>
      <c r="KTZ20" s="252">
        <v>0</v>
      </c>
      <c r="KUA20" s="252">
        <v>0</v>
      </c>
      <c r="KUB20" s="252">
        <v>0</v>
      </c>
      <c r="KUC20" s="252">
        <v>0</v>
      </c>
      <c r="KUD20" s="252">
        <v>0</v>
      </c>
      <c r="KUE20" s="252">
        <v>0</v>
      </c>
      <c r="KUF20" s="252">
        <v>0</v>
      </c>
      <c r="KUG20" s="252">
        <v>0</v>
      </c>
      <c r="KUH20" s="252">
        <v>0</v>
      </c>
      <c r="KUI20" s="252">
        <v>0</v>
      </c>
      <c r="KUJ20" s="252">
        <v>0</v>
      </c>
      <c r="KUK20" s="252">
        <v>0</v>
      </c>
      <c r="KUL20" s="252">
        <v>0</v>
      </c>
      <c r="KUM20" s="252">
        <v>0</v>
      </c>
      <c r="KUN20" s="252">
        <v>0</v>
      </c>
      <c r="KUO20" s="252">
        <v>0</v>
      </c>
      <c r="KUP20" s="252">
        <v>0</v>
      </c>
      <c r="KUQ20" s="252">
        <v>0</v>
      </c>
      <c r="KUR20" s="252">
        <v>0</v>
      </c>
      <c r="KUS20" s="252">
        <v>0</v>
      </c>
      <c r="KUT20" s="252">
        <v>0</v>
      </c>
      <c r="KUU20" s="252">
        <v>0</v>
      </c>
      <c r="KUV20" s="252">
        <v>0</v>
      </c>
      <c r="KUW20" s="252">
        <v>0</v>
      </c>
      <c r="KUX20" s="252">
        <v>0</v>
      </c>
      <c r="KUY20" s="252">
        <v>0</v>
      </c>
      <c r="KUZ20" s="252">
        <v>0</v>
      </c>
      <c r="KVA20" s="252">
        <v>0</v>
      </c>
      <c r="KVB20" s="252">
        <v>0</v>
      </c>
      <c r="KVC20" s="252">
        <v>0</v>
      </c>
      <c r="KVD20" s="252">
        <v>0</v>
      </c>
      <c r="KVE20" s="252">
        <v>0</v>
      </c>
      <c r="KVF20" s="252">
        <v>0</v>
      </c>
      <c r="KVG20" s="252">
        <v>0</v>
      </c>
      <c r="KVH20" s="252">
        <v>0</v>
      </c>
      <c r="KVI20" s="252">
        <v>0</v>
      </c>
      <c r="KVJ20" s="252">
        <v>0</v>
      </c>
      <c r="KVK20" s="252">
        <v>0</v>
      </c>
      <c r="KVL20" s="252">
        <v>0</v>
      </c>
      <c r="KVM20" s="252">
        <v>0</v>
      </c>
      <c r="KVN20" s="252">
        <v>0</v>
      </c>
      <c r="KVO20" s="252">
        <v>0</v>
      </c>
      <c r="KVP20" s="252">
        <v>0</v>
      </c>
      <c r="KVQ20" s="252">
        <v>0</v>
      </c>
      <c r="KVR20" s="252">
        <v>0</v>
      </c>
      <c r="KVS20" s="252">
        <v>0</v>
      </c>
      <c r="KVT20" s="252">
        <v>0</v>
      </c>
      <c r="KVU20" s="252">
        <v>0</v>
      </c>
      <c r="KVV20" s="252">
        <v>0</v>
      </c>
      <c r="KVW20" s="252">
        <v>0</v>
      </c>
      <c r="KVX20" s="252">
        <v>0</v>
      </c>
      <c r="KVY20" s="252">
        <v>0</v>
      </c>
      <c r="KVZ20" s="252">
        <v>0</v>
      </c>
      <c r="KWA20" s="252">
        <v>0</v>
      </c>
      <c r="KWB20" s="252">
        <v>0</v>
      </c>
      <c r="KWC20" s="252">
        <v>0</v>
      </c>
      <c r="KWD20" s="252">
        <v>0</v>
      </c>
      <c r="KWE20" s="252">
        <v>0</v>
      </c>
      <c r="KWF20" s="252">
        <v>0</v>
      </c>
      <c r="KWG20" s="252">
        <v>0</v>
      </c>
      <c r="KWH20" s="252">
        <v>0</v>
      </c>
      <c r="KWI20" s="252">
        <v>0</v>
      </c>
      <c r="KWJ20" s="252">
        <v>0</v>
      </c>
      <c r="KWK20" s="252">
        <v>0</v>
      </c>
      <c r="KWL20" s="252">
        <v>0</v>
      </c>
      <c r="KWM20" s="252">
        <v>0</v>
      </c>
      <c r="KWN20" s="252">
        <v>0</v>
      </c>
      <c r="KWO20" s="252">
        <v>0</v>
      </c>
      <c r="KWP20" s="252">
        <v>0</v>
      </c>
      <c r="KWQ20" s="252">
        <v>0</v>
      </c>
      <c r="KWR20" s="252">
        <v>0</v>
      </c>
      <c r="KWS20" s="252">
        <v>0</v>
      </c>
      <c r="KWT20" s="252">
        <v>0</v>
      </c>
      <c r="KWU20" s="252">
        <v>0</v>
      </c>
      <c r="KWV20" s="252">
        <v>0</v>
      </c>
      <c r="KWW20" s="252">
        <v>0</v>
      </c>
      <c r="KWX20" s="252">
        <v>0</v>
      </c>
      <c r="KWY20" s="252">
        <v>0</v>
      </c>
      <c r="KWZ20" s="252">
        <v>0</v>
      </c>
      <c r="KXA20" s="252">
        <v>0</v>
      </c>
      <c r="KXB20" s="252">
        <v>0</v>
      </c>
      <c r="KXC20" s="252">
        <v>0</v>
      </c>
      <c r="KXD20" s="252">
        <v>0</v>
      </c>
      <c r="KXE20" s="252">
        <v>0</v>
      </c>
      <c r="KXF20" s="252">
        <v>0</v>
      </c>
      <c r="KXG20" s="252">
        <v>0</v>
      </c>
      <c r="KXH20" s="252">
        <v>0</v>
      </c>
      <c r="KXI20" s="252">
        <v>0</v>
      </c>
      <c r="KXJ20" s="252">
        <v>0</v>
      </c>
      <c r="KXK20" s="252">
        <v>0</v>
      </c>
      <c r="KXL20" s="252">
        <v>0</v>
      </c>
      <c r="KXM20" s="252">
        <v>0</v>
      </c>
      <c r="KXN20" s="252">
        <v>0</v>
      </c>
      <c r="KXO20" s="252">
        <v>0</v>
      </c>
      <c r="KXP20" s="252">
        <v>0</v>
      </c>
      <c r="KXQ20" s="252">
        <v>0</v>
      </c>
      <c r="KXR20" s="252">
        <v>0</v>
      </c>
      <c r="KXS20" s="252">
        <v>0</v>
      </c>
      <c r="KXT20" s="252">
        <v>0</v>
      </c>
      <c r="KXU20" s="252">
        <v>0</v>
      </c>
      <c r="KXV20" s="252">
        <v>0</v>
      </c>
      <c r="KXW20" s="252">
        <v>0</v>
      </c>
      <c r="KXX20" s="252">
        <v>0</v>
      </c>
      <c r="KXY20" s="252">
        <v>0</v>
      </c>
      <c r="KXZ20" s="252">
        <v>0</v>
      </c>
      <c r="KYA20" s="252">
        <v>0</v>
      </c>
      <c r="KYB20" s="252">
        <v>0</v>
      </c>
      <c r="KYC20" s="252">
        <v>0</v>
      </c>
      <c r="KYD20" s="252">
        <v>0</v>
      </c>
      <c r="KYE20" s="252">
        <v>0</v>
      </c>
      <c r="KYF20" s="252">
        <v>0</v>
      </c>
      <c r="KYG20" s="252">
        <v>0</v>
      </c>
      <c r="KYH20" s="252">
        <v>0</v>
      </c>
      <c r="KYI20" s="252">
        <v>0</v>
      </c>
      <c r="KYJ20" s="252">
        <v>0</v>
      </c>
      <c r="KYK20" s="252">
        <v>0</v>
      </c>
      <c r="KYL20" s="252">
        <v>0</v>
      </c>
      <c r="KYM20" s="252">
        <v>0</v>
      </c>
      <c r="KYN20" s="252">
        <v>0</v>
      </c>
      <c r="KYO20" s="252">
        <v>0</v>
      </c>
      <c r="KYP20" s="252">
        <v>0</v>
      </c>
      <c r="KYQ20" s="252">
        <v>0</v>
      </c>
      <c r="KYR20" s="252">
        <v>0</v>
      </c>
      <c r="KYS20" s="252">
        <v>0</v>
      </c>
      <c r="KYT20" s="252">
        <v>0</v>
      </c>
      <c r="KYU20" s="252">
        <v>0</v>
      </c>
      <c r="KYV20" s="252">
        <v>0</v>
      </c>
      <c r="KYW20" s="252">
        <v>0</v>
      </c>
      <c r="KYX20" s="252">
        <v>0</v>
      </c>
      <c r="KYY20" s="252">
        <v>0</v>
      </c>
      <c r="KYZ20" s="252">
        <v>0</v>
      </c>
      <c r="KZA20" s="252">
        <v>0</v>
      </c>
      <c r="KZB20" s="252">
        <v>0</v>
      </c>
      <c r="KZC20" s="252">
        <v>0</v>
      </c>
      <c r="KZD20" s="252">
        <v>0</v>
      </c>
      <c r="KZE20" s="252">
        <v>0</v>
      </c>
      <c r="KZF20" s="252">
        <v>0</v>
      </c>
      <c r="KZG20" s="252">
        <v>0</v>
      </c>
      <c r="KZH20" s="252">
        <v>0</v>
      </c>
      <c r="KZI20" s="252">
        <v>0</v>
      </c>
      <c r="KZJ20" s="252">
        <v>0</v>
      </c>
      <c r="KZK20" s="252">
        <v>0</v>
      </c>
      <c r="KZL20" s="252">
        <v>0</v>
      </c>
      <c r="KZM20" s="252">
        <v>0</v>
      </c>
      <c r="KZN20" s="252">
        <v>0</v>
      </c>
      <c r="KZO20" s="252">
        <v>0</v>
      </c>
      <c r="KZP20" s="252">
        <v>0</v>
      </c>
      <c r="KZQ20" s="252">
        <v>0</v>
      </c>
      <c r="KZR20" s="252">
        <v>0</v>
      </c>
      <c r="KZS20" s="252">
        <v>0</v>
      </c>
      <c r="KZT20" s="252">
        <v>0</v>
      </c>
      <c r="KZU20" s="252">
        <v>0</v>
      </c>
      <c r="KZV20" s="252">
        <v>0</v>
      </c>
      <c r="KZW20" s="252">
        <v>0</v>
      </c>
      <c r="KZX20" s="252">
        <v>0</v>
      </c>
      <c r="KZY20" s="252">
        <v>0</v>
      </c>
      <c r="KZZ20" s="252">
        <v>0</v>
      </c>
      <c r="LAA20" s="252">
        <v>0</v>
      </c>
      <c r="LAB20" s="252">
        <v>0</v>
      </c>
      <c r="LAC20" s="252">
        <v>0</v>
      </c>
      <c r="LAD20" s="252">
        <v>0</v>
      </c>
      <c r="LAE20" s="252">
        <v>0</v>
      </c>
      <c r="LAF20" s="252">
        <v>0</v>
      </c>
      <c r="LAG20" s="252">
        <v>0</v>
      </c>
      <c r="LAH20" s="252">
        <v>0</v>
      </c>
      <c r="LAI20" s="252">
        <v>0</v>
      </c>
      <c r="LAJ20" s="252">
        <v>0</v>
      </c>
      <c r="LAK20" s="252">
        <v>0</v>
      </c>
      <c r="LAL20" s="252">
        <v>0</v>
      </c>
      <c r="LAM20" s="252">
        <v>0</v>
      </c>
      <c r="LAN20" s="252">
        <v>0</v>
      </c>
      <c r="LAO20" s="252">
        <v>0</v>
      </c>
      <c r="LAP20" s="252">
        <v>0</v>
      </c>
      <c r="LAQ20" s="252">
        <v>0</v>
      </c>
      <c r="LAR20" s="252">
        <v>0</v>
      </c>
      <c r="LAS20" s="252">
        <v>0</v>
      </c>
      <c r="LAT20" s="252">
        <v>0</v>
      </c>
      <c r="LAU20" s="252">
        <v>0</v>
      </c>
      <c r="LAV20" s="252">
        <v>0</v>
      </c>
      <c r="LAW20" s="252">
        <v>0</v>
      </c>
      <c r="LAX20" s="252">
        <v>0</v>
      </c>
      <c r="LAY20" s="252">
        <v>0</v>
      </c>
      <c r="LAZ20" s="252">
        <v>0</v>
      </c>
      <c r="LBA20" s="252">
        <v>0</v>
      </c>
      <c r="LBB20" s="252">
        <v>0</v>
      </c>
      <c r="LBC20" s="252">
        <v>0</v>
      </c>
      <c r="LBD20" s="252">
        <v>0</v>
      </c>
      <c r="LBE20" s="252">
        <v>0</v>
      </c>
      <c r="LBF20" s="252">
        <v>0</v>
      </c>
      <c r="LBG20" s="252">
        <v>0</v>
      </c>
      <c r="LBH20" s="252">
        <v>0</v>
      </c>
      <c r="LBI20" s="252">
        <v>0</v>
      </c>
      <c r="LBJ20" s="252">
        <v>0</v>
      </c>
      <c r="LBK20" s="252">
        <v>0</v>
      </c>
      <c r="LBL20" s="252">
        <v>0</v>
      </c>
      <c r="LBM20" s="252">
        <v>0</v>
      </c>
      <c r="LBN20" s="252">
        <v>0</v>
      </c>
      <c r="LBO20" s="252">
        <v>0</v>
      </c>
      <c r="LBP20" s="252">
        <v>0</v>
      </c>
      <c r="LBQ20" s="252">
        <v>0</v>
      </c>
      <c r="LBR20" s="252">
        <v>0</v>
      </c>
      <c r="LBS20" s="252">
        <v>0</v>
      </c>
      <c r="LBT20" s="252">
        <v>0</v>
      </c>
      <c r="LBU20" s="252">
        <v>0</v>
      </c>
      <c r="LBV20" s="252">
        <v>0</v>
      </c>
      <c r="LBW20" s="252">
        <v>0</v>
      </c>
      <c r="LBX20" s="252">
        <v>0</v>
      </c>
      <c r="LBY20" s="252">
        <v>0</v>
      </c>
      <c r="LBZ20" s="252">
        <v>0</v>
      </c>
      <c r="LCA20" s="252">
        <v>0</v>
      </c>
      <c r="LCB20" s="252">
        <v>0</v>
      </c>
      <c r="LCC20" s="252">
        <v>0</v>
      </c>
      <c r="LCD20" s="252">
        <v>0</v>
      </c>
      <c r="LCE20" s="252">
        <v>0</v>
      </c>
      <c r="LCF20" s="252">
        <v>0</v>
      </c>
      <c r="LCG20" s="252">
        <v>0</v>
      </c>
      <c r="LCH20" s="252">
        <v>0</v>
      </c>
      <c r="LCI20" s="252">
        <v>0</v>
      </c>
      <c r="LCJ20" s="252">
        <v>0</v>
      </c>
      <c r="LCK20" s="252">
        <v>0</v>
      </c>
      <c r="LCL20" s="252">
        <v>0</v>
      </c>
      <c r="LCM20" s="252">
        <v>0</v>
      </c>
      <c r="LCN20" s="252">
        <v>0</v>
      </c>
      <c r="LCO20" s="252">
        <v>0</v>
      </c>
      <c r="LCP20" s="252">
        <v>0</v>
      </c>
      <c r="LCQ20" s="252">
        <v>0</v>
      </c>
      <c r="LCR20" s="252">
        <v>0</v>
      </c>
      <c r="LCS20" s="252">
        <v>0</v>
      </c>
      <c r="LCT20" s="252">
        <v>0</v>
      </c>
      <c r="LCU20" s="252">
        <v>0</v>
      </c>
      <c r="LCV20" s="252">
        <v>0</v>
      </c>
      <c r="LCW20" s="252">
        <v>0</v>
      </c>
      <c r="LCX20" s="252">
        <v>0</v>
      </c>
      <c r="LCY20" s="252">
        <v>0</v>
      </c>
      <c r="LCZ20" s="252">
        <v>0</v>
      </c>
      <c r="LDA20" s="252">
        <v>0</v>
      </c>
      <c r="LDB20" s="252">
        <v>0</v>
      </c>
      <c r="LDC20" s="252">
        <v>0</v>
      </c>
      <c r="LDD20" s="252">
        <v>0</v>
      </c>
      <c r="LDE20" s="252">
        <v>0</v>
      </c>
      <c r="LDF20" s="252">
        <v>0</v>
      </c>
      <c r="LDG20" s="252">
        <v>0</v>
      </c>
      <c r="LDH20" s="252">
        <v>0</v>
      </c>
      <c r="LDI20" s="252">
        <v>0</v>
      </c>
      <c r="LDJ20" s="252">
        <v>0</v>
      </c>
      <c r="LDK20" s="252">
        <v>0</v>
      </c>
      <c r="LDL20" s="252">
        <v>0</v>
      </c>
      <c r="LDM20" s="252">
        <v>0</v>
      </c>
      <c r="LDN20" s="252">
        <v>0</v>
      </c>
      <c r="LDO20" s="252">
        <v>0</v>
      </c>
      <c r="LDP20" s="252">
        <v>0</v>
      </c>
      <c r="LDQ20" s="252">
        <v>0</v>
      </c>
      <c r="LDR20" s="252">
        <v>0</v>
      </c>
      <c r="LDS20" s="252">
        <v>0</v>
      </c>
      <c r="LDT20" s="252">
        <v>0</v>
      </c>
      <c r="LDU20" s="252">
        <v>0</v>
      </c>
      <c r="LDV20" s="252">
        <v>0</v>
      </c>
      <c r="LDW20" s="252">
        <v>0</v>
      </c>
      <c r="LDX20" s="252">
        <v>0</v>
      </c>
      <c r="LDY20" s="252">
        <v>0</v>
      </c>
      <c r="LDZ20" s="252">
        <v>0</v>
      </c>
      <c r="LEA20" s="252">
        <v>0</v>
      </c>
      <c r="LEB20" s="252">
        <v>0</v>
      </c>
      <c r="LEC20" s="252">
        <v>0</v>
      </c>
      <c r="LED20" s="252">
        <v>0</v>
      </c>
      <c r="LEE20" s="252">
        <v>0</v>
      </c>
      <c r="LEF20" s="252">
        <v>0</v>
      </c>
      <c r="LEG20" s="252">
        <v>0</v>
      </c>
      <c r="LEH20" s="252">
        <v>0</v>
      </c>
      <c r="LEI20" s="252">
        <v>0</v>
      </c>
      <c r="LEJ20" s="252">
        <v>0</v>
      </c>
      <c r="LEK20" s="252">
        <v>0</v>
      </c>
      <c r="LEL20" s="252">
        <v>0</v>
      </c>
      <c r="LEM20" s="252">
        <v>0</v>
      </c>
      <c r="LEN20" s="252">
        <v>0</v>
      </c>
      <c r="LEO20" s="252">
        <v>0</v>
      </c>
      <c r="LEP20" s="252">
        <v>0</v>
      </c>
      <c r="LEQ20" s="252">
        <v>0</v>
      </c>
      <c r="LER20" s="252">
        <v>0</v>
      </c>
      <c r="LES20" s="252">
        <v>0</v>
      </c>
      <c r="LET20" s="252">
        <v>0</v>
      </c>
      <c r="LEU20" s="252">
        <v>0</v>
      </c>
      <c r="LEV20" s="252">
        <v>0</v>
      </c>
      <c r="LEW20" s="252">
        <v>0</v>
      </c>
      <c r="LEX20" s="252">
        <v>0</v>
      </c>
      <c r="LEY20" s="252">
        <v>0</v>
      </c>
      <c r="LEZ20" s="252">
        <v>0</v>
      </c>
      <c r="LFA20" s="252">
        <v>0</v>
      </c>
      <c r="LFB20" s="252">
        <v>0</v>
      </c>
      <c r="LFC20" s="252">
        <v>0</v>
      </c>
      <c r="LFD20" s="252">
        <v>0</v>
      </c>
      <c r="LFE20" s="252">
        <v>0</v>
      </c>
      <c r="LFF20" s="252">
        <v>0</v>
      </c>
      <c r="LFG20" s="252">
        <v>0</v>
      </c>
      <c r="LFH20" s="252">
        <v>0</v>
      </c>
      <c r="LFI20" s="252">
        <v>0</v>
      </c>
      <c r="LFJ20" s="252">
        <v>0</v>
      </c>
      <c r="LFK20" s="252">
        <v>0</v>
      </c>
      <c r="LFL20" s="252">
        <v>0</v>
      </c>
      <c r="LFM20" s="252">
        <v>0</v>
      </c>
      <c r="LFN20" s="252">
        <v>0</v>
      </c>
      <c r="LFO20" s="252">
        <v>0</v>
      </c>
      <c r="LFP20" s="252">
        <v>0</v>
      </c>
      <c r="LFQ20" s="252">
        <v>0</v>
      </c>
      <c r="LFR20" s="252">
        <v>0</v>
      </c>
      <c r="LFS20" s="252">
        <v>0</v>
      </c>
      <c r="LFT20" s="252">
        <v>0</v>
      </c>
      <c r="LFU20" s="252">
        <v>0</v>
      </c>
      <c r="LFV20" s="252">
        <v>0</v>
      </c>
      <c r="LFW20" s="252">
        <v>0</v>
      </c>
      <c r="LFX20" s="252">
        <v>0</v>
      </c>
      <c r="LFY20" s="252">
        <v>0</v>
      </c>
      <c r="LFZ20" s="252">
        <v>0</v>
      </c>
      <c r="LGA20" s="252">
        <v>0</v>
      </c>
      <c r="LGB20" s="252">
        <v>0</v>
      </c>
      <c r="LGC20" s="252">
        <v>0</v>
      </c>
      <c r="LGD20" s="252">
        <v>0</v>
      </c>
      <c r="LGE20" s="252">
        <v>0</v>
      </c>
      <c r="LGF20" s="252">
        <v>0</v>
      </c>
      <c r="LGG20" s="252">
        <v>0</v>
      </c>
      <c r="LGH20" s="252">
        <v>0</v>
      </c>
      <c r="LGI20" s="252">
        <v>0</v>
      </c>
      <c r="LGJ20" s="252">
        <v>0</v>
      </c>
      <c r="LGK20" s="252">
        <v>0</v>
      </c>
      <c r="LGL20" s="252">
        <v>0</v>
      </c>
      <c r="LGM20" s="252">
        <v>0</v>
      </c>
      <c r="LGN20" s="252">
        <v>0</v>
      </c>
      <c r="LGO20" s="252">
        <v>0</v>
      </c>
      <c r="LGP20" s="252">
        <v>0</v>
      </c>
      <c r="LGQ20" s="252">
        <v>0</v>
      </c>
      <c r="LGR20" s="252">
        <v>0</v>
      </c>
      <c r="LGS20" s="252">
        <v>0</v>
      </c>
      <c r="LGT20" s="252">
        <v>0</v>
      </c>
      <c r="LGU20" s="252">
        <v>0</v>
      </c>
      <c r="LGV20" s="252">
        <v>0</v>
      </c>
      <c r="LGW20" s="252">
        <v>0</v>
      </c>
      <c r="LGX20" s="252">
        <v>0</v>
      </c>
      <c r="LGY20" s="252">
        <v>0</v>
      </c>
      <c r="LGZ20" s="252">
        <v>0</v>
      </c>
      <c r="LHA20" s="252">
        <v>0</v>
      </c>
      <c r="LHB20" s="252">
        <v>0</v>
      </c>
      <c r="LHC20" s="252">
        <v>0</v>
      </c>
      <c r="LHD20" s="252">
        <v>0</v>
      </c>
      <c r="LHE20" s="252">
        <v>0</v>
      </c>
      <c r="LHF20" s="252">
        <v>0</v>
      </c>
      <c r="LHG20" s="252">
        <v>0</v>
      </c>
      <c r="LHH20" s="252">
        <v>0</v>
      </c>
      <c r="LHI20" s="252">
        <v>0</v>
      </c>
      <c r="LHJ20" s="252">
        <v>0</v>
      </c>
      <c r="LHK20" s="252">
        <v>0</v>
      </c>
      <c r="LHL20" s="252">
        <v>0</v>
      </c>
      <c r="LHM20" s="252">
        <v>0</v>
      </c>
      <c r="LHN20" s="252">
        <v>0</v>
      </c>
      <c r="LHO20" s="252">
        <v>0</v>
      </c>
      <c r="LHP20" s="252">
        <v>0</v>
      </c>
      <c r="LHQ20" s="252">
        <v>0</v>
      </c>
      <c r="LHR20" s="252">
        <v>0</v>
      </c>
      <c r="LHS20" s="252">
        <v>0</v>
      </c>
      <c r="LHT20" s="252">
        <v>0</v>
      </c>
      <c r="LHU20" s="252">
        <v>0</v>
      </c>
      <c r="LHV20" s="252">
        <v>0</v>
      </c>
      <c r="LHW20" s="252">
        <v>0</v>
      </c>
      <c r="LHX20" s="252">
        <v>0</v>
      </c>
      <c r="LHY20" s="252">
        <v>0</v>
      </c>
      <c r="LHZ20" s="252">
        <v>0</v>
      </c>
      <c r="LIA20" s="252">
        <v>0</v>
      </c>
      <c r="LIB20" s="252">
        <v>0</v>
      </c>
      <c r="LIC20" s="252">
        <v>0</v>
      </c>
      <c r="LID20" s="252">
        <v>0</v>
      </c>
      <c r="LIE20" s="252">
        <v>0</v>
      </c>
      <c r="LIF20" s="252">
        <v>0</v>
      </c>
      <c r="LIG20" s="252">
        <v>0</v>
      </c>
      <c r="LIH20" s="252">
        <v>0</v>
      </c>
      <c r="LII20" s="252">
        <v>0</v>
      </c>
      <c r="LIJ20" s="252">
        <v>0</v>
      </c>
      <c r="LIK20" s="252">
        <v>0</v>
      </c>
      <c r="LIL20" s="252">
        <v>0</v>
      </c>
      <c r="LIM20" s="252">
        <v>0</v>
      </c>
      <c r="LIN20" s="252">
        <v>0</v>
      </c>
      <c r="LIO20" s="252">
        <v>0</v>
      </c>
      <c r="LIP20" s="252">
        <v>0</v>
      </c>
      <c r="LIQ20" s="252">
        <v>0</v>
      </c>
      <c r="LIR20" s="252">
        <v>0</v>
      </c>
      <c r="LIS20" s="252">
        <v>0</v>
      </c>
      <c r="LIT20" s="252">
        <v>0</v>
      </c>
      <c r="LIU20" s="252">
        <v>0</v>
      </c>
      <c r="LIV20" s="252">
        <v>0</v>
      </c>
      <c r="LIW20" s="252">
        <v>0</v>
      </c>
      <c r="LIX20" s="252">
        <v>0</v>
      </c>
      <c r="LIY20" s="252">
        <v>0</v>
      </c>
      <c r="LIZ20" s="252">
        <v>0</v>
      </c>
      <c r="LJA20" s="252">
        <v>0</v>
      </c>
      <c r="LJB20" s="252">
        <v>0</v>
      </c>
      <c r="LJC20" s="252">
        <v>0</v>
      </c>
      <c r="LJD20" s="252">
        <v>0</v>
      </c>
      <c r="LJE20" s="252">
        <v>0</v>
      </c>
      <c r="LJF20" s="252">
        <v>0</v>
      </c>
      <c r="LJG20" s="252">
        <v>0</v>
      </c>
      <c r="LJH20" s="252">
        <v>0</v>
      </c>
      <c r="LJI20" s="252">
        <v>0</v>
      </c>
      <c r="LJJ20" s="252">
        <v>0</v>
      </c>
      <c r="LJK20" s="252">
        <v>0</v>
      </c>
      <c r="LJL20" s="252">
        <v>0</v>
      </c>
      <c r="LJM20" s="252">
        <v>0</v>
      </c>
      <c r="LJN20" s="252">
        <v>0</v>
      </c>
      <c r="LJO20" s="252">
        <v>0</v>
      </c>
      <c r="LJP20" s="252">
        <v>0</v>
      </c>
      <c r="LJQ20" s="252">
        <v>0</v>
      </c>
      <c r="LJR20" s="252">
        <v>0</v>
      </c>
      <c r="LJS20" s="252">
        <v>0</v>
      </c>
      <c r="LJT20" s="252">
        <v>0</v>
      </c>
      <c r="LJU20" s="252">
        <v>0</v>
      </c>
      <c r="LJV20" s="252">
        <v>0</v>
      </c>
      <c r="LJW20" s="252">
        <v>0</v>
      </c>
      <c r="LJX20" s="252">
        <v>0</v>
      </c>
      <c r="LJY20" s="252">
        <v>0</v>
      </c>
      <c r="LJZ20" s="252">
        <v>0</v>
      </c>
      <c r="LKA20" s="252">
        <v>0</v>
      </c>
      <c r="LKB20" s="252">
        <v>0</v>
      </c>
      <c r="LKC20" s="252">
        <v>0</v>
      </c>
      <c r="LKD20" s="252">
        <v>0</v>
      </c>
      <c r="LKE20" s="252">
        <v>0</v>
      </c>
      <c r="LKF20" s="252">
        <v>0</v>
      </c>
      <c r="LKG20" s="252">
        <v>0</v>
      </c>
      <c r="LKH20" s="252">
        <v>0</v>
      </c>
      <c r="LKI20" s="252">
        <v>0</v>
      </c>
      <c r="LKJ20" s="252">
        <v>0</v>
      </c>
      <c r="LKK20" s="252">
        <v>0</v>
      </c>
      <c r="LKL20" s="252">
        <v>0</v>
      </c>
      <c r="LKM20" s="252">
        <v>0</v>
      </c>
      <c r="LKN20" s="252">
        <v>0</v>
      </c>
      <c r="LKO20" s="252">
        <v>0</v>
      </c>
      <c r="LKP20" s="252">
        <v>0</v>
      </c>
      <c r="LKQ20" s="252">
        <v>0</v>
      </c>
      <c r="LKR20" s="252">
        <v>0</v>
      </c>
      <c r="LKS20" s="252">
        <v>0</v>
      </c>
      <c r="LKT20" s="252">
        <v>0</v>
      </c>
      <c r="LKU20" s="252">
        <v>0</v>
      </c>
      <c r="LKV20" s="252">
        <v>0</v>
      </c>
      <c r="LKW20" s="252">
        <v>0</v>
      </c>
      <c r="LKX20" s="252">
        <v>0</v>
      </c>
      <c r="LKY20" s="252">
        <v>0</v>
      </c>
      <c r="LKZ20" s="252">
        <v>0</v>
      </c>
      <c r="LLA20" s="252">
        <v>0</v>
      </c>
      <c r="LLB20" s="252">
        <v>0</v>
      </c>
      <c r="LLC20" s="252">
        <v>0</v>
      </c>
      <c r="LLD20" s="252">
        <v>0</v>
      </c>
      <c r="LLE20" s="252">
        <v>0</v>
      </c>
      <c r="LLF20" s="252">
        <v>0</v>
      </c>
      <c r="LLG20" s="252">
        <v>0</v>
      </c>
      <c r="LLH20" s="252">
        <v>0</v>
      </c>
      <c r="LLI20" s="252">
        <v>0</v>
      </c>
      <c r="LLJ20" s="252">
        <v>0</v>
      </c>
      <c r="LLK20" s="252">
        <v>0</v>
      </c>
      <c r="LLL20" s="252">
        <v>0</v>
      </c>
      <c r="LLM20" s="252">
        <v>0</v>
      </c>
      <c r="LLN20" s="252">
        <v>0</v>
      </c>
      <c r="LLO20" s="252">
        <v>0</v>
      </c>
      <c r="LLP20" s="252">
        <v>0</v>
      </c>
      <c r="LLQ20" s="252">
        <v>0</v>
      </c>
      <c r="LLR20" s="252">
        <v>0</v>
      </c>
      <c r="LLS20" s="252">
        <v>0</v>
      </c>
      <c r="LLT20" s="252">
        <v>0</v>
      </c>
      <c r="LLU20" s="252">
        <v>0</v>
      </c>
      <c r="LLV20" s="252">
        <v>0</v>
      </c>
      <c r="LLW20" s="252">
        <v>0</v>
      </c>
      <c r="LLX20" s="252">
        <v>0</v>
      </c>
      <c r="LLY20" s="252">
        <v>0</v>
      </c>
      <c r="LLZ20" s="252">
        <v>0</v>
      </c>
      <c r="LMA20" s="252">
        <v>0</v>
      </c>
      <c r="LMB20" s="252">
        <v>0</v>
      </c>
      <c r="LMC20" s="252">
        <v>0</v>
      </c>
      <c r="LMD20" s="252">
        <v>0</v>
      </c>
      <c r="LME20" s="252">
        <v>0</v>
      </c>
      <c r="LMF20" s="252">
        <v>0</v>
      </c>
      <c r="LMG20" s="252">
        <v>0</v>
      </c>
      <c r="LMH20" s="252">
        <v>0</v>
      </c>
      <c r="LMI20" s="252">
        <v>0</v>
      </c>
      <c r="LMJ20" s="252">
        <v>0</v>
      </c>
      <c r="LMK20" s="252">
        <v>0</v>
      </c>
      <c r="LML20" s="252">
        <v>0</v>
      </c>
      <c r="LMM20" s="252">
        <v>0</v>
      </c>
      <c r="LMN20" s="252">
        <v>0</v>
      </c>
      <c r="LMO20" s="252">
        <v>0</v>
      </c>
      <c r="LMP20" s="252">
        <v>0</v>
      </c>
      <c r="LMQ20" s="252">
        <v>0</v>
      </c>
      <c r="LMR20" s="252">
        <v>0</v>
      </c>
      <c r="LMS20" s="252">
        <v>0</v>
      </c>
      <c r="LMT20" s="252">
        <v>0</v>
      </c>
      <c r="LMU20" s="252">
        <v>0</v>
      </c>
      <c r="LMV20" s="252">
        <v>0</v>
      </c>
      <c r="LMW20" s="252">
        <v>0</v>
      </c>
      <c r="LMX20" s="252">
        <v>0</v>
      </c>
      <c r="LMY20" s="252">
        <v>0</v>
      </c>
      <c r="LMZ20" s="252">
        <v>0</v>
      </c>
      <c r="LNA20" s="252">
        <v>0</v>
      </c>
      <c r="LNB20" s="252">
        <v>0</v>
      </c>
      <c r="LNC20" s="252">
        <v>0</v>
      </c>
      <c r="LND20" s="252">
        <v>0</v>
      </c>
      <c r="LNE20" s="252">
        <v>0</v>
      </c>
      <c r="LNF20" s="252">
        <v>0</v>
      </c>
      <c r="LNG20" s="252">
        <v>0</v>
      </c>
      <c r="LNH20" s="252">
        <v>0</v>
      </c>
      <c r="LNI20" s="252">
        <v>0</v>
      </c>
      <c r="LNJ20" s="252">
        <v>0</v>
      </c>
      <c r="LNK20" s="252">
        <v>0</v>
      </c>
      <c r="LNL20" s="252">
        <v>0</v>
      </c>
      <c r="LNM20" s="252">
        <v>0</v>
      </c>
      <c r="LNN20" s="252">
        <v>0</v>
      </c>
      <c r="LNO20" s="252">
        <v>0</v>
      </c>
      <c r="LNP20" s="252">
        <v>0</v>
      </c>
      <c r="LNQ20" s="252">
        <v>0</v>
      </c>
      <c r="LNR20" s="252">
        <v>0</v>
      </c>
      <c r="LNS20" s="252">
        <v>0</v>
      </c>
      <c r="LNT20" s="252">
        <v>0</v>
      </c>
      <c r="LNU20" s="252">
        <v>0</v>
      </c>
      <c r="LNV20" s="252">
        <v>0</v>
      </c>
      <c r="LNW20" s="252">
        <v>0</v>
      </c>
      <c r="LNX20" s="252">
        <v>0</v>
      </c>
      <c r="LNY20" s="252">
        <v>0</v>
      </c>
      <c r="LNZ20" s="252">
        <v>0</v>
      </c>
      <c r="LOA20" s="252">
        <v>0</v>
      </c>
      <c r="LOB20" s="252">
        <v>0</v>
      </c>
      <c r="LOC20" s="252">
        <v>0</v>
      </c>
      <c r="LOD20" s="252">
        <v>0</v>
      </c>
      <c r="LOE20" s="252">
        <v>0</v>
      </c>
      <c r="LOF20" s="252">
        <v>0</v>
      </c>
      <c r="LOG20" s="252">
        <v>0</v>
      </c>
      <c r="LOH20" s="252">
        <v>0</v>
      </c>
      <c r="LOI20" s="252">
        <v>0</v>
      </c>
      <c r="LOJ20" s="252">
        <v>0</v>
      </c>
      <c r="LOK20" s="252">
        <v>0</v>
      </c>
      <c r="LOL20" s="252">
        <v>0</v>
      </c>
      <c r="LOM20" s="252">
        <v>0</v>
      </c>
      <c r="LON20" s="252">
        <v>0</v>
      </c>
      <c r="LOO20" s="252">
        <v>0</v>
      </c>
      <c r="LOP20" s="252">
        <v>0</v>
      </c>
      <c r="LOQ20" s="252">
        <v>0</v>
      </c>
      <c r="LOR20" s="252">
        <v>0</v>
      </c>
      <c r="LOS20" s="252">
        <v>0</v>
      </c>
      <c r="LOT20" s="252">
        <v>0</v>
      </c>
      <c r="LOU20" s="252">
        <v>0</v>
      </c>
      <c r="LOV20" s="252">
        <v>0</v>
      </c>
      <c r="LOW20" s="252">
        <v>0</v>
      </c>
      <c r="LOX20" s="252">
        <v>0</v>
      </c>
      <c r="LOY20" s="252">
        <v>0</v>
      </c>
      <c r="LOZ20" s="252">
        <v>0</v>
      </c>
      <c r="LPA20" s="252">
        <v>0</v>
      </c>
      <c r="LPB20" s="252">
        <v>0</v>
      </c>
      <c r="LPC20" s="252">
        <v>0</v>
      </c>
      <c r="LPD20" s="252">
        <v>0</v>
      </c>
      <c r="LPE20" s="252">
        <v>0</v>
      </c>
      <c r="LPF20" s="252">
        <v>0</v>
      </c>
      <c r="LPG20" s="252">
        <v>0</v>
      </c>
      <c r="LPH20" s="252">
        <v>0</v>
      </c>
      <c r="LPI20" s="252">
        <v>0</v>
      </c>
      <c r="LPJ20" s="252">
        <v>0</v>
      </c>
      <c r="LPK20" s="252">
        <v>0</v>
      </c>
      <c r="LPL20" s="252">
        <v>0</v>
      </c>
      <c r="LPM20" s="252">
        <v>0</v>
      </c>
      <c r="LPN20" s="252">
        <v>0</v>
      </c>
      <c r="LPO20" s="252">
        <v>0</v>
      </c>
      <c r="LPP20" s="252">
        <v>0</v>
      </c>
      <c r="LPQ20" s="252">
        <v>0</v>
      </c>
      <c r="LPR20" s="252">
        <v>0</v>
      </c>
      <c r="LPS20" s="252">
        <v>0</v>
      </c>
      <c r="LPT20" s="252">
        <v>0</v>
      </c>
      <c r="LPU20" s="252">
        <v>0</v>
      </c>
      <c r="LPV20" s="252">
        <v>0</v>
      </c>
      <c r="LPW20" s="252">
        <v>0</v>
      </c>
      <c r="LPX20" s="252">
        <v>0</v>
      </c>
      <c r="LPY20" s="252">
        <v>0</v>
      </c>
      <c r="LPZ20" s="252">
        <v>0</v>
      </c>
      <c r="LQA20" s="252">
        <v>0</v>
      </c>
      <c r="LQB20" s="252">
        <v>0</v>
      </c>
      <c r="LQC20" s="252">
        <v>0</v>
      </c>
      <c r="LQD20" s="252">
        <v>0</v>
      </c>
      <c r="LQE20" s="252">
        <v>0</v>
      </c>
      <c r="LQF20" s="252">
        <v>0</v>
      </c>
      <c r="LQG20" s="252">
        <v>0</v>
      </c>
      <c r="LQH20" s="252">
        <v>0</v>
      </c>
      <c r="LQI20" s="252">
        <v>0</v>
      </c>
      <c r="LQJ20" s="252">
        <v>0</v>
      </c>
      <c r="LQK20" s="252">
        <v>0</v>
      </c>
      <c r="LQL20" s="252">
        <v>0</v>
      </c>
      <c r="LQM20" s="252">
        <v>0</v>
      </c>
      <c r="LQN20" s="252">
        <v>0</v>
      </c>
      <c r="LQO20" s="252">
        <v>0</v>
      </c>
      <c r="LQP20" s="252">
        <v>0</v>
      </c>
      <c r="LQQ20" s="252">
        <v>0</v>
      </c>
      <c r="LQR20" s="252">
        <v>0</v>
      </c>
      <c r="LQS20" s="252">
        <v>0</v>
      </c>
      <c r="LQT20" s="252">
        <v>0</v>
      </c>
      <c r="LQU20" s="252">
        <v>0</v>
      </c>
      <c r="LQV20" s="252">
        <v>0</v>
      </c>
      <c r="LQW20" s="252">
        <v>0</v>
      </c>
      <c r="LQX20" s="252">
        <v>0</v>
      </c>
      <c r="LQY20" s="252">
        <v>0</v>
      </c>
      <c r="LQZ20" s="252">
        <v>0</v>
      </c>
      <c r="LRA20" s="252">
        <v>0</v>
      </c>
      <c r="LRB20" s="252">
        <v>0</v>
      </c>
      <c r="LRC20" s="252">
        <v>0</v>
      </c>
      <c r="LRD20" s="252">
        <v>0</v>
      </c>
      <c r="LRE20" s="252">
        <v>0</v>
      </c>
      <c r="LRF20" s="252">
        <v>0</v>
      </c>
      <c r="LRG20" s="252">
        <v>0</v>
      </c>
      <c r="LRH20" s="252">
        <v>0</v>
      </c>
      <c r="LRI20" s="252">
        <v>0</v>
      </c>
      <c r="LRJ20" s="252">
        <v>0</v>
      </c>
      <c r="LRK20" s="252">
        <v>0</v>
      </c>
      <c r="LRL20" s="252">
        <v>0</v>
      </c>
      <c r="LRM20" s="252">
        <v>0</v>
      </c>
      <c r="LRN20" s="252">
        <v>0</v>
      </c>
      <c r="LRO20" s="252">
        <v>0</v>
      </c>
      <c r="LRP20" s="252">
        <v>0</v>
      </c>
      <c r="LRQ20" s="252">
        <v>0</v>
      </c>
      <c r="LRR20" s="252">
        <v>0</v>
      </c>
      <c r="LRS20" s="252">
        <v>0</v>
      </c>
      <c r="LRT20" s="252">
        <v>0</v>
      </c>
      <c r="LRU20" s="252">
        <v>0</v>
      </c>
      <c r="LRV20" s="252">
        <v>0</v>
      </c>
      <c r="LRW20" s="252">
        <v>0</v>
      </c>
      <c r="LRX20" s="252">
        <v>0</v>
      </c>
      <c r="LRY20" s="252">
        <v>0</v>
      </c>
      <c r="LRZ20" s="252">
        <v>0</v>
      </c>
      <c r="LSA20" s="252">
        <v>0</v>
      </c>
      <c r="LSB20" s="252">
        <v>0</v>
      </c>
      <c r="LSC20" s="252">
        <v>0</v>
      </c>
      <c r="LSD20" s="252">
        <v>0</v>
      </c>
      <c r="LSE20" s="252">
        <v>0</v>
      </c>
      <c r="LSF20" s="252">
        <v>0</v>
      </c>
      <c r="LSG20" s="252">
        <v>0</v>
      </c>
      <c r="LSH20" s="252">
        <v>0</v>
      </c>
      <c r="LSI20" s="252">
        <v>0</v>
      </c>
      <c r="LSJ20" s="252">
        <v>0</v>
      </c>
      <c r="LSK20" s="252">
        <v>0</v>
      </c>
      <c r="LSL20" s="252">
        <v>0</v>
      </c>
      <c r="LSM20" s="252">
        <v>0</v>
      </c>
      <c r="LSN20" s="252">
        <v>0</v>
      </c>
      <c r="LSO20" s="252">
        <v>0</v>
      </c>
      <c r="LSP20" s="252">
        <v>0</v>
      </c>
      <c r="LSQ20" s="252">
        <v>0</v>
      </c>
      <c r="LSR20" s="252">
        <v>0</v>
      </c>
      <c r="LSS20" s="252">
        <v>0</v>
      </c>
      <c r="LST20" s="252">
        <v>0</v>
      </c>
      <c r="LSU20" s="252">
        <v>0</v>
      </c>
      <c r="LSV20" s="252">
        <v>0</v>
      </c>
      <c r="LSW20" s="252">
        <v>0</v>
      </c>
      <c r="LSX20" s="252">
        <v>0</v>
      </c>
      <c r="LSY20" s="252">
        <v>0</v>
      </c>
      <c r="LSZ20" s="252">
        <v>0</v>
      </c>
      <c r="LTA20" s="252">
        <v>0</v>
      </c>
      <c r="LTB20" s="252">
        <v>0</v>
      </c>
      <c r="LTC20" s="252">
        <v>0</v>
      </c>
      <c r="LTD20" s="252">
        <v>0</v>
      </c>
      <c r="LTE20" s="252">
        <v>0</v>
      </c>
      <c r="LTF20" s="252">
        <v>0</v>
      </c>
      <c r="LTG20" s="252">
        <v>0</v>
      </c>
      <c r="LTH20" s="252">
        <v>0</v>
      </c>
      <c r="LTI20" s="252">
        <v>0</v>
      </c>
      <c r="LTJ20" s="252">
        <v>0</v>
      </c>
      <c r="LTK20" s="252">
        <v>0</v>
      </c>
      <c r="LTL20" s="252">
        <v>0</v>
      </c>
      <c r="LTM20" s="252">
        <v>0</v>
      </c>
      <c r="LTN20" s="252">
        <v>0</v>
      </c>
      <c r="LTO20" s="252">
        <v>0</v>
      </c>
      <c r="LTP20" s="252">
        <v>0</v>
      </c>
      <c r="LTQ20" s="252">
        <v>0</v>
      </c>
      <c r="LTR20" s="252">
        <v>0</v>
      </c>
      <c r="LTS20" s="252">
        <v>0</v>
      </c>
      <c r="LTT20" s="252">
        <v>0</v>
      </c>
      <c r="LTU20" s="252">
        <v>0</v>
      </c>
      <c r="LTV20" s="252">
        <v>0</v>
      </c>
      <c r="LTW20" s="252">
        <v>0</v>
      </c>
      <c r="LTX20" s="252">
        <v>0</v>
      </c>
      <c r="LTY20" s="252">
        <v>0</v>
      </c>
      <c r="LTZ20" s="252">
        <v>0</v>
      </c>
      <c r="LUA20" s="252">
        <v>0</v>
      </c>
      <c r="LUB20" s="252">
        <v>0</v>
      </c>
      <c r="LUC20" s="252">
        <v>0</v>
      </c>
      <c r="LUD20" s="252">
        <v>0</v>
      </c>
      <c r="LUE20" s="252">
        <v>0</v>
      </c>
      <c r="LUF20" s="252">
        <v>0</v>
      </c>
      <c r="LUG20" s="252">
        <v>0</v>
      </c>
      <c r="LUH20" s="252">
        <v>0</v>
      </c>
      <c r="LUI20" s="252">
        <v>0</v>
      </c>
      <c r="LUJ20" s="252">
        <v>0</v>
      </c>
      <c r="LUK20" s="252">
        <v>0</v>
      </c>
      <c r="LUL20" s="252">
        <v>0</v>
      </c>
      <c r="LUM20" s="252">
        <v>0</v>
      </c>
      <c r="LUN20" s="252">
        <v>0</v>
      </c>
      <c r="LUO20" s="252">
        <v>0</v>
      </c>
      <c r="LUP20" s="252">
        <v>0</v>
      </c>
      <c r="LUQ20" s="252">
        <v>0</v>
      </c>
      <c r="LUR20" s="252">
        <v>0</v>
      </c>
      <c r="LUS20" s="252">
        <v>0</v>
      </c>
      <c r="LUT20" s="252">
        <v>0</v>
      </c>
      <c r="LUU20" s="252">
        <v>0</v>
      </c>
      <c r="LUV20" s="252">
        <v>0</v>
      </c>
      <c r="LUW20" s="252">
        <v>0</v>
      </c>
      <c r="LUX20" s="252">
        <v>0</v>
      </c>
      <c r="LUY20" s="252">
        <v>0</v>
      </c>
      <c r="LUZ20" s="252">
        <v>0</v>
      </c>
      <c r="LVA20" s="252">
        <v>0</v>
      </c>
      <c r="LVB20" s="252">
        <v>0</v>
      </c>
      <c r="LVC20" s="252">
        <v>0</v>
      </c>
      <c r="LVD20" s="252">
        <v>0</v>
      </c>
      <c r="LVE20" s="252">
        <v>0</v>
      </c>
      <c r="LVF20" s="252">
        <v>0</v>
      </c>
      <c r="LVG20" s="252">
        <v>0</v>
      </c>
      <c r="LVH20" s="252">
        <v>0</v>
      </c>
      <c r="LVI20" s="252">
        <v>0</v>
      </c>
      <c r="LVJ20" s="252">
        <v>0</v>
      </c>
      <c r="LVK20" s="252">
        <v>0</v>
      </c>
      <c r="LVL20" s="252">
        <v>0</v>
      </c>
      <c r="LVM20" s="252">
        <v>0</v>
      </c>
      <c r="LVN20" s="252">
        <v>0</v>
      </c>
      <c r="LVO20" s="252">
        <v>0</v>
      </c>
      <c r="LVP20" s="252">
        <v>0</v>
      </c>
      <c r="LVQ20" s="252">
        <v>0</v>
      </c>
      <c r="LVR20" s="252">
        <v>0</v>
      </c>
      <c r="LVS20" s="252">
        <v>0</v>
      </c>
      <c r="LVT20" s="252">
        <v>0</v>
      </c>
      <c r="LVU20" s="252">
        <v>0</v>
      </c>
      <c r="LVV20" s="252">
        <v>0</v>
      </c>
      <c r="LVW20" s="252">
        <v>0</v>
      </c>
      <c r="LVX20" s="252">
        <v>0</v>
      </c>
      <c r="LVY20" s="252">
        <v>0</v>
      </c>
      <c r="LVZ20" s="252">
        <v>0</v>
      </c>
      <c r="LWA20" s="252">
        <v>0</v>
      </c>
      <c r="LWB20" s="252">
        <v>0</v>
      </c>
      <c r="LWC20" s="252">
        <v>0</v>
      </c>
      <c r="LWD20" s="252">
        <v>0</v>
      </c>
      <c r="LWE20" s="252">
        <v>0</v>
      </c>
      <c r="LWF20" s="252">
        <v>0</v>
      </c>
      <c r="LWG20" s="252">
        <v>0</v>
      </c>
      <c r="LWH20" s="252">
        <v>0</v>
      </c>
      <c r="LWI20" s="252">
        <v>0</v>
      </c>
      <c r="LWJ20" s="252">
        <v>0</v>
      </c>
      <c r="LWK20" s="252">
        <v>0</v>
      </c>
      <c r="LWL20" s="252">
        <v>0</v>
      </c>
      <c r="LWM20" s="252">
        <v>0</v>
      </c>
      <c r="LWN20" s="252">
        <v>0</v>
      </c>
      <c r="LWO20" s="252">
        <v>0</v>
      </c>
      <c r="LWP20" s="252">
        <v>0</v>
      </c>
      <c r="LWQ20" s="252">
        <v>0</v>
      </c>
      <c r="LWR20" s="252">
        <v>0</v>
      </c>
      <c r="LWS20" s="252">
        <v>0</v>
      </c>
      <c r="LWT20" s="252">
        <v>0</v>
      </c>
      <c r="LWU20" s="252">
        <v>0</v>
      </c>
      <c r="LWV20" s="252">
        <v>0</v>
      </c>
      <c r="LWW20" s="252">
        <v>0</v>
      </c>
      <c r="LWX20" s="252">
        <v>0</v>
      </c>
      <c r="LWY20" s="252">
        <v>0</v>
      </c>
      <c r="LWZ20" s="252">
        <v>0</v>
      </c>
      <c r="LXA20" s="252">
        <v>0</v>
      </c>
      <c r="LXB20" s="252">
        <v>0</v>
      </c>
      <c r="LXC20" s="252">
        <v>0</v>
      </c>
      <c r="LXD20" s="252">
        <v>0</v>
      </c>
      <c r="LXE20" s="252">
        <v>0</v>
      </c>
      <c r="LXF20" s="252">
        <v>0</v>
      </c>
      <c r="LXG20" s="252">
        <v>0</v>
      </c>
      <c r="LXH20" s="252">
        <v>0</v>
      </c>
      <c r="LXI20" s="252">
        <v>0</v>
      </c>
      <c r="LXJ20" s="252">
        <v>0</v>
      </c>
      <c r="LXK20" s="252">
        <v>0</v>
      </c>
      <c r="LXL20" s="252">
        <v>0</v>
      </c>
      <c r="LXM20" s="252">
        <v>0</v>
      </c>
      <c r="LXN20" s="252">
        <v>0</v>
      </c>
      <c r="LXO20" s="252">
        <v>0</v>
      </c>
      <c r="LXP20" s="252">
        <v>0</v>
      </c>
      <c r="LXQ20" s="252">
        <v>0</v>
      </c>
      <c r="LXR20" s="252">
        <v>0</v>
      </c>
      <c r="LXS20" s="252">
        <v>0</v>
      </c>
      <c r="LXT20" s="252">
        <v>0</v>
      </c>
      <c r="LXU20" s="252">
        <v>0</v>
      </c>
      <c r="LXV20" s="252">
        <v>0</v>
      </c>
      <c r="LXW20" s="252">
        <v>0</v>
      </c>
      <c r="LXX20" s="252">
        <v>0</v>
      </c>
      <c r="LXY20" s="252">
        <v>0</v>
      </c>
      <c r="LXZ20" s="252">
        <v>0</v>
      </c>
      <c r="LYA20" s="252">
        <v>0</v>
      </c>
      <c r="LYB20" s="252">
        <v>0</v>
      </c>
      <c r="LYC20" s="252">
        <v>0</v>
      </c>
      <c r="LYD20" s="252">
        <v>0</v>
      </c>
      <c r="LYE20" s="252">
        <v>0</v>
      </c>
      <c r="LYF20" s="252">
        <v>0</v>
      </c>
      <c r="LYG20" s="252">
        <v>0</v>
      </c>
      <c r="LYH20" s="252">
        <v>0</v>
      </c>
      <c r="LYI20" s="252">
        <v>0</v>
      </c>
      <c r="LYJ20" s="252">
        <v>0</v>
      </c>
      <c r="LYK20" s="252">
        <v>0</v>
      </c>
      <c r="LYL20" s="252">
        <v>0</v>
      </c>
      <c r="LYM20" s="252">
        <v>0</v>
      </c>
      <c r="LYN20" s="252">
        <v>0</v>
      </c>
      <c r="LYO20" s="252">
        <v>0</v>
      </c>
      <c r="LYP20" s="252">
        <v>0</v>
      </c>
      <c r="LYQ20" s="252">
        <v>0</v>
      </c>
      <c r="LYR20" s="252">
        <v>0</v>
      </c>
      <c r="LYS20" s="252">
        <v>0</v>
      </c>
      <c r="LYT20" s="252">
        <v>0</v>
      </c>
      <c r="LYU20" s="252">
        <v>0</v>
      </c>
      <c r="LYV20" s="252">
        <v>0</v>
      </c>
      <c r="LYW20" s="252">
        <v>0</v>
      </c>
      <c r="LYX20" s="252">
        <v>0</v>
      </c>
      <c r="LYY20" s="252">
        <v>0</v>
      </c>
      <c r="LYZ20" s="252">
        <v>0</v>
      </c>
      <c r="LZA20" s="252">
        <v>0</v>
      </c>
      <c r="LZB20" s="252">
        <v>0</v>
      </c>
      <c r="LZC20" s="252">
        <v>0</v>
      </c>
      <c r="LZD20" s="252">
        <v>0</v>
      </c>
      <c r="LZE20" s="252">
        <v>0</v>
      </c>
      <c r="LZF20" s="252">
        <v>0</v>
      </c>
      <c r="LZG20" s="252">
        <v>0</v>
      </c>
      <c r="LZH20" s="252">
        <v>0</v>
      </c>
      <c r="LZI20" s="252">
        <v>0</v>
      </c>
      <c r="LZJ20" s="252">
        <v>0</v>
      </c>
      <c r="LZK20" s="252">
        <v>0</v>
      </c>
      <c r="LZL20" s="252">
        <v>0</v>
      </c>
      <c r="LZM20" s="252">
        <v>0</v>
      </c>
      <c r="LZN20" s="252">
        <v>0</v>
      </c>
      <c r="LZO20" s="252">
        <v>0</v>
      </c>
      <c r="LZP20" s="252">
        <v>0</v>
      </c>
      <c r="LZQ20" s="252">
        <v>0</v>
      </c>
      <c r="LZR20" s="252">
        <v>0</v>
      </c>
      <c r="LZS20" s="252">
        <v>0</v>
      </c>
      <c r="LZT20" s="252">
        <v>0</v>
      </c>
      <c r="LZU20" s="252">
        <v>0</v>
      </c>
      <c r="LZV20" s="252">
        <v>0</v>
      </c>
      <c r="LZW20" s="252">
        <v>0</v>
      </c>
      <c r="LZX20" s="252">
        <v>0</v>
      </c>
      <c r="LZY20" s="252">
        <v>0</v>
      </c>
      <c r="LZZ20" s="252">
        <v>0</v>
      </c>
      <c r="MAA20" s="252">
        <v>0</v>
      </c>
      <c r="MAB20" s="252">
        <v>0</v>
      </c>
      <c r="MAC20" s="252">
        <v>0</v>
      </c>
      <c r="MAD20" s="252">
        <v>0</v>
      </c>
      <c r="MAE20" s="252">
        <v>0</v>
      </c>
      <c r="MAF20" s="252">
        <v>0</v>
      </c>
      <c r="MAG20" s="252">
        <v>0</v>
      </c>
      <c r="MAH20" s="252">
        <v>0</v>
      </c>
      <c r="MAI20" s="252">
        <v>0</v>
      </c>
      <c r="MAJ20" s="252">
        <v>0</v>
      </c>
      <c r="MAK20" s="252">
        <v>0</v>
      </c>
      <c r="MAL20" s="252">
        <v>0</v>
      </c>
      <c r="MAM20" s="252">
        <v>0</v>
      </c>
      <c r="MAN20" s="252">
        <v>0</v>
      </c>
      <c r="MAO20" s="252">
        <v>0</v>
      </c>
      <c r="MAP20" s="252">
        <v>0</v>
      </c>
      <c r="MAQ20" s="252">
        <v>0</v>
      </c>
      <c r="MAR20" s="252">
        <v>0</v>
      </c>
      <c r="MAS20" s="252">
        <v>0</v>
      </c>
      <c r="MAT20" s="252">
        <v>0</v>
      </c>
      <c r="MAU20" s="252">
        <v>0</v>
      </c>
      <c r="MAV20" s="252">
        <v>0</v>
      </c>
      <c r="MAW20" s="252">
        <v>0</v>
      </c>
      <c r="MAX20" s="252">
        <v>0</v>
      </c>
      <c r="MAY20" s="252">
        <v>0</v>
      </c>
      <c r="MAZ20" s="252">
        <v>0</v>
      </c>
      <c r="MBA20" s="252">
        <v>0</v>
      </c>
      <c r="MBB20" s="252">
        <v>0</v>
      </c>
      <c r="MBC20" s="252">
        <v>0</v>
      </c>
      <c r="MBD20" s="252">
        <v>0</v>
      </c>
      <c r="MBE20" s="252">
        <v>0</v>
      </c>
      <c r="MBF20" s="252">
        <v>0</v>
      </c>
      <c r="MBG20" s="252">
        <v>0</v>
      </c>
      <c r="MBH20" s="252">
        <v>0</v>
      </c>
      <c r="MBI20" s="252">
        <v>0</v>
      </c>
      <c r="MBJ20" s="252">
        <v>0</v>
      </c>
      <c r="MBK20" s="252">
        <v>0</v>
      </c>
      <c r="MBL20" s="252">
        <v>0</v>
      </c>
      <c r="MBM20" s="252">
        <v>0</v>
      </c>
      <c r="MBN20" s="252">
        <v>0</v>
      </c>
      <c r="MBO20" s="252">
        <v>0</v>
      </c>
      <c r="MBP20" s="252">
        <v>0</v>
      </c>
      <c r="MBQ20" s="252">
        <v>0</v>
      </c>
      <c r="MBR20" s="252">
        <v>0</v>
      </c>
      <c r="MBS20" s="252">
        <v>0</v>
      </c>
      <c r="MBT20" s="252">
        <v>0</v>
      </c>
      <c r="MBU20" s="252">
        <v>0</v>
      </c>
      <c r="MBV20" s="252">
        <v>0</v>
      </c>
      <c r="MBW20" s="252">
        <v>0</v>
      </c>
      <c r="MBX20" s="252">
        <v>0</v>
      </c>
      <c r="MBY20" s="252">
        <v>0</v>
      </c>
      <c r="MBZ20" s="252">
        <v>0</v>
      </c>
      <c r="MCA20" s="252">
        <v>0</v>
      </c>
      <c r="MCB20" s="252">
        <v>0</v>
      </c>
      <c r="MCC20" s="252">
        <v>0</v>
      </c>
      <c r="MCD20" s="252">
        <v>0</v>
      </c>
      <c r="MCE20" s="252">
        <v>0</v>
      </c>
      <c r="MCF20" s="252">
        <v>0</v>
      </c>
      <c r="MCG20" s="252">
        <v>0</v>
      </c>
      <c r="MCH20" s="252">
        <v>0</v>
      </c>
      <c r="MCI20" s="252">
        <v>0</v>
      </c>
      <c r="MCJ20" s="252">
        <v>0</v>
      </c>
      <c r="MCK20" s="252">
        <v>0</v>
      </c>
      <c r="MCL20" s="252">
        <v>0</v>
      </c>
      <c r="MCM20" s="252">
        <v>0</v>
      </c>
      <c r="MCN20" s="252">
        <v>0</v>
      </c>
      <c r="MCO20" s="252">
        <v>0</v>
      </c>
      <c r="MCP20" s="252">
        <v>0</v>
      </c>
      <c r="MCQ20" s="252">
        <v>0</v>
      </c>
      <c r="MCR20" s="252">
        <v>0</v>
      </c>
      <c r="MCS20" s="252">
        <v>0</v>
      </c>
      <c r="MCT20" s="252">
        <v>0</v>
      </c>
      <c r="MCU20" s="252">
        <v>0</v>
      </c>
      <c r="MCV20" s="252">
        <v>0</v>
      </c>
      <c r="MCW20" s="252">
        <v>0</v>
      </c>
      <c r="MCX20" s="252">
        <v>0</v>
      </c>
      <c r="MCY20" s="252">
        <v>0</v>
      </c>
      <c r="MCZ20" s="252">
        <v>0</v>
      </c>
      <c r="MDA20" s="252">
        <v>0</v>
      </c>
      <c r="MDB20" s="252">
        <v>0</v>
      </c>
      <c r="MDC20" s="252">
        <v>0</v>
      </c>
      <c r="MDD20" s="252">
        <v>0</v>
      </c>
      <c r="MDE20" s="252">
        <v>0</v>
      </c>
      <c r="MDF20" s="252">
        <v>0</v>
      </c>
      <c r="MDG20" s="252">
        <v>0</v>
      </c>
      <c r="MDH20" s="252">
        <v>0</v>
      </c>
      <c r="MDI20" s="252">
        <v>0</v>
      </c>
      <c r="MDJ20" s="252">
        <v>0</v>
      </c>
      <c r="MDK20" s="252">
        <v>0</v>
      </c>
      <c r="MDL20" s="252">
        <v>0</v>
      </c>
      <c r="MDM20" s="252">
        <v>0</v>
      </c>
      <c r="MDN20" s="252">
        <v>0</v>
      </c>
      <c r="MDO20" s="252">
        <v>0</v>
      </c>
      <c r="MDP20" s="252">
        <v>0</v>
      </c>
      <c r="MDQ20" s="252">
        <v>0</v>
      </c>
      <c r="MDR20" s="252">
        <v>0</v>
      </c>
      <c r="MDS20" s="252">
        <v>0</v>
      </c>
      <c r="MDT20" s="252">
        <v>0</v>
      </c>
      <c r="MDU20" s="252">
        <v>0</v>
      </c>
      <c r="MDV20" s="252">
        <v>0</v>
      </c>
      <c r="MDW20" s="252">
        <v>0</v>
      </c>
      <c r="MDX20" s="252">
        <v>0</v>
      </c>
      <c r="MDY20" s="252">
        <v>0</v>
      </c>
      <c r="MDZ20" s="252">
        <v>0</v>
      </c>
      <c r="MEA20" s="252">
        <v>0</v>
      </c>
      <c r="MEB20" s="252">
        <v>0</v>
      </c>
      <c r="MEC20" s="252">
        <v>0</v>
      </c>
      <c r="MED20" s="252">
        <v>0</v>
      </c>
      <c r="MEE20" s="252">
        <v>0</v>
      </c>
      <c r="MEF20" s="252">
        <v>0</v>
      </c>
      <c r="MEG20" s="252">
        <v>0</v>
      </c>
      <c r="MEH20" s="252">
        <v>0</v>
      </c>
      <c r="MEI20" s="252">
        <v>0</v>
      </c>
      <c r="MEJ20" s="252">
        <v>0</v>
      </c>
      <c r="MEK20" s="252">
        <v>0</v>
      </c>
      <c r="MEL20" s="252">
        <v>0</v>
      </c>
      <c r="MEM20" s="252">
        <v>0</v>
      </c>
      <c r="MEN20" s="252">
        <v>0</v>
      </c>
      <c r="MEO20" s="252">
        <v>0</v>
      </c>
      <c r="MEP20" s="252">
        <v>0</v>
      </c>
      <c r="MEQ20" s="252">
        <v>0</v>
      </c>
      <c r="MER20" s="252">
        <v>0</v>
      </c>
      <c r="MES20" s="252">
        <v>0</v>
      </c>
      <c r="MET20" s="252">
        <v>0</v>
      </c>
      <c r="MEU20" s="252">
        <v>0</v>
      </c>
      <c r="MEV20" s="252">
        <v>0</v>
      </c>
      <c r="MEW20" s="252">
        <v>0</v>
      </c>
      <c r="MEX20" s="252">
        <v>0</v>
      </c>
      <c r="MEY20" s="252">
        <v>0</v>
      </c>
      <c r="MEZ20" s="252">
        <v>0</v>
      </c>
      <c r="MFA20" s="252">
        <v>0</v>
      </c>
      <c r="MFB20" s="252">
        <v>0</v>
      </c>
      <c r="MFC20" s="252">
        <v>0</v>
      </c>
      <c r="MFD20" s="252">
        <v>0</v>
      </c>
      <c r="MFE20" s="252">
        <v>0</v>
      </c>
      <c r="MFF20" s="252">
        <v>0</v>
      </c>
      <c r="MFG20" s="252">
        <v>0</v>
      </c>
      <c r="MFH20" s="252">
        <v>0</v>
      </c>
      <c r="MFI20" s="252">
        <v>0</v>
      </c>
      <c r="MFJ20" s="252">
        <v>0</v>
      </c>
      <c r="MFK20" s="252">
        <v>0</v>
      </c>
      <c r="MFL20" s="252">
        <v>0</v>
      </c>
      <c r="MFM20" s="252">
        <v>0</v>
      </c>
      <c r="MFN20" s="252">
        <v>0</v>
      </c>
      <c r="MFO20" s="252">
        <v>0</v>
      </c>
      <c r="MFP20" s="252">
        <v>0</v>
      </c>
      <c r="MFQ20" s="252">
        <v>0</v>
      </c>
      <c r="MFR20" s="252">
        <v>0</v>
      </c>
      <c r="MFS20" s="252">
        <v>0</v>
      </c>
      <c r="MFT20" s="252">
        <v>0</v>
      </c>
      <c r="MFU20" s="252">
        <v>0</v>
      </c>
      <c r="MFV20" s="252">
        <v>0</v>
      </c>
      <c r="MFW20" s="252">
        <v>0</v>
      </c>
      <c r="MFX20" s="252">
        <v>0</v>
      </c>
      <c r="MFY20" s="252">
        <v>0</v>
      </c>
      <c r="MFZ20" s="252">
        <v>0</v>
      </c>
      <c r="MGA20" s="252">
        <v>0</v>
      </c>
      <c r="MGB20" s="252">
        <v>0</v>
      </c>
      <c r="MGC20" s="252">
        <v>0</v>
      </c>
      <c r="MGD20" s="252">
        <v>0</v>
      </c>
      <c r="MGE20" s="252">
        <v>0</v>
      </c>
      <c r="MGF20" s="252">
        <v>0</v>
      </c>
      <c r="MGG20" s="252">
        <v>0</v>
      </c>
      <c r="MGH20" s="252">
        <v>0</v>
      </c>
      <c r="MGI20" s="252">
        <v>0</v>
      </c>
      <c r="MGJ20" s="252">
        <v>0</v>
      </c>
      <c r="MGK20" s="252">
        <v>0</v>
      </c>
      <c r="MGL20" s="252">
        <v>0</v>
      </c>
      <c r="MGM20" s="252">
        <v>0</v>
      </c>
      <c r="MGN20" s="252">
        <v>0</v>
      </c>
      <c r="MGO20" s="252">
        <v>0</v>
      </c>
      <c r="MGP20" s="252">
        <v>0</v>
      </c>
      <c r="MGQ20" s="252">
        <v>0</v>
      </c>
      <c r="MGR20" s="252">
        <v>0</v>
      </c>
      <c r="MGS20" s="252">
        <v>0</v>
      </c>
      <c r="MGT20" s="252">
        <v>0</v>
      </c>
      <c r="MGU20" s="252">
        <v>0</v>
      </c>
      <c r="MGV20" s="252">
        <v>0</v>
      </c>
      <c r="MGW20" s="252">
        <v>0</v>
      </c>
      <c r="MGX20" s="252">
        <v>0</v>
      </c>
      <c r="MGY20" s="252">
        <v>0</v>
      </c>
      <c r="MGZ20" s="252">
        <v>0</v>
      </c>
      <c r="MHA20" s="252">
        <v>0</v>
      </c>
      <c r="MHB20" s="252">
        <v>0</v>
      </c>
      <c r="MHC20" s="252">
        <v>0</v>
      </c>
      <c r="MHD20" s="252">
        <v>0</v>
      </c>
      <c r="MHE20" s="252">
        <v>0</v>
      </c>
      <c r="MHF20" s="252">
        <v>0</v>
      </c>
      <c r="MHG20" s="252">
        <v>0</v>
      </c>
      <c r="MHH20" s="252">
        <v>0</v>
      </c>
      <c r="MHI20" s="252">
        <v>0</v>
      </c>
      <c r="MHJ20" s="252">
        <v>0</v>
      </c>
      <c r="MHK20" s="252">
        <v>0</v>
      </c>
      <c r="MHL20" s="252">
        <v>0</v>
      </c>
      <c r="MHM20" s="252">
        <v>0</v>
      </c>
      <c r="MHN20" s="252">
        <v>0</v>
      </c>
      <c r="MHO20" s="252">
        <v>0</v>
      </c>
      <c r="MHP20" s="252">
        <v>0</v>
      </c>
      <c r="MHQ20" s="252">
        <v>0</v>
      </c>
      <c r="MHR20" s="252">
        <v>0</v>
      </c>
      <c r="MHS20" s="252">
        <v>0</v>
      </c>
      <c r="MHT20" s="252">
        <v>0</v>
      </c>
      <c r="MHU20" s="252">
        <v>0</v>
      </c>
      <c r="MHV20" s="252">
        <v>0</v>
      </c>
      <c r="MHW20" s="252">
        <v>0</v>
      </c>
      <c r="MHX20" s="252">
        <v>0</v>
      </c>
      <c r="MHY20" s="252">
        <v>0</v>
      </c>
      <c r="MHZ20" s="252">
        <v>0</v>
      </c>
      <c r="MIA20" s="252">
        <v>0</v>
      </c>
      <c r="MIB20" s="252">
        <v>0</v>
      </c>
      <c r="MIC20" s="252">
        <v>0</v>
      </c>
      <c r="MID20" s="252">
        <v>0</v>
      </c>
      <c r="MIE20" s="252">
        <v>0</v>
      </c>
      <c r="MIF20" s="252">
        <v>0</v>
      </c>
      <c r="MIG20" s="252">
        <v>0</v>
      </c>
      <c r="MIH20" s="252">
        <v>0</v>
      </c>
      <c r="MII20" s="252">
        <v>0</v>
      </c>
      <c r="MIJ20" s="252">
        <v>0</v>
      </c>
      <c r="MIK20" s="252">
        <v>0</v>
      </c>
      <c r="MIL20" s="252">
        <v>0</v>
      </c>
      <c r="MIM20" s="252">
        <v>0</v>
      </c>
      <c r="MIN20" s="252">
        <v>0</v>
      </c>
      <c r="MIO20" s="252">
        <v>0</v>
      </c>
      <c r="MIP20" s="252">
        <v>0</v>
      </c>
      <c r="MIQ20" s="252">
        <v>0</v>
      </c>
      <c r="MIR20" s="252">
        <v>0</v>
      </c>
      <c r="MIS20" s="252">
        <v>0</v>
      </c>
      <c r="MIT20" s="252">
        <v>0</v>
      </c>
      <c r="MIU20" s="252">
        <v>0</v>
      </c>
      <c r="MIV20" s="252">
        <v>0</v>
      </c>
      <c r="MIW20" s="252">
        <v>0</v>
      </c>
      <c r="MIX20" s="252">
        <v>0</v>
      </c>
      <c r="MIY20" s="252">
        <v>0</v>
      </c>
      <c r="MIZ20" s="252">
        <v>0</v>
      </c>
      <c r="MJA20" s="252">
        <v>0</v>
      </c>
      <c r="MJB20" s="252">
        <v>0</v>
      </c>
      <c r="MJC20" s="252">
        <v>0</v>
      </c>
      <c r="MJD20" s="252">
        <v>0</v>
      </c>
      <c r="MJE20" s="252">
        <v>0</v>
      </c>
      <c r="MJF20" s="252">
        <v>0</v>
      </c>
      <c r="MJG20" s="252">
        <v>0</v>
      </c>
      <c r="MJH20" s="252">
        <v>0</v>
      </c>
      <c r="MJI20" s="252">
        <v>0</v>
      </c>
      <c r="MJJ20" s="252">
        <v>0</v>
      </c>
      <c r="MJK20" s="252">
        <v>0</v>
      </c>
      <c r="MJL20" s="252">
        <v>0</v>
      </c>
      <c r="MJM20" s="252">
        <v>0</v>
      </c>
      <c r="MJN20" s="252">
        <v>0</v>
      </c>
      <c r="MJO20" s="252">
        <v>0</v>
      </c>
      <c r="MJP20" s="252">
        <v>0</v>
      </c>
      <c r="MJQ20" s="252">
        <v>0</v>
      </c>
      <c r="MJR20" s="252">
        <v>0</v>
      </c>
      <c r="MJS20" s="252">
        <v>0</v>
      </c>
      <c r="MJT20" s="252">
        <v>0</v>
      </c>
      <c r="MJU20" s="252">
        <v>0</v>
      </c>
      <c r="MJV20" s="252">
        <v>0</v>
      </c>
      <c r="MJW20" s="252">
        <v>0</v>
      </c>
      <c r="MJX20" s="252">
        <v>0</v>
      </c>
      <c r="MJY20" s="252">
        <v>0</v>
      </c>
      <c r="MJZ20" s="252">
        <v>0</v>
      </c>
      <c r="MKA20" s="252">
        <v>0</v>
      </c>
      <c r="MKB20" s="252">
        <v>0</v>
      </c>
      <c r="MKC20" s="252">
        <v>0</v>
      </c>
      <c r="MKD20" s="252">
        <v>0</v>
      </c>
      <c r="MKE20" s="252">
        <v>0</v>
      </c>
      <c r="MKF20" s="252">
        <v>0</v>
      </c>
      <c r="MKG20" s="252">
        <v>0</v>
      </c>
      <c r="MKH20" s="252">
        <v>0</v>
      </c>
      <c r="MKI20" s="252">
        <v>0</v>
      </c>
      <c r="MKJ20" s="252">
        <v>0</v>
      </c>
      <c r="MKK20" s="252">
        <v>0</v>
      </c>
      <c r="MKL20" s="252">
        <v>0</v>
      </c>
      <c r="MKM20" s="252">
        <v>0</v>
      </c>
      <c r="MKN20" s="252">
        <v>0</v>
      </c>
      <c r="MKO20" s="252">
        <v>0</v>
      </c>
      <c r="MKP20" s="252">
        <v>0</v>
      </c>
      <c r="MKQ20" s="252">
        <v>0</v>
      </c>
      <c r="MKR20" s="252">
        <v>0</v>
      </c>
      <c r="MKS20" s="252">
        <v>0</v>
      </c>
      <c r="MKT20" s="252">
        <v>0</v>
      </c>
      <c r="MKU20" s="252">
        <v>0</v>
      </c>
      <c r="MKV20" s="252">
        <v>0</v>
      </c>
      <c r="MKW20" s="252">
        <v>0</v>
      </c>
      <c r="MKX20" s="252">
        <v>0</v>
      </c>
      <c r="MKY20" s="252">
        <v>0</v>
      </c>
      <c r="MKZ20" s="252">
        <v>0</v>
      </c>
      <c r="MLA20" s="252">
        <v>0</v>
      </c>
      <c r="MLB20" s="252">
        <v>0</v>
      </c>
      <c r="MLC20" s="252">
        <v>0</v>
      </c>
      <c r="MLD20" s="252">
        <v>0</v>
      </c>
      <c r="MLE20" s="252">
        <v>0</v>
      </c>
      <c r="MLF20" s="252">
        <v>0</v>
      </c>
      <c r="MLG20" s="252">
        <v>0</v>
      </c>
      <c r="MLH20" s="252">
        <v>0</v>
      </c>
      <c r="MLI20" s="252">
        <v>0</v>
      </c>
      <c r="MLJ20" s="252">
        <v>0</v>
      </c>
      <c r="MLK20" s="252">
        <v>0</v>
      </c>
      <c r="MLL20" s="252">
        <v>0</v>
      </c>
      <c r="MLM20" s="252">
        <v>0</v>
      </c>
      <c r="MLN20" s="252">
        <v>0</v>
      </c>
      <c r="MLO20" s="252">
        <v>0</v>
      </c>
      <c r="MLP20" s="252">
        <v>0</v>
      </c>
      <c r="MLQ20" s="252">
        <v>0</v>
      </c>
      <c r="MLR20" s="252">
        <v>0</v>
      </c>
      <c r="MLS20" s="252">
        <v>0</v>
      </c>
      <c r="MLT20" s="252">
        <v>0</v>
      </c>
      <c r="MLU20" s="252">
        <v>0</v>
      </c>
      <c r="MLV20" s="252">
        <v>0</v>
      </c>
      <c r="MLW20" s="252">
        <v>0</v>
      </c>
      <c r="MLX20" s="252">
        <v>0</v>
      </c>
      <c r="MLY20" s="252">
        <v>0</v>
      </c>
      <c r="MLZ20" s="252">
        <v>0</v>
      </c>
      <c r="MMA20" s="252">
        <v>0</v>
      </c>
      <c r="MMB20" s="252">
        <v>0</v>
      </c>
      <c r="MMC20" s="252">
        <v>0</v>
      </c>
      <c r="MMD20" s="252">
        <v>0</v>
      </c>
      <c r="MME20" s="252">
        <v>0</v>
      </c>
      <c r="MMF20" s="252">
        <v>0</v>
      </c>
      <c r="MMG20" s="252">
        <v>0</v>
      </c>
      <c r="MMH20" s="252">
        <v>0</v>
      </c>
      <c r="MMI20" s="252">
        <v>0</v>
      </c>
      <c r="MMJ20" s="252">
        <v>0</v>
      </c>
      <c r="MMK20" s="252">
        <v>0</v>
      </c>
      <c r="MML20" s="252">
        <v>0</v>
      </c>
      <c r="MMM20" s="252">
        <v>0</v>
      </c>
      <c r="MMN20" s="252">
        <v>0</v>
      </c>
      <c r="MMO20" s="252">
        <v>0</v>
      </c>
      <c r="MMP20" s="252">
        <v>0</v>
      </c>
      <c r="MMQ20" s="252">
        <v>0</v>
      </c>
      <c r="MMR20" s="252">
        <v>0</v>
      </c>
      <c r="MMS20" s="252">
        <v>0</v>
      </c>
      <c r="MMT20" s="252">
        <v>0</v>
      </c>
      <c r="MMU20" s="252">
        <v>0</v>
      </c>
      <c r="MMV20" s="252">
        <v>0</v>
      </c>
      <c r="MMW20" s="252">
        <v>0</v>
      </c>
      <c r="MMX20" s="252">
        <v>0</v>
      </c>
      <c r="MMY20" s="252">
        <v>0</v>
      </c>
      <c r="MMZ20" s="252">
        <v>0</v>
      </c>
      <c r="MNA20" s="252">
        <v>0</v>
      </c>
      <c r="MNB20" s="252">
        <v>0</v>
      </c>
      <c r="MNC20" s="252">
        <v>0</v>
      </c>
      <c r="MND20" s="252">
        <v>0</v>
      </c>
      <c r="MNE20" s="252">
        <v>0</v>
      </c>
      <c r="MNF20" s="252">
        <v>0</v>
      </c>
      <c r="MNG20" s="252">
        <v>0</v>
      </c>
      <c r="MNH20" s="252">
        <v>0</v>
      </c>
      <c r="MNI20" s="252">
        <v>0</v>
      </c>
      <c r="MNJ20" s="252">
        <v>0</v>
      </c>
      <c r="MNK20" s="252">
        <v>0</v>
      </c>
      <c r="MNL20" s="252">
        <v>0</v>
      </c>
      <c r="MNM20" s="252">
        <v>0</v>
      </c>
      <c r="MNN20" s="252">
        <v>0</v>
      </c>
      <c r="MNO20" s="252">
        <v>0</v>
      </c>
      <c r="MNP20" s="252">
        <v>0</v>
      </c>
      <c r="MNQ20" s="252">
        <v>0</v>
      </c>
      <c r="MNR20" s="252">
        <v>0</v>
      </c>
      <c r="MNS20" s="252">
        <v>0</v>
      </c>
      <c r="MNT20" s="252">
        <v>0</v>
      </c>
      <c r="MNU20" s="252">
        <v>0</v>
      </c>
      <c r="MNV20" s="252">
        <v>0</v>
      </c>
      <c r="MNW20" s="252">
        <v>0</v>
      </c>
      <c r="MNX20" s="252">
        <v>0</v>
      </c>
      <c r="MNY20" s="252">
        <v>0</v>
      </c>
      <c r="MNZ20" s="252">
        <v>0</v>
      </c>
      <c r="MOA20" s="252">
        <v>0</v>
      </c>
      <c r="MOB20" s="252">
        <v>0</v>
      </c>
      <c r="MOC20" s="252">
        <v>0</v>
      </c>
      <c r="MOD20" s="252">
        <v>0</v>
      </c>
      <c r="MOE20" s="252">
        <v>0</v>
      </c>
      <c r="MOF20" s="252">
        <v>0</v>
      </c>
      <c r="MOG20" s="252">
        <v>0</v>
      </c>
      <c r="MOH20" s="252">
        <v>0</v>
      </c>
      <c r="MOI20" s="252">
        <v>0</v>
      </c>
      <c r="MOJ20" s="252">
        <v>0</v>
      </c>
      <c r="MOK20" s="252">
        <v>0</v>
      </c>
      <c r="MOL20" s="252">
        <v>0</v>
      </c>
      <c r="MOM20" s="252">
        <v>0</v>
      </c>
      <c r="MON20" s="252">
        <v>0</v>
      </c>
      <c r="MOO20" s="252">
        <v>0</v>
      </c>
      <c r="MOP20" s="252">
        <v>0</v>
      </c>
      <c r="MOQ20" s="252">
        <v>0</v>
      </c>
      <c r="MOR20" s="252">
        <v>0</v>
      </c>
      <c r="MOS20" s="252">
        <v>0</v>
      </c>
      <c r="MOT20" s="252">
        <v>0</v>
      </c>
      <c r="MOU20" s="252">
        <v>0</v>
      </c>
      <c r="MOV20" s="252">
        <v>0</v>
      </c>
      <c r="MOW20" s="252">
        <v>0</v>
      </c>
      <c r="MOX20" s="252">
        <v>0</v>
      </c>
      <c r="MOY20" s="252">
        <v>0</v>
      </c>
      <c r="MOZ20" s="252">
        <v>0</v>
      </c>
      <c r="MPA20" s="252">
        <v>0</v>
      </c>
      <c r="MPB20" s="252">
        <v>0</v>
      </c>
      <c r="MPC20" s="252">
        <v>0</v>
      </c>
      <c r="MPD20" s="252">
        <v>0</v>
      </c>
      <c r="MPE20" s="252">
        <v>0</v>
      </c>
      <c r="MPF20" s="252">
        <v>0</v>
      </c>
      <c r="MPG20" s="252">
        <v>0</v>
      </c>
      <c r="MPH20" s="252">
        <v>0</v>
      </c>
      <c r="MPI20" s="252">
        <v>0</v>
      </c>
      <c r="MPJ20" s="252">
        <v>0</v>
      </c>
      <c r="MPK20" s="252">
        <v>0</v>
      </c>
      <c r="MPL20" s="252">
        <v>0</v>
      </c>
      <c r="MPM20" s="252">
        <v>0</v>
      </c>
      <c r="MPN20" s="252">
        <v>0</v>
      </c>
      <c r="MPO20" s="252">
        <v>0</v>
      </c>
      <c r="MPP20" s="252">
        <v>0</v>
      </c>
      <c r="MPQ20" s="252">
        <v>0</v>
      </c>
      <c r="MPR20" s="252">
        <v>0</v>
      </c>
      <c r="MPS20" s="252">
        <v>0</v>
      </c>
      <c r="MPT20" s="252">
        <v>0</v>
      </c>
      <c r="MPU20" s="252">
        <v>0</v>
      </c>
      <c r="MPV20" s="252">
        <v>0</v>
      </c>
      <c r="MPW20" s="252">
        <v>0</v>
      </c>
      <c r="MPX20" s="252">
        <v>0</v>
      </c>
      <c r="MPY20" s="252">
        <v>0</v>
      </c>
      <c r="MPZ20" s="252">
        <v>0</v>
      </c>
      <c r="MQA20" s="252">
        <v>0</v>
      </c>
      <c r="MQB20" s="252">
        <v>0</v>
      </c>
      <c r="MQC20" s="252">
        <v>0</v>
      </c>
      <c r="MQD20" s="252">
        <v>0</v>
      </c>
      <c r="MQE20" s="252">
        <v>0</v>
      </c>
      <c r="MQF20" s="252">
        <v>0</v>
      </c>
      <c r="MQG20" s="252">
        <v>0</v>
      </c>
      <c r="MQH20" s="252">
        <v>0</v>
      </c>
      <c r="MQI20" s="252">
        <v>0</v>
      </c>
      <c r="MQJ20" s="252">
        <v>0</v>
      </c>
      <c r="MQK20" s="252">
        <v>0</v>
      </c>
      <c r="MQL20" s="252">
        <v>0</v>
      </c>
      <c r="MQM20" s="252">
        <v>0</v>
      </c>
      <c r="MQN20" s="252">
        <v>0</v>
      </c>
      <c r="MQO20" s="252">
        <v>0</v>
      </c>
      <c r="MQP20" s="252">
        <v>0</v>
      </c>
      <c r="MQQ20" s="252">
        <v>0</v>
      </c>
      <c r="MQR20" s="252">
        <v>0</v>
      </c>
      <c r="MQS20" s="252">
        <v>0</v>
      </c>
      <c r="MQT20" s="252">
        <v>0</v>
      </c>
      <c r="MQU20" s="252">
        <v>0</v>
      </c>
      <c r="MQV20" s="252">
        <v>0</v>
      </c>
      <c r="MQW20" s="252">
        <v>0</v>
      </c>
      <c r="MQX20" s="252">
        <v>0</v>
      </c>
      <c r="MQY20" s="252">
        <v>0</v>
      </c>
      <c r="MQZ20" s="252">
        <v>0</v>
      </c>
      <c r="MRA20" s="252">
        <v>0</v>
      </c>
      <c r="MRB20" s="252">
        <v>0</v>
      </c>
      <c r="MRC20" s="252">
        <v>0</v>
      </c>
      <c r="MRD20" s="252">
        <v>0</v>
      </c>
      <c r="MRE20" s="252">
        <v>0</v>
      </c>
      <c r="MRF20" s="252">
        <v>0</v>
      </c>
      <c r="MRG20" s="252">
        <v>0</v>
      </c>
      <c r="MRH20" s="252">
        <v>0</v>
      </c>
      <c r="MRI20" s="252">
        <v>0</v>
      </c>
      <c r="MRJ20" s="252">
        <v>0</v>
      </c>
      <c r="MRK20" s="252">
        <v>0</v>
      </c>
      <c r="MRL20" s="252">
        <v>0</v>
      </c>
      <c r="MRM20" s="252">
        <v>0</v>
      </c>
      <c r="MRN20" s="252">
        <v>0</v>
      </c>
      <c r="MRO20" s="252">
        <v>0</v>
      </c>
      <c r="MRP20" s="252">
        <v>0</v>
      </c>
      <c r="MRQ20" s="252">
        <v>0</v>
      </c>
      <c r="MRR20" s="252">
        <v>0</v>
      </c>
      <c r="MRS20" s="252">
        <v>0</v>
      </c>
      <c r="MRT20" s="252">
        <v>0</v>
      </c>
      <c r="MRU20" s="252">
        <v>0</v>
      </c>
      <c r="MRV20" s="252">
        <v>0</v>
      </c>
      <c r="MRW20" s="252">
        <v>0</v>
      </c>
      <c r="MRX20" s="252">
        <v>0</v>
      </c>
      <c r="MRY20" s="252">
        <v>0</v>
      </c>
      <c r="MRZ20" s="252">
        <v>0</v>
      </c>
      <c r="MSA20" s="252">
        <v>0</v>
      </c>
      <c r="MSB20" s="252">
        <v>0</v>
      </c>
      <c r="MSC20" s="252">
        <v>0</v>
      </c>
      <c r="MSD20" s="252">
        <v>0</v>
      </c>
      <c r="MSE20" s="252">
        <v>0</v>
      </c>
      <c r="MSF20" s="252">
        <v>0</v>
      </c>
      <c r="MSG20" s="252">
        <v>0</v>
      </c>
      <c r="MSH20" s="252">
        <v>0</v>
      </c>
      <c r="MSI20" s="252">
        <v>0</v>
      </c>
      <c r="MSJ20" s="252">
        <v>0</v>
      </c>
      <c r="MSK20" s="252">
        <v>0</v>
      </c>
      <c r="MSL20" s="252">
        <v>0</v>
      </c>
      <c r="MSM20" s="252">
        <v>0</v>
      </c>
      <c r="MSN20" s="252">
        <v>0</v>
      </c>
      <c r="MSO20" s="252">
        <v>0</v>
      </c>
      <c r="MSP20" s="252">
        <v>0</v>
      </c>
      <c r="MSQ20" s="252">
        <v>0</v>
      </c>
      <c r="MSR20" s="252">
        <v>0</v>
      </c>
      <c r="MSS20" s="252">
        <v>0</v>
      </c>
      <c r="MST20" s="252">
        <v>0</v>
      </c>
      <c r="MSU20" s="252">
        <v>0</v>
      </c>
      <c r="MSV20" s="252">
        <v>0</v>
      </c>
      <c r="MSW20" s="252">
        <v>0</v>
      </c>
      <c r="MSX20" s="252">
        <v>0</v>
      </c>
      <c r="MSY20" s="252">
        <v>0</v>
      </c>
      <c r="MSZ20" s="252">
        <v>0</v>
      </c>
      <c r="MTA20" s="252">
        <v>0</v>
      </c>
      <c r="MTB20" s="252">
        <v>0</v>
      </c>
      <c r="MTC20" s="252">
        <v>0</v>
      </c>
      <c r="MTD20" s="252">
        <v>0</v>
      </c>
      <c r="MTE20" s="252">
        <v>0</v>
      </c>
      <c r="MTF20" s="252">
        <v>0</v>
      </c>
      <c r="MTG20" s="252">
        <v>0</v>
      </c>
      <c r="MTH20" s="252">
        <v>0</v>
      </c>
      <c r="MTI20" s="252">
        <v>0</v>
      </c>
      <c r="MTJ20" s="252">
        <v>0</v>
      </c>
      <c r="MTK20" s="252">
        <v>0</v>
      </c>
      <c r="MTL20" s="252">
        <v>0</v>
      </c>
      <c r="MTM20" s="252">
        <v>0</v>
      </c>
      <c r="MTN20" s="252">
        <v>0</v>
      </c>
      <c r="MTO20" s="252">
        <v>0</v>
      </c>
      <c r="MTP20" s="252">
        <v>0</v>
      </c>
      <c r="MTQ20" s="252">
        <v>0</v>
      </c>
      <c r="MTR20" s="252">
        <v>0</v>
      </c>
      <c r="MTS20" s="252">
        <v>0</v>
      </c>
      <c r="MTT20" s="252">
        <v>0</v>
      </c>
      <c r="MTU20" s="252">
        <v>0</v>
      </c>
      <c r="MTV20" s="252">
        <v>0</v>
      </c>
      <c r="MTW20" s="252">
        <v>0</v>
      </c>
      <c r="MTX20" s="252">
        <v>0</v>
      </c>
      <c r="MTY20" s="252">
        <v>0</v>
      </c>
      <c r="MTZ20" s="252">
        <v>0</v>
      </c>
      <c r="MUA20" s="252">
        <v>0</v>
      </c>
      <c r="MUB20" s="252">
        <v>0</v>
      </c>
      <c r="MUC20" s="252">
        <v>0</v>
      </c>
      <c r="MUD20" s="252">
        <v>0</v>
      </c>
      <c r="MUE20" s="252">
        <v>0</v>
      </c>
      <c r="MUF20" s="252">
        <v>0</v>
      </c>
      <c r="MUG20" s="252">
        <v>0</v>
      </c>
      <c r="MUH20" s="252">
        <v>0</v>
      </c>
      <c r="MUI20" s="252">
        <v>0</v>
      </c>
      <c r="MUJ20" s="252">
        <v>0</v>
      </c>
      <c r="MUK20" s="252">
        <v>0</v>
      </c>
      <c r="MUL20" s="252">
        <v>0</v>
      </c>
      <c r="MUM20" s="252">
        <v>0</v>
      </c>
      <c r="MUN20" s="252">
        <v>0</v>
      </c>
      <c r="MUO20" s="252">
        <v>0</v>
      </c>
      <c r="MUP20" s="252">
        <v>0</v>
      </c>
      <c r="MUQ20" s="252">
        <v>0</v>
      </c>
      <c r="MUR20" s="252">
        <v>0</v>
      </c>
      <c r="MUS20" s="252">
        <v>0</v>
      </c>
      <c r="MUT20" s="252">
        <v>0</v>
      </c>
      <c r="MUU20" s="252">
        <v>0</v>
      </c>
      <c r="MUV20" s="252">
        <v>0</v>
      </c>
      <c r="MUW20" s="252">
        <v>0</v>
      </c>
      <c r="MUX20" s="252">
        <v>0</v>
      </c>
      <c r="MUY20" s="252">
        <v>0</v>
      </c>
      <c r="MUZ20" s="252">
        <v>0</v>
      </c>
      <c r="MVA20" s="252">
        <v>0</v>
      </c>
      <c r="MVB20" s="252">
        <v>0</v>
      </c>
      <c r="MVC20" s="252">
        <v>0</v>
      </c>
      <c r="MVD20" s="252">
        <v>0</v>
      </c>
      <c r="MVE20" s="252">
        <v>0</v>
      </c>
      <c r="MVF20" s="252">
        <v>0</v>
      </c>
      <c r="MVG20" s="252">
        <v>0</v>
      </c>
      <c r="MVH20" s="252">
        <v>0</v>
      </c>
      <c r="MVI20" s="252">
        <v>0</v>
      </c>
      <c r="MVJ20" s="252">
        <v>0</v>
      </c>
      <c r="MVK20" s="252">
        <v>0</v>
      </c>
      <c r="MVL20" s="252">
        <v>0</v>
      </c>
      <c r="MVM20" s="252">
        <v>0</v>
      </c>
      <c r="MVN20" s="252">
        <v>0</v>
      </c>
      <c r="MVO20" s="252">
        <v>0</v>
      </c>
      <c r="MVP20" s="252">
        <v>0</v>
      </c>
      <c r="MVQ20" s="252">
        <v>0</v>
      </c>
      <c r="MVR20" s="252">
        <v>0</v>
      </c>
      <c r="MVS20" s="252">
        <v>0</v>
      </c>
      <c r="MVT20" s="252">
        <v>0</v>
      </c>
      <c r="MVU20" s="252">
        <v>0</v>
      </c>
      <c r="MVV20" s="252">
        <v>0</v>
      </c>
      <c r="MVW20" s="252">
        <v>0</v>
      </c>
      <c r="MVX20" s="252">
        <v>0</v>
      </c>
      <c r="MVY20" s="252">
        <v>0</v>
      </c>
      <c r="MVZ20" s="252">
        <v>0</v>
      </c>
      <c r="MWA20" s="252">
        <v>0</v>
      </c>
      <c r="MWB20" s="252">
        <v>0</v>
      </c>
      <c r="MWC20" s="252">
        <v>0</v>
      </c>
      <c r="MWD20" s="252">
        <v>0</v>
      </c>
      <c r="MWE20" s="252">
        <v>0</v>
      </c>
      <c r="MWF20" s="252">
        <v>0</v>
      </c>
      <c r="MWG20" s="252">
        <v>0</v>
      </c>
      <c r="MWH20" s="252">
        <v>0</v>
      </c>
      <c r="MWI20" s="252">
        <v>0</v>
      </c>
      <c r="MWJ20" s="252">
        <v>0</v>
      </c>
      <c r="MWK20" s="252">
        <v>0</v>
      </c>
      <c r="MWL20" s="252">
        <v>0</v>
      </c>
      <c r="MWM20" s="252">
        <v>0</v>
      </c>
      <c r="MWN20" s="252">
        <v>0</v>
      </c>
      <c r="MWO20" s="252">
        <v>0</v>
      </c>
      <c r="MWP20" s="252">
        <v>0</v>
      </c>
      <c r="MWQ20" s="252">
        <v>0</v>
      </c>
      <c r="MWR20" s="252">
        <v>0</v>
      </c>
      <c r="MWS20" s="252">
        <v>0</v>
      </c>
      <c r="MWT20" s="252">
        <v>0</v>
      </c>
      <c r="MWU20" s="252">
        <v>0</v>
      </c>
      <c r="MWV20" s="252">
        <v>0</v>
      </c>
      <c r="MWW20" s="252">
        <v>0</v>
      </c>
      <c r="MWX20" s="252">
        <v>0</v>
      </c>
      <c r="MWY20" s="252">
        <v>0</v>
      </c>
      <c r="MWZ20" s="252">
        <v>0</v>
      </c>
      <c r="MXA20" s="252">
        <v>0</v>
      </c>
      <c r="MXB20" s="252">
        <v>0</v>
      </c>
      <c r="MXC20" s="252">
        <v>0</v>
      </c>
      <c r="MXD20" s="252">
        <v>0</v>
      </c>
      <c r="MXE20" s="252">
        <v>0</v>
      </c>
      <c r="MXF20" s="252">
        <v>0</v>
      </c>
      <c r="MXG20" s="252">
        <v>0</v>
      </c>
      <c r="MXH20" s="252">
        <v>0</v>
      </c>
      <c r="MXI20" s="252">
        <v>0</v>
      </c>
      <c r="MXJ20" s="252">
        <v>0</v>
      </c>
      <c r="MXK20" s="252">
        <v>0</v>
      </c>
      <c r="MXL20" s="252">
        <v>0</v>
      </c>
      <c r="MXM20" s="252">
        <v>0</v>
      </c>
      <c r="MXN20" s="252">
        <v>0</v>
      </c>
      <c r="MXO20" s="252">
        <v>0</v>
      </c>
      <c r="MXP20" s="252">
        <v>0</v>
      </c>
      <c r="MXQ20" s="252">
        <v>0</v>
      </c>
      <c r="MXR20" s="252">
        <v>0</v>
      </c>
      <c r="MXS20" s="252">
        <v>0</v>
      </c>
      <c r="MXT20" s="252">
        <v>0</v>
      </c>
      <c r="MXU20" s="252">
        <v>0</v>
      </c>
      <c r="MXV20" s="252">
        <v>0</v>
      </c>
      <c r="MXW20" s="252">
        <v>0</v>
      </c>
      <c r="MXX20" s="252">
        <v>0</v>
      </c>
      <c r="MXY20" s="252">
        <v>0</v>
      </c>
      <c r="MXZ20" s="252">
        <v>0</v>
      </c>
      <c r="MYA20" s="252">
        <v>0</v>
      </c>
      <c r="MYB20" s="252">
        <v>0</v>
      </c>
      <c r="MYC20" s="252">
        <v>0</v>
      </c>
      <c r="MYD20" s="252">
        <v>0</v>
      </c>
      <c r="MYE20" s="252">
        <v>0</v>
      </c>
      <c r="MYF20" s="252">
        <v>0</v>
      </c>
      <c r="MYG20" s="252">
        <v>0</v>
      </c>
      <c r="MYH20" s="252">
        <v>0</v>
      </c>
      <c r="MYI20" s="252">
        <v>0</v>
      </c>
      <c r="MYJ20" s="252">
        <v>0</v>
      </c>
      <c r="MYK20" s="252">
        <v>0</v>
      </c>
      <c r="MYL20" s="252">
        <v>0</v>
      </c>
      <c r="MYM20" s="252">
        <v>0</v>
      </c>
      <c r="MYN20" s="252">
        <v>0</v>
      </c>
      <c r="MYO20" s="252">
        <v>0</v>
      </c>
      <c r="MYP20" s="252">
        <v>0</v>
      </c>
      <c r="MYQ20" s="252">
        <v>0</v>
      </c>
      <c r="MYR20" s="252">
        <v>0</v>
      </c>
      <c r="MYS20" s="252">
        <v>0</v>
      </c>
      <c r="MYT20" s="252">
        <v>0</v>
      </c>
      <c r="MYU20" s="252">
        <v>0</v>
      </c>
      <c r="MYV20" s="252">
        <v>0</v>
      </c>
      <c r="MYW20" s="252">
        <v>0</v>
      </c>
      <c r="MYX20" s="252">
        <v>0</v>
      </c>
      <c r="MYY20" s="252">
        <v>0</v>
      </c>
      <c r="MYZ20" s="252">
        <v>0</v>
      </c>
      <c r="MZA20" s="252">
        <v>0</v>
      </c>
      <c r="MZB20" s="252">
        <v>0</v>
      </c>
      <c r="MZC20" s="252">
        <v>0</v>
      </c>
      <c r="MZD20" s="252">
        <v>0</v>
      </c>
      <c r="MZE20" s="252">
        <v>0</v>
      </c>
      <c r="MZF20" s="252">
        <v>0</v>
      </c>
      <c r="MZG20" s="252">
        <v>0</v>
      </c>
      <c r="MZH20" s="252">
        <v>0</v>
      </c>
      <c r="MZI20" s="252">
        <v>0</v>
      </c>
      <c r="MZJ20" s="252">
        <v>0</v>
      </c>
      <c r="MZK20" s="252">
        <v>0</v>
      </c>
      <c r="MZL20" s="252">
        <v>0</v>
      </c>
      <c r="MZM20" s="252">
        <v>0</v>
      </c>
      <c r="MZN20" s="252">
        <v>0</v>
      </c>
      <c r="MZO20" s="252">
        <v>0</v>
      </c>
      <c r="MZP20" s="252">
        <v>0</v>
      </c>
      <c r="MZQ20" s="252">
        <v>0</v>
      </c>
      <c r="MZR20" s="252">
        <v>0</v>
      </c>
      <c r="MZS20" s="252">
        <v>0</v>
      </c>
      <c r="MZT20" s="252">
        <v>0</v>
      </c>
      <c r="MZU20" s="252">
        <v>0</v>
      </c>
      <c r="MZV20" s="252">
        <v>0</v>
      </c>
      <c r="MZW20" s="252">
        <v>0</v>
      </c>
      <c r="MZX20" s="252">
        <v>0</v>
      </c>
      <c r="MZY20" s="252">
        <v>0</v>
      </c>
      <c r="MZZ20" s="252">
        <v>0</v>
      </c>
      <c r="NAA20" s="252">
        <v>0</v>
      </c>
      <c r="NAB20" s="252">
        <v>0</v>
      </c>
      <c r="NAC20" s="252">
        <v>0</v>
      </c>
      <c r="NAD20" s="252">
        <v>0</v>
      </c>
      <c r="NAE20" s="252">
        <v>0</v>
      </c>
      <c r="NAF20" s="252">
        <v>0</v>
      </c>
      <c r="NAG20" s="252">
        <v>0</v>
      </c>
      <c r="NAH20" s="252">
        <v>0</v>
      </c>
      <c r="NAI20" s="252">
        <v>0</v>
      </c>
      <c r="NAJ20" s="252">
        <v>0</v>
      </c>
      <c r="NAK20" s="252">
        <v>0</v>
      </c>
      <c r="NAL20" s="252">
        <v>0</v>
      </c>
      <c r="NAM20" s="252">
        <v>0</v>
      </c>
      <c r="NAN20" s="252">
        <v>0</v>
      </c>
      <c r="NAO20" s="252">
        <v>0</v>
      </c>
      <c r="NAP20" s="252">
        <v>0</v>
      </c>
      <c r="NAQ20" s="252">
        <v>0</v>
      </c>
      <c r="NAR20" s="252">
        <v>0</v>
      </c>
      <c r="NAS20" s="252">
        <v>0</v>
      </c>
      <c r="NAT20" s="252">
        <v>0</v>
      </c>
      <c r="NAU20" s="252">
        <v>0</v>
      </c>
      <c r="NAV20" s="252">
        <v>0</v>
      </c>
      <c r="NAW20" s="252">
        <v>0</v>
      </c>
      <c r="NAX20" s="252">
        <v>0</v>
      </c>
      <c r="NAY20" s="252">
        <v>0</v>
      </c>
      <c r="NAZ20" s="252">
        <v>0</v>
      </c>
      <c r="NBA20" s="252">
        <v>0</v>
      </c>
      <c r="NBB20" s="252">
        <v>0</v>
      </c>
      <c r="NBC20" s="252">
        <v>0</v>
      </c>
      <c r="NBD20" s="252">
        <v>0</v>
      </c>
      <c r="NBE20" s="252">
        <v>0</v>
      </c>
      <c r="NBF20" s="252">
        <v>0</v>
      </c>
      <c r="NBG20" s="252">
        <v>0</v>
      </c>
      <c r="NBH20" s="252">
        <v>0</v>
      </c>
      <c r="NBI20" s="252">
        <v>0</v>
      </c>
      <c r="NBJ20" s="252">
        <v>0</v>
      </c>
      <c r="NBK20" s="252">
        <v>0</v>
      </c>
      <c r="NBL20" s="252">
        <v>0</v>
      </c>
      <c r="NBM20" s="252">
        <v>0</v>
      </c>
      <c r="NBN20" s="252">
        <v>0</v>
      </c>
      <c r="NBO20" s="252">
        <v>0</v>
      </c>
      <c r="NBP20" s="252">
        <v>0</v>
      </c>
      <c r="NBQ20" s="252">
        <v>0</v>
      </c>
      <c r="NBR20" s="252">
        <v>0</v>
      </c>
      <c r="NBS20" s="252">
        <v>0</v>
      </c>
      <c r="NBT20" s="252">
        <v>0</v>
      </c>
      <c r="NBU20" s="252">
        <v>0</v>
      </c>
      <c r="NBV20" s="252">
        <v>0</v>
      </c>
      <c r="NBW20" s="252">
        <v>0</v>
      </c>
      <c r="NBX20" s="252">
        <v>0</v>
      </c>
      <c r="NBY20" s="252">
        <v>0</v>
      </c>
      <c r="NBZ20" s="252">
        <v>0</v>
      </c>
      <c r="NCA20" s="252">
        <v>0</v>
      </c>
      <c r="NCB20" s="252">
        <v>0</v>
      </c>
      <c r="NCC20" s="252">
        <v>0</v>
      </c>
      <c r="NCD20" s="252">
        <v>0</v>
      </c>
      <c r="NCE20" s="252">
        <v>0</v>
      </c>
      <c r="NCF20" s="252">
        <v>0</v>
      </c>
      <c r="NCG20" s="252">
        <v>0</v>
      </c>
      <c r="NCH20" s="252">
        <v>0</v>
      </c>
      <c r="NCI20" s="252">
        <v>0</v>
      </c>
      <c r="NCJ20" s="252">
        <v>0</v>
      </c>
      <c r="NCK20" s="252">
        <v>0</v>
      </c>
      <c r="NCL20" s="252">
        <v>0</v>
      </c>
      <c r="NCM20" s="252">
        <v>0</v>
      </c>
      <c r="NCN20" s="252">
        <v>0</v>
      </c>
      <c r="NCO20" s="252">
        <v>0</v>
      </c>
      <c r="NCP20" s="252">
        <v>0</v>
      </c>
      <c r="NCQ20" s="252">
        <v>0</v>
      </c>
      <c r="NCR20" s="252">
        <v>0</v>
      </c>
      <c r="NCS20" s="252">
        <v>0</v>
      </c>
      <c r="NCT20" s="252">
        <v>0</v>
      </c>
      <c r="NCU20" s="252">
        <v>0</v>
      </c>
      <c r="NCV20" s="252">
        <v>0</v>
      </c>
      <c r="NCW20" s="252">
        <v>0</v>
      </c>
      <c r="NCX20" s="252">
        <v>0</v>
      </c>
      <c r="NCY20" s="252">
        <v>0</v>
      </c>
      <c r="NCZ20" s="252">
        <v>0</v>
      </c>
      <c r="NDA20" s="252">
        <v>0</v>
      </c>
      <c r="NDB20" s="252">
        <v>0</v>
      </c>
      <c r="NDC20" s="252">
        <v>0</v>
      </c>
      <c r="NDD20" s="252">
        <v>0</v>
      </c>
      <c r="NDE20" s="252">
        <v>0</v>
      </c>
      <c r="NDF20" s="252">
        <v>0</v>
      </c>
      <c r="NDG20" s="252">
        <v>0</v>
      </c>
      <c r="NDH20" s="252">
        <v>0</v>
      </c>
      <c r="NDI20" s="252">
        <v>0</v>
      </c>
      <c r="NDJ20" s="252">
        <v>0</v>
      </c>
      <c r="NDK20" s="252">
        <v>0</v>
      </c>
      <c r="NDL20" s="252">
        <v>0</v>
      </c>
      <c r="NDM20" s="252">
        <v>0</v>
      </c>
      <c r="NDN20" s="252">
        <v>0</v>
      </c>
      <c r="NDO20" s="252">
        <v>0</v>
      </c>
      <c r="NDP20" s="252">
        <v>0</v>
      </c>
      <c r="NDQ20" s="252">
        <v>0</v>
      </c>
      <c r="NDR20" s="252">
        <v>0</v>
      </c>
      <c r="NDS20" s="252">
        <v>0</v>
      </c>
      <c r="NDT20" s="252">
        <v>0</v>
      </c>
      <c r="NDU20" s="252">
        <v>0</v>
      </c>
      <c r="NDV20" s="252">
        <v>0</v>
      </c>
      <c r="NDW20" s="252">
        <v>0</v>
      </c>
      <c r="NDX20" s="252">
        <v>0</v>
      </c>
      <c r="NDY20" s="252">
        <v>0</v>
      </c>
      <c r="NDZ20" s="252">
        <v>0</v>
      </c>
      <c r="NEA20" s="252">
        <v>0</v>
      </c>
      <c r="NEB20" s="252">
        <v>0</v>
      </c>
      <c r="NEC20" s="252">
        <v>0</v>
      </c>
      <c r="NED20" s="252">
        <v>0</v>
      </c>
      <c r="NEE20" s="252">
        <v>0</v>
      </c>
      <c r="NEF20" s="252">
        <v>0</v>
      </c>
      <c r="NEG20" s="252">
        <v>0</v>
      </c>
      <c r="NEH20" s="252">
        <v>0</v>
      </c>
      <c r="NEI20" s="252">
        <v>0</v>
      </c>
      <c r="NEJ20" s="252">
        <v>0</v>
      </c>
      <c r="NEK20" s="252">
        <v>0</v>
      </c>
      <c r="NEL20" s="252">
        <v>0</v>
      </c>
      <c r="NEM20" s="252">
        <v>0</v>
      </c>
      <c r="NEN20" s="252">
        <v>0</v>
      </c>
      <c r="NEO20" s="252">
        <v>0</v>
      </c>
      <c r="NEP20" s="252">
        <v>0</v>
      </c>
      <c r="NEQ20" s="252">
        <v>0</v>
      </c>
      <c r="NER20" s="252">
        <v>0</v>
      </c>
      <c r="NES20" s="252">
        <v>0</v>
      </c>
      <c r="NET20" s="252">
        <v>0</v>
      </c>
      <c r="NEU20" s="252">
        <v>0</v>
      </c>
      <c r="NEV20" s="252">
        <v>0</v>
      </c>
      <c r="NEW20" s="252">
        <v>0</v>
      </c>
      <c r="NEX20" s="252">
        <v>0</v>
      </c>
      <c r="NEY20" s="252">
        <v>0</v>
      </c>
      <c r="NEZ20" s="252">
        <v>0</v>
      </c>
      <c r="NFA20" s="252">
        <v>0</v>
      </c>
      <c r="NFB20" s="252">
        <v>0</v>
      </c>
      <c r="NFC20" s="252">
        <v>0</v>
      </c>
      <c r="NFD20" s="252">
        <v>0</v>
      </c>
      <c r="NFE20" s="252">
        <v>0</v>
      </c>
      <c r="NFF20" s="252">
        <v>0</v>
      </c>
      <c r="NFG20" s="252">
        <v>0</v>
      </c>
      <c r="NFH20" s="252">
        <v>0</v>
      </c>
      <c r="NFI20" s="252">
        <v>0</v>
      </c>
      <c r="NFJ20" s="252">
        <v>0</v>
      </c>
      <c r="NFK20" s="252">
        <v>0</v>
      </c>
      <c r="NFL20" s="252">
        <v>0</v>
      </c>
      <c r="NFM20" s="252">
        <v>0</v>
      </c>
      <c r="NFN20" s="252">
        <v>0</v>
      </c>
      <c r="NFO20" s="252">
        <v>0</v>
      </c>
      <c r="NFP20" s="252">
        <v>0</v>
      </c>
      <c r="NFQ20" s="252">
        <v>0</v>
      </c>
      <c r="NFR20" s="252">
        <v>0</v>
      </c>
      <c r="NFS20" s="252">
        <v>0</v>
      </c>
      <c r="NFT20" s="252">
        <v>0</v>
      </c>
      <c r="NFU20" s="252">
        <v>0</v>
      </c>
      <c r="NFV20" s="252">
        <v>0</v>
      </c>
      <c r="NFW20" s="252">
        <v>0</v>
      </c>
      <c r="NFX20" s="252">
        <v>0</v>
      </c>
      <c r="NFY20" s="252">
        <v>0</v>
      </c>
      <c r="NFZ20" s="252">
        <v>0</v>
      </c>
      <c r="NGA20" s="252">
        <v>0</v>
      </c>
      <c r="NGB20" s="252">
        <v>0</v>
      </c>
      <c r="NGC20" s="252">
        <v>0</v>
      </c>
      <c r="NGD20" s="252">
        <v>0</v>
      </c>
      <c r="NGE20" s="252">
        <v>0</v>
      </c>
      <c r="NGF20" s="252">
        <v>0</v>
      </c>
      <c r="NGG20" s="252">
        <v>0</v>
      </c>
      <c r="NGH20" s="252">
        <v>0</v>
      </c>
      <c r="NGI20" s="252">
        <v>0</v>
      </c>
      <c r="NGJ20" s="252">
        <v>0</v>
      </c>
      <c r="NGK20" s="252">
        <v>0</v>
      </c>
      <c r="NGL20" s="252">
        <v>0</v>
      </c>
      <c r="NGM20" s="252">
        <v>0</v>
      </c>
      <c r="NGN20" s="252">
        <v>0</v>
      </c>
      <c r="NGO20" s="252">
        <v>0</v>
      </c>
      <c r="NGP20" s="252">
        <v>0</v>
      </c>
      <c r="NGQ20" s="252">
        <v>0</v>
      </c>
      <c r="NGR20" s="252">
        <v>0</v>
      </c>
      <c r="NGS20" s="252">
        <v>0</v>
      </c>
      <c r="NGT20" s="252">
        <v>0</v>
      </c>
      <c r="NGU20" s="252">
        <v>0</v>
      </c>
      <c r="NGV20" s="252">
        <v>0</v>
      </c>
      <c r="NGW20" s="252">
        <v>0</v>
      </c>
      <c r="NGX20" s="252">
        <v>0</v>
      </c>
      <c r="NGY20" s="252">
        <v>0</v>
      </c>
      <c r="NGZ20" s="252">
        <v>0</v>
      </c>
      <c r="NHA20" s="252">
        <v>0</v>
      </c>
      <c r="NHB20" s="252">
        <v>0</v>
      </c>
      <c r="NHC20" s="252">
        <v>0</v>
      </c>
      <c r="NHD20" s="252">
        <v>0</v>
      </c>
      <c r="NHE20" s="252">
        <v>0</v>
      </c>
      <c r="NHF20" s="252">
        <v>0</v>
      </c>
      <c r="NHG20" s="252">
        <v>0</v>
      </c>
      <c r="NHH20" s="252">
        <v>0</v>
      </c>
      <c r="NHI20" s="252">
        <v>0</v>
      </c>
      <c r="NHJ20" s="252">
        <v>0</v>
      </c>
      <c r="NHK20" s="252">
        <v>0</v>
      </c>
      <c r="NHL20" s="252">
        <v>0</v>
      </c>
      <c r="NHM20" s="252">
        <v>0</v>
      </c>
      <c r="NHN20" s="252">
        <v>0</v>
      </c>
      <c r="NHO20" s="252">
        <v>0</v>
      </c>
      <c r="NHP20" s="252">
        <v>0</v>
      </c>
      <c r="NHQ20" s="252">
        <v>0</v>
      </c>
      <c r="NHR20" s="252">
        <v>0</v>
      </c>
      <c r="NHS20" s="252">
        <v>0</v>
      </c>
      <c r="NHT20" s="252">
        <v>0</v>
      </c>
      <c r="NHU20" s="252">
        <v>0</v>
      </c>
      <c r="NHV20" s="252">
        <v>0</v>
      </c>
      <c r="NHW20" s="252">
        <v>0</v>
      </c>
      <c r="NHX20" s="252">
        <v>0</v>
      </c>
      <c r="NHY20" s="252">
        <v>0</v>
      </c>
      <c r="NHZ20" s="252">
        <v>0</v>
      </c>
      <c r="NIA20" s="252">
        <v>0</v>
      </c>
      <c r="NIB20" s="252">
        <v>0</v>
      </c>
      <c r="NIC20" s="252">
        <v>0</v>
      </c>
      <c r="NID20" s="252">
        <v>0</v>
      </c>
      <c r="NIE20" s="252">
        <v>0</v>
      </c>
      <c r="NIF20" s="252">
        <v>0</v>
      </c>
      <c r="NIG20" s="252">
        <v>0</v>
      </c>
      <c r="NIH20" s="252">
        <v>0</v>
      </c>
      <c r="NII20" s="252">
        <v>0</v>
      </c>
      <c r="NIJ20" s="252">
        <v>0</v>
      </c>
      <c r="NIK20" s="252">
        <v>0</v>
      </c>
      <c r="NIL20" s="252">
        <v>0</v>
      </c>
      <c r="NIM20" s="252">
        <v>0</v>
      </c>
      <c r="NIN20" s="252">
        <v>0</v>
      </c>
      <c r="NIO20" s="252">
        <v>0</v>
      </c>
      <c r="NIP20" s="252">
        <v>0</v>
      </c>
      <c r="NIQ20" s="252">
        <v>0</v>
      </c>
      <c r="NIR20" s="252">
        <v>0</v>
      </c>
      <c r="NIS20" s="252">
        <v>0</v>
      </c>
      <c r="NIT20" s="252">
        <v>0</v>
      </c>
      <c r="NIU20" s="252">
        <v>0</v>
      </c>
      <c r="NIV20" s="252">
        <v>0</v>
      </c>
      <c r="NIW20" s="252">
        <v>0</v>
      </c>
      <c r="NIX20" s="252">
        <v>0</v>
      </c>
      <c r="NIY20" s="252">
        <v>0</v>
      </c>
      <c r="NIZ20" s="252">
        <v>0</v>
      </c>
      <c r="NJA20" s="252">
        <v>0</v>
      </c>
      <c r="NJB20" s="252">
        <v>0</v>
      </c>
      <c r="NJC20" s="252">
        <v>0</v>
      </c>
      <c r="NJD20" s="252">
        <v>0</v>
      </c>
      <c r="NJE20" s="252">
        <v>0</v>
      </c>
      <c r="NJF20" s="252">
        <v>0</v>
      </c>
      <c r="NJG20" s="252">
        <v>0</v>
      </c>
      <c r="NJH20" s="252">
        <v>0</v>
      </c>
      <c r="NJI20" s="252">
        <v>0</v>
      </c>
      <c r="NJJ20" s="252">
        <v>0</v>
      </c>
      <c r="NJK20" s="252">
        <v>0</v>
      </c>
      <c r="NJL20" s="252">
        <v>0</v>
      </c>
      <c r="NJM20" s="252">
        <v>0</v>
      </c>
      <c r="NJN20" s="252">
        <v>0</v>
      </c>
      <c r="NJO20" s="252">
        <v>0</v>
      </c>
      <c r="NJP20" s="252">
        <v>0</v>
      </c>
      <c r="NJQ20" s="252">
        <v>0</v>
      </c>
      <c r="NJR20" s="252">
        <v>0</v>
      </c>
      <c r="NJS20" s="252">
        <v>0</v>
      </c>
      <c r="NJT20" s="252">
        <v>0</v>
      </c>
      <c r="NJU20" s="252">
        <v>0</v>
      </c>
      <c r="NJV20" s="252">
        <v>0</v>
      </c>
      <c r="NJW20" s="252">
        <v>0</v>
      </c>
      <c r="NJX20" s="252">
        <v>0</v>
      </c>
      <c r="NJY20" s="252">
        <v>0</v>
      </c>
      <c r="NJZ20" s="252">
        <v>0</v>
      </c>
      <c r="NKA20" s="252">
        <v>0</v>
      </c>
      <c r="NKB20" s="252">
        <v>0</v>
      </c>
      <c r="NKC20" s="252">
        <v>0</v>
      </c>
      <c r="NKD20" s="252">
        <v>0</v>
      </c>
      <c r="NKE20" s="252">
        <v>0</v>
      </c>
      <c r="NKF20" s="252">
        <v>0</v>
      </c>
      <c r="NKG20" s="252">
        <v>0</v>
      </c>
      <c r="NKH20" s="252">
        <v>0</v>
      </c>
      <c r="NKI20" s="252">
        <v>0</v>
      </c>
      <c r="NKJ20" s="252">
        <v>0</v>
      </c>
      <c r="NKK20" s="252">
        <v>0</v>
      </c>
      <c r="NKL20" s="252">
        <v>0</v>
      </c>
      <c r="NKM20" s="252">
        <v>0</v>
      </c>
      <c r="NKN20" s="252">
        <v>0</v>
      </c>
      <c r="NKO20" s="252">
        <v>0</v>
      </c>
      <c r="NKP20" s="252">
        <v>0</v>
      </c>
      <c r="NKQ20" s="252">
        <v>0</v>
      </c>
      <c r="NKR20" s="252">
        <v>0</v>
      </c>
      <c r="NKS20" s="252">
        <v>0</v>
      </c>
      <c r="NKT20" s="252">
        <v>0</v>
      </c>
      <c r="NKU20" s="252">
        <v>0</v>
      </c>
      <c r="NKV20" s="252">
        <v>0</v>
      </c>
      <c r="NKW20" s="252">
        <v>0</v>
      </c>
      <c r="NKX20" s="252">
        <v>0</v>
      </c>
      <c r="NKY20" s="252">
        <v>0</v>
      </c>
      <c r="NKZ20" s="252">
        <v>0</v>
      </c>
      <c r="NLA20" s="252">
        <v>0</v>
      </c>
      <c r="NLB20" s="252">
        <v>0</v>
      </c>
      <c r="NLC20" s="252">
        <v>0</v>
      </c>
      <c r="NLD20" s="252">
        <v>0</v>
      </c>
      <c r="NLE20" s="252">
        <v>0</v>
      </c>
      <c r="NLF20" s="252">
        <v>0</v>
      </c>
      <c r="NLG20" s="252">
        <v>0</v>
      </c>
      <c r="NLH20" s="252">
        <v>0</v>
      </c>
      <c r="NLI20" s="252">
        <v>0</v>
      </c>
      <c r="NLJ20" s="252">
        <v>0</v>
      </c>
      <c r="NLK20" s="252">
        <v>0</v>
      </c>
      <c r="NLL20" s="252">
        <v>0</v>
      </c>
      <c r="NLM20" s="252">
        <v>0</v>
      </c>
      <c r="NLN20" s="252">
        <v>0</v>
      </c>
      <c r="NLO20" s="252">
        <v>0</v>
      </c>
      <c r="NLP20" s="252">
        <v>0</v>
      </c>
      <c r="NLQ20" s="252">
        <v>0</v>
      </c>
      <c r="NLR20" s="252">
        <v>0</v>
      </c>
      <c r="NLS20" s="252">
        <v>0</v>
      </c>
      <c r="NLT20" s="252">
        <v>0</v>
      </c>
      <c r="NLU20" s="252">
        <v>0</v>
      </c>
      <c r="NLV20" s="252">
        <v>0</v>
      </c>
      <c r="NLW20" s="252">
        <v>0</v>
      </c>
      <c r="NLX20" s="252">
        <v>0</v>
      </c>
      <c r="NLY20" s="252">
        <v>0</v>
      </c>
      <c r="NLZ20" s="252">
        <v>0</v>
      </c>
      <c r="NMA20" s="252">
        <v>0</v>
      </c>
      <c r="NMB20" s="252">
        <v>0</v>
      </c>
      <c r="NMC20" s="252">
        <v>0</v>
      </c>
      <c r="NMD20" s="252">
        <v>0</v>
      </c>
      <c r="NME20" s="252">
        <v>0</v>
      </c>
      <c r="NMF20" s="252">
        <v>0</v>
      </c>
      <c r="NMG20" s="252">
        <v>0</v>
      </c>
      <c r="NMH20" s="252">
        <v>0</v>
      </c>
      <c r="NMI20" s="252">
        <v>0</v>
      </c>
      <c r="NMJ20" s="252">
        <v>0</v>
      </c>
      <c r="NMK20" s="252">
        <v>0</v>
      </c>
      <c r="NML20" s="252">
        <v>0</v>
      </c>
      <c r="NMM20" s="252">
        <v>0</v>
      </c>
      <c r="NMN20" s="252">
        <v>0</v>
      </c>
      <c r="NMO20" s="252">
        <v>0</v>
      </c>
      <c r="NMP20" s="252">
        <v>0</v>
      </c>
      <c r="NMQ20" s="252">
        <v>0</v>
      </c>
      <c r="NMR20" s="252">
        <v>0</v>
      </c>
      <c r="NMS20" s="252">
        <v>0</v>
      </c>
      <c r="NMT20" s="252">
        <v>0</v>
      </c>
      <c r="NMU20" s="252">
        <v>0</v>
      </c>
      <c r="NMV20" s="252">
        <v>0</v>
      </c>
      <c r="NMW20" s="252">
        <v>0</v>
      </c>
      <c r="NMX20" s="252">
        <v>0</v>
      </c>
      <c r="NMY20" s="252">
        <v>0</v>
      </c>
      <c r="NMZ20" s="252">
        <v>0</v>
      </c>
      <c r="NNA20" s="252">
        <v>0</v>
      </c>
      <c r="NNB20" s="252">
        <v>0</v>
      </c>
      <c r="NNC20" s="252">
        <v>0</v>
      </c>
      <c r="NND20" s="252">
        <v>0</v>
      </c>
      <c r="NNE20" s="252">
        <v>0</v>
      </c>
      <c r="NNF20" s="252">
        <v>0</v>
      </c>
      <c r="NNG20" s="252">
        <v>0</v>
      </c>
      <c r="NNH20" s="252">
        <v>0</v>
      </c>
      <c r="NNI20" s="252">
        <v>0</v>
      </c>
      <c r="NNJ20" s="252">
        <v>0</v>
      </c>
      <c r="NNK20" s="252">
        <v>0</v>
      </c>
      <c r="NNL20" s="252">
        <v>0</v>
      </c>
      <c r="NNM20" s="252">
        <v>0</v>
      </c>
      <c r="NNN20" s="252">
        <v>0</v>
      </c>
      <c r="NNO20" s="252">
        <v>0</v>
      </c>
      <c r="NNP20" s="252">
        <v>0</v>
      </c>
      <c r="NNQ20" s="252">
        <v>0</v>
      </c>
      <c r="NNR20" s="252">
        <v>0</v>
      </c>
      <c r="NNS20" s="252">
        <v>0</v>
      </c>
      <c r="NNT20" s="252">
        <v>0</v>
      </c>
      <c r="NNU20" s="252">
        <v>0</v>
      </c>
      <c r="NNV20" s="252">
        <v>0</v>
      </c>
      <c r="NNW20" s="252">
        <v>0</v>
      </c>
      <c r="NNX20" s="252">
        <v>0</v>
      </c>
      <c r="NNY20" s="252">
        <v>0</v>
      </c>
      <c r="NNZ20" s="252">
        <v>0</v>
      </c>
      <c r="NOA20" s="252">
        <v>0</v>
      </c>
      <c r="NOB20" s="252">
        <v>0</v>
      </c>
      <c r="NOC20" s="252">
        <v>0</v>
      </c>
      <c r="NOD20" s="252">
        <v>0</v>
      </c>
      <c r="NOE20" s="252">
        <v>0</v>
      </c>
      <c r="NOF20" s="252">
        <v>0</v>
      </c>
      <c r="NOG20" s="252">
        <v>0</v>
      </c>
      <c r="NOH20" s="252">
        <v>0</v>
      </c>
      <c r="NOI20" s="252">
        <v>0</v>
      </c>
      <c r="NOJ20" s="252">
        <v>0</v>
      </c>
      <c r="NOK20" s="252">
        <v>0</v>
      </c>
      <c r="NOL20" s="252">
        <v>0</v>
      </c>
      <c r="NOM20" s="252">
        <v>0</v>
      </c>
      <c r="NON20" s="252">
        <v>0</v>
      </c>
      <c r="NOO20" s="252">
        <v>0</v>
      </c>
      <c r="NOP20" s="252">
        <v>0</v>
      </c>
      <c r="NOQ20" s="252">
        <v>0</v>
      </c>
      <c r="NOR20" s="252">
        <v>0</v>
      </c>
      <c r="NOS20" s="252">
        <v>0</v>
      </c>
      <c r="NOT20" s="252">
        <v>0</v>
      </c>
      <c r="NOU20" s="252">
        <v>0</v>
      </c>
      <c r="NOV20" s="252">
        <v>0</v>
      </c>
      <c r="NOW20" s="252">
        <v>0</v>
      </c>
      <c r="NOX20" s="252">
        <v>0</v>
      </c>
      <c r="NOY20" s="252">
        <v>0</v>
      </c>
      <c r="NOZ20" s="252">
        <v>0</v>
      </c>
      <c r="NPA20" s="252">
        <v>0</v>
      </c>
      <c r="NPB20" s="252">
        <v>0</v>
      </c>
      <c r="NPC20" s="252">
        <v>0</v>
      </c>
      <c r="NPD20" s="252">
        <v>0</v>
      </c>
      <c r="NPE20" s="252">
        <v>0</v>
      </c>
      <c r="NPF20" s="252">
        <v>0</v>
      </c>
      <c r="NPG20" s="252">
        <v>0</v>
      </c>
      <c r="NPH20" s="252">
        <v>0</v>
      </c>
      <c r="NPI20" s="252">
        <v>0</v>
      </c>
      <c r="NPJ20" s="252">
        <v>0</v>
      </c>
      <c r="NPK20" s="252">
        <v>0</v>
      </c>
      <c r="NPL20" s="252">
        <v>0</v>
      </c>
      <c r="NPM20" s="252">
        <v>0</v>
      </c>
      <c r="NPN20" s="252">
        <v>0</v>
      </c>
      <c r="NPO20" s="252">
        <v>0</v>
      </c>
      <c r="NPP20" s="252">
        <v>0</v>
      </c>
      <c r="NPQ20" s="252">
        <v>0</v>
      </c>
      <c r="NPR20" s="252">
        <v>0</v>
      </c>
      <c r="NPS20" s="252">
        <v>0</v>
      </c>
      <c r="NPT20" s="252">
        <v>0</v>
      </c>
      <c r="NPU20" s="252">
        <v>0</v>
      </c>
      <c r="NPV20" s="252">
        <v>0</v>
      </c>
      <c r="NPW20" s="252">
        <v>0</v>
      </c>
      <c r="NPX20" s="252">
        <v>0</v>
      </c>
      <c r="NPY20" s="252">
        <v>0</v>
      </c>
      <c r="NPZ20" s="252">
        <v>0</v>
      </c>
      <c r="NQA20" s="252">
        <v>0</v>
      </c>
      <c r="NQB20" s="252">
        <v>0</v>
      </c>
      <c r="NQC20" s="252">
        <v>0</v>
      </c>
      <c r="NQD20" s="252">
        <v>0</v>
      </c>
      <c r="NQE20" s="252">
        <v>0</v>
      </c>
      <c r="NQF20" s="252">
        <v>0</v>
      </c>
      <c r="NQG20" s="252">
        <v>0</v>
      </c>
      <c r="NQH20" s="252">
        <v>0</v>
      </c>
      <c r="NQI20" s="252">
        <v>0</v>
      </c>
      <c r="NQJ20" s="252">
        <v>0</v>
      </c>
      <c r="NQK20" s="252">
        <v>0</v>
      </c>
      <c r="NQL20" s="252">
        <v>0</v>
      </c>
      <c r="NQM20" s="252">
        <v>0</v>
      </c>
      <c r="NQN20" s="252">
        <v>0</v>
      </c>
      <c r="NQO20" s="252">
        <v>0</v>
      </c>
      <c r="NQP20" s="252">
        <v>0</v>
      </c>
      <c r="NQQ20" s="252">
        <v>0</v>
      </c>
      <c r="NQR20" s="252">
        <v>0</v>
      </c>
      <c r="NQS20" s="252">
        <v>0</v>
      </c>
      <c r="NQT20" s="252">
        <v>0</v>
      </c>
      <c r="NQU20" s="252">
        <v>0</v>
      </c>
      <c r="NQV20" s="252">
        <v>0</v>
      </c>
      <c r="NQW20" s="252">
        <v>0</v>
      </c>
      <c r="NQX20" s="252">
        <v>0</v>
      </c>
      <c r="NQY20" s="252">
        <v>0</v>
      </c>
      <c r="NQZ20" s="252">
        <v>0</v>
      </c>
      <c r="NRA20" s="252">
        <v>0</v>
      </c>
      <c r="NRB20" s="252">
        <v>0</v>
      </c>
      <c r="NRC20" s="252">
        <v>0</v>
      </c>
      <c r="NRD20" s="252">
        <v>0</v>
      </c>
      <c r="NRE20" s="252">
        <v>0</v>
      </c>
      <c r="NRF20" s="252">
        <v>0</v>
      </c>
      <c r="NRG20" s="252">
        <v>0</v>
      </c>
      <c r="NRH20" s="252">
        <v>0</v>
      </c>
      <c r="NRI20" s="252">
        <v>0</v>
      </c>
      <c r="NRJ20" s="252">
        <v>0</v>
      </c>
      <c r="NRK20" s="252">
        <v>0</v>
      </c>
      <c r="NRL20" s="252">
        <v>0</v>
      </c>
      <c r="NRM20" s="252">
        <v>0</v>
      </c>
      <c r="NRN20" s="252">
        <v>0</v>
      </c>
      <c r="NRO20" s="252">
        <v>0</v>
      </c>
      <c r="NRP20" s="252">
        <v>0</v>
      </c>
      <c r="NRQ20" s="252">
        <v>0</v>
      </c>
      <c r="NRR20" s="252">
        <v>0</v>
      </c>
      <c r="NRS20" s="252">
        <v>0</v>
      </c>
      <c r="NRT20" s="252">
        <v>0</v>
      </c>
      <c r="NRU20" s="252">
        <v>0</v>
      </c>
      <c r="NRV20" s="252">
        <v>0</v>
      </c>
      <c r="NRW20" s="252">
        <v>0</v>
      </c>
      <c r="NRX20" s="252">
        <v>0</v>
      </c>
      <c r="NRY20" s="252">
        <v>0</v>
      </c>
      <c r="NRZ20" s="252">
        <v>0</v>
      </c>
      <c r="NSA20" s="252">
        <v>0</v>
      </c>
      <c r="NSB20" s="252">
        <v>0</v>
      </c>
      <c r="NSC20" s="252">
        <v>0</v>
      </c>
      <c r="NSD20" s="252">
        <v>0</v>
      </c>
      <c r="NSE20" s="252">
        <v>0</v>
      </c>
      <c r="NSF20" s="252">
        <v>0</v>
      </c>
      <c r="NSG20" s="252">
        <v>0</v>
      </c>
      <c r="NSH20" s="252">
        <v>0</v>
      </c>
      <c r="NSI20" s="252">
        <v>0</v>
      </c>
      <c r="NSJ20" s="252">
        <v>0</v>
      </c>
      <c r="NSK20" s="252">
        <v>0</v>
      </c>
      <c r="NSL20" s="252">
        <v>0</v>
      </c>
      <c r="NSM20" s="252">
        <v>0</v>
      </c>
      <c r="NSN20" s="252">
        <v>0</v>
      </c>
      <c r="NSO20" s="252">
        <v>0</v>
      </c>
      <c r="NSP20" s="252">
        <v>0</v>
      </c>
      <c r="NSQ20" s="252">
        <v>0</v>
      </c>
      <c r="NSR20" s="252">
        <v>0</v>
      </c>
      <c r="NSS20" s="252">
        <v>0</v>
      </c>
      <c r="NST20" s="252">
        <v>0</v>
      </c>
      <c r="NSU20" s="252">
        <v>0</v>
      </c>
      <c r="NSV20" s="252">
        <v>0</v>
      </c>
      <c r="NSW20" s="252">
        <v>0</v>
      </c>
      <c r="NSX20" s="252">
        <v>0</v>
      </c>
      <c r="NSY20" s="252">
        <v>0</v>
      </c>
      <c r="NSZ20" s="252">
        <v>0</v>
      </c>
      <c r="NTA20" s="252">
        <v>0</v>
      </c>
      <c r="NTB20" s="252">
        <v>0</v>
      </c>
      <c r="NTC20" s="252">
        <v>0</v>
      </c>
      <c r="NTD20" s="252">
        <v>0</v>
      </c>
      <c r="NTE20" s="252">
        <v>0</v>
      </c>
      <c r="NTF20" s="252">
        <v>0</v>
      </c>
      <c r="NTG20" s="252">
        <v>0</v>
      </c>
      <c r="NTH20" s="252">
        <v>0</v>
      </c>
      <c r="NTI20" s="252">
        <v>0</v>
      </c>
      <c r="NTJ20" s="252">
        <v>0</v>
      </c>
      <c r="NTK20" s="252">
        <v>0</v>
      </c>
      <c r="NTL20" s="252">
        <v>0</v>
      </c>
      <c r="NTM20" s="252">
        <v>0</v>
      </c>
      <c r="NTN20" s="252">
        <v>0</v>
      </c>
      <c r="NTO20" s="252">
        <v>0</v>
      </c>
      <c r="NTP20" s="252">
        <v>0</v>
      </c>
      <c r="NTQ20" s="252">
        <v>0</v>
      </c>
      <c r="NTR20" s="252">
        <v>0</v>
      </c>
      <c r="NTS20" s="252">
        <v>0</v>
      </c>
      <c r="NTT20" s="252">
        <v>0</v>
      </c>
      <c r="NTU20" s="252">
        <v>0</v>
      </c>
      <c r="NTV20" s="252">
        <v>0</v>
      </c>
      <c r="NTW20" s="252">
        <v>0</v>
      </c>
      <c r="NTX20" s="252">
        <v>0</v>
      </c>
      <c r="NTY20" s="252">
        <v>0</v>
      </c>
      <c r="NTZ20" s="252">
        <v>0</v>
      </c>
      <c r="NUA20" s="252">
        <v>0</v>
      </c>
      <c r="NUB20" s="252">
        <v>0</v>
      </c>
      <c r="NUC20" s="252">
        <v>0</v>
      </c>
      <c r="NUD20" s="252">
        <v>0</v>
      </c>
      <c r="NUE20" s="252">
        <v>0</v>
      </c>
      <c r="NUF20" s="252">
        <v>0</v>
      </c>
      <c r="NUG20" s="252">
        <v>0</v>
      </c>
      <c r="NUH20" s="252">
        <v>0</v>
      </c>
      <c r="NUI20" s="252">
        <v>0</v>
      </c>
      <c r="NUJ20" s="252">
        <v>0</v>
      </c>
      <c r="NUK20" s="252">
        <v>0</v>
      </c>
      <c r="NUL20" s="252">
        <v>0</v>
      </c>
      <c r="NUM20" s="252">
        <v>0</v>
      </c>
      <c r="NUN20" s="252">
        <v>0</v>
      </c>
      <c r="NUO20" s="252">
        <v>0</v>
      </c>
      <c r="NUP20" s="252">
        <v>0</v>
      </c>
      <c r="NUQ20" s="252">
        <v>0</v>
      </c>
      <c r="NUR20" s="252">
        <v>0</v>
      </c>
      <c r="NUS20" s="252">
        <v>0</v>
      </c>
      <c r="NUT20" s="252">
        <v>0</v>
      </c>
      <c r="NUU20" s="252">
        <v>0</v>
      </c>
      <c r="NUV20" s="252">
        <v>0</v>
      </c>
      <c r="NUW20" s="252">
        <v>0</v>
      </c>
      <c r="NUX20" s="252">
        <v>0</v>
      </c>
      <c r="NUY20" s="252">
        <v>0</v>
      </c>
      <c r="NUZ20" s="252">
        <v>0</v>
      </c>
      <c r="NVA20" s="252">
        <v>0</v>
      </c>
      <c r="NVB20" s="252">
        <v>0</v>
      </c>
      <c r="NVC20" s="252">
        <v>0</v>
      </c>
      <c r="NVD20" s="252">
        <v>0</v>
      </c>
      <c r="NVE20" s="252">
        <v>0</v>
      </c>
      <c r="NVF20" s="252">
        <v>0</v>
      </c>
      <c r="NVG20" s="252">
        <v>0</v>
      </c>
      <c r="NVH20" s="252">
        <v>0</v>
      </c>
      <c r="NVI20" s="252">
        <v>0</v>
      </c>
      <c r="NVJ20" s="252">
        <v>0</v>
      </c>
      <c r="NVK20" s="252">
        <v>0</v>
      </c>
      <c r="NVL20" s="252">
        <v>0</v>
      </c>
      <c r="NVM20" s="252">
        <v>0</v>
      </c>
      <c r="NVN20" s="252">
        <v>0</v>
      </c>
      <c r="NVO20" s="252">
        <v>0</v>
      </c>
      <c r="NVP20" s="252">
        <v>0</v>
      </c>
      <c r="NVQ20" s="252">
        <v>0</v>
      </c>
      <c r="NVR20" s="252">
        <v>0</v>
      </c>
      <c r="NVS20" s="252">
        <v>0</v>
      </c>
      <c r="NVT20" s="252">
        <v>0</v>
      </c>
      <c r="NVU20" s="252">
        <v>0</v>
      </c>
      <c r="NVV20" s="252">
        <v>0</v>
      </c>
      <c r="NVW20" s="252">
        <v>0</v>
      </c>
      <c r="NVX20" s="252">
        <v>0</v>
      </c>
      <c r="NVY20" s="252">
        <v>0</v>
      </c>
      <c r="NVZ20" s="252">
        <v>0</v>
      </c>
      <c r="NWA20" s="252">
        <v>0</v>
      </c>
      <c r="NWB20" s="252">
        <v>0</v>
      </c>
      <c r="NWC20" s="252">
        <v>0</v>
      </c>
      <c r="NWD20" s="252">
        <v>0</v>
      </c>
      <c r="NWE20" s="252">
        <v>0</v>
      </c>
      <c r="NWF20" s="252">
        <v>0</v>
      </c>
      <c r="NWG20" s="252">
        <v>0</v>
      </c>
      <c r="NWH20" s="252">
        <v>0</v>
      </c>
      <c r="NWI20" s="252">
        <v>0</v>
      </c>
      <c r="NWJ20" s="252">
        <v>0</v>
      </c>
      <c r="NWK20" s="252">
        <v>0</v>
      </c>
      <c r="NWL20" s="252">
        <v>0</v>
      </c>
      <c r="NWM20" s="252">
        <v>0</v>
      </c>
      <c r="NWN20" s="252">
        <v>0</v>
      </c>
      <c r="NWO20" s="252">
        <v>0</v>
      </c>
      <c r="NWP20" s="252">
        <v>0</v>
      </c>
      <c r="NWQ20" s="252">
        <v>0</v>
      </c>
      <c r="NWR20" s="252">
        <v>0</v>
      </c>
      <c r="NWS20" s="252">
        <v>0</v>
      </c>
      <c r="NWT20" s="252">
        <v>0</v>
      </c>
      <c r="NWU20" s="252">
        <v>0</v>
      </c>
      <c r="NWV20" s="252">
        <v>0</v>
      </c>
      <c r="NWW20" s="252">
        <v>0</v>
      </c>
      <c r="NWX20" s="252">
        <v>0</v>
      </c>
      <c r="NWY20" s="252">
        <v>0</v>
      </c>
      <c r="NWZ20" s="252">
        <v>0</v>
      </c>
      <c r="NXA20" s="252">
        <v>0</v>
      </c>
      <c r="NXB20" s="252">
        <v>0</v>
      </c>
      <c r="NXC20" s="252">
        <v>0</v>
      </c>
      <c r="NXD20" s="252">
        <v>0</v>
      </c>
      <c r="NXE20" s="252">
        <v>0</v>
      </c>
      <c r="NXF20" s="252">
        <v>0</v>
      </c>
      <c r="NXG20" s="252">
        <v>0</v>
      </c>
      <c r="NXH20" s="252">
        <v>0</v>
      </c>
      <c r="NXI20" s="252">
        <v>0</v>
      </c>
      <c r="NXJ20" s="252">
        <v>0</v>
      </c>
      <c r="NXK20" s="252">
        <v>0</v>
      </c>
      <c r="NXL20" s="252">
        <v>0</v>
      </c>
      <c r="NXM20" s="252">
        <v>0</v>
      </c>
      <c r="NXN20" s="252">
        <v>0</v>
      </c>
      <c r="NXO20" s="252">
        <v>0</v>
      </c>
      <c r="NXP20" s="252">
        <v>0</v>
      </c>
      <c r="NXQ20" s="252">
        <v>0</v>
      </c>
      <c r="NXR20" s="252">
        <v>0</v>
      </c>
      <c r="NXS20" s="252">
        <v>0</v>
      </c>
      <c r="NXT20" s="252">
        <v>0</v>
      </c>
      <c r="NXU20" s="252">
        <v>0</v>
      </c>
      <c r="NXV20" s="252">
        <v>0</v>
      </c>
      <c r="NXW20" s="252">
        <v>0</v>
      </c>
      <c r="NXX20" s="252">
        <v>0</v>
      </c>
      <c r="NXY20" s="252">
        <v>0</v>
      </c>
      <c r="NXZ20" s="252">
        <v>0</v>
      </c>
      <c r="NYA20" s="252">
        <v>0</v>
      </c>
      <c r="NYB20" s="252">
        <v>0</v>
      </c>
      <c r="NYC20" s="252">
        <v>0</v>
      </c>
      <c r="NYD20" s="252">
        <v>0</v>
      </c>
      <c r="NYE20" s="252">
        <v>0</v>
      </c>
      <c r="NYF20" s="252">
        <v>0</v>
      </c>
      <c r="NYG20" s="252">
        <v>0</v>
      </c>
      <c r="NYH20" s="252">
        <v>0</v>
      </c>
      <c r="NYI20" s="252">
        <v>0</v>
      </c>
      <c r="NYJ20" s="252">
        <v>0</v>
      </c>
      <c r="NYK20" s="252">
        <v>0</v>
      </c>
      <c r="NYL20" s="252">
        <v>0</v>
      </c>
      <c r="NYM20" s="252">
        <v>0</v>
      </c>
      <c r="NYN20" s="252">
        <v>0</v>
      </c>
      <c r="NYO20" s="252">
        <v>0</v>
      </c>
      <c r="NYP20" s="252">
        <v>0</v>
      </c>
      <c r="NYQ20" s="252">
        <v>0</v>
      </c>
      <c r="NYR20" s="252">
        <v>0</v>
      </c>
      <c r="NYS20" s="252">
        <v>0</v>
      </c>
      <c r="NYT20" s="252">
        <v>0</v>
      </c>
      <c r="NYU20" s="252">
        <v>0</v>
      </c>
      <c r="NYV20" s="252">
        <v>0</v>
      </c>
      <c r="NYW20" s="252">
        <v>0</v>
      </c>
      <c r="NYX20" s="252">
        <v>0</v>
      </c>
      <c r="NYY20" s="252">
        <v>0</v>
      </c>
      <c r="NYZ20" s="252">
        <v>0</v>
      </c>
      <c r="NZA20" s="252">
        <v>0</v>
      </c>
      <c r="NZB20" s="252">
        <v>0</v>
      </c>
      <c r="NZC20" s="252">
        <v>0</v>
      </c>
      <c r="NZD20" s="252">
        <v>0</v>
      </c>
      <c r="NZE20" s="252">
        <v>0</v>
      </c>
      <c r="NZF20" s="252">
        <v>0</v>
      </c>
      <c r="NZG20" s="252">
        <v>0</v>
      </c>
      <c r="NZH20" s="252">
        <v>0</v>
      </c>
      <c r="NZI20" s="252">
        <v>0</v>
      </c>
      <c r="NZJ20" s="252">
        <v>0</v>
      </c>
      <c r="NZK20" s="252">
        <v>0</v>
      </c>
      <c r="NZL20" s="252">
        <v>0</v>
      </c>
      <c r="NZM20" s="252">
        <v>0</v>
      </c>
      <c r="NZN20" s="252">
        <v>0</v>
      </c>
      <c r="NZO20" s="252">
        <v>0</v>
      </c>
      <c r="NZP20" s="252">
        <v>0</v>
      </c>
      <c r="NZQ20" s="252">
        <v>0</v>
      </c>
      <c r="NZR20" s="252">
        <v>0</v>
      </c>
      <c r="NZS20" s="252">
        <v>0</v>
      </c>
      <c r="NZT20" s="252">
        <v>0</v>
      </c>
      <c r="NZU20" s="252">
        <v>0</v>
      </c>
      <c r="NZV20" s="252">
        <v>0</v>
      </c>
      <c r="NZW20" s="252">
        <v>0</v>
      </c>
      <c r="NZX20" s="252">
        <v>0</v>
      </c>
      <c r="NZY20" s="252">
        <v>0</v>
      </c>
      <c r="NZZ20" s="252">
        <v>0</v>
      </c>
      <c r="OAA20" s="252">
        <v>0</v>
      </c>
      <c r="OAB20" s="252">
        <v>0</v>
      </c>
      <c r="OAC20" s="252">
        <v>0</v>
      </c>
      <c r="OAD20" s="252">
        <v>0</v>
      </c>
      <c r="OAE20" s="252">
        <v>0</v>
      </c>
      <c r="OAF20" s="252">
        <v>0</v>
      </c>
      <c r="OAG20" s="252">
        <v>0</v>
      </c>
      <c r="OAH20" s="252">
        <v>0</v>
      </c>
      <c r="OAI20" s="252">
        <v>0</v>
      </c>
      <c r="OAJ20" s="252">
        <v>0</v>
      </c>
      <c r="OAK20" s="252">
        <v>0</v>
      </c>
      <c r="OAL20" s="252">
        <v>0</v>
      </c>
      <c r="OAM20" s="252">
        <v>0</v>
      </c>
      <c r="OAN20" s="252">
        <v>0</v>
      </c>
      <c r="OAO20" s="252">
        <v>0</v>
      </c>
      <c r="OAP20" s="252">
        <v>0</v>
      </c>
      <c r="OAQ20" s="252">
        <v>0</v>
      </c>
      <c r="OAR20" s="252">
        <v>0</v>
      </c>
      <c r="OAS20" s="252">
        <v>0</v>
      </c>
      <c r="OAT20" s="252">
        <v>0</v>
      </c>
      <c r="OAU20" s="252">
        <v>0</v>
      </c>
      <c r="OAV20" s="252">
        <v>0</v>
      </c>
      <c r="OAW20" s="252">
        <v>0</v>
      </c>
      <c r="OAX20" s="252">
        <v>0</v>
      </c>
      <c r="OAY20" s="252">
        <v>0</v>
      </c>
      <c r="OAZ20" s="252">
        <v>0</v>
      </c>
      <c r="OBA20" s="252">
        <v>0</v>
      </c>
      <c r="OBB20" s="252">
        <v>0</v>
      </c>
      <c r="OBC20" s="252">
        <v>0</v>
      </c>
      <c r="OBD20" s="252">
        <v>0</v>
      </c>
      <c r="OBE20" s="252">
        <v>0</v>
      </c>
      <c r="OBF20" s="252">
        <v>0</v>
      </c>
      <c r="OBG20" s="252">
        <v>0</v>
      </c>
      <c r="OBH20" s="252">
        <v>0</v>
      </c>
      <c r="OBI20" s="252">
        <v>0</v>
      </c>
      <c r="OBJ20" s="252">
        <v>0</v>
      </c>
      <c r="OBK20" s="252">
        <v>0</v>
      </c>
      <c r="OBL20" s="252">
        <v>0</v>
      </c>
      <c r="OBM20" s="252">
        <v>0</v>
      </c>
      <c r="OBN20" s="252">
        <v>0</v>
      </c>
      <c r="OBO20" s="252">
        <v>0</v>
      </c>
      <c r="OBP20" s="252">
        <v>0</v>
      </c>
      <c r="OBQ20" s="252">
        <v>0</v>
      </c>
      <c r="OBR20" s="252">
        <v>0</v>
      </c>
      <c r="OBS20" s="252">
        <v>0</v>
      </c>
      <c r="OBT20" s="252">
        <v>0</v>
      </c>
      <c r="OBU20" s="252">
        <v>0</v>
      </c>
      <c r="OBV20" s="252">
        <v>0</v>
      </c>
      <c r="OBW20" s="252">
        <v>0</v>
      </c>
      <c r="OBX20" s="252">
        <v>0</v>
      </c>
      <c r="OBY20" s="252">
        <v>0</v>
      </c>
      <c r="OBZ20" s="252">
        <v>0</v>
      </c>
      <c r="OCA20" s="252">
        <v>0</v>
      </c>
      <c r="OCB20" s="252">
        <v>0</v>
      </c>
      <c r="OCC20" s="252">
        <v>0</v>
      </c>
      <c r="OCD20" s="252">
        <v>0</v>
      </c>
      <c r="OCE20" s="252">
        <v>0</v>
      </c>
      <c r="OCF20" s="252">
        <v>0</v>
      </c>
      <c r="OCG20" s="252">
        <v>0</v>
      </c>
      <c r="OCH20" s="252">
        <v>0</v>
      </c>
      <c r="OCI20" s="252">
        <v>0</v>
      </c>
      <c r="OCJ20" s="252">
        <v>0</v>
      </c>
      <c r="OCK20" s="252">
        <v>0</v>
      </c>
      <c r="OCL20" s="252">
        <v>0</v>
      </c>
      <c r="OCM20" s="252">
        <v>0</v>
      </c>
      <c r="OCN20" s="252">
        <v>0</v>
      </c>
      <c r="OCO20" s="252">
        <v>0</v>
      </c>
      <c r="OCP20" s="252">
        <v>0</v>
      </c>
      <c r="OCQ20" s="252">
        <v>0</v>
      </c>
      <c r="OCR20" s="252">
        <v>0</v>
      </c>
      <c r="OCS20" s="252">
        <v>0</v>
      </c>
      <c r="OCT20" s="252">
        <v>0</v>
      </c>
      <c r="OCU20" s="252">
        <v>0</v>
      </c>
      <c r="OCV20" s="252">
        <v>0</v>
      </c>
      <c r="OCW20" s="252">
        <v>0</v>
      </c>
      <c r="OCX20" s="252">
        <v>0</v>
      </c>
      <c r="OCY20" s="252">
        <v>0</v>
      </c>
      <c r="OCZ20" s="252">
        <v>0</v>
      </c>
      <c r="ODA20" s="252">
        <v>0</v>
      </c>
      <c r="ODB20" s="252">
        <v>0</v>
      </c>
      <c r="ODC20" s="252">
        <v>0</v>
      </c>
      <c r="ODD20" s="252">
        <v>0</v>
      </c>
      <c r="ODE20" s="252">
        <v>0</v>
      </c>
      <c r="ODF20" s="252">
        <v>0</v>
      </c>
      <c r="ODG20" s="252">
        <v>0</v>
      </c>
      <c r="ODH20" s="252">
        <v>0</v>
      </c>
      <c r="ODI20" s="252">
        <v>0</v>
      </c>
      <c r="ODJ20" s="252">
        <v>0</v>
      </c>
      <c r="ODK20" s="252">
        <v>0</v>
      </c>
      <c r="ODL20" s="252">
        <v>0</v>
      </c>
      <c r="ODM20" s="252">
        <v>0</v>
      </c>
      <c r="ODN20" s="252">
        <v>0</v>
      </c>
      <c r="ODO20" s="252">
        <v>0</v>
      </c>
      <c r="ODP20" s="252">
        <v>0</v>
      </c>
      <c r="ODQ20" s="252">
        <v>0</v>
      </c>
      <c r="ODR20" s="252">
        <v>0</v>
      </c>
      <c r="ODS20" s="252">
        <v>0</v>
      </c>
      <c r="ODT20" s="252">
        <v>0</v>
      </c>
      <c r="ODU20" s="252">
        <v>0</v>
      </c>
      <c r="ODV20" s="252">
        <v>0</v>
      </c>
      <c r="ODW20" s="252">
        <v>0</v>
      </c>
      <c r="ODX20" s="252">
        <v>0</v>
      </c>
      <c r="ODY20" s="252">
        <v>0</v>
      </c>
      <c r="ODZ20" s="252">
        <v>0</v>
      </c>
      <c r="OEA20" s="252">
        <v>0</v>
      </c>
      <c r="OEB20" s="252">
        <v>0</v>
      </c>
      <c r="OEC20" s="252">
        <v>0</v>
      </c>
      <c r="OED20" s="252">
        <v>0</v>
      </c>
      <c r="OEE20" s="252">
        <v>0</v>
      </c>
      <c r="OEF20" s="252">
        <v>0</v>
      </c>
      <c r="OEG20" s="252">
        <v>0</v>
      </c>
      <c r="OEH20" s="252">
        <v>0</v>
      </c>
      <c r="OEI20" s="252">
        <v>0</v>
      </c>
      <c r="OEJ20" s="252">
        <v>0</v>
      </c>
      <c r="OEK20" s="252">
        <v>0</v>
      </c>
      <c r="OEL20" s="252">
        <v>0</v>
      </c>
      <c r="OEM20" s="252">
        <v>0</v>
      </c>
      <c r="OEN20" s="252">
        <v>0</v>
      </c>
      <c r="OEO20" s="252">
        <v>0</v>
      </c>
      <c r="OEP20" s="252">
        <v>0</v>
      </c>
      <c r="OEQ20" s="252">
        <v>0</v>
      </c>
      <c r="OER20" s="252">
        <v>0</v>
      </c>
      <c r="OES20" s="252">
        <v>0</v>
      </c>
      <c r="OET20" s="252">
        <v>0</v>
      </c>
      <c r="OEU20" s="252">
        <v>0</v>
      </c>
      <c r="OEV20" s="252">
        <v>0</v>
      </c>
      <c r="OEW20" s="252">
        <v>0</v>
      </c>
      <c r="OEX20" s="252">
        <v>0</v>
      </c>
      <c r="OEY20" s="252">
        <v>0</v>
      </c>
      <c r="OEZ20" s="252">
        <v>0</v>
      </c>
      <c r="OFA20" s="252">
        <v>0</v>
      </c>
      <c r="OFB20" s="252">
        <v>0</v>
      </c>
      <c r="OFC20" s="252">
        <v>0</v>
      </c>
      <c r="OFD20" s="252">
        <v>0</v>
      </c>
      <c r="OFE20" s="252">
        <v>0</v>
      </c>
      <c r="OFF20" s="252">
        <v>0</v>
      </c>
      <c r="OFG20" s="252">
        <v>0</v>
      </c>
      <c r="OFH20" s="252">
        <v>0</v>
      </c>
      <c r="OFI20" s="252">
        <v>0</v>
      </c>
      <c r="OFJ20" s="252">
        <v>0</v>
      </c>
      <c r="OFK20" s="252">
        <v>0</v>
      </c>
      <c r="OFL20" s="252">
        <v>0</v>
      </c>
      <c r="OFM20" s="252">
        <v>0</v>
      </c>
      <c r="OFN20" s="252">
        <v>0</v>
      </c>
      <c r="OFO20" s="252">
        <v>0</v>
      </c>
      <c r="OFP20" s="252">
        <v>0</v>
      </c>
      <c r="OFQ20" s="252">
        <v>0</v>
      </c>
      <c r="OFR20" s="252">
        <v>0</v>
      </c>
      <c r="OFS20" s="252">
        <v>0</v>
      </c>
      <c r="OFT20" s="252">
        <v>0</v>
      </c>
      <c r="OFU20" s="252">
        <v>0</v>
      </c>
      <c r="OFV20" s="252">
        <v>0</v>
      </c>
      <c r="OFW20" s="252">
        <v>0</v>
      </c>
      <c r="OFX20" s="252">
        <v>0</v>
      </c>
      <c r="OFY20" s="252">
        <v>0</v>
      </c>
      <c r="OFZ20" s="252">
        <v>0</v>
      </c>
      <c r="OGA20" s="252">
        <v>0</v>
      </c>
      <c r="OGB20" s="252">
        <v>0</v>
      </c>
      <c r="OGC20" s="252">
        <v>0</v>
      </c>
      <c r="OGD20" s="252">
        <v>0</v>
      </c>
      <c r="OGE20" s="252">
        <v>0</v>
      </c>
      <c r="OGF20" s="252">
        <v>0</v>
      </c>
      <c r="OGG20" s="252">
        <v>0</v>
      </c>
      <c r="OGH20" s="252">
        <v>0</v>
      </c>
      <c r="OGI20" s="252">
        <v>0</v>
      </c>
      <c r="OGJ20" s="252">
        <v>0</v>
      </c>
      <c r="OGK20" s="252">
        <v>0</v>
      </c>
      <c r="OGL20" s="252">
        <v>0</v>
      </c>
      <c r="OGM20" s="252">
        <v>0</v>
      </c>
      <c r="OGN20" s="252">
        <v>0</v>
      </c>
      <c r="OGO20" s="252">
        <v>0</v>
      </c>
      <c r="OGP20" s="252">
        <v>0</v>
      </c>
      <c r="OGQ20" s="252">
        <v>0</v>
      </c>
      <c r="OGR20" s="252">
        <v>0</v>
      </c>
      <c r="OGS20" s="252">
        <v>0</v>
      </c>
      <c r="OGT20" s="252">
        <v>0</v>
      </c>
      <c r="OGU20" s="252">
        <v>0</v>
      </c>
      <c r="OGV20" s="252">
        <v>0</v>
      </c>
      <c r="OGW20" s="252">
        <v>0</v>
      </c>
      <c r="OGX20" s="252">
        <v>0</v>
      </c>
      <c r="OGY20" s="252">
        <v>0</v>
      </c>
      <c r="OGZ20" s="252">
        <v>0</v>
      </c>
      <c r="OHA20" s="252">
        <v>0</v>
      </c>
      <c r="OHB20" s="252">
        <v>0</v>
      </c>
      <c r="OHC20" s="252">
        <v>0</v>
      </c>
      <c r="OHD20" s="252">
        <v>0</v>
      </c>
      <c r="OHE20" s="252">
        <v>0</v>
      </c>
      <c r="OHF20" s="252">
        <v>0</v>
      </c>
      <c r="OHG20" s="252">
        <v>0</v>
      </c>
      <c r="OHH20" s="252">
        <v>0</v>
      </c>
      <c r="OHI20" s="252">
        <v>0</v>
      </c>
      <c r="OHJ20" s="252">
        <v>0</v>
      </c>
      <c r="OHK20" s="252">
        <v>0</v>
      </c>
      <c r="OHL20" s="252">
        <v>0</v>
      </c>
      <c r="OHM20" s="252">
        <v>0</v>
      </c>
      <c r="OHN20" s="252">
        <v>0</v>
      </c>
      <c r="OHO20" s="252">
        <v>0</v>
      </c>
      <c r="OHP20" s="252">
        <v>0</v>
      </c>
      <c r="OHQ20" s="252">
        <v>0</v>
      </c>
      <c r="OHR20" s="252">
        <v>0</v>
      </c>
      <c r="OHS20" s="252">
        <v>0</v>
      </c>
      <c r="OHT20" s="252">
        <v>0</v>
      </c>
      <c r="OHU20" s="252">
        <v>0</v>
      </c>
      <c r="OHV20" s="252">
        <v>0</v>
      </c>
      <c r="OHW20" s="252">
        <v>0</v>
      </c>
      <c r="OHX20" s="252">
        <v>0</v>
      </c>
      <c r="OHY20" s="252">
        <v>0</v>
      </c>
      <c r="OHZ20" s="252">
        <v>0</v>
      </c>
      <c r="OIA20" s="252">
        <v>0</v>
      </c>
      <c r="OIB20" s="252">
        <v>0</v>
      </c>
      <c r="OIC20" s="252">
        <v>0</v>
      </c>
      <c r="OID20" s="252">
        <v>0</v>
      </c>
      <c r="OIE20" s="252">
        <v>0</v>
      </c>
      <c r="OIF20" s="252">
        <v>0</v>
      </c>
      <c r="OIG20" s="252">
        <v>0</v>
      </c>
      <c r="OIH20" s="252">
        <v>0</v>
      </c>
      <c r="OII20" s="252">
        <v>0</v>
      </c>
      <c r="OIJ20" s="252">
        <v>0</v>
      </c>
      <c r="OIK20" s="252">
        <v>0</v>
      </c>
      <c r="OIL20" s="252">
        <v>0</v>
      </c>
      <c r="OIM20" s="252">
        <v>0</v>
      </c>
      <c r="OIN20" s="252">
        <v>0</v>
      </c>
      <c r="OIO20" s="252">
        <v>0</v>
      </c>
      <c r="OIP20" s="252">
        <v>0</v>
      </c>
      <c r="OIQ20" s="252">
        <v>0</v>
      </c>
      <c r="OIR20" s="252">
        <v>0</v>
      </c>
      <c r="OIS20" s="252">
        <v>0</v>
      </c>
      <c r="OIT20" s="252">
        <v>0</v>
      </c>
      <c r="OIU20" s="252">
        <v>0</v>
      </c>
      <c r="OIV20" s="252">
        <v>0</v>
      </c>
      <c r="OIW20" s="252">
        <v>0</v>
      </c>
      <c r="OIX20" s="252">
        <v>0</v>
      </c>
      <c r="OIY20" s="252">
        <v>0</v>
      </c>
      <c r="OIZ20" s="252">
        <v>0</v>
      </c>
      <c r="OJA20" s="252">
        <v>0</v>
      </c>
      <c r="OJB20" s="252">
        <v>0</v>
      </c>
      <c r="OJC20" s="252">
        <v>0</v>
      </c>
      <c r="OJD20" s="252">
        <v>0</v>
      </c>
      <c r="OJE20" s="252">
        <v>0</v>
      </c>
      <c r="OJF20" s="252">
        <v>0</v>
      </c>
      <c r="OJG20" s="252">
        <v>0</v>
      </c>
      <c r="OJH20" s="252">
        <v>0</v>
      </c>
      <c r="OJI20" s="252">
        <v>0</v>
      </c>
      <c r="OJJ20" s="252">
        <v>0</v>
      </c>
      <c r="OJK20" s="252">
        <v>0</v>
      </c>
      <c r="OJL20" s="252">
        <v>0</v>
      </c>
      <c r="OJM20" s="252">
        <v>0</v>
      </c>
      <c r="OJN20" s="252">
        <v>0</v>
      </c>
      <c r="OJO20" s="252">
        <v>0</v>
      </c>
      <c r="OJP20" s="252">
        <v>0</v>
      </c>
      <c r="OJQ20" s="252">
        <v>0</v>
      </c>
      <c r="OJR20" s="252">
        <v>0</v>
      </c>
      <c r="OJS20" s="252">
        <v>0</v>
      </c>
      <c r="OJT20" s="252">
        <v>0</v>
      </c>
      <c r="OJU20" s="252">
        <v>0</v>
      </c>
      <c r="OJV20" s="252">
        <v>0</v>
      </c>
      <c r="OJW20" s="252">
        <v>0</v>
      </c>
      <c r="OJX20" s="252">
        <v>0</v>
      </c>
      <c r="OJY20" s="252">
        <v>0</v>
      </c>
      <c r="OJZ20" s="252">
        <v>0</v>
      </c>
      <c r="OKA20" s="252">
        <v>0</v>
      </c>
      <c r="OKB20" s="252">
        <v>0</v>
      </c>
      <c r="OKC20" s="252">
        <v>0</v>
      </c>
      <c r="OKD20" s="252">
        <v>0</v>
      </c>
      <c r="OKE20" s="252">
        <v>0</v>
      </c>
      <c r="OKF20" s="252">
        <v>0</v>
      </c>
      <c r="OKG20" s="252">
        <v>0</v>
      </c>
      <c r="OKH20" s="252">
        <v>0</v>
      </c>
      <c r="OKI20" s="252">
        <v>0</v>
      </c>
      <c r="OKJ20" s="252">
        <v>0</v>
      </c>
      <c r="OKK20" s="252">
        <v>0</v>
      </c>
      <c r="OKL20" s="252">
        <v>0</v>
      </c>
      <c r="OKM20" s="252">
        <v>0</v>
      </c>
      <c r="OKN20" s="252">
        <v>0</v>
      </c>
      <c r="OKO20" s="252">
        <v>0</v>
      </c>
      <c r="OKP20" s="252">
        <v>0</v>
      </c>
      <c r="OKQ20" s="252">
        <v>0</v>
      </c>
      <c r="OKR20" s="252">
        <v>0</v>
      </c>
      <c r="OKS20" s="252">
        <v>0</v>
      </c>
      <c r="OKT20" s="252">
        <v>0</v>
      </c>
      <c r="OKU20" s="252">
        <v>0</v>
      </c>
      <c r="OKV20" s="252">
        <v>0</v>
      </c>
      <c r="OKW20" s="252">
        <v>0</v>
      </c>
      <c r="OKX20" s="252">
        <v>0</v>
      </c>
      <c r="OKY20" s="252">
        <v>0</v>
      </c>
      <c r="OKZ20" s="252">
        <v>0</v>
      </c>
      <c r="OLA20" s="252">
        <v>0</v>
      </c>
      <c r="OLB20" s="252">
        <v>0</v>
      </c>
      <c r="OLC20" s="252">
        <v>0</v>
      </c>
      <c r="OLD20" s="252">
        <v>0</v>
      </c>
      <c r="OLE20" s="252">
        <v>0</v>
      </c>
      <c r="OLF20" s="252">
        <v>0</v>
      </c>
      <c r="OLG20" s="252">
        <v>0</v>
      </c>
      <c r="OLH20" s="252">
        <v>0</v>
      </c>
      <c r="OLI20" s="252">
        <v>0</v>
      </c>
      <c r="OLJ20" s="252">
        <v>0</v>
      </c>
      <c r="OLK20" s="252">
        <v>0</v>
      </c>
      <c r="OLL20" s="252">
        <v>0</v>
      </c>
      <c r="OLM20" s="252">
        <v>0</v>
      </c>
      <c r="OLN20" s="252">
        <v>0</v>
      </c>
      <c r="OLO20" s="252">
        <v>0</v>
      </c>
      <c r="OLP20" s="252">
        <v>0</v>
      </c>
      <c r="OLQ20" s="252">
        <v>0</v>
      </c>
      <c r="OLR20" s="252">
        <v>0</v>
      </c>
      <c r="OLS20" s="252">
        <v>0</v>
      </c>
      <c r="OLT20" s="252">
        <v>0</v>
      </c>
      <c r="OLU20" s="252">
        <v>0</v>
      </c>
      <c r="OLV20" s="252">
        <v>0</v>
      </c>
      <c r="OLW20" s="252">
        <v>0</v>
      </c>
      <c r="OLX20" s="252">
        <v>0</v>
      </c>
      <c r="OLY20" s="252">
        <v>0</v>
      </c>
      <c r="OLZ20" s="252">
        <v>0</v>
      </c>
      <c r="OMA20" s="252">
        <v>0</v>
      </c>
      <c r="OMB20" s="252">
        <v>0</v>
      </c>
      <c r="OMC20" s="252">
        <v>0</v>
      </c>
      <c r="OMD20" s="252">
        <v>0</v>
      </c>
      <c r="OME20" s="252">
        <v>0</v>
      </c>
      <c r="OMF20" s="252">
        <v>0</v>
      </c>
      <c r="OMG20" s="252">
        <v>0</v>
      </c>
      <c r="OMH20" s="252">
        <v>0</v>
      </c>
      <c r="OMI20" s="252">
        <v>0</v>
      </c>
      <c r="OMJ20" s="252">
        <v>0</v>
      </c>
      <c r="OMK20" s="252">
        <v>0</v>
      </c>
      <c r="OML20" s="252">
        <v>0</v>
      </c>
      <c r="OMM20" s="252">
        <v>0</v>
      </c>
      <c r="OMN20" s="252">
        <v>0</v>
      </c>
      <c r="OMO20" s="252">
        <v>0</v>
      </c>
      <c r="OMP20" s="252">
        <v>0</v>
      </c>
      <c r="OMQ20" s="252">
        <v>0</v>
      </c>
      <c r="OMR20" s="252">
        <v>0</v>
      </c>
      <c r="OMS20" s="252">
        <v>0</v>
      </c>
      <c r="OMT20" s="252">
        <v>0</v>
      </c>
      <c r="OMU20" s="252">
        <v>0</v>
      </c>
      <c r="OMV20" s="252">
        <v>0</v>
      </c>
      <c r="OMW20" s="252">
        <v>0</v>
      </c>
      <c r="OMX20" s="252">
        <v>0</v>
      </c>
      <c r="OMY20" s="252">
        <v>0</v>
      </c>
      <c r="OMZ20" s="252">
        <v>0</v>
      </c>
      <c r="ONA20" s="252">
        <v>0</v>
      </c>
      <c r="ONB20" s="252">
        <v>0</v>
      </c>
      <c r="ONC20" s="252">
        <v>0</v>
      </c>
      <c r="OND20" s="252">
        <v>0</v>
      </c>
      <c r="ONE20" s="252">
        <v>0</v>
      </c>
      <c r="ONF20" s="252">
        <v>0</v>
      </c>
      <c r="ONG20" s="252">
        <v>0</v>
      </c>
      <c r="ONH20" s="252">
        <v>0</v>
      </c>
      <c r="ONI20" s="252">
        <v>0</v>
      </c>
      <c r="ONJ20" s="252">
        <v>0</v>
      </c>
      <c r="ONK20" s="252">
        <v>0</v>
      </c>
      <c r="ONL20" s="252">
        <v>0</v>
      </c>
      <c r="ONM20" s="252">
        <v>0</v>
      </c>
      <c r="ONN20" s="252">
        <v>0</v>
      </c>
      <c r="ONO20" s="252">
        <v>0</v>
      </c>
      <c r="ONP20" s="252">
        <v>0</v>
      </c>
      <c r="ONQ20" s="252">
        <v>0</v>
      </c>
      <c r="ONR20" s="252">
        <v>0</v>
      </c>
      <c r="ONS20" s="252">
        <v>0</v>
      </c>
      <c r="ONT20" s="252">
        <v>0</v>
      </c>
      <c r="ONU20" s="252">
        <v>0</v>
      </c>
      <c r="ONV20" s="252">
        <v>0</v>
      </c>
      <c r="ONW20" s="252">
        <v>0</v>
      </c>
      <c r="ONX20" s="252">
        <v>0</v>
      </c>
      <c r="ONY20" s="252">
        <v>0</v>
      </c>
      <c r="ONZ20" s="252">
        <v>0</v>
      </c>
      <c r="OOA20" s="252">
        <v>0</v>
      </c>
      <c r="OOB20" s="252">
        <v>0</v>
      </c>
      <c r="OOC20" s="252">
        <v>0</v>
      </c>
      <c r="OOD20" s="252">
        <v>0</v>
      </c>
      <c r="OOE20" s="252">
        <v>0</v>
      </c>
      <c r="OOF20" s="252">
        <v>0</v>
      </c>
      <c r="OOG20" s="252">
        <v>0</v>
      </c>
      <c r="OOH20" s="252">
        <v>0</v>
      </c>
      <c r="OOI20" s="252">
        <v>0</v>
      </c>
      <c r="OOJ20" s="252">
        <v>0</v>
      </c>
      <c r="OOK20" s="252">
        <v>0</v>
      </c>
      <c r="OOL20" s="252">
        <v>0</v>
      </c>
      <c r="OOM20" s="252">
        <v>0</v>
      </c>
      <c r="OON20" s="252">
        <v>0</v>
      </c>
      <c r="OOO20" s="252">
        <v>0</v>
      </c>
      <c r="OOP20" s="252">
        <v>0</v>
      </c>
      <c r="OOQ20" s="252">
        <v>0</v>
      </c>
      <c r="OOR20" s="252">
        <v>0</v>
      </c>
      <c r="OOS20" s="252">
        <v>0</v>
      </c>
      <c r="OOT20" s="252">
        <v>0</v>
      </c>
      <c r="OOU20" s="252">
        <v>0</v>
      </c>
      <c r="OOV20" s="252">
        <v>0</v>
      </c>
      <c r="OOW20" s="252">
        <v>0</v>
      </c>
      <c r="OOX20" s="252">
        <v>0</v>
      </c>
      <c r="OOY20" s="252">
        <v>0</v>
      </c>
      <c r="OOZ20" s="252">
        <v>0</v>
      </c>
      <c r="OPA20" s="252">
        <v>0</v>
      </c>
      <c r="OPB20" s="252">
        <v>0</v>
      </c>
      <c r="OPC20" s="252">
        <v>0</v>
      </c>
      <c r="OPD20" s="252">
        <v>0</v>
      </c>
      <c r="OPE20" s="252">
        <v>0</v>
      </c>
      <c r="OPF20" s="252">
        <v>0</v>
      </c>
      <c r="OPG20" s="252">
        <v>0</v>
      </c>
      <c r="OPH20" s="252">
        <v>0</v>
      </c>
      <c r="OPI20" s="252">
        <v>0</v>
      </c>
      <c r="OPJ20" s="252">
        <v>0</v>
      </c>
      <c r="OPK20" s="252">
        <v>0</v>
      </c>
      <c r="OPL20" s="252">
        <v>0</v>
      </c>
      <c r="OPM20" s="252">
        <v>0</v>
      </c>
      <c r="OPN20" s="252">
        <v>0</v>
      </c>
      <c r="OPO20" s="252">
        <v>0</v>
      </c>
      <c r="OPP20" s="252">
        <v>0</v>
      </c>
      <c r="OPQ20" s="252">
        <v>0</v>
      </c>
      <c r="OPR20" s="252">
        <v>0</v>
      </c>
      <c r="OPS20" s="252">
        <v>0</v>
      </c>
      <c r="OPT20" s="252">
        <v>0</v>
      </c>
      <c r="OPU20" s="252">
        <v>0</v>
      </c>
      <c r="OPV20" s="252">
        <v>0</v>
      </c>
      <c r="OPW20" s="252">
        <v>0</v>
      </c>
      <c r="OPX20" s="252">
        <v>0</v>
      </c>
      <c r="OPY20" s="252">
        <v>0</v>
      </c>
      <c r="OPZ20" s="252">
        <v>0</v>
      </c>
      <c r="OQA20" s="252">
        <v>0</v>
      </c>
      <c r="OQB20" s="252">
        <v>0</v>
      </c>
      <c r="OQC20" s="252">
        <v>0</v>
      </c>
      <c r="OQD20" s="252">
        <v>0</v>
      </c>
      <c r="OQE20" s="252">
        <v>0</v>
      </c>
      <c r="OQF20" s="252">
        <v>0</v>
      </c>
      <c r="OQG20" s="252">
        <v>0</v>
      </c>
      <c r="OQH20" s="252">
        <v>0</v>
      </c>
      <c r="OQI20" s="252">
        <v>0</v>
      </c>
      <c r="OQJ20" s="252">
        <v>0</v>
      </c>
      <c r="OQK20" s="252">
        <v>0</v>
      </c>
      <c r="OQL20" s="252">
        <v>0</v>
      </c>
      <c r="OQM20" s="252">
        <v>0</v>
      </c>
      <c r="OQN20" s="252">
        <v>0</v>
      </c>
      <c r="OQO20" s="252">
        <v>0</v>
      </c>
      <c r="OQP20" s="252">
        <v>0</v>
      </c>
      <c r="OQQ20" s="252">
        <v>0</v>
      </c>
      <c r="OQR20" s="252">
        <v>0</v>
      </c>
      <c r="OQS20" s="252">
        <v>0</v>
      </c>
      <c r="OQT20" s="252">
        <v>0</v>
      </c>
      <c r="OQU20" s="252">
        <v>0</v>
      </c>
      <c r="OQV20" s="252">
        <v>0</v>
      </c>
      <c r="OQW20" s="252">
        <v>0</v>
      </c>
      <c r="OQX20" s="252">
        <v>0</v>
      </c>
      <c r="OQY20" s="252">
        <v>0</v>
      </c>
      <c r="OQZ20" s="252">
        <v>0</v>
      </c>
      <c r="ORA20" s="252">
        <v>0</v>
      </c>
      <c r="ORB20" s="252">
        <v>0</v>
      </c>
      <c r="ORC20" s="252">
        <v>0</v>
      </c>
      <c r="ORD20" s="252">
        <v>0</v>
      </c>
      <c r="ORE20" s="252">
        <v>0</v>
      </c>
      <c r="ORF20" s="252">
        <v>0</v>
      </c>
      <c r="ORG20" s="252">
        <v>0</v>
      </c>
      <c r="ORH20" s="252">
        <v>0</v>
      </c>
      <c r="ORI20" s="252">
        <v>0</v>
      </c>
      <c r="ORJ20" s="252">
        <v>0</v>
      </c>
      <c r="ORK20" s="252">
        <v>0</v>
      </c>
      <c r="ORL20" s="252">
        <v>0</v>
      </c>
      <c r="ORM20" s="252">
        <v>0</v>
      </c>
      <c r="ORN20" s="252">
        <v>0</v>
      </c>
      <c r="ORO20" s="252">
        <v>0</v>
      </c>
      <c r="ORP20" s="252">
        <v>0</v>
      </c>
      <c r="ORQ20" s="252">
        <v>0</v>
      </c>
      <c r="ORR20" s="252">
        <v>0</v>
      </c>
      <c r="ORS20" s="252">
        <v>0</v>
      </c>
      <c r="ORT20" s="252">
        <v>0</v>
      </c>
      <c r="ORU20" s="252">
        <v>0</v>
      </c>
      <c r="ORV20" s="252">
        <v>0</v>
      </c>
      <c r="ORW20" s="252">
        <v>0</v>
      </c>
      <c r="ORX20" s="252">
        <v>0</v>
      </c>
      <c r="ORY20" s="252">
        <v>0</v>
      </c>
      <c r="ORZ20" s="252">
        <v>0</v>
      </c>
      <c r="OSA20" s="252">
        <v>0</v>
      </c>
      <c r="OSB20" s="252">
        <v>0</v>
      </c>
      <c r="OSC20" s="252">
        <v>0</v>
      </c>
      <c r="OSD20" s="252">
        <v>0</v>
      </c>
      <c r="OSE20" s="252">
        <v>0</v>
      </c>
      <c r="OSF20" s="252">
        <v>0</v>
      </c>
      <c r="OSG20" s="252">
        <v>0</v>
      </c>
      <c r="OSH20" s="252">
        <v>0</v>
      </c>
      <c r="OSI20" s="252">
        <v>0</v>
      </c>
      <c r="OSJ20" s="252">
        <v>0</v>
      </c>
      <c r="OSK20" s="252">
        <v>0</v>
      </c>
      <c r="OSL20" s="252">
        <v>0</v>
      </c>
      <c r="OSM20" s="252">
        <v>0</v>
      </c>
      <c r="OSN20" s="252">
        <v>0</v>
      </c>
      <c r="OSO20" s="252">
        <v>0</v>
      </c>
      <c r="OSP20" s="252">
        <v>0</v>
      </c>
      <c r="OSQ20" s="252">
        <v>0</v>
      </c>
      <c r="OSR20" s="252">
        <v>0</v>
      </c>
      <c r="OSS20" s="252">
        <v>0</v>
      </c>
      <c r="OST20" s="252">
        <v>0</v>
      </c>
      <c r="OSU20" s="252">
        <v>0</v>
      </c>
      <c r="OSV20" s="252">
        <v>0</v>
      </c>
      <c r="OSW20" s="252">
        <v>0</v>
      </c>
      <c r="OSX20" s="252">
        <v>0</v>
      </c>
      <c r="OSY20" s="252">
        <v>0</v>
      </c>
      <c r="OSZ20" s="252">
        <v>0</v>
      </c>
      <c r="OTA20" s="252">
        <v>0</v>
      </c>
      <c r="OTB20" s="252">
        <v>0</v>
      </c>
      <c r="OTC20" s="252">
        <v>0</v>
      </c>
      <c r="OTD20" s="252">
        <v>0</v>
      </c>
      <c r="OTE20" s="252">
        <v>0</v>
      </c>
      <c r="OTF20" s="252">
        <v>0</v>
      </c>
      <c r="OTG20" s="252">
        <v>0</v>
      </c>
      <c r="OTH20" s="252">
        <v>0</v>
      </c>
      <c r="OTI20" s="252">
        <v>0</v>
      </c>
      <c r="OTJ20" s="252">
        <v>0</v>
      </c>
      <c r="OTK20" s="252">
        <v>0</v>
      </c>
      <c r="OTL20" s="252">
        <v>0</v>
      </c>
      <c r="OTM20" s="252">
        <v>0</v>
      </c>
      <c r="OTN20" s="252">
        <v>0</v>
      </c>
      <c r="OTO20" s="252">
        <v>0</v>
      </c>
      <c r="OTP20" s="252">
        <v>0</v>
      </c>
      <c r="OTQ20" s="252">
        <v>0</v>
      </c>
      <c r="OTR20" s="252">
        <v>0</v>
      </c>
      <c r="OTS20" s="252">
        <v>0</v>
      </c>
      <c r="OTT20" s="252">
        <v>0</v>
      </c>
      <c r="OTU20" s="252">
        <v>0</v>
      </c>
      <c r="OTV20" s="252">
        <v>0</v>
      </c>
      <c r="OTW20" s="252">
        <v>0</v>
      </c>
      <c r="OTX20" s="252">
        <v>0</v>
      </c>
      <c r="OTY20" s="252">
        <v>0</v>
      </c>
      <c r="OTZ20" s="252">
        <v>0</v>
      </c>
      <c r="OUA20" s="252">
        <v>0</v>
      </c>
      <c r="OUB20" s="252">
        <v>0</v>
      </c>
      <c r="OUC20" s="252">
        <v>0</v>
      </c>
      <c r="OUD20" s="252">
        <v>0</v>
      </c>
      <c r="OUE20" s="252">
        <v>0</v>
      </c>
      <c r="OUF20" s="252">
        <v>0</v>
      </c>
      <c r="OUG20" s="252">
        <v>0</v>
      </c>
      <c r="OUH20" s="252">
        <v>0</v>
      </c>
      <c r="OUI20" s="252">
        <v>0</v>
      </c>
      <c r="OUJ20" s="252">
        <v>0</v>
      </c>
      <c r="OUK20" s="252">
        <v>0</v>
      </c>
      <c r="OUL20" s="252">
        <v>0</v>
      </c>
      <c r="OUM20" s="252">
        <v>0</v>
      </c>
      <c r="OUN20" s="252">
        <v>0</v>
      </c>
      <c r="OUO20" s="252">
        <v>0</v>
      </c>
      <c r="OUP20" s="252">
        <v>0</v>
      </c>
      <c r="OUQ20" s="252">
        <v>0</v>
      </c>
      <c r="OUR20" s="252">
        <v>0</v>
      </c>
      <c r="OUS20" s="252">
        <v>0</v>
      </c>
      <c r="OUT20" s="252">
        <v>0</v>
      </c>
      <c r="OUU20" s="252">
        <v>0</v>
      </c>
      <c r="OUV20" s="252">
        <v>0</v>
      </c>
      <c r="OUW20" s="252">
        <v>0</v>
      </c>
      <c r="OUX20" s="252">
        <v>0</v>
      </c>
      <c r="OUY20" s="252">
        <v>0</v>
      </c>
      <c r="OUZ20" s="252">
        <v>0</v>
      </c>
      <c r="OVA20" s="252">
        <v>0</v>
      </c>
      <c r="OVB20" s="252">
        <v>0</v>
      </c>
      <c r="OVC20" s="252">
        <v>0</v>
      </c>
      <c r="OVD20" s="252">
        <v>0</v>
      </c>
      <c r="OVE20" s="252">
        <v>0</v>
      </c>
      <c r="OVF20" s="252">
        <v>0</v>
      </c>
      <c r="OVG20" s="252">
        <v>0</v>
      </c>
      <c r="OVH20" s="252">
        <v>0</v>
      </c>
      <c r="OVI20" s="252">
        <v>0</v>
      </c>
      <c r="OVJ20" s="252">
        <v>0</v>
      </c>
      <c r="OVK20" s="252">
        <v>0</v>
      </c>
      <c r="OVL20" s="252">
        <v>0</v>
      </c>
      <c r="OVM20" s="252">
        <v>0</v>
      </c>
      <c r="OVN20" s="252">
        <v>0</v>
      </c>
      <c r="OVO20" s="252">
        <v>0</v>
      </c>
      <c r="OVP20" s="252">
        <v>0</v>
      </c>
      <c r="OVQ20" s="252">
        <v>0</v>
      </c>
      <c r="OVR20" s="252">
        <v>0</v>
      </c>
      <c r="OVS20" s="252">
        <v>0</v>
      </c>
      <c r="OVT20" s="252">
        <v>0</v>
      </c>
      <c r="OVU20" s="252">
        <v>0</v>
      </c>
      <c r="OVV20" s="252">
        <v>0</v>
      </c>
      <c r="OVW20" s="252">
        <v>0</v>
      </c>
      <c r="OVX20" s="252">
        <v>0</v>
      </c>
      <c r="OVY20" s="252">
        <v>0</v>
      </c>
      <c r="OVZ20" s="252">
        <v>0</v>
      </c>
      <c r="OWA20" s="252">
        <v>0</v>
      </c>
      <c r="OWB20" s="252">
        <v>0</v>
      </c>
      <c r="OWC20" s="252">
        <v>0</v>
      </c>
      <c r="OWD20" s="252">
        <v>0</v>
      </c>
      <c r="OWE20" s="252">
        <v>0</v>
      </c>
      <c r="OWF20" s="252">
        <v>0</v>
      </c>
      <c r="OWG20" s="252">
        <v>0</v>
      </c>
      <c r="OWH20" s="252">
        <v>0</v>
      </c>
      <c r="OWI20" s="252">
        <v>0</v>
      </c>
      <c r="OWJ20" s="252">
        <v>0</v>
      </c>
      <c r="OWK20" s="252">
        <v>0</v>
      </c>
      <c r="OWL20" s="252">
        <v>0</v>
      </c>
      <c r="OWM20" s="252">
        <v>0</v>
      </c>
      <c r="OWN20" s="252">
        <v>0</v>
      </c>
      <c r="OWO20" s="252">
        <v>0</v>
      </c>
      <c r="OWP20" s="252">
        <v>0</v>
      </c>
      <c r="OWQ20" s="252">
        <v>0</v>
      </c>
      <c r="OWR20" s="252">
        <v>0</v>
      </c>
      <c r="OWS20" s="252">
        <v>0</v>
      </c>
      <c r="OWT20" s="252">
        <v>0</v>
      </c>
      <c r="OWU20" s="252">
        <v>0</v>
      </c>
      <c r="OWV20" s="252">
        <v>0</v>
      </c>
      <c r="OWW20" s="252">
        <v>0</v>
      </c>
      <c r="OWX20" s="252">
        <v>0</v>
      </c>
      <c r="OWY20" s="252">
        <v>0</v>
      </c>
      <c r="OWZ20" s="252">
        <v>0</v>
      </c>
      <c r="OXA20" s="252">
        <v>0</v>
      </c>
      <c r="OXB20" s="252">
        <v>0</v>
      </c>
      <c r="OXC20" s="252">
        <v>0</v>
      </c>
      <c r="OXD20" s="252">
        <v>0</v>
      </c>
      <c r="OXE20" s="252">
        <v>0</v>
      </c>
      <c r="OXF20" s="252">
        <v>0</v>
      </c>
      <c r="OXG20" s="252">
        <v>0</v>
      </c>
      <c r="OXH20" s="252">
        <v>0</v>
      </c>
      <c r="OXI20" s="252">
        <v>0</v>
      </c>
      <c r="OXJ20" s="252">
        <v>0</v>
      </c>
      <c r="OXK20" s="252">
        <v>0</v>
      </c>
      <c r="OXL20" s="252">
        <v>0</v>
      </c>
      <c r="OXM20" s="252">
        <v>0</v>
      </c>
      <c r="OXN20" s="252">
        <v>0</v>
      </c>
      <c r="OXO20" s="252">
        <v>0</v>
      </c>
      <c r="OXP20" s="252">
        <v>0</v>
      </c>
      <c r="OXQ20" s="252">
        <v>0</v>
      </c>
      <c r="OXR20" s="252">
        <v>0</v>
      </c>
      <c r="OXS20" s="252">
        <v>0</v>
      </c>
      <c r="OXT20" s="252">
        <v>0</v>
      </c>
      <c r="OXU20" s="252">
        <v>0</v>
      </c>
      <c r="OXV20" s="252">
        <v>0</v>
      </c>
      <c r="OXW20" s="252">
        <v>0</v>
      </c>
      <c r="OXX20" s="252">
        <v>0</v>
      </c>
      <c r="OXY20" s="252">
        <v>0</v>
      </c>
      <c r="OXZ20" s="252">
        <v>0</v>
      </c>
      <c r="OYA20" s="252">
        <v>0</v>
      </c>
      <c r="OYB20" s="252">
        <v>0</v>
      </c>
      <c r="OYC20" s="252">
        <v>0</v>
      </c>
      <c r="OYD20" s="252">
        <v>0</v>
      </c>
      <c r="OYE20" s="252">
        <v>0</v>
      </c>
      <c r="OYF20" s="252">
        <v>0</v>
      </c>
      <c r="OYG20" s="252">
        <v>0</v>
      </c>
      <c r="OYH20" s="252">
        <v>0</v>
      </c>
      <c r="OYI20" s="252">
        <v>0</v>
      </c>
      <c r="OYJ20" s="252">
        <v>0</v>
      </c>
      <c r="OYK20" s="252">
        <v>0</v>
      </c>
      <c r="OYL20" s="252">
        <v>0</v>
      </c>
      <c r="OYM20" s="252">
        <v>0</v>
      </c>
      <c r="OYN20" s="252">
        <v>0</v>
      </c>
      <c r="OYO20" s="252">
        <v>0</v>
      </c>
      <c r="OYP20" s="252">
        <v>0</v>
      </c>
      <c r="OYQ20" s="252">
        <v>0</v>
      </c>
      <c r="OYR20" s="252">
        <v>0</v>
      </c>
      <c r="OYS20" s="252">
        <v>0</v>
      </c>
      <c r="OYT20" s="252">
        <v>0</v>
      </c>
      <c r="OYU20" s="252">
        <v>0</v>
      </c>
      <c r="OYV20" s="252">
        <v>0</v>
      </c>
      <c r="OYW20" s="252">
        <v>0</v>
      </c>
      <c r="OYX20" s="252">
        <v>0</v>
      </c>
      <c r="OYY20" s="252">
        <v>0</v>
      </c>
      <c r="OYZ20" s="252">
        <v>0</v>
      </c>
      <c r="OZA20" s="252">
        <v>0</v>
      </c>
      <c r="OZB20" s="252">
        <v>0</v>
      </c>
      <c r="OZC20" s="252">
        <v>0</v>
      </c>
      <c r="OZD20" s="252">
        <v>0</v>
      </c>
      <c r="OZE20" s="252">
        <v>0</v>
      </c>
      <c r="OZF20" s="252">
        <v>0</v>
      </c>
      <c r="OZG20" s="252">
        <v>0</v>
      </c>
      <c r="OZH20" s="252">
        <v>0</v>
      </c>
      <c r="OZI20" s="252">
        <v>0</v>
      </c>
      <c r="OZJ20" s="252">
        <v>0</v>
      </c>
      <c r="OZK20" s="252">
        <v>0</v>
      </c>
      <c r="OZL20" s="252">
        <v>0</v>
      </c>
      <c r="OZM20" s="252">
        <v>0</v>
      </c>
      <c r="OZN20" s="252">
        <v>0</v>
      </c>
      <c r="OZO20" s="252">
        <v>0</v>
      </c>
      <c r="OZP20" s="252">
        <v>0</v>
      </c>
      <c r="OZQ20" s="252">
        <v>0</v>
      </c>
      <c r="OZR20" s="252">
        <v>0</v>
      </c>
      <c r="OZS20" s="252">
        <v>0</v>
      </c>
      <c r="OZT20" s="252">
        <v>0</v>
      </c>
      <c r="OZU20" s="252">
        <v>0</v>
      </c>
      <c r="OZV20" s="252">
        <v>0</v>
      </c>
      <c r="OZW20" s="252">
        <v>0</v>
      </c>
      <c r="OZX20" s="252">
        <v>0</v>
      </c>
      <c r="OZY20" s="252">
        <v>0</v>
      </c>
      <c r="OZZ20" s="252">
        <v>0</v>
      </c>
      <c r="PAA20" s="252">
        <v>0</v>
      </c>
      <c r="PAB20" s="252">
        <v>0</v>
      </c>
      <c r="PAC20" s="252">
        <v>0</v>
      </c>
      <c r="PAD20" s="252">
        <v>0</v>
      </c>
      <c r="PAE20" s="252">
        <v>0</v>
      </c>
      <c r="PAF20" s="252">
        <v>0</v>
      </c>
      <c r="PAG20" s="252">
        <v>0</v>
      </c>
      <c r="PAH20" s="252">
        <v>0</v>
      </c>
      <c r="PAI20" s="252">
        <v>0</v>
      </c>
      <c r="PAJ20" s="252">
        <v>0</v>
      </c>
      <c r="PAK20" s="252">
        <v>0</v>
      </c>
      <c r="PAL20" s="252">
        <v>0</v>
      </c>
      <c r="PAM20" s="252">
        <v>0</v>
      </c>
      <c r="PAN20" s="252">
        <v>0</v>
      </c>
      <c r="PAO20" s="252">
        <v>0</v>
      </c>
      <c r="PAP20" s="252">
        <v>0</v>
      </c>
      <c r="PAQ20" s="252">
        <v>0</v>
      </c>
      <c r="PAR20" s="252">
        <v>0</v>
      </c>
      <c r="PAS20" s="252">
        <v>0</v>
      </c>
      <c r="PAT20" s="252">
        <v>0</v>
      </c>
      <c r="PAU20" s="252">
        <v>0</v>
      </c>
      <c r="PAV20" s="252">
        <v>0</v>
      </c>
      <c r="PAW20" s="252">
        <v>0</v>
      </c>
      <c r="PAX20" s="252">
        <v>0</v>
      </c>
      <c r="PAY20" s="252">
        <v>0</v>
      </c>
      <c r="PAZ20" s="252">
        <v>0</v>
      </c>
      <c r="PBA20" s="252">
        <v>0</v>
      </c>
      <c r="PBB20" s="252">
        <v>0</v>
      </c>
      <c r="PBC20" s="252">
        <v>0</v>
      </c>
      <c r="PBD20" s="252">
        <v>0</v>
      </c>
      <c r="PBE20" s="252">
        <v>0</v>
      </c>
      <c r="PBF20" s="252">
        <v>0</v>
      </c>
      <c r="PBG20" s="252">
        <v>0</v>
      </c>
      <c r="PBH20" s="252">
        <v>0</v>
      </c>
      <c r="PBI20" s="252">
        <v>0</v>
      </c>
      <c r="PBJ20" s="252">
        <v>0</v>
      </c>
      <c r="PBK20" s="252">
        <v>0</v>
      </c>
      <c r="PBL20" s="252">
        <v>0</v>
      </c>
      <c r="PBM20" s="252">
        <v>0</v>
      </c>
      <c r="PBN20" s="252">
        <v>0</v>
      </c>
      <c r="PBO20" s="252">
        <v>0</v>
      </c>
      <c r="PBP20" s="252">
        <v>0</v>
      </c>
      <c r="PBQ20" s="252">
        <v>0</v>
      </c>
      <c r="PBR20" s="252">
        <v>0</v>
      </c>
      <c r="PBS20" s="252">
        <v>0</v>
      </c>
      <c r="PBT20" s="252">
        <v>0</v>
      </c>
      <c r="PBU20" s="252">
        <v>0</v>
      </c>
      <c r="PBV20" s="252">
        <v>0</v>
      </c>
      <c r="PBW20" s="252">
        <v>0</v>
      </c>
      <c r="PBX20" s="252">
        <v>0</v>
      </c>
      <c r="PBY20" s="252">
        <v>0</v>
      </c>
      <c r="PBZ20" s="252">
        <v>0</v>
      </c>
      <c r="PCA20" s="252">
        <v>0</v>
      </c>
      <c r="PCB20" s="252">
        <v>0</v>
      </c>
      <c r="PCC20" s="252">
        <v>0</v>
      </c>
      <c r="PCD20" s="252">
        <v>0</v>
      </c>
      <c r="PCE20" s="252">
        <v>0</v>
      </c>
      <c r="PCF20" s="252">
        <v>0</v>
      </c>
      <c r="PCG20" s="252">
        <v>0</v>
      </c>
      <c r="PCH20" s="252">
        <v>0</v>
      </c>
      <c r="PCI20" s="252">
        <v>0</v>
      </c>
      <c r="PCJ20" s="252">
        <v>0</v>
      </c>
      <c r="PCK20" s="252">
        <v>0</v>
      </c>
      <c r="PCL20" s="252">
        <v>0</v>
      </c>
      <c r="PCM20" s="252">
        <v>0</v>
      </c>
      <c r="PCN20" s="252">
        <v>0</v>
      </c>
      <c r="PCO20" s="252">
        <v>0</v>
      </c>
      <c r="PCP20" s="252">
        <v>0</v>
      </c>
      <c r="PCQ20" s="252">
        <v>0</v>
      </c>
      <c r="PCR20" s="252">
        <v>0</v>
      </c>
      <c r="PCS20" s="252">
        <v>0</v>
      </c>
      <c r="PCT20" s="252">
        <v>0</v>
      </c>
      <c r="PCU20" s="252">
        <v>0</v>
      </c>
      <c r="PCV20" s="252">
        <v>0</v>
      </c>
      <c r="PCW20" s="252">
        <v>0</v>
      </c>
      <c r="PCX20" s="252">
        <v>0</v>
      </c>
      <c r="PCY20" s="252">
        <v>0</v>
      </c>
      <c r="PCZ20" s="252">
        <v>0</v>
      </c>
      <c r="PDA20" s="252">
        <v>0</v>
      </c>
      <c r="PDB20" s="252">
        <v>0</v>
      </c>
      <c r="PDC20" s="252">
        <v>0</v>
      </c>
      <c r="PDD20" s="252">
        <v>0</v>
      </c>
      <c r="PDE20" s="252">
        <v>0</v>
      </c>
      <c r="PDF20" s="252">
        <v>0</v>
      </c>
      <c r="PDG20" s="252">
        <v>0</v>
      </c>
      <c r="PDH20" s="252">
        <v>0</v>
      </c>
      <c r="PDI20" s="252">
        <v>0</v>
      </c>
      <c r="PDJ20" s="252">
        <v>0</v>
      </c>
      <c r="PDK20" s="252">
        <v>0</v>
      </c>
      <c r="PDL20" s="252">
        <v>0</v>
      </c>
      <c r="PDM20" s="252">
        <v>0</v>
      </c>
      <c r="PDN20" s="252">
        <v>0</v>
      </c>
      <c r="PDO20" s="252">
        <v>0</v>
      </c>
      <c r="PDP20" s="252">
        <v>0</v>
      </c>
      <c r="PDQ20" s="252">
        <v>0</v>
      </c>
      <c r="PDR20" s="252">
        <v>0</v>
      </c>
      <c r="PDS20" s="252">
        <v>0</v>
      </c>
      <c r="PDT20" s="252">
        <v>0</v>
      </c>
      <c r="PDU20" s="252">
        <v>0</v>
      </c>
      <c r="PDV20" s="252">
        <v>0</v>
      </c>
      <c r="PDW20" s="252">
        <v>0</v>
      </c>
      <c r="PDX20" s="252">
        <v>0</v>
      </c>
      <c r="PDY20" s="252">
        <v>0</v>
      </c>
      <c r="PDZ20" s="252">
        <v>0</v>
      </c>
      <c r="PEA20" s="252">
        <v>0</v>
      </c>
      <c r="PEB20" s="252">
        <v>0</v>
      </c>
      <c r="PEC20" s="252">
        <v>0</v>
      </c>
      <c r="PED20" s="252">
        <v>0</v>
      </c>
      <c r="PEE20" s="252">
        <v>0</v>
      </c>
      <c r="PEF20" s="252">
        <v>0</v>
      </c>
      <c r="PEG20" s="252">
        <v>0</v>
      </c>
      <c r="PEH20" s="252">
        <v>0</v>
      </c>
      <c r="PEI20" s="252">
        <v>0</v>
      </c>
      <c r="PEJ20" s="252">
        <v>0</v>
      </c>
      <c r="PEK20" s="252">
        <v>0</v>
      </c>
      <c r="PEL20" s="252">
        <v>0</v>
      </c>
      <c r="PEM20" s="252">
        <v>0</v>
      </c>
      <c r="PEN20" s="252">
        <v>0</v>
      </c>
      <c r="PEO20" s="252">
        <v>0</v>
      </c>
      <c r="PEP20" s="252">
        <v>0</v>
      </c>
      <c r="PEQ20" s="252">
        <v>0</v>
      </c>
      <c r="PER20" s="252">
        <v>0</v>
      </c>
      <c r="PES20" s="252">
        <v>0</v>
      </c>
      <c r="PET20" s="252">
        <v>0</v>
      </c>
      <c r="PEU20" s="252">
        <v>0</v>
      </c>
      <c r="PEV20" s="252">
        <v>0</v>
      </c>
      <c r="PEW20" s="252">
        <v>0</v>
      </c>
      <c r="PEX20" s="252">
        <v>0</v>
      </c>
      <c r="PEY20" s="252">
        <v>0</v>
      </c>
      <c r="PEZ20" s="252">
        <v>0</v>
      </c>
      <c r="PFA20" s="252">
        <v>0</v>
      </c>
      <c r="PFB20" s="252">
        <v>0</v>
      </c>
      <c r="PFC20" s="252">
        <v>0</v>
      </c>
      <c r="PFD20" s="252">
        <v>0</v>
      </c>
      <c r="PFE20" s="252">
        <v>0</v>
      </c>
      <c r="PFF20" s="252">
        <v>0</v>
      </c>
      <c r="PFG20" s="252">
        <v>0</v>
      </c>
      <c r="PFH20" s="252">
        <v>0</v>
      </c>
      <c r="PFI20" s="252">
        <v>0</v>
      </c>
      <c r="PFJ20" s="252">
        <v>0</v>
      </c>
      <c r="PFK20" s="252">
        <v>0</v>
      </c>
      <c r="PFL20" s="252">
        <v>0</v>
      </c>
      <c r="PFM20" s="252">
        <v>0</v>
      </c>
      <c r="PFN20" s="252">
        <v>0</v>
      </c>
      <c r="PFO20" s="252">
        <v>0</v>
      </c>
      <c r="PFP20" s="252">
        <v>0</v>
      </c>
      <c r="PFQ20" s="252">
        <v>0</v>
      </c>
      <c r="PFR20" s="252">
        <v>0</v>
      </c>
      <c r="PFS20" s="252">
        <v>0</v>
      </c>
      <c r="PFT20" s="252">
        <v>0</v>
      </c>
      <c r="PFU20" s="252">
        <v>0</v>
      </c>
      <c r="PFV20" s="252">
        <v>0</v>
      </c>
      <c r="PFW20" s="252">
        <v>0</v>
      </c>
      <c r="PFX20" s="252">
        <v>0</v>
      </c>
      <c r="PFY20" s="252">
        <v>0</v>
      </c>
      <c r="PFZ20" s="252">
        <v>0</v>
      </c>
      <c r="PGA20" s="252">
        <v>0</v>
      </c>
      <c r="PGB20" s="252">
        <v>0</v>
      </c>
      <c r="PGC20" s="252">
        <v>0</v>
      </c>
      <c r="PGD20" s="252">
        <v>0</v>
      </c>
      <c r="PGE20" s="252">
        <v>0</v>
      </c>
      <c r="PGF20" s="252">
        <v>0</v>
      </c>
      <c r="PGG20" s="252">
        <v>0</v>
      </c>
      <c r="PGH20" s="252">
        <v>0</v>
      </c>
      <c r="PGI20" s="252">
        <v>0</v>
      </c>
      <c r="PGJ20" s="252">
        <v>0</v>
      </c>
      <c r="PGK20" s="252">
        <v>0</v>
      </c>
      <c r="PGL20" s="252">
        <v>0</v>
      </c>
      <c r="PGM20" s="252">
        <v>0</v>
      </c>
      <c r="PGN20" s="252">
        <v>0</v>
      </c>
      <c r="PGO20" s="252">
        <v>0</v>
      </c>
      <c r="PGP20" s="252">
        <v>0</v>
      </c>
      <c r="PGQ20" s="252">
        <v>0</v>
      </c>
      <c r="PGR20" s="252">
        <v>0</v>
      </c>
      <c r="PGS20" s="252">
        <v>0</v>
      </c>
      <c r="PGT20" s="252">
        <v>0</v>
      </c>
      <c r="PGU20" s="252">
        <v>0</v>
      </c>
      <c r="PGV20" s="252">
        <v>0</v>
      </c>
      <c r="PGW20" s="252">
        <v>0</v>
      </c>
      <c r="PGX20" s="252">
        <v>0</v>
      </c>
      <c r="PGY20" s="252">
        <v>0</v>
      </c>
      <c r="PGZ20" s="252">
        <v>0</v>
      </c>
      <c r="PHA20" s="252">
        <v>0</v>
      </c>
      <c r="PHB20" s="252">
        <v>0</v>
      </c>
      <c r="PHC20" s="252">
        <v>0</v>
      </c>
      <c r="PHD20" s="252">
        <v>0</v>
      </c>
      <c r="PHE20" s="252">
        <v>0</v>
      </c>
      <c r="PHF20" s="252">
        <v>0</v>
      </c>
      <c r="PHG20" s="252">
        <v>0</v>
      </c>
      <c r="PHH20" s="252">
        <v>0</v>
      </c>
      <c r="PHI20" s="252">
        <v>0</v>
      </c>
      <c r="PHJ20" s="252">
        <v>0</v>
      </c>
      <c r="PHK20" s="252">
        <v>0</v>
      </c>
      <c r="PHL20" s="252">
        <v>0</v>
      </c>
      <c r="PHM20" s="252">
        <v>0</v>
      </c>
      <c r="PHN20" s="252">
        <v>0</v>
      </c>
      <c r="PHO20" s="252">
        <v>0</v>
      </c>
      <c r="PHP20" s="252">
        <v>0</v>
      </c>
      <c r="PHQ20" s="252">
        <v>0</v>
      </c>
      <c r="PHR20" s="252">
        <v>0</v>
      </c>
      <c r="PHS20" s="252">
        <v>0</v>
      </c>
      <c r="PHT20" s="252">
        <v>0</v>
      </c>
      <c r="PHU20" s="252">
        <v>0</v>
      </c>
      <c r="PHV20" s="252">
        <v>0</v>
      </c>
      <c r="PHW20" s="252">
        <v>0</v>
      </c>
      <c r="PHX20" s="252">
        <v>0</v>
      </c>
      <c r="PHY20" s="252">
        <v>0</v>
      </c>
      <c r="PHZ20" s="252">
        <v>0</v>
      </c>
      <c r="PIA20" s="252">
        <v>0</v>
      </c>
      <c r="PIB20" s="252">
        <v>0</v>
      </c>
      <c r="PIC20" s="252">
        <v>0</v>
      </c>
      <c r="PID20" s="252">
        <v>0</v>
      </c>
      <c r="PIE20" s="252">
        <v>0</v>
      </c>
      <c r="PIF20" s="252">
        <v>0</v>
      </c>
      <c r="PIG20" s="252">
        <v>0</v>
      </c>
      <c r="PIH20" s="252">
        <v>0</v>
      </c>
      <c r="PII20" s="252">
        <v>0</v>
      </c>
      <c r="PIJ20" s="252">
        <v>0</v>
      </c>
      <c r="PIK20" s="252">
        <v>0</v>
      </c>
      <c r="PIL20" s="252">
        <v>0</v>
      </c>
      <c r="PIM20" s="252">
        <v>0</v>
      </c>
      <c r="PIN20" s="252">
        <v>0</v>
      </c>
      <c r="PIO20" s="252">
        <v>0</v>
      </c>
      <c r="PIP20" s="252">
        <v>0</v>
      </c>
      <c r="PIQ20" s="252">
        <v>0</v>
      </c>
      <c r="PIR20" s="252">
        <v>0</v>
      </c>
      <c r="PIS20" s="252">
        <v>0</v>
      </c>
      <c r="PIT20" s="252">
        <v>0</v>
      </c>
      <c r="PIU20" s="252">
        <v>0</v>
      </c>
      <c r="PIV20" s="252">
        <v>0</v>
      </c>
      <c r="PIW20" s="252">
        <v>0</v>
      </c>
      <c r="PIX20" s="252">
        <v>0</v>
      </c>
      <c r="PIY20" s="252">
        <v>0</v>
      </c>
      <c r="PIZ20" s="252">
        <v>0</v>
      </c>
      <c r="PJA20" s="252">
        <v>0</v>
      </c>
      <c r="PJB20" s="252">
        <v>0</v>
      </c>
      <c r="PJC20" s="252">
        <v>0</v>
      </c>
      <c r="PJD20" s="252">
        <v>0</v>
      </c>
      <c r="PJE20" s="252">
        <v>0</v>
      </c>
      <c r="PJF20" s="252">
        <v>0</v>
      </c>
      <c r="PJG20" s="252">
        <v>0</v>
      </c>
      <c r="PJH20" s="252">
        <v>0</v>
      </c>
      <c r="PJI20" s="252">
        <v>0</v>
      </c>
      <c r="PJJ20" s="252">
        <v>0</v>
      </c>
      <c r="PJK20" s="252">
        <v>0</v>
      </c>
      <c r="PJL20" s="252">
        <v>0</v>
      </c>
      <c r="PJM20" s="252">
        <v>0</v>
      </c>
      <c r="PJN20" s="252">
        <v>0</v>
      </c>
      <c r="PJO20" s="252">
        <v>0</v>
      </c>
      <c r="PJP20" s="252">
        <v>0</v>
      </c>
      <c r="PJQ20" s="252">
        <v>0</v>
      </c>
      <c r="PJR20" s="252">
        <v>0</v>
      </c>
      <c r="PJS20" s="252">
        <v>0</v>
      </c>
      <c r="PJT20" s="252">
        <v>0</v>
      </c>
      <c r="PJU20" s="252">
        <v>0</v>
      </c>
      <c r="PJV20" s="252">
        <v>0</v>
      </c>
      <c r="PJW20" s="252">
        <v>0</v>
      </c>
      <c r="PJX20" s="252">
        <v>0</v>
      </c>
      <c r="PJY20" s="252">
        <v>0</v>
      </c>
      <c r="PJZ20" s="252">
        <v>0</v>
      </c>
      <c r="PKA20" s="252">
        <v>0</v>
      </c>
      <c r="PKB20" s="252">
        <v>0</v>
      </c>
      <c r="PKC20" s="252">
        <v>0</v>
      </c>
      <c r="PKD20" s="252">
        <v>0</v>
      </c>
      <c r="PKE20" s="252">
        <v>0</v>
      </c>
      <c r="PKF20" s="252">
        <v>0</v>
      </c>
      <c r="PKG20" s="252">
        <v>0</v>
      </c>
      <c r="PKH20" s="252">
        <v>0</v>
      </c>
      <c r="PKI20" s="252">
        <v>0</v>
      </c>
      <c r="PKJ20" s="252">
        <v>0</v>
      </c>
      <c r="PKK20" s="252">
        <v>0</v>
      </c>
      <c r="PKL20" s="252">
        <v>0</v>
      </c>
      <c r="PKM20" s="252">
        <v>0</v>
      </c>
      <c r="PKN20" s="252">
        <v>0</v>
      </c>
      <c r="PKO20" s="252">
        <v>0</v>
      </c>
      <c r="PKP20" s="252">
        <v>0</v>
      </c>
      <c r="PKQ20" s="252">
        <v>0</v>
      </c>
      <c r="PKR20" s="252">
        <v>0</v>
      </c>
      <c r="PKS20" s="252">
        <v>0</v>
      </c>
      <c r="PKT20" s="252">
        <v>0</v>
      </c>
      <c r="PKU20" s="252">
        <v>0</v>
      </c>
      <c r="PKV20" s="252">
        <v>0</v>
      </c>
      <c r="PKW20" s="252">
        <v>0</v>
      </c>
      <c r="PKX20" s="252">
        <v>0</v>
      </c>
      <c r="PKY20" s="252">
        <v>0</v>
      </c>
      <c r="PKZ20" s="252">
        <v>0</v>
      </c>
      <c r="PLA20" s="252">
        <v>0</v>
      </c>
      <c r="PLB20" s="252">
        <v>0</v>
      </c>
      <c r="PLC20" s="252">
        <v>0</v>
      </c>
      <c r="PLD20" s="252">
        <v>0</v>
      </c>
      <c r="PLE20" s="252">
        <v>0</v>
      </c>
      <c r="PLF20" s="252">
        <v>0</v>
      </c>
      <c r="PLG20" s="252">
        <v>0</v>
      </c>
      <c r="PLH20" s="252">
        <v>0</v>
      </c>
      <c r="PLI20" s="252">
        <v>0</v>
      </c>
      <c r="PLJ20" s="252">
        <v>0</v>
      </c>
      <c r="PLK20" s="252">
        <v>0</v>
      </c>
      <c r="PLL20" s="252">
        <v>0</v>
      </c>
      <c r="PLM20" s="252">
        <v>0</v>
      </c>
      <c r="PLN20" s="252">
        <v>0</v>
      </c>
      <c r="PLO20" s="252">
        <v>0</v>
      </c>
      <c r="PLP20" s="252">
        <v>0</v>
      </c>
      <c r="PLQ20" s="252">
        <v>0</v>
      </c>
      <c r="PLR20" s="252">
        <v>0</v>
      </c>
      <c r="PLS20" s="252">
        <v>0</v>
      </c>
      <c r="PLT20" s="252">
        <v>0</v>
      </c>
      <c r="PLU20" s="252">
        <v>0</v>
      </c>
      <c r="PLV20" s="252">
        <v>0</v>
      </c>
      <c r="PLW20" s="252">
        <v>0</v>
      </c>
      <c r="PLX20" s="252">
        <v>0</v>
      </c>
      <c r="PLY20" s="252">
        <v>0</v>
      </c>
      <c r="PLZ20" s="252">
        <v>0</v>
      </c>
      <c r="PMA20" s="252">
        <v>0</v>
      </c>
      <c r="PMB20" s="252">
        <v>0</v>
      </c>
      <c r="PMC20" s="252">
        <v>0</v>
      </c>
      <c r="PMD20" s="252">
        <v>0</v>
      </c>
      <c r="PME20" s="252">
        <v>0</v>
      </c>
      <c r="PMF20" s="252">
        <v>0</v>
      </c>
      <c r="PMG20" s="252">
        <v>0</v>
      </c>
      <c r="PMH20" s="252">
        <v>0</v>
      </c>
      <c r="PMI20" s="252">
        <v>0</v>
      </c>
      <c r="PMJ20" s="252">
        <v>0</v>
      </c>
      <c r="PMK20" s="252">
        <v>0</v>
      </c>
      <c r="PML20" s="252">
        <v>0</v>
      </c>
      <c r="PMM20" s="252">
        <v>0</v>
      </c>
      <c r="PMN20" s="252">
        <v>0</v>
      </c>
      <c r="PMO20" s="252">
        <v>0</v>
      </c>
      <c r="PMP20" s="252">
        <v>0</v>
      </c>
      <c r="PMQ20" s="252">
        <v>0</v>
      </c>
      <c r="PMR20" s="252">
        <v>0</v>
      </c>
      <c r="PMS20" s="252">
        <v>0</v>
      </c>
      <c r="PMT20" s="252">
        <v>0</v>
      </c>
      <c r="PMU20" s="252">
        <v>0</v>
      </c>
      <c r="PMV20" s="252">
        <v>0</v>
      </c>
      <c r="PMW20" s="252">
        <v>0</v>
      </c>
      <c r="PMX20" s="252">
        <v>0</v>
      </c>
      <c r="PMY20" s="252">
        <v>0</v>
      </c>
      <c r="PMZ20" s="252">
        <v>0</v>
      </c>
      <c r="PNA20" s="252">
        <v>0</v>
      </c>
      <c r="PNB20" s="252">
        <v>0</v>
      </c>
      <c r="PNC20" s="252">
        <v>0</v>
      </c>
      <c r="PND20" s="252">
        <v>0</v>
      </c>
      <c r="PNE20" s="252">
        <v>0</v>
      </c>
      <c r="PNF20" s="252">
        <v>0</v>
      </c>
      <c r="PNG20" s="252">
        <v>0</v>
      </c>
      <c r="PNH20" s="252">
        <v>0</v>
      </c>
      <c r="PNI20" s="252">
        <v>0</v>
      </c>
      <c r="PNJ20" s="252">
        <v>0</v>
      </c>
      <c r="PNK20" s="252">
        <v>0</v>
      </c>
      <c r="PNL20" s="252">
        <v>0</v>
      </c>
      <c r="PNM20" s="252">
        <v>0</v>
      </c>
      <c r="PNN20" s="252">
        <v>0</v>
      </c>
      <c r="PNO20" s="252">
        <v>0</v>
      </c>
      <c r="PNP20" s="252">
        <v>0</v>
      </c>
      <c r="PNQ20" s="252">
        <v>0</v>
      </c>
      <c r="PNR20" s="252">
        <v>0</v>
      </c>
      <c r="PNS20" s="252">
        <v>0</v>
      </c>
      <c r="PNT20" s="252">
        <v>0</v>
      </c>
      <c r="PNU20" s="252">
        <v>0</v>
      </c>
      <c r="PNV20" s="252">
        <v>0</v>
      </c>
      <c r="PNW20" s="252">
        <v>0</v>
      </c>
      <c r="PNX20" s="252">
        <v>0</v>
      </c>
      <c r="PNY20" s="252">
        <v>0</v>
      </c>
      <c r="PNZ20" s="252">
        <v>0</v>
      </c>
      <c r="POA20" s="252">
        <v>0</v>
      </c>
      <c r="POB20" s="252">
        <v>0</v>
      </c>
      <c r="POC20" s="252">
        <v>0</v>
      </c>
      <c r="POD20" s="252">
        <v>0</v>
      </c>
      <c r="POE20" s="252">
        <v>0</v>
      </c>
      <c r="POF20" s="252">
        <v>0</v>
      </c>
      <c r="POG20" s="252">
        <v>0</v>
      </c>
      <c r="POH20" s="252">
        <v>0</v>
      </c>
      <c r="POI20" s="252">
        <v>0</v>
      </c>
      <c r="POJ20" s="252">
        <v>0</v>
      </c>
      <c r="POK20" s="252">
        <v>0</v>
      </c>
      <c r="POL20" s="252">
        <v>0</v>
      </c>
      <c r="POM20" s="252">
        <v>0</v>
      </c>
      <c r="PON20" s="252">
        <v>0</v>
      </c>
      <c r="POO20" s="252">
        <v>0</v>
      </c>
      <c r="POP20" s="252">
        <v>0</v>
      </c>
      <c r="POQ20" s="252">
        <v>0</v>
      </c>
      <c r="POR20" s="252">
        <v>0</v>
      </c>
      <c r="POS20" s="252">
        <v>0</v>
      </c>
      <c r="POT20" s="252">
        <v>0</v>
      </c>
      <c r="POU20" s="252">
        <v>0</v>
      </c>
      <c r="POV20" s="252">
        <v>0</v>
      </c>
      <c r="POW20" s="252">
        <v>0</v>
      </c>
      <c r="POX20" s="252">
        <v>0</v>
      </c>
      <c r="POY20" s="252">
        <v>0</v>
      </c>
      <c r="POZ20" s="252">
        <v>0</v>
      </c>
      <c r="PPA20" s="252">
        <v>0</v>
      </c>
      <c r="PPB20" s="252">
        <v>0</v>
      </c>
      <c r="PPC20" s="252">
        <v>0</v>
      </c>
      <c r="PPD20" s="252">
        <v>0</v>
      </c>
      <c r="PPE20" s="252">
        <v>0</v>
      </c>
      <c r="PPF20" s="252">
        <v>0</v>
      </c>
      <c r="PPG20" s="252">
        <v>0</v>
      </c>
      <c r="PPH20" s="252">
        <v>0</v>
      </c>
      <c r="PPI20" s="252">
        <v>0</v>
      </c>
      <c r="PPJ20" s="252">
        <v>0</v>
      </c>
      <c r="PPK20" s="252">
        <v>0</v>
      </c>
      <c r="PPL20" s="252">
        <v>0</v>
      </c>
      <c r="PPM20" s="252">
        <v>0</v>
      </c>
      <c r="PPN20" s="252">
        <v>0</v>
      </c>
      <c r="PPO20" s="252">
        <v>0</v>
      </c>
      <c r="PPP20" s="252">
        <v>0</v>
      </c>
      <c r="PPQ20" s="252">
        <v>0</v>
      </c>
      <c r="PPR20" s="252">
        <v>0</v>
      </c>
      <c r="PPS20" s="252">
        <v>0</v>
      </c>
      <c r="PPT20" s="252">
        <v>0</v>
      </c>
      <c r="PPU20" s="252">
        <v>0</v>
      </c>
      <c r="PPV20" s="252">
        <v>0</v>
      </c>
      <c r="PPW20" s="252">
        <v>0</v>
      </c>
      <c r="PPX20" s="252">
        <v>0</v>
      </c>
      <c r="PPY20" s="252">
        <v>0</v>
      </c>
      <c r="PPZ20" s="252">
        <v>0</v>
      </c>
      <c r="PQA20" s="252">
        <v>0</v>
      </c>
      <c r="PQB20" s="252">
        <v>0</v>
      </c>
      <c r="PQC20" s="252">
        <v>0</v>
      </c>
      <c r="PQD20" s="252">
        <v>0</v>
      </c>
      <c r="PQE20" s="252">
        <v>0</v>
      </c>
      <c r="PQF20" s="252">
        <v>0</v>
      </c>
      <c r="PQG20" s="252">
        <v>0</v>
      </c>
      <c r="PQH20" s="252">
        <v>0</v>
      </c>
      <c r="PQI20" s="252">
        <v>0</v>
      </c>
      <c r="PQJ20" s="252">
        <v>0</v>
      </c>
      <c r="PQK20" s="252">
        <v>0</v>
      </c>
      <c r="PQL20" s="252">
        <v>0</v>
      </c>
      <c r="PQM20" s="252">
        <v>0</v>
      </c>
      <c r="PQN20" s="252">
        <v>0</v>
      </c>
      <c r="PQO20" s="252">
        <v>0</v>
      </c>
      <c r="PQP20" s="252">
        <v>0</v>
      </c>
      <c r="PQQ20" s="252">
        <v>0</v>
      </c>
      <c r="PQR20" s="252">
        <v>0</v>
      </c>
      <c r="PQS20" s="252">
        <v>0</v>
      </c>
      <c r="PQT20" s="252">
        <v>0</v>
      </c>
      <c r="PQU20" s="252">
        <v>0</v>
      </c>
      <c r="PQV20" s="252">
        <v>0</v>
      </c>
      <c r="PQW20" s="252">
        <v>0</v>
      </c>
      <c r="PQX20" s="252">
        <v>0</v>
      </c>
      <c r="PQY20" s="252">
        <v>0</v>
      </c>
      <c r="PQZ20" s="252">
        <v>0</v>
      </c>
      <c r="PRA20" s="252">
        <v>0</v>
      </c>
      <c r="PRB20" s="252">
        <v>0</v>
      </c>
      <c r="PRC20" s="252">
        <v>0</v>
      </c>
      <c r="PRD20" s="252">
        <v>0</v>
      </c>
      <c r="PRE20" s="252">
        <v>0</v>
      </c>
      <c r="PRF20" s="252">
        <v>0</v>
      </c>
      <c r="PRG20" s="252">
        <v>0</v>
      </c>
      <c r="PRH20" s="252">
        <v>0</v>
      </c>
      <c r="PRI20" s="252">
        <v>0</v>
      </c>
      <c r="PRJ20" s="252">
        <v>0</v>
      </c>
      <c r="PRK20" s="252">
        <v>0</v>
      </c>
      <c r="PRL20" s="252">
        <v>0</v>
      </c>
      <c r="PRM20" s="252">
        <v>0</v>
      </c>
      <c r="PRN20" s="252">
        <v>0</v>
      </c>
      <c r="PRO20" s="252">
        <v>0</v>
      </c>
      <c r="PRP20" s="252">
        <v>0</v>
      </c>
      <c r="PRQ20" s="252">
        <v>0</v>
      </c>
      <c r="PRR20" s="252">
        <v>0</v>
      </c>
      <c r="PRS20" s="252">
        <v>0</v>
      </c>
      <c r="PRT20" s="252">
        <v>0</v>
      </c>
      <c r="PRU20" s="252">
        <v>0</v>
      </c>
      <c r="PRV20" s="252">
        <v>0</v>
      </c>
      <c r="PRW20" s="252">
        <v>0</v>
      </c>
      <c r="PRX20" s="252">
        <v>0</v>
      </c>
      <c r="PRY20" s="252">
        <v>0</v>
      </c>
      <c r="PRZ20" s="252">
        <v>0</v>
      </c>
      <c r="PSA20" s="252">
        <v>0</v>
      </c>
      <c r="PSB20" s="252">
        <v>0</v>
      </c>
      <c r="PSC20" s="252">
        <v>0</v>
      </c>
      <c r="PSD20" s="252">
        <v>0</v>
      </c>
      <c r="PSE20" s="252">
        <v>0</v>
      </c>
      <c r="PSF20" s="252">
        <v>0</v>
      </c>
      <c r="PSG20" s="252">
        <v>0</v>
      </c>
      <c r="PSH20" s="252">
        <v>0</v>
      </c>
      <c r="PSI20" s="252">
        <v>0</v>
      </c>
      <c r="PSJ20" s="252">
        <v>0</v>
      </c>
      <c r="PSK20" s="252">
        <v>0</v>
      </c>
      <c r="PSL20" s="252">
        <v>0</v>
      </c>
      <c r="PSM20" s="252">
        <v>0</v>
      </c>
      <c r="PSN20" s="252">
        <v>0</v>
      </c>
      <c r="PSO20" s="252">
        <v>0</v>
      </c>
      <c r="PSP20" s="252">
        <v>0</v>
      </c>
      <c r="PSQ20" s="252">
        <v>0</v>
      </c>
      <c r="PSR20" s="252">
        <v>0</v>
      </c>
      <c r="PSS20" s="252">
        <v>0</v>
      </c>
      <c r="PST20" s="252">
        <v>0</v>
      </c>
      <c r="PSU20" s="252">
        <v>0</v>
      </c>
      <c r="PSV20" s="252">
        <v>0</v>
      </c>
      <c r="PSW20" s="252">
        <v>0</v>
      </c>
      <c r="PSX20" s="252">
        <v>0</v>
      </c>
      <c r="PSY20" s="252">
        <v>0</v>
      </c>
      <c r="PSZ20" s="252">
        <v>0</v>
      </c>
      <c r="PTA20" s="252">
        <v>0</v>
      </c>
      <c r="PTB20" s="252">
        <v>0</v>
      </c>
      <c r="PTC20" s="252">
        <v>0</v>
      </c>
      <c r="PTD20" s="252">
        <v>0</v>
      </c>
      <c r="PTE20" s="252">
        <v>0</v>
      </c>
      <c r="PTF20" s="252">
        <v>0</v>
      </c>
      <c r="PTG20" s="252">
        <v>0</v>
      </c>
      <c r="PTH20" s="252">
        <v>0</v>
      </c>
      <c r="PTI20" s="252">
        <v>0</v>
      </c>
      <c r="PTJ20" s="252">
        <v>0</v>
      </c>
      <c r="PTK20" s="252">
        <v>0</v>
      </c>
      <c r="PTL20" s="252">
        <v>0</v>
      </c>
      <c r="PTM20" s="252">
        <v>0</v>
      </c>
      <c r="PTN20" s="252">
        <v>0</v>
      </c>
      <c r="PTO20" s="252">
        <v>0</v>
      </c>
      <c r="PTP20" s="252">
        <v>0</v>
      </c>
      <c r="PTQ20" s="252">
        <v>0</v>
      </c>
      <c r="PTR20" s="252">
        <v>0</v>
      </c>
      <c r="PTS20" s="252">
        <v>0</v>
      </c>
      <c r="PTT20" s="252">
        <v>0</v>
      </c>
      <c r="PTU20" s="252">
        <v>0</v>
      </c>
      <c r="PTV20" s="252">
        <v>0</v>
      </c>
      <c r="PTW20" s="252">
        <v>0</v>
      </c>
      <c r="PTX20" s="252">
        <v>0</v>
      </c>
      <c r="PTY20" s="252">
        <v>0</v>
      </c>
      <c r="PTZ20" s="252">
        <v>0</v>
      </c>
      <c r="PUA20" s="252">
        <v>0</v>
      </c>
      <c r="PUB20" s="252">
        <v>0</v>
      </c>
      <c r="PUC20" s="252">
        <v>0</v>
      </c>
      <c r="PUD20" s="252">
        <v>0</v>
      </c>
      <c r="PUE20" s="252">
        <v>0</v>
      </c>
      <c r="PUF20" s="252">
        <v>0</v>
      </c>
      <c r="PUG20" s="252">
        <v>0</v>
      </c>
      <c r="PUH20" s="252">
        <v>0</v>
      </c>
      <c r="PUI20" s="252">
        <v>0</v>
      </c>
      <c r="PUJ20" s="252">
        <v>0</v>
      </c>
      <c r="PUK20" s="252">
        <v>0</v>
      </c>
      <c r="PUL20" s="252">
        <v>0</v>
      </c>
      <c r="PUM20" s="252">
        <v>0</v>
      </c>
      <c r="PUN20" s="252">
        <v>0</v>
      </c>
      <c r="PUO20" s="252">
        <v>0</v>
      </c>
      <c r="PUP20" s="252">
        <v>0</v>
      </c>
      <c r="PUQ20" s="252">
        <v>0</v>
      </c>
      <c r="PUR20" s="252">
        <v>0</v>
      </c>
      <c r="PUS20" s="252">
        <v>0</v>
      </c>
      <c r="PUT20" s="252">
        <v>0</v>
      </c>
      <c r="PUU20" s="252">
        <v>0</v>
      </c>
      <c r="PUV20" s="252">
        <v>0</v>
      </c>
      <c r="PUW20" s="252">
        <v>0</v>
      </c>
      <c r="PUX20" s="252">
        <v>0</v>
      </c>
      <c r="PUY20" s="252">
        <v>0</v>
      </c>
      <c r="PUZ20" s="252">
        <v>0</v>
      </c>
      <c r="PVA20" s="252">
        <v>0</v>
      </c>
      <c r="PVB20" s="252">
        <v>0</v>
      </c>
      <c r="PVC20" s="252">
        <v>0</v>
      </c>
      <c r="PVD20" s="252">
        <v>0</v>
      </c>
      <c r="PVE20" s="252">
        <v>0</v>
      </c>
      <c r="PVF20" s="252">
        <v>0</v>
      </c>
      <c r="PVG20" s="252">
        <v>0</v>
      </c>
      <c r="PVH20" s="252">
        <v>0</v>
      </c>
      <c r="PVI20" s="252">
        <v>0</v>
      </c>
      <c r="PVJ20" s="252">
        <v>0</v>
      </c>
      <c r="PVK20" s="252">
        <v>0</v>
      </c>
      <c r="PVL20" s="252">
        <v>0</v>
      </c>
      <c r="PVM20" s="252">
        <v>0</v>
      </c>
      <c r="PVN20" s="252">
        <v>0</v>
      </c>
      <c r="PVO20" s="252">
        <v>0</v>
      </c>
      <c r="PVP20" s="252">
        <v>0</v>
      </c>
      <c r="PVQ20" s="252">
        <v>0</v>
      </c>
      <c r="PVR20" s="252">
        <v>0</v>
      </c>
      <c r="PVS20" s="252">
        <v>0</v>
      </c>
      <c r="PVT20" s="252">
        <v>0</v>
      </c>
      <c r="PVU20" s="252">
        <v>0</v>
      </c>
      <c r="PVV20" s="252">
        <v>0</v>
      </c>
      <c r="PVW20" s="252">
        <v>0</v>
      </c>
      <c r="PVX20" s="252">
        <v>0</v>
      </c>
      <c r="PVY20" s="252">
        <v>0</v>
      </c>
      <c r="PVZ20" s="252">
        <v>0</v>
      </c>
      <c r="PWA20" s="252">
        <v>0</v>
      </c>
      <c r="PWB20" s="252">
        <v>0</v>
      </c>
      <c r="PWC20" s="252">
        <v>0</v>
      </c>
      <c r="PWD20" s="252">
        <v>0</v>
      </c>
      <c r="PWE20" s="252">
        <v>0</v>
      </c>
      <c r="PWF20" s="252">
        <v>0</v>
      </c>
      <c r="PWG20" s="252">
        <v>0</v>
      </c>
      <c r="PWH20" s="252">
        <v>0</v>
      </c>
      <c r="PWI20" s="252">
        <v>0</v>
      </c>
      <c r="PWJ20" s="252">
        <v>0</v>
      </c>
      <c r="PWK20" s="252">
        <v>0</v>
      </c>
      <c r="PWL20" s="252">
        <v>0</v>
      </c>
      <c r="PWM20" s="252">
        <v>0</v>
      </c>
      <c r="PWN20" s="252">
        <v>0</v>
      </c>
      <c r="PWO20" s="252">
        <v>0</v>
      </c>
      <c r="PWP20" s="252">
        <v>0</v>
      </c>
      <c r="PWQ20" s="252">
        <v>0</v>
      </c>
      <c r="PWR20" s="252">
        <v>0</v>
      </c>
      <c r="PWS20" s="252">
        <v>0</v>
      </c>
      <c r="PWT20" s="252">
        <v>0</v>
      </c>
      <c r="PWU20" s="252">
        <v>0</v>
      </c>
      <c r="PWV20" s="252">
        <v>0</v>
      </c>
      <c r="PWW20" s="252">
        <v>0</v>
      </c>
      <c r="PWX20" s="252">
        <v>0</v>
      </c>
      <c r="PWY20" s="252">
        <v>0</v>
      </c>
      <c r="PWZ20" s="252">
        <v>0</v>
      </c>
      <c r="PXA20" s="252">
        <v>0</v>
      </c>
      <c r="PXB20" s="252">
        <v>0</v>
      </c>
      <c r="PXC20" s="252">
        <v>0</v>
      </c>
      <c r="PXD20" s="252">
        <v>0</v>
      </c>
      <c r="PXE20" s="252">
        <v>0</v>
      </c>
      <c r="PXF20" s="252">
        <v>0</v>
      </c>
      <c r="PXG20" s="252">
        <v>0</v>
      </c>
      <c r="PXH20" s="252">
        <v>0</v>
      </c>
      <c r="PXI20" s="252">
        <v>0</v>
      </c>
      <c r="PXJ20" s="252">
        <v>0</v>
      </c>
      <c r="PXK20" s="252">
        <v>0</v>
      </c>
      <c r="PXL20" s="252">
        <v>0</v>
      </c>
      <c r="PXM20" s="252">
        <v>0</v>
      </c>
      <c r="PXN20" s="252">
        <v>0</v>
      </c>
      <c r="PXO20" s="252">
        <v>0</v>
      </c>
      <c r="PXP20" s="252">
        <v>0</v>
      </c>
      <c r="PXQ20" s="252">
        <v>0</v>
      </c>
      <c r="PXR20" s="252">
        <v>0</v>
      </c>
      <c r="PXS20" s="252">
        <v>0</v>
      </c>
      <c r="PXT20" s="252">
        <v>0</v>
      </c>
      <c r="PXU20" s="252">
        <v>0</v>
      </c>
      <c r="PXV20" s="252">
        <v>0</v>
      </c>
      <c r="PXW20" s="252">
        <v>0</v>
      </c>
      <c r="PXX20" s="252">
        <v>0</v>
      </c>
      <c r="PXY20" s="252">
        <v>0</v>
      </c>
      <c r="PXZ20" s="252">
        <v>0</v>
      </c>
      <c r="PYA20" s="252">
        <v>0</v>
      </c>
      <c r="PYB20" s="252">
        <v>0</v>
      </c>
      <c r="PYC20" s="252">
        <v>0</v>
      </c>
      <c r="PYD20" s="252">
        <v>0</v>
      </c>
      <c r="PYE20" s="252">
        <v>0</v>
      </c>
      <c r="PYF20" s="252">
        <v>0</v>
      </c>
      <c r="PYG20" s="252">
        <v>0</v>
      </c>
      <c r="PYH20" s="252">
        <v>0</v>
      </c>
      <c r="PYI20" s="252">
        <v>0</v>
      </c>
      <c r="PYJ20" s="252">
        <v>0</v>
      </c>
      <c r="PYK20" s="252">
        <v>0</v>
      </c>
      <c r="PYL20" s="252">
        <v>0</v>
      </c>
      <c r="PYM20" s="252">
        <v>0</v>
      </c>
      <c r="PYN20" s="252">
        <v>0</v>
      </c>
      <c r="PYO20" s="252">
        <v>0</v>
      </c>
      <c r="PYP20" s="252">
        <v>0</v>
      </c>
      <c r="PYQ20" s="252">
        <v>0</v>
      </c>
      <c r="PYR20" s="252">
        <v>0</v>
      </c>
      <c r="PYS20" s="252">
        <v>0</v>
      </c>
      <c r="PYT20" s="252">
        <v>0</v>
      </c>
      <c r="PYU20" s="252">
        <v>0</v>
      </c>
      <c r="PYV20" s="252">
        <v>0</v>
      </c>
      <c r="PYW20" s="252">
        <v>0</v>
      </c>
      <c r="PYX20" s="252">
        <v>0</v>
      </c>
      <c r="PYY20" s="252">
        <v>0</v>
      </c>
      <c r="PYZ20" s="252">
        <v>0</v>
      </c>
      <c r="PZA20" s="252">
        <v>0</v>
      </c>
      <c r="PZB20" s="252">
        <v>0</v>
      </c>
      <c r="PZC20" s="252">
        <v>0</v>
      </c>
      <c r="PZD20" s="252">
        <v>0</v>
      </c>
      <c r="PZE20" s="252">
        <v>0</v>
      </c>
      <c r="PZF20" s="252">
        <v>0</v>
      </c>
      <c r="PZG20" s="252">
        <v>0</v>
      </c>
      <c r="PZH20" s="252">
        <v>0</v>
      </c>
      <c r="PZI20" s="252">
        <v>0</v>
      </c>
      <c r="PZJ20" s="252">
        <v>0</v>
      </c>
      <c r="PZK20" s="252">
        <v>0</v>
      </c>
      <c r="PZL20" s="252">
        <v>0</v>
      </c>
      <c r="PZM20" s="252">
        <v>0</v>
      </c>
      <c r="PZN20" s="252">
        <v>0</v>
      </c>
      <c r="PZO20" s="252">
        <v>0</v>
      </c>
      <c r="PZP20" s="252">
        <v>0</v>
      </c>
      <c r="PZQ20" s="252">
        <v>0</v>
      </c>
      <c r="PZR20" s="252">
        <v>0</v>
      </c>
      <c r="PZS20" s="252">
        <v>0</v>
      </c>
      <c r="PZT20" s="252">
        <v>0</v>
      </c>
      <c r="PZU20" s="252">
        <v>0</v>
      </c>
      <c r="PZV20" s="252">
        <v>0</v>
      </c>
      <c r="PZW20" s="252">
        <v>0</v>
      </c>
      <c r="PZX20" s="252">
        <v>0</v>
      </c>
      <c r="PZY20" s="252">
        <v>0</v>
      </c>
      <c r="PZZ20" s="252">
        <v>0</v>
      </c>
      <c r="QAA20" s="252">
        <v>0</v>
      </c>
      <c r="QAB20" s="252">
        <v>0</v>
      </c>
      <c r="QAC20" s="252">
        <v>0</v>
      </c>
      <c r="QAD20" s="252">
        <v>0</v>
      </c>
      <c r="QAE20" s="252">
        <v>0</v>
      </c>
      <c r="QAF20" s="252">
        <v>0</v>
      </c>
      <c r="QAG20" s="252">
        <v>0</v>
      </c>
      <c r="QAH20" s="252">
        <v>0</v>
      </c>
      <c r="QAI20" s="252">
        <v>0</v>
      </c>
      <c r="QAJ20" s="252">
        <v>0</v>
      </c>
      <c r="QAK20" s="252">
        <v>0</v>
      </c>
      <c r="QAL20" s="252">
        <v>0</v>
      </c>
      <c r="QAM20" s="252">
        <v>0</v>
      </c>
      <c r="QAN20" s="252">
        <v>0</v>
      </c>
      <c r="QAO20" s="252">
        <v>0</v>
      </c>
      <c r="QAP20" s="252">
        <v>0</v>
      </c>
      <c r="QAQ20" s="252">
        <v>0</v>
      </c>
      <c r="QAR20" s="252">
        <v>0</v>
      </c>
      <c r="QAS20" s="252">
        <v>0</v>
      </c>
      <c r="QAT20" s="252">
        <v>0</v>
      </c>
      <c r="QAU20" s="252">
        <v>0</v>
      </c>
      <c r="QAV20" s="252">
        <v>0</v>
      </c>
      <c r="QAW20" s="252">
        <v>0</v>
      </c>
      <c r="QAX20" s="252">
        <v>0</v>
      </c>
      <c r="QAY20" s="252">
        <v>0</v>
      </c>
      <c r="QAZ20" s="252">
        <v>0</v>
      </c>
      <c r="QBA20" s="252">
        <v>0</v>
      </c>
      <c r="QBB20" s="252">
        <v>0</v>
      </c>
      <c r="QBC20" s="252">
        <v>0</v>
      </c>
      <c r="QBD20" s="252">
        <v>0</v>
      </c>
      <c r="QBE20" s="252">
        <v>0</v>
      </c>
      <c r="QBF20" s="252">
        <v>0</v>
      </c>
      <c r="QBG20" s="252">
        <v>0</v>
      </c>
      <c r="QBH20" s="252">
        <v>0</v>
      </c>
      <c r="QBI20" s="252">
        <v>0</v>
      </c>
      <c r="QBJ20" s="252">
        <v>0</v>
      </c>
      <c r="QBK20" s="252">
        <v>0</v>
      </c>
      <c r="QBL20" s="252">
        <v>0</v>
      </c>
      <c r="QBM20" s="252">
        <v>0</v>
      </c>
      <c r="QBN20" s="252">
        <v>0</v>
      </c>
      <c r="QBO20" s="252">
        <v>0</v>
      </c>
      <c r="QBP20" s="252">
        <v>0</v>
      </c>
      <c r="QBQ20" s="252">
        <v>0</v>
      </c>
      <c r="QBR20" s="252">
        <v>0</v>
      </c>
      <c r="QBS20" s="252">
        <v>0</v>
      </c>
      <c r="QBT20" s="252">
        <v>0</v>
      </c>
      <c r="QBU20" s="252">
        <v>0</v>
      </c>
      <c r="QBV20" s="252">
        <v>0</v>
      </c>
      <c r="QBW20" s="252">
        <v>0</v>
      </c>
      <c r="QBX20" s="252">
        <v>0</v>
      </c>
      <c r="QBY20" s="252">
        <v>0</v>
      </c>
      <c r="QBZ20" s="252">
        <v>0</v>
      </c>
      <c r="QCA20" s="252">
        <v>0</v>
      </c>
      <c r="QCB20" s="252">
        <v>0</v>
      </c>
      <c r="QCC20" s="252">
        <v>0</v>
      </c>
      <c r="QCD20" s="252">
        <v>0</v>
      </c>
      <c r="QCE20" s="252">
        <v>0</v>
      </c>
      <c r="QCF20" s="252">
        <v>0</v>
      </c>
      <c r="QCG20" s="252">
        <v>0</v>
      </c>
      <c r="QCH20" s="252">
        <v>0</v>
      </c>
      <c r="QCI20" s="252">
        <v>0</v>
      </c>
      <c r="QCJ20" s="252">
        <v>0</v>
      </c>
      <c r="QCK20" s="252">
        <v>0</v>
      </c>
      <c r="QCL20" s="252">
        <v>0</v>
      </c>
      <c r="QCM20" s="252">
        <v>0</v>
      </c>
      <c r="QCN20" s="252">
        <v>0</v>
      </c>
      <c r="QCO20" s="252">
        <v>0</v>
      </c>
      <c r="QCP20" s="252">
        <v>0</v>
      </c>
      <c r="QCQ20" s="252">
        <v>0</v>
      </c>
      <c r="QCR20" s="252">
        <v>0</v>
      </c>
      <c r="QCS20" s="252">
        <v>0</v>
      </c>
      <c r="QCT20" s="252">
        <v>0</v>
      </c>
      <c r="QCU20" s="252">
        <v>0</v>
      </c>
      <c r="QCV20" s="252">
        <v>0</v>
      </c>
      <c r="QCW20" s="252">
        <v>0</v>
      </c>
      <c r="QCX20" s="252">
        <v>0</v>
      </c>
      <c r="QCY20" s="252">
        <v>0</v>
      </c>
      <c r="QCZ20" s="252">
        <v>0</v>
      </c>
      <c r="QDA20" s="252">
        <v>0</v>
      </c>
      <c r="QDB20" s="252">
        <v>0</v>
      </c>
      <c r="QDC20" s="252">
        <v>0</v>
      </c>
      <c r="QDD20" s="252">
        <v>0</v>
      </c>
      <c r="QDE20" s="252">
        <v>0</v>
      </c>
      <c r="QDF20" s="252">
        <v>0</v>
      </c>
      <c r="QDG20" s="252">
        <v>0</v>
      </c>
      <c r="QDH20" s="252">
        <v>0</v>
      </c>
      <c r="QDI20" s="252">
        <v>0</v>
      </c>
      <c r="QDJ20" s="252">
        <v>0</v>
      </c>
      <c r="QDK20" s="252">
        <v>0</v>
      </c>
      <c r="QDL20" s="252">
        <v>0</v>
      </c>
      <c r="QDM20" s="252">
        <v>0</v>
      </c>
      <c r="QDN20" s="252">
        <v>0</v>
      </c>
      <c r="QDO20" s="252">
        <v>0</v>
      </c>
      <c r="QDP20" s="252">
        <v>0</v>
      </c>
      <c r="QDQ20" s="252">
        <v>0</v>
      </c>
      <c r="QDR20" s="252">
        <v>0</v>
      </c>
      <c r="QDS20" s="252">
        <v>0</v>
      </c>
      <c r="QDT20" s="252">
        <v>0</v>
      </c>
      <c r="QDU20" s="252">
        <v>0</v>
      </c>
      <c r="QDV20" s="252">
        <v>0</v>
      </c>
      <c r="QDW20" s="252">
        <v>0</v>
      </c>
      <c r="QDX20" s="252">
        <v>0</v>
      </c>
      <c r="QDY20" s="252">
        <v>0</v>
      </c>
      <c r="QDZ20" s="252">
        <v>0</v>
      </c>
      <c r="QEA20" s="252">
        <v>0</v>
      </c>
      <c r="QEB20" s="252">
        <v>0</v>
      </c>
      <c r="QEC20" s="252">
        <v>0</v>
      </c>
      <c r="QED20" s="252">
        <v>0</v>
      </c>
      <c r="QEE20" s="252">
        <v>0</v>
      </c>
      <c r="QEF20" s="252">
        <v>0</v>
      </c>
      <c r="QEG20" s="252">
        <v>0</v>
      </c>
      <c r="QEH20" s="252">
        <v>0</v>
      </c>
      <c r="QEI20" s="252">
        <v>0</v>
      </c>
      <c r="QEJ20" s="252">
        <v>0</v>
      </c>
      <c r="QEK20" s="252">
        <v>0</v>
      </c>
      <c r="QEL20" s="252">
        <v>0</v>
      </c>
      <c r="QEM20" s="252">
        <v>0</v>
      </c>
      <c r="QEN20" s="252">
        <v>0</v>
      </c>
      <c r="QEO20" s="252">
        <v>0</v>
      </c>
      <c r="QEP20" s="252">
        <v>0</v>
      </c>
      <c r="QEQ20" s="252">
        <v>0</v>
      </c>
      <c r="QER20" s="252">
        <v>0</v>
      </c>
      <c r="QES20" s="252">
        <v>0</v>
      </c>
      <c r="QET20" s="252">
        <v>0</v>
      </c>
      <c r="QEU20" s="252">
        <v>0</v>
      </c>
      <c r="QEV20" s="252">
        <v>0</v>
      </c>
      <c r="QEW20" s="252">
        <v>0</v>
      </c>
      <c r="QEX20" s="252">
        <v>0</v>
      </c>
      <c r="QEY20" s="252">
        <v>0</v>
      </c>
      <c r="QEZ20" s="252">
        <v>0</v>
      </c>
      <c r="QFA20" s="252">
        <v>0</v>
      </c>
      <c r="QFB20" s="252">
        <v>0</v>
      </c>
      <c r="QFC20" s="252">
        <v>0</v>
      </c>
      <c r="QFD20" s="252">
        <v>0</v>
      </c>
      <c r="QFE20" s="252">
        <v>0</v>
      </c>
      <c r="QFF20" s="252">
        <v>0</v>
      </c>
      <c r="QFG20" s="252">
        <v>0</v>
      </c>
      <c r="QFH20" s="252">
        <v>0</v>
      </c>
      <c r="QFI20" s="252">
        <v>0</v>
      </c>
      <c r="QFJ20" s="252">
        <v>0</v>
      </c>
      <c r="QFK20" s="252">
        <v>0</v>
      </c>
      <c r="QFL20" s="252">
        <v>0</v>
      </c>
      <c r="QFM20" s="252">
        <v>0</v>
      </c>
      <c r="QFN20" s="252">
        <v>0</v>
      </c>
      <c r="QFO20" s="252">
        <v>0</v>
      </c>
      <c r="QFP20" s="252">
        <v>0</v>
      </c>
      <c r="QFQ20" s="252">
        <v>0</v>
      </c>
      <c r="QFR20" s="252">
        <v>0</v>
      </c>
      <c r="QFS20" s="252">
        <v>0</v>
      </c>
      <c r="QFT20" s="252">
        <v>0</v>
      </c>
      <c r="QFU20" s="252">
        <v>0</v>
      </c>
      <c r="QFV20" s="252">
        <v>0</v>
      </c>
      <c r="QFW20" s="252">
        <v>0</v>
      </c>
      <c r="QFX20" s="252">
        <v>0</v>
      </c>
      <c r="QFY20" s="252">
        <v>0</v>
      </c>
      <c r="QFZ20" s="252">
        <v>0</v>
      </c>
      <c r="QGA20" s="252">
        <v>0</v>
      </c>
      <c r="QGB20" s="252">
        <v>0</v>
      </c>
      <c r="QGC20" s="252">
        <v>0</v>
      </c>
      <c r="QGD20" s="252">
        <v>0</v>
      </c>
      <c r="QGE20" s="252">
        <v>0</v>
      </c>
      <c r="QGF20" s="252">
        <v>0</v>
      </c>
      <c r="QGG20" s="252">
        <v>0</v>
      </c>
      <c r="QGH20" s="252">
        <v>0</v>
      </c>
      <c r="QGI20" s="252">
        <v>0</v>
      </c>
      <c r="QGJ20" s="252">
        <v>0</v>
      </c>
      <c r="QGK20" s="252">
        <v>0</v>
      </c>
      <c r="QGL20" s="252">
        <v>0</v>
      </c>
      <c r="QGM20" s="252">
        <v>0</v>
      </c>
      <c r="QGN20" s="252">
        <v>0</v>
      </c>
      <c r="QGO20" s="252">
        <v>0</v>
      </c>
      <c r="QGP20" s="252">
        <v>0</v>
      </c>
      <c r="QGQ20" s="252">
        <v>0</v>
      </c>
      <c r="QGR20" s="252">
        <v>0</v>
      </c>
      <c r="QGS20" s="252">
        <v>0</v>
      </c>
      <c r="QGT20" s="252">
        <v>0</v>
      </c>
      <c r="QGU20" s="252">
        <v>0</v>
      </c>
      <c r="QGV20" s="252">
        <v>0</v>
      </c>
      <c r="QGW20" s="252">
        <v>0</v>
      </c>
      <c r="QGX20" s="252">
        <v>0</v>
      </c>
      <c r="QGY20" s="252">
        <v>0</v>
      </c>
      <c r="QGZ20" s="252">
        <v>0</v>
      </c>
      <c r="QHA20" s="252">
        <v>0</v>
      </c>
      <c r="QHB20" s="252">
        <v>0</v>
      </c>
      <c r="QHC20" s="252">
        <v>0</v>
      </c>
      <c r="QHD20" s="252">
        <v>0</v>
      </c>
      <c r="QHE20" s="252">
        <v>0</v>
      </c>
      <c r="QHF20" s="252">
        <v>0</v>
      </c>
      <c r="QHG20" s="252">
        <v>0</v>
      </c>
      <c r="QHH20" s="252">
        <v>0</v>
      </c>
      <c r="QHI20" s="252">
        <v>0</v>
      </c>
      <c r="QHJ20" s="252">
        <v>0</v>
      </c>
      <c r="QHK20" s="252">
        <v>0</v>
      </c>
      <c r="QHL20" s="252">
        <v>0</v>
      </c>
      <c r="QHM20" s="252">
        <v>0</v>
      </c>
      <c r="QHN20" s="252">
        <v>0</v>
      </c>
      <c r="QHO20" s="252">
        <v>0</v>
      </c>
      <c r="QHP20" s="252">
        <v>0</v>
      </c>
      <c r="QHQ20" s="252">
        <v>0</v>
      </c>
      <c r="QHR20" s="252">
        <v>0</v>
      </c>
      <c r="QHS20" s="252">
        <v>0</v>
      </c>
      <c r="QHT20" s="252">
        <v>0</v>
      </c>
      <c r="QHU20" s="252">
        <v>0</v>
      </c>
      <c r="QHV20" s="252">
        <v>0</v>
      </c>
      <c r="QHW20" s="252">
        <v>0</v>
      </c>
      <c r="QHX20" s="252">
        <v>0</v>
      </c>
      <c r="QHY20" s="252">
        <v>0</v>
      </c>
      <c r="QHZ20" s="252">
        <v>0</v>
      </c>
      <c r="QIA20" s="252">
        <v>0</v>
      </c>
      <c r="QIB20" s="252">
        <v>0</v>
      </c>
      <c r="QIC20" s="252">
        <v>0</v>
      </c>
      <c r="QID20" s="252">
        <v>0</v>
      </c>
      <c r="QIE20" s="252">
        <v>0</v>
      </c>
      <c r="QIF20" s="252">
        <v>0</v>
      </c>
      <c r="QIG20" s="252">
        <v>0</v>
      </c>
      <c r="QIH20" s="252">
        <v>0</v>
      </c>
      <c r="QII20" s="252">
        <v>0</v>
      </c>
      <c r="QIJ20" s="252">
        <v>0</v>
      </c>
      <c r="QIK20" s="252">
        <v>0</v>
      </c>
      <c r="QIL20" s="252">
        <v>0</v>
      </c>
      <c r="QIM20" s="252">
        <v>0</v>
      </c>
      <c r="QIN20" s="252">
        <v>0</v>
      </c>
      <c r="QIO20" s="252">
        <v>0</v>
      </c>
      <c r="QIP20" s="252">
        <v>0</v>
      </c>
      <c r="QIQ20" s="252">
        <v>0</v>
      </c>
      <c r="QIR20" s="252">
        <v>0</v>
      </c>
      <c r="QIS20" s="252">
        <v>0</v>
      </c>
      <c r="QIT20" s="252">
        <v>0</v>
      </c>
      <c r="QIU20" s="252">
        <v>0</v>
      </c>
      <c r="QIV20" s="252">
        <v>0</v>
      </c>
      <c r="QIW20" s="252">
        <v>0</v>
      </c>
      <c r="QIX20" s="252">
        <v>0</v>
      </c>
      <c r="QIY20" s="252">
        <v>0</v>
      </c>
      <c r="QIZ20" s="252">
        <v>0</v>
      </c>
      <c r="QJA20" s="252">
        <v>0</v>
      </c>
      <c r="QJB20" s="252">
        <v>0</v>
      </c>
      <c r="QJC20" s="252">
        <v>0</v>
      </c>
      <c r="QJD20" s="252">
        <v>0</v>
      </c>
      <c r="QJE20" s="252">
        <v>0</v>
      </c>
      <c r="QJF20" s="252">
        <v>0</v>
      </c>
      <c r="QJG20" s="252">
        <v>0</v>
      </c>
      <c r="QJH20" s="252">
        <v>0</v>
      </c>
      <c r="QJI20" s="252">
        <v>0</v>
      </c>
      <c r="QJJ20" s="252">
        <v>0</v>
      </c>
      <c r="QJK20" s="252">
        <v>0</v>
      </c>
      <c r="QJL20" s="252">
        <v>0</v>
      </c>
      <c r="QJM20" s="252">
        <v>0</v>
      </c>
      <c r="QJN20" s="252">
        <v>0</v>
      </c>
      <c r="QJO20" s="252">
        <v>0</v>
      </c>
      <c r="QJP20" s="252">
        <v>0</v>
      </c>
      <c r="QJQ20" s="252">
        <v>0</v>
      </c>
      <c r="QJR20" s="252">
        <v>0</v>
      </c>
      <c r="QJS20" s="252">
        <v>0</v>
      </c>
      <c r="QJT20" s="252">
        <v>0</v>
      </c>
      <c r="QJU20" s="252">
        <v>0</v>
      </c>
      <c r="QJV20" s="252">
        <v>0</v>
      </c>
      <c r="QJW20" s="252">
        <v>0</v>
      </c>
      <c r="QJX20" s="252">
        <v>0</v>
      </c>
      <c r="QJY20" s="252">
        <v>0</v>
      </c>
      <c r="QJZ20" s="252">
        <v>0</v>
      </c>
      <c r="QKA20" s="252">
        <v>0</v>
      </c>
      <c r="QKB20" s="252">
        <v>0</v>
      </c>
      <c r="QKC20" s="252">
        <v>0</v>
      </c>
      <c r="QKD20" s="252">
        <v>0</v>
      </c>
      <c r="QKE20" s="252">
        <v>0</v>
      </c>
      <c r="QKF20" s="252">
        <v>0</v>
      </c>
      <c r="QKG20" s="252">
        <v>0</v>
      </c>
      <c r="QKH20" s="252">
        <v>0</v>
      </c>
      <c r="QKI20" s="252">
        <v>0</v>
      </c>
      <c r="QKJ20" s="252">
        <v>0</v>
      </c>
      <c r="QKK20" s="252">
        <v>0</v>
      </c>
      <c r="QKL20" s="252">
        <v>0</v>
      </c>
      <c r="QKM20" s="252">
        <v>0</v>
      </c>
      <c r="QKN20" s="252">
        <v>0</v>
      </c>
      <c r="QKO20" s="252">
        <v>0</v>
      </c>
      <c r="QKP20" s="252">
        <v>0</v>
      </c>
      <c r="QKQ20" s="252">
        <v>0</v>
      </c>
      <c r="QKR20" s="252">
        <v>0</v>
      </c>
      <c r="QKS20" s="252">
        <v>0</v>
      </c>
      <c r="QKT20" s="252">
        <v>0</v>
      </c>
      <c r="QKU20" s="252">
        <v>0</v>
      </c>
      <c r="QKV20" s="252">
        <v>0</v>
      </c>
      <c r="QKW20" s="252">
        <v>0</v>
      </c>
      <c r="QKX20" s="252">
        <v>0</v>
      </c>
      <c r="QKY20" s="252">
        <v>0</v>
      </c>
      <c r="QKZ20" s="252">
        <v>0</v>
      </c>
      <c r="QLA20" s="252">
        <v>0</v>
      </c>
      <c r="QLB20" s="252">
        <v>0</v>
      </c>
      <c r="QLC20" s="252">
        <v>0</v>
      </c>
      <c r="QLD20" s="252">
        <v>0</v>
      </c>
      <c r="QLE20" s="252">
        <v>0</v>
      </c>
      <c r="QLF20" s="252">
        <v>0</v>
      </c>
      <c r="QLG20" s="252">
        <v>0</v>
      </c>
      <c r="QLH20" s="252">
        <v>0</v>
      </c>
      <c r="QLI20" s="252">
        <v>0</v>
      </c>
      <c r="QLJ20" s="252">
        <v>0</v>
      </c>
      <c r="QLK20" s="252">
        <v>0</v>
      </c>
      <c r="QLL20" s="252">
        <v>0</v>
      </c>
      <c r="QLM20" s="252">
        <v>0</v>
      </c>
      <c r="QLN20" s="252">
        <v>0</v>
      </c>
      <c r="QLO20" s="252">
        <v>0</v>
      </c>
      <c r="QLP20" s="252">
        <v>0</v>
      </c>
      <c r="QLQ20" s="252">
        <v>0</v>
      </c>
      <c r="QLR20" s="252">
        <v>0</v>
      </c>
      <c r="QLS20" s="252">
        <v>0</v>
      </c>
      <c r="QLT20" s="252">
        <v>0</v>
      </c>
      <c r="QLU20" s="252">
        <v>0</v>
      </c>
      <c r="QLV20" s="252">
        <v>0</v>
      </c>
      <c r="QLW20" s="252">
        <v>0</v>
      </c>
      <c r="QLX20" s="252">
        <v>0</v>
      </c>
      <c r="QLY20" s="252">
        <v>0</v>
      </c>
      <c r="QLZ20" s="252">
        <v>0</v>
      </c>
      <c r="QMA20" s="252">
        <v>0</v>
      </c>
      <c r="QMB20" s="252">
        <v>0</v>
      </c>
      <c r="QMC20" s="252">
        <v>0</v>
      </c>
      <c r="QMD20" s="252">
        <v>0</v>
      </c>
      <c r="QME20" s="252">
        <v>0</v>
      </c>
      <c r="QMF20" s="252">
        <v>0</v>
      </c>
      <c r="QMG20" s="252">
        <v>0</v>
      </c>
      <c r="QMH20" s="252">
        <v>0</v>
      </c>
      <c r="QMI20" s="252">
        <v>0</v>
      </c>
      <c r="QMJ20" s="252">
        <v>0</v>
      </c>
      <c r="QMK20" s="252">
        <v>0</v>
      </c>
      <c r="QML20" s="252">
        <v>0</v>
      </c>
      <c r="QMM20" s="252">
        <v>0</v>
      </c>
      <c r="QMN20" s="252">
        <v>0</v>
      </c>
      <c r="QMO20" s="252">
        <v>0</v>
      </c>
      <c r="QMP20" s="252">
        <v>0</v>
      </c>
      <c r="QMQ20" s="252">
        <v>0</v>
      </c>
      <c r="QMR20" s="252">
        <v>0</v>
      </c>
      <c r="QMS20" s="252">
        <v>0</v>
      </c>
      <c r="QMT20" s="252">
        <v>0</v>
      </c>
      <c r="QMU20" s="252">
        <v>0</v>
      </c>
      <c r="QMV20" s="252">
        <v>0</v>
      </c>
      <c r="QMW20" s="252">
        <v>0</v>
      </c>
      <c r="QMX20" s="252">
        <v>0</v>
      </c>
      <c r="QMY20" s="252">
        <v>0</v>
      </c>
      <c r="QMZ20" s="252">
        <v>0</v>
      </c>
      <c r="QNA20" s="252">
        <v>0</v>
      </c>
      <c r="QNB20" s="252">
        <v>0</v>
      </c>
      <c r="QNC20" s="252">
        <v>0</v>
      </c>
      <c r="QND20" s="252">
        <v>0</v>
      </c>
      <c r="QNE20" s="252">
        <v>0</v>
      </c>
      <c r="QNF20" s="252">
        <v>0</v>
      </c>
      <c r="QNG20" s="252">
        <v>0</v>
      </c>
      <c r="QNH20" s="252">
        <v>0</v>
      </c>
      <c r="QNI20" s="252">
        <v>0</v>
      </c>
      <c r="QNJ20" s="252">
        <v>0</v>
      </c>
      <c r="QNK20" s="252">
        <v>0</v>
      </c>
      <c r="QNL20" s="252">
        <v>0</v>
      </c>
      <c r="QNM20" s="252">
        <v>0</v>
      </c>
      <c r="QNN20" s="252">
        <v>0</v>
      </c>
      <c r="QNO20" s="252">
        <v>0</v>
      </c>
      <c r="QNP20" s="252">
        <v>0</v>
      </c>
      <c r="QNQ20" s="252">
        <v>0</v>
      </c>
      <c r="QNR20" s="252">
        <v>0</v>
      </c>
      <c r="QNS20" s="252">
        <v>0</v>
      </c>
      <c r="QNT20" s="252">
        <v>0</v>
      </c>
      <c r="QNU20" s="252">
        <v>0</v>
      </c>
      <c r="QNV20" s="252">
        <v>0</v>
      </c>
      <c r="QNW20" s="252">
        <v>0</v>
      </c>
      <c r="QNX20" s="252">
        <v>0</v>
      </c>
      <c r="QNY20" s="252">
        <v>0</v>
      </c>
      <c r="QNZ20" s="252">
        <v>0</v>
      </c>
      <c r="QOA20" s="252">
        <v>0</v>
      </c>
      <c r="QOB20" s="252">
        <v>0</v>
      </c>
      <c r="QOC20" s="252">
        <v>0</v>
      </c>
      <c r="QOD20" s="252">
        <v>0</v>
      </c>
      <c r="QOE20" s="252">
        <v>0</v>
      </c>
      <c r="QOF20" s="252">
        <v>0</v>
      </c>
      <c r="QOG20" s="252">
        <v>0</v>
      </c>
      <c r="QOH20" s="252">
        <v>0</v>
      </c>
      <c r="QOI20" s="252">
        <v>0</v>
      </c>
      <c r="QOJ20" s="252">
        <v>0</v>
      </c>
      <c r="QOK20" s="252">
        <v>0</v>
      </c>
      <c r="QOL20" s="252">
        <v>0</v>
      </c>
      <c r="QOM20" s="252">
        <v>0</v>
      </c>
      <c r="QON20" s="252">
        <v>0</v>
      </c>
      <c r="QOO20" s="252">
        <v>0</v>
      </c>
      <c r="QOP20" s="252">
        <v>0</v>
      </c>
      <c r="QOQ20" s="252">
        <v>0</v>
      </c>
      <c r="QOR20" s="252">
        <v>0</v>
      </c>
      <c r="QOS20" s="252">
        <v>0</v>
      </c>
      <c r="QOT20" s="252">
        <v>0</v>
      </c>
      <c r="QOU20" s="252">
        <v>0</v>
      </c>
      <c r="QOV20" s="252">
        <v>0</v>
      </c>
      <c r="QOW20" s="252">
        <v>0</v>
      </c>
      <c r="QOX20" s="252">
        <v>0</v>
      </c>
      <c r="QOY20" s="252">
        <v>0</v>
      </c>
      <c r="QOZ20" s="252">
        <v>0</v>
      </c>
      <c r="QPA20" s="252">
        <v>0</v>
      </c>
      <c r="QPB20" s="252">
        <v>0</v>
      </c>
      <c r="QPC20" s="252">
        <v>0</v>
      </c>
      <c r="QPD20" s="252">
        <v>0</v>
      </c>
      <c r="QPE20" s="252">
        <v>0</v>
      </c>
      <c r="QPF20" s="252">
        <v>0</v>
      </c>
      <c r="QPG20" s="252">
        <v>0</v>
      </c>
      <c r="QPH20" s="252">
        <v>0</v>
      </c>
      <c r="QPI20" s="252">
        <v>0</v>
      </c>
      <c r="QPJ20" s="252">
        <v>0</v>
      </c>
      <c r="QPK20" s="252">
        <v>0</v>
      </c>
      <c r="QPL20" s="252">
        <v>0</v>
      </c>
      <c r="QPM20" s="252">
        <v>0</v>
      </c>
      <c r="QPN20" s="252">
        <v>0</v>
      </c>
      <c r="QPO20" s="252">
        <v>0</v>
      </c>
      <c r="QPP20" s="252">
        <v>0</v>
      </c>
      <c r="QPQ20" s="252">
        <v>0</v>
      </c>
      <c r="QPR20" s="252">
        <v>0</v>
      </c>
      <c r="QPS20" s="252">
        <v>0</v>
      </c>
      <c r="QPT20" s="252">
        <v>0</v>
      </c>
      <c r="QPU20" s="252">
        <v>0</v>
      </c>
      <c r="QPV20" s="252">
        <v>0</v>
      </c>
      <c r="QPW20" s="252">
        <v>0</v>
      </c>
      <c r="QPX20" s="252">
        <v>0</v>
      </c>
      <c r="QPY20" s="252">
        <v>0</v>
      </c>
      <c r="QPZ20" s="252">
        <v>0</v>
      </c>
      <c r="QQA20" s="252">
        <v>0</v>
      </c>
      <c r="QQB20" s="252">
        <v>0</v>
      </c>
      <c r="QQC20" s="252">
        <v>0</v>
      </c>
      <c r="QQD20" s="252">
        <v>0</v>
      </c>
      <c r="QQE20" s="252">
        <v>0</v>
      </c>
      <c r="QQF20" s="252">
        <v>0</v>
      </c>
      <c r="QQG20" s="252">
        <v>0</v>
      </c>
      <c r="QQH20" s="252">
        <v>0</v>
      </c>
      <c r="QQI20" s="252">
        <v>0</v>
      </c>
      <c r="QQJ20" s="252">
        <v>0</v>
      </c>
      <c r="QQK20" s="252">
        <v>0</v>
      </c>
      <c r="QQL20" s="252">
        <v>0</v>
      </c>
      <c r="QQM20" s="252">
        <v>0</v>
      </c>
      <c r="QQN20" s="252">
        <v>0</v>
      </c>
      <c r="QQO20" s="252">
        <v>0</v>
      </c>
      <c r="QQP20" s="252">
        <v>0</v>
      </c>
      <c r="QQQ20" s="252">
        <v>0</v>
      </c>
      <c r="QQR20" s="252">
        <v>0</v>
      </c>
      <c r="QQS20" s="252">
        <v>0</v>
      </c>
      <c r="QQT20" s="252">
        <v>0</v>
      </c>
      <c r="QQU20" s="252">
        <v>0</v>
      </c>
      <c r="QQV20" s="252">
        <v>0</v>
      </c>
      <c r="QQW20" s="252">
        <v>0</v>
      </c>
      <c r="QQX20" s="252">
        <v>0</v>
      </c>
      <c r="QQY20" s="252">
        <v>0</v>
      </c>
      <c r="QQZ20" s="252">
        <v>0</v>
      </c>
      <c r="QRA20" s="252">
        <v>0</v>
      </c>
      <c r="QRB20" s="252">
        <v>0</v>
      </c>
      <c r="QRC20" s="252">
        <v>0</v>
      </c>
      <c r="QRD20" s="252">
        <v>0</v>
      </c>
      <c r="QRE20" s="252">
        <v>0</v>
      </c>
      <c r="QRF20" s="252">
        <v>0</v>
      </c>
      <c r="QRG20" s="252">
        <v>0</v>
      </c>
      <c r="QRH20" s="252">
        <v>0</v>
      </c>
      <c r="QRI20" s="252">
        <v>0</v>
      </c>
      <c r="QRJ20" s="252">
        <v>0</v>
      </c>
      <c r="QRK20" s="252">
        <v>0</v>
      </c>
      <c r="QRL20" s="252">
        <v>0</v>
      </c>
      <c r="QRM20" s="252">
        <v>0</v>
      </c>
      <c r="QRN20" s="252">
        <v>0</v>
      </c>
      <c r="QRO20" s="252">
        <v>0</v>
      </c>
      <c r="QRP20" s="252">
        <v>0</v>
      </c>
      <c r="QRQ20" s="252">
        <v>0</v>
      </c>
      <c r="QRR20" s="252">
        <v>0</v>
      </c>
      <c r="QRS20" s="252">
        <v>0</v>
      </c>
      <c r="QRT20" s="252">
        <v>0</v>
      </c>
      <c r="QRU20" s="252">
        <v>0</v>
      </c>
      <c r="QRV20" s="252">
        <v>0</v>
      </c>
      <c r="QRW20" s="252">
        <v>0</v>
      </c>
      <c r="QRX20" s="252">
        <v>0</v>
      </c>
      <c r="QRY20" s="252">
        <v>0</v>
      </c>
      <c r="QRZ20" s="252">
        <v>0</v>
      </c>
      <c r="QSA20" s="252">
        <v>0</v>
      </c>
      <c r="QSB20" s="252">
        <v>0</v>
      </c>
      <c r="QSC20" s="252">
        <v>0</v>
      </c>
      <c r="QSD20" s="252">
        <v>0</v>
      </c>
      <c r="QSE20" s="252">
        <v>0</v>
      </c>
      <c r="QSF20" s="252">
        <v>0</v>
      </c>
      <c r="QSG20" s="252">
        <v>0</v>
      </c>
      <c r="QSH20" s="252">
        <v>0</v>
      </c>
      <c r="QSI20" s="252">
        <v>0</v>
      </c>
      <c r="QSJ20" s="252">
        <v>0</v>
      </c>
      <c r="QSK20" s="252">
        <v>0</v>
      </c>
      <c r="QSL20" s="252">
        <v>0</v>
      </c>
      <c r="QSM20" s="252">
        <v>0</v>
      </c>
      <c r="QSN20" s="252">
        <v>0</v>
      </c>
      <c r="QSO20" s="252">
        <v>0</v>
      </c>
      <c r="QSP20" s="252">
        <v>0</v>
      </c>
      <c r="QSQ20" s="252">
        <v>0</v>
      </c>
      <c r="QSR20" s="252">
        <v>0</v>
      </c>
      <c r="QSS20" s="252">
        <v>0</v>
      </c>
      <c r="QST20" s="252">
        <v>0</v>
      </c>
      <c r="QSU20" s="252">
        <v>0</v>
      </c>
      <c r="QSV20" s="252">
        <v>0</v>
      </c>
      <c r="QSW20" s="252">
        <v>0</v>
      </c>
      <c r="QSX20" s="252">
        <v>0</v>
      </c>
      <c r="QSY20" s="252">
        <v>0</v>
      </c>
      <c r="QSZ20" s="252">
        <v>0</v>
      </c>
      <c r="QTA20" s="252">
        <v>0</v>
      </c>
      <c r="QTB20" s="252">
        <v>0</v>
      </c>
      <c r="QTC20" s="252">
        <v>0</v>
      </c>
      <c r="QTD20" s="252">
        <v>0</v>
      </c>
      <c r="QTE20" s="252">
        <v>0</v>
      </c>
      <c r="QTF20" s="252">
        <v>0</v>
      </c>
      <c r="QTG20" s="252">
        <v>0</v>
      </c>
      <c r="QTH20" s="252">
        <v>0</v>
      </c>
      <c r="QTI20" s="252">
        <v>0</v>
      </c>
      <c r="QTJ20" s="252">
        <v>0</v>
      </c>
      <c r="QTK20" s="252">
        <v>0</v>
      </c>
      <c r="QTL20" s="252">
        <v>0</v>
      </c>
      <c r="QTM20" s="252">
        <v>0</v>
      </c>
      <c r="QTN20" s="252">
        <v>0</v>
      </c>
      <c r="QTO20" s="252">
        <v>0</v>
      </c>
      <c r="QTP20" s="252">
        <v>0</v>
      </c>
      <c r="QTQ20" s="252">
        <v>0</v>
      </c>
      <c r="QTR20" s="252">
        <v>0</v>
      </c>
      <c r="QTS20" s="252">
        <v>0</v>
      </c>
      <c r="QTT20" s="252">
        <v>0</v>
      </c>
      <c r="QTU20" s="252">
        <v>0</v>
      </c>
      <c r="QTV20" s="252">
        <v>0</v>
      </c>
      <c r="QTW20" s="252">
        <v>0</v>
      </c>
      <c r="QTX20" s="252">
        <v>0</v>
      </c>
      <c r="QTY20" s="252">
        <v>0</v>
      </c>
      <c r="QTZ20" s="252">
        <v>0</v>
      </c>
      <c r="QUA20" s="252">
        <v>0</v>
      </c>
      <c r="QUB20" s="252">
        <v>0</v>
      </c>
      <c r="QUC20" s="252">
        <v>0</v>
      </c>
      <c r="QUD20" s="252">
        <v>0</v>
      </c>
      <c r="QUE20" s="252">
        <v>0</v>
      </c>
      <c r="QUF20" s="252">
        <v>0</v>
      </c>
      <c r="QUG20" s="252">
        <v>0</v>
      </c>
      <c r="QUH20" s="252">
        <v>0</v>
      </c>
      <c r="QUI20" s="252">
        <v>0</v>
      </c>
      <c r="QUJ20" s="252">
        <v>0</v>
      </c>
      <c r="QUK20" s="252">
        <v>0</v>
      </c>
      <c r="QUL20" s="252">
        <v>0</v>
      </c>
      <c r="QUM20" s="252">
        <v>0</v>
      </c>
      <c r="QUN20" s="252">
        <v>0</v>
      </c>
      <c r="QUO20" s="252">
        <v>0</v>
      </c>
      <c r="QUP20" s="252">
        <v>0</v>
      </c>
      <c r="QUQ20" s="252">
        <v>0</v>
      </c>
      <c r="QUR20" s="252">
        <v>0</v>
      </c>
      <c r="QUS20" s="252">
        <v>0</v>
      </c>
      <c r="QUT20" s="252">
        <v>0</v>
      </c>
      <c r="QUU20" s="252">
        <v>0</v>
      </c>
      <c r="QUV20" s="252">
        <v>0</v>
      </c>
      <c r="QUW20" s="252">
        <v>0</v>
      </c>
      <c r="QUX20" s="252">
        <v>0</v>
      </c>
      <c r="QUY20" s="252">
        <v>0</v>
      </c>
      <c r="QUZ20" s="252">
        <v>0</v>
      </c>
      <c r="QVA20" s="252">
        <v>0</v>
      </c>
      <c r="QVB20" s="252">
        <v>0</v>
      </c>
      <c r="QVC20" s="252">
        <v>0</v>
      </c>
      <c r="QVD20" s="252">
        <v>0</v>
      </c>
      <c r="QVE20" s="252">
        <v>0</v>
      </c>
      <c r="QVF20" s="252">
        <v>0</v>
      </c>
      <c r="QVG20" s="252">
        <v>0</v>
      </c>
      <c r="QVH20" s="252">
        <v>0</v>
      </c>
      <c r="QVI20" s="252">
        <v>0</v>
      </c>
      <c r="QVJ20" s="252">
        <v>0</v>
      </c>
      <c r="QVK20" s="252">
        <v>0</v>
      </c>
      <c r="QVL20" s="252">
        <v>0</v>
      </c>
      <c r="QVM20" s="252">
        <v>0</v>
      </c>
      <c r="QVN20" s="252">
        <v>0</v>
      </c>
      <c r="QVO20" s="252">
        <v>0</v>
      </c>
      <c r="QVP20" s="252">
        <v>0</v>
      </c>
      <c r="QVQ20" s="252">
        <v>0</v>
      </c>
      <c r="QVR20" s="252">
        <v>0</v>
      </c>
      <c r="QVS20" s="252">
        <v>0</v>
      </c>
      <c r="QVT20" s="252">
        <v>0</v>
      </c>
      <c r="QVU20" s="252">
        <v>0</v>
      </c>
      <c r="QVV20" s="252">
        <v>0</v>
      </c>
      <c r="QVW20" s="252">
        <v>0</v>
      </c>
      <c r="QVX20" s="252">
        <v>0</v>
      </c>
      <c r="QVY20" s="252">
        <v>0</v>
      </c>
      <c r="QVZ20" s="252">
        <v>0</v>
      </c>
      <c r="QWA20" s="252">
        <v>0</v>
      </c>
      <c r="QWB20" s="252">
        <v>0</v>
      </c>
      <c r="QWC20" s="252">
        <v>0</v>
      </c>
      <c r="QWD20" s="252">
        <v>0</v>
      </c>
      <c r="QWE20" s="252">
        <v>0</v>
      </c>
      <c r="QWF20" s="252">
        <v>0</v>
      </c>
      <c r="QWG20" s="252">
        <v>0</v>
      </c>
      <c r="QWH20" s="252">
        <v>0</v>
      </c>
      <c r="QWI20" s="252">
        <v>0</v>
      </c>
      <c r="QWJ20" s="252">
        <v>0</v>
      </c>
      <c r="QWK20" s="252">
        <v>0</v>
      </c>
      <c r="QWL20" s="252">
        <v>0</v>
      </c>
      <c r="QWM20" s="252">
        <v>0</v>
      </c>
      <c r="QWN20" s="252">
        <v>0</v>
      </c>
      <c r="QWO20" s="252">
        <v>0</v>
      </c>
      <c r="QWP20" s="252">
        <v>0</v>
      </c>
      <c r="QWQ20" s="252">
        <v>0</v>
      </c>
      <c r="QWR20" s="252">
        <v>0</v>
      </c>
      <c r="QWS20" s="252">
        <v>0</v>
      </c>
      <c r="QWT20" s="252">
        <v>0</v>
      </c>
      <c r="QWU20" s="252">
        <v>0</v>
      </c>
      <c r="QWV20" s="252">
        <v>0</v>
      </c>
      <c r="QWW20" s="252">
        <v>0</v>
      </c>
      <c r="QWX20" s="252">
        <v>0</v>
      </c>
      <c r="QWY20" s="252">
        <v>0</v>
      </c>
      <c r="QWZ20" s="252">
        <v>0</v>
      </c>
      <c r="QXA20" s="252">
        <v>0</v>
      </c>
      <c r="QXB20" s="252">
        <v>0</v>
      </c>
      <c r="QXC20" s="252">
        <v>0</v>
      </c>
      <c r="QXD20" s="252">
        <v>0</v>
      </c>
      <c r="QXE20" s="252">
        <v>0</v>
      </c>
      <c r="QXF20" s="252">
        <v>0</v>
      </c>
      <c r="QXG20" s="252">
        <v>0</v>
      </c>
      <c r="QXH20" s="252">
        <v>0</v>
      </c>
      <c r="QXI20" s="252">
        <v>0</v>
      </c>
      <c r="QXJ20" s="252">
        <v>0</v>
      </c>
      <c r="QXK20" s="252">
        <v>0</v>
      </c>
      <c r="QXL20" s="252">
        <v>0</v>
      </c>
      <c r="QXM20" s="252">
        <v>0</v>
      </c>
      <c r="QXN20" s="252">
        <v>0</v>
      </c>
      <c r="QXO20" s="252">
        <v>0</v>
      </c>
      <c r="QXP20" s="252">
        <v>0</v>
      </c>
      <c r="QXQ20" s="252">
        <v>0</v>
      </c>
      <c r="QXR20" s="252">
        <v>0</v>
      </c>
      <c r="QXS20" s="252">
        <v>0</v>
      </c>
      <c r="QXT20" s="252">
        <v>0</v>
      </c>
      <c r="QXU20" s="252">
        <v>0</v>
      </c>
      <c r="QXV20" s="252">
        <v>0</v>
      </c>
      <c r="QXW20" s="252">
        <v>0</v>
      </c>
      <c r="QXX20" s="252">
        <v>0</v>
      </c>
      <c r="QXY20" s="252">
        <v>0</v>
      </c>
      <c r="QXZ20" s="252">
        <v>0</v>
      </c>
      <c r="QYA20" s="252">
        <v>0</v>
      </c>
      <c r="QYB20" s="252">
        <v>0</v>
      </c>
      <c r="QYC20" s="252">
        <v>0</v>
      </c>
      <c r="QYD20" s="252">
        <v>0</v>
      </c>
      <c r="QYE20" s="252">
        <v>0</v>
      </c>
      <c r="QYF20" s="252">
        <v>0</v>
      </c>
      <c r="QYG20" s="252">
        <v>0</v>
      </c>
      <c r="QYH20" s="252">
        <v>0</v>
      </c>
      <c r="QYI20" s="252">
        <v>0</v>
      </c>
      <c r="QYJ20" s="252">
        <v>0</v>
      </c>
      <c r="QYK20" s="252">
        <v>0</v>
      </c>
      <c r="QYL20" s="252">
        <v>0</v>
      </c>
      <c r="QYM20" s="252">
        <v>0</v>
      </c>
      <c r="QYN20" s="252">
        <v>0</v>
      </c>
      <c r="QYO20" s="252">
        <v>0</v>
      </c>
      <c r="QYP20" s="252">
        <v>0</v>
      </c>
      <c r="QYQ20" s="252">
        <v>0</v>
      </c>
      <c r="QYR20" s="252">
        <v>0</v>
      </c>
      <c r="QYS20" s="252">
        <v>0</v>
      </c>
      <c r="QYT20" s="252">
        <v>0</v>
      </c>
      <c r="QYU20" s="252">
        <v>0</v>
      </c>
      <c r="QYV20" s="252">
        <v>0</v>
      </c>
      <c r="QYW20" s="252">
        <v>0</v>
      </c>
      <c r="QYX20" s="252">
        <v>0</v>
      </c>
      <c r="QYY20" s="252">
        <v>0</v>
      </c>
      <c r="QYZ20" s="252">
        <v>0</v>
      </c>
      <c r="QZA20" s="252">
        <v>0</v>
      </c>
      <c r="QZB20" s="252">
        <v>0</v>
      </c>
      <c r="QZC20" s="252">
        <v>0</v>
      </c>
      <c r="QZD20" s="252">
        <v>0</v>
      </c>
      <c r="QZE20" s="252">
        <v>0</v>
      </c>
      <c r="QZF20" s="252">
        <v>0</v>
      </c>
      <c r="QZG20" s="252">
        <v>0</v>
      </c>
      <c r="QZH20" s="252">
        <v>0</v>
      </c>
      <c r="QZI20" s="252">
        <v>0</v>
      </c>
      <c r="QZJ20" s="252">
        <v>0</v>
      </c>
      <c r="QZK20" s="252">
        <v>0</v>
      </c>
      <c r="QZL20" s="252">
        <v>0</v>
      </c>
      <c r="QZM20" s="252">
        <v>0</v>
      </c>
      <c r="QZN20" s="252">
        <v>0</v>
      </c>
      <c r="QZO20" s="252">
        <v>0</v>
      </c>
      <c r="QZP20" s="252">
        <v>0</v>
      </c>
      <c r="QZQ20" s="252">
        <v>0</v>
      </c>
      <c r="QZR20" s="252">
        <v>0</v>
      </c>
      <c r="QZS20" s="252">
        <v>0</v>
      </c>
      <c r="QZT20" s="252">
        <v>0</v>
      </c>
      <c r="QZU20" s="252">
        <v>0</v>
      </c>
      <c r="QZV20" s="252">
        <v>0</v>
      </c>
      <c r="QZW20" s="252">
        <v>0</v>
      </c>
      <c r="QZX20" s="252">
        <v>0</v>
      </c>
      <c r="QZY20" s="252">
        <v>0</v>
      </c>
      <c r="QZZ20" s="252">
        <v>0</v>
      </c>
      <c r="RAA20" s="252">
        <v>0</v>
      </c>
      <c r="RAB20" s="252">
        <v>0</v>
      </c>
      <c r="RAC20" s="252">
        <v>0</v>
      </c>
      <c r="RAD20" s="252">
        <v>0</v>
      </c>
      <c r="RAE20" s="252">
        <v>0</v>
      </c>
      <c r="RAF20" s="252">
        <v>0</v>
      </c>
      <c r="RAG20" s="252">
        <v>0</v>
      </c>
      <c r="RAH20" s="252">
        <v>0</v>
      </c>
      <c r="RAI20" s="252">
        <v>0</v>
      </c>
      <c r="RAJ20" s="252">
        <v>0</v>
      </c>
      <c r="RAK20" s="252">
        <v>0</v>
      </c>
      <c r="RAL20" s="252">
        <v>0</v>
      </c>
      <c r="RAM20" s="252">
        <v>0</v>
      </c>
      <c r="RAN20" s="252">
        <v>0</v>
      </c>
      <c r="RAO20" s="252">
        <v>0</v>
      </c>
      <c r="RAP20" s="252">
        <v>0</v>
      </c>
      <c r="RAQ20" s="252">
        <v>0</v>
      </c>
      <c r="RAR20" s="252">
        <v>0</v>
      </c>
      <c r="RAS20" s="252">
        <v>0</v>
      </c>
      <c r="RAT20" s="252">
        <v>0</v>
      </c>
      <c r="RAU20" s="252">
        <v>0</v>
      </c>
      <c r="RAV20" s="252">
        <v>0</v>
      </c>
      <c r="RAW20" s="252">
        <v>0</v>
      </c>
      <c r="RAX20" s="252">
        <v>0</v>
      </c>
      <c r="RAY20" s="252">
        <v>0</v>
      </c>
      <c r="RAZ20" s="252">
        <v>0</v>
      </c>
      <c r="RBA20" s="252">
        <v>0</v>
      </c>
      <c r="RBB20" s="252">
        <v>0</v>
      </c>
      <c r="RBC20" s="252">
        <v>0</v>
      </c>
      <c r="RBD20" s="252">
        <v>0</v>
      </c>
      <c r="RBE20" s="252">
        <v>0</v>
      </c>
      <c r="RBF20" s="252">
        <v>0</v>
      </c>
      <c r="RBG20" s="252">
        <v>0</v>
      </c>
      <c r="RBH20" s="252">
        <v>0</v>
      </c>
      <c r="RBI20" s="252">
        <v>0</v>
      </c>
      <c r="RBJ20" s="252">
        <v>0</v>
      </c>
      <c r="RBK20" s="252">
        <v>0</v>
      </c>
      <c r="RBL20" s="252">
        <v>0</v>
      </c>
      <c r="RBM20" s="252">
        <v>0</v>
      </c>
      <c r="RBN20" s="252">
        <v>0</v>
      </c>
      <c r="RBO20" s="252">
        <v>0</v>
      </c>
      <c r="RBP20" s="252">
        <v>0</v>
      </c>
      <c r="RBQ20" s="252">
        <v>0</v>
      </c>
      <c r="RBR20" s="252">
        <v>0</v>
      </c>
      <c r="RBS20" s="252">
        <v>0</v>
      </c>
      <c r="RBT20" s="252">
        <v>0</v>
      </c>
      <c r="RBU20" s="252">
        <v>0</v>
      </c>
      <c r="RBV20" s="252">
        <v>0</v>
      </c>
      <c r="RBW20" s="252">
        <v>0</v>
      </c>
      <c r="RBX20" s="252">
        <v>0</v>
      </c>
      <c r="RBY20" s="252">
        <v>0</v>
      </c>
      <c r="RBZ20" s="252">
        <v>0</v>
      </c>
      <c r="RCA20" s="252">
        <v>0</v>
      </c>
      <c r="RCB20" s="252">
        <v>0</v>
      </c>
      <c r="RCC20" s="252">
        <v>0</v>
      </c>
      <c r="RCD20" s="252">
        <v>0</v>
      </c>
      <c r="RCE20" s="252">
        <v>0</v>
      </c>
      <c r="RCF20" s="252">
        <v>0</v>
      </c>
      <c r="RCG20" s="252">
        <v>0</v>
      </c>
      <c r="RCH20" s="252">
        <v>0</v>
      </c>
      <c r="RCI20" s="252">
        <v>0</v>
      </c>
      <c r="RCJ20" s="252">
        <v>0</v>
      </c>
      <c r="RCK20" s="252">
        <v>0</v>
      </c>
      <c r="RCL20" s="252">
        <v>0</v>
      </c>
      <c r="RCM20" s="252">
        <v>0</v>
      </c>
      <c r="RCN20" s="252">
        <v>0</v>
      </c>
      <c r="RCO20" s="252">
        <v>0</v>
      </c>
      <c r="RCP20" s="252">
        <v>0</v>
      </c>
      <c r="RCQ20" s="252">
        <v>0</v>
      </c>
      <c r="RCR20" s="252">
        <v>0</v>
      </c>
      <c r="RCS20" s="252">
        <v>0</v>
      </c>
      <c r="RCT20" s="252">
        <v>0</v>
      </c>
      <c r="RCU20" s="252">
        <v>0</v>
      </c>
      <c r="RCV20" s="252">
        <v>0</v>
      </c>
      <c r="RCW20" s="252">
        <v>0</v>
      </c>
      <c r="RCX20" s="252">
        <v>0</v>
      </c>
      <c r="RCY20" s="252">
        <v>0</v>
      </c>
      <c r="RCZ20" s="252">
        <v>0</v>
      </c>
      <c r="RDA20" s="252">
        <v>0</v>
      </c>
      <c r="RDB20" s="252">
        <v>0</v>
      </c>
      <c r="RDC20" s="252">
        <v>0</v>
      </c>
      <c r="RDD20" s="252">
        <v>0</v>
      </c>
      <c r="RDE20" s="252">
        <v>0</v>
      </c>
      <c r="RDF20" s="252">
        <v>0</v>
      </c>
      <c r="RDG20" s="252">
        <v>0</v>
      </c>
      <c r="RDH20" s="252">
        <v>0</v>
      </c>
      <c r="RDI20" s="252">
        <v>0</v>
      </c>
      <c r="RDJ20" s="252">
        <v>0</v>
      </c>
      <c r="RDK20" s="252">
        <v>0</v>
      </c>
      <c r="RDL20" s="252">
        <v>0</v>
      </c>
      <c r="RDM20" s="252">
        <v>0</v>
      </c>
      <c r="RDN20" s="252">
        <v>0</v>
      </c>
      <c r="RDO20" s="252">
        <v>0</v>
      </c>
      <c r="RDP20" s="252">
        <v>0</v>
      </c>
      <c r="RDQ20" s="252">
        <v>0</v>
      </c>
      <c r="RDR20" s="252">
        <v>0</v>
      </c>
      <c r="RDS20" s="252">
        <v>0</v>
      </c>
      <c r="RDT20" s="252">
        <v>0</v>
      </c>
      <c r="RDU20" s="252">
        <v>0</v>
      </c>
      <c r="RDV20" s="252">
        <v>0</v>
      </c>
      <c r="RDW20" s="252">
        <v>0</v>
      </c>
      <c r="RDX20" s="252">
        <v>0</v>
      </c>
      <c r="RDY20" s="252">
        <v>0</v>
      </c>
      <c r="RDZ20" s="252">
        <v>0</v>
      </c>
      <c r="REA20" s="252">
        <v>0</v>
      </c>
      <c r="REB20" s="252">
        <v>0</v>
      </c>
      <c r="REC20" s="252">
        <v>0</v>
      </c>
      <c r="RED20" s="252">
        <v>0</v>
      </c>
      <c r="REE20" s="252">
        <v>0</v>
      </c>
      <c r="REF20" s="252">
        <v>0</v>
      </c>
      <c r="REG20" s="252">
        <v>0</v>
      </c>
      <c r="REH20" s="252">
        <v>0</v>
      </c>
      <c r="REI20" s="252">
        <v>0</v>
      </c>
      <c r="REJ20" s="252">
        <v>0</v>
      </c>
      <c r="REK20" s="252">
        <v>0</v>
      </c>
      <c r="REL20" s="252">
        <v>0</v>
      </c>
      <c r="REM20" s="252">
        <v>0</v>
      </c>
      <c r="REN20" s="252">
        <v>0</v>
      </c>
      <c r="REO20" s="252">
        <v>0</v>
      </c>
      <c r="REP20" s="252">
        <v>0</v>
      </c>
      <c r="REQ20" s="252">
        <v>0</v>
      </c>
      <c r="RER20" s="252">
        <v>0</v>
      </c>
      <c r="RES20" s="252">
        <v>0</v>
      </c>
      <c r="RET20" s="252">
        <v>0</v>
      </c>
      <c r="REU20" s="252">
        <v>0</v>
      </c>
      <c r="REV20" s="252">
        <v>0</v>
      </c>
      <c r="REW20" s="252">
        <v>0</v>
      </c>
      <c r="REX20" s="252">
        <v>0</v>
      </c>
      <c r="REY20" s="252">
        <v>0</v>
      </c>
      <c r="REZ20" s="252">
        <v>0</v>
      </c>
      <c r="RFA20" s="252">
        <v>0</v>
      </c>
      <c r="RFB20" s="252">
        <v>0</v>
      </c>
      <c r="RFC20" s="252">
        <v>0</v>
      </c>
      <c r="RFD20" s="252">
        <v>0</v>
      </c>
      <c r="RFE20" s="252">
        <v>0</v>
      </c>
      <c r="RFF20" s="252">
        <v>0</v>
      </c>
      <c r="RFG20" s="252">
        <v>0</v>
      </c>
      <c r="RFH20" s="252">
        <v>0</v>
      </c>
      <c r="RFI20" s="252">
        <v>0</v>
      </c>
      <c r="RFJ20" s="252">
        <v>0</v>
      </c>
      <c r="RFK20" s="252">
        <v>0</v>
      </c>
      <c r="RFL20" s="252">
        <v>0</v>
      </c>
      <c r="RFM20" s="252">
        <v>0</v>
      </c>
      <c r="RFN20" s="252">
        <v>0</v>
      </c>
      <c r="RFO20" s="252">
        <v>0</v>
      </c>
      <c r="RFP20" s="252">
        <v>0</v>
      </c>
      <c r="RFQ20" s="252">
        <v>0</v>
      </c>
      <c r="RFR20" s="252">
        <v>0</v>
      </c>
      <c r="RFS20" s="252">
        <v>0</v>
      </c>
      <c r="RFT20" s="252">
        <v>0</v>
      </c>
      <c r="RFU20" s="252">
        <v>0</v>
      </c>
      <c r="RFV20" s="252">
        <v>0</v>
      </c>
      <c r="RFW20" s="252">
        <v>0</v>
      </c>
      <c r="RFX20" s="252">
        <v>0</v>
      </c>
      <c r="RFY20" s="252">
        <v>0</v>
      </c>
      <c r="RFZ20" s="252">
        <v>0</v>
      </c>
      <c r="RGA20" s="252">
        <v>0</v>
      </c>
      <c r="RGB20" s="252">
        <v>0</v>
      </c>
      <c r="RGC20" s="252">
        <v>0</v>
      </c>
      <c r="RGD20" s="252">
        <v>0</v>
      </c>
      <c r="RGE20" s="252">
        <v>0</v>
      </c>
      <c r="RGF20" s="252">
        <v>0</v>
      </c>
      <c r="RGG20" s="252">
        <v>0</v>
      </c>
      <c r="RGH20" s="252">
        <v>0</v>
      </c>
      <c r="RGI20" s="252">
        <v>0</v>
      </c>
      <c r="RGJ20" s="252">
        <v>0</v>
      </c>
      <c r="RGK20" s="252">
        <v>0</v>
      </c>
      <c r="RGL20" s="252">
        <v>0</v>
      </c>
      <c r="RGM20" s="252">
        <v>0</v>
      </c>
      <c r="RGN20" s="252">
        <v>0</v>
      </c>
      <c r="RGO20" s="252">
        <v>0</v>
      </c>
      <c r="RGP20" s="252">
        <v>0</v>
      </c>
      <c r="RGQ20" s="252">
        <v>0</v>
      </c>
      <c r="RGR20" s="252">
        <v>0</v>
      </c>
      <c r="RGS20" s="252">
        <v>0</v>
      </c>
      <c r="RGT20" s="252">
        <v>0</v>
      </c>
      <c r="RGU20" s="252">
        <v>0</v>
      </c>
      <c r="RGV20" s="252">
        <v>0</v>
      </c>
      <c r="RGW20" s="252">
        <v>0</v>
      </c>
      <c r="RGX20" s="252">
        <v>0</v>
      </c>
      <c r="RGY20" s="252">
        <v>0</v>
      </c>
      <c r="RGZ20" s="252">
        <v>0</v>
      </c>
      <c r="RHA20" s="252">
        <v>0</v>
      </c>
      <c r="RHB20" s="252">
        <v>0</v>
      </c>
      <c r="RHC20" s="252">
        <v>0</v>
      </c>
      <c r="RHD20" s="252">
        <v>0</v>
      </c>
      <c r="RHE20" s="252">
        <v>0</v>
      </c>
      <c r="RHF20" s="252">
        <v>0</v>
      </c>
      <c r="RHG20" s="252">
        <v>0</v>
      </c>
      <c r="RHH20" s="252">
        <v>0</v>
      </c>
      <c r="RHI20" s="252">
        <v>0</v>
      </c>
      <c r="RHJ20" s="252">
        <v>0</v>
      </c>
      <c r="RHK20" s="252">
        <v>0</v>
      </c>
      <c r="RHL20" s="252">
        <v>0</v>
      </c>
      <c r="RHM20" s="252">
        <v>0</v>
      </c>
      <c r="RHN20" s="252">
        <v>0</v>
      </c>
      <c r="RHO20" s="252">
        <v>0</v>
      </c>
      <c r="RHP20" s="252">
        <v>0</v>
      </c>
      <c r="RHQ20" s="252">
        <v>0</v>
      </c>
      <c r="RHR20" s="252">
        <v>0</v>
      </c>
      <c r="RHS20" s="252">
        <v>0</v>
      </c>
      <c r="RHT20" s="252">
        <v>0</v>
      </c>
      <c r="RHU20" s="252">
        <v>0</v>
      </c>
      <c r="RHV20" s="252">
        <v>0</v>
      </c>
      <c r="RHW20" s="252">
        <v>0</v>
      </c>
      <c r="RHX20" s="252">
        <v>0</v>
      </c>
      <c r="RHY20" s="252">
        <v>0</v>
      </c>
      <c r="RHZ20" s="252">
        <v>0</v>
      </c>
      <c r="RIA20" s="252">
        <v>0</v>
      </c>
      <c r="RIB20" s="252">
        <v>0</v>
      </c>
      <c r="RIC20" s="252">
        <v>0</v>
      </c>
      <c r="RID20" s="252">
        <v>0</v>
      </c>
      <c r="RIE20" s="252">
        <v>0</v>
      </c>
      <c r="RIF20" s="252">
        <v>0</v>
      </c>
      <c r="RIG20" s="252">
        <v>0</v>
      </c>
      <c r="RIH20" s="252">
        <v>0</v>
      </c>
      <c r="RII20" s="252">
        <v>0</v>
      </c>
      <c r="RIJ20" s="252">
        <v>0</v>
      </c>
      <c r="RIK20" s="252">
        <v>0</v>
      </c>
      <c r="RIL20" s="252">
        <v>0</v>
      </c>
      <c r="RIM20" s="252">
        <v>0</v>
      </c>
      <c r="RIN20" s="252">
        <v>0</v>
      </c>
      <c r="RIO20" s="252">
        <v>0</v>
      </c>
      <c r="RIP20" s="252">
        <v>0</v>
      </c>
      <c r="RIQ20" s="252">
        <v>0</v>
      </c>
      <c r="RIR20" s="252">
        <v>0</v>
      </c>
      <c r="RIS20" s="252">
        <v>0</v>
      </c>
      <c r="RIT20" s="252">
        <v>0</v>
      </c>
      <c r="RIU20" s="252">
        <v>0</v>
      </c>
      <c r="RIV20" s="252">
        <v>0</v>
      </c>
      <c r="RIW20" s="252">
        <v>0</v>
      </c>
      <c r="RIX20" s="252">
        <v>0</v>
      </c>
      <c r="RIY20" s="252">
        <v>0</v>
      </c>
      <c r="RIZ20" s="252">
        <v>0</v>
      </c>
      <c r="RJA20" s="252">
        <v>0</v>
      </c>
      <c r="RJB20" s="252">
        <v>0</v>
      </c>
      <c r="RJC20" s="252">
        <v>0</v>
      </c>
      <c r="RJD20" s="252">
        <v>0</v>
      </c>
      <c r="RJE20" s="252">
        <v>0</v>
      </c>
      <c r="RJF20" s="252">
        <v>0</v>
      </c>
      <c r="RJG20" s="252">
        <v>0</v>
      </c>
      <c r="RJH20" s="252">
        <v>0</v>
      </c>
      <c r="RJI20" s="252">
        <v>0</v>
      </c>
      <c r="RJJ20" s="252">
        <v>0</v>
      </c>
      <c r="RJK20" s="252">
        <v>0</v>
      </c>
      <c r="RJL20" s="252">
        <v>0</v>
      </c>
      <c r="RJM20" s="252">
        <v>0</v>
      </c>
      <c r="RJN20" s="252">
        <v>0</v>
      </c>
      <c r="RJO20" s="252">
        <v>0</v>
      </c>
      <c r="RJP20" s="252">
        <v>0</v>
      </c>
      <c r="RJQ20" s="252">
        <v>0</v>
      </c>
      <c r="RJR20" s="252">
        <v>0</v>
      </c>
      <c r="RJS20" s="252">
        <v>0</v>
      </c>
      <c r="RJT20" s="252">
        <v>0</v>
      </c>
      <c r="RJU20" s="252">
        <v>0</v>
      </c>
      <c r="RJV20" s="252">
        <v>0</v>
      </c>
      <c r="RJW20" s="252">
        <v>0</v>
      </c>
      <c r="RJX20" s="252">
        <v>0</v>
      </c>
      <c r="RJY20" s="252">
        <v>0</v>
      </c>
      <c r="RJZ20" s="252">
        <v>0</v>
      </c>
      <c r="RKA20" s="252">
        <v>0</v>
      </c>
      <c r="RKB20" s="252">
        <v>0</v>
      </c>
      <c r="RKC20" s="252">
        <v>0</v>
      </c>
      <c r="RKD20" s="252">
        <v>0</v>
      </c>
      <c r="RKE20" s="252">
        <v>0</v>
      </c>
      <c r="RKF20" s="252">
        <v>0</v>
      </c>
      <c r="RKG20" s="252">
        <v>0</v>
      </c>
      <c r="RKH20" s="252">
        <v>0</v>
      </c>
      <c r="RKI20" s="252">
        <v>0</v>
      </c>
      <c r="RKJ20" s="252">
        <v>0</v>
      </c>
      <c r="RKK20" s="252">
        <v>0</v>
      </c>
      <c r="RKL20" s="252">
        <v>0</v>
      </c>
      <c r="RKM20" s="252">
        <v>0</v>
      </c>
      <c r="RKN20" s="252">
        <v>0</v>
      </c>
      <c r="RKO20" s="252">
        <v>0</v>
      </c>
      <c r="RKP20" s="252">
        <v>0</v>
      </c>
      <c r="RKQ20" s="252">
        <v>0</v>
      </c>
      <c r="RKR20" s="252">
        <v>0</v>
      </c>
      <c r="RKS20" s="252">
        <v>0</v>
      </c>
      <c r="RKT20" s="252">
        <v>0</v>
      </c>
      <c r="RKU20" s="252">
        <v>0</v>
      </c>
      <c r="RKV20" s="252">
        <v>0</v>
      </c>
      <c r="RKW20" s="252">
        <v>0</v>
      </c>
      <c r="RKX20" s="252">
        <v>0</v>
      </c>
      <c r="RKY20" s="252">
        <v>0</v>
      </c>
      <c r="RKZ20" s="252">
        <v>0</v>
      </c>
      <c r="RLA20" s="252">
        <v>0</v>
      </c>
      <c r="RLB20" s="252">
        <v>0</v>
      </c>
      <c r="RLC20" s="252">
        <v>0</v>
      </c>
      <c r="RLD20" s="252">
        <v>0</v>
      </c>
      <c r="RLE20" s="252">
        <v>0</v>
      </c>
      <c r="RLF20" s="252">
        <v>0</v>
      </c>
      <c r="RLG20" s="252">
        <v>0</v>
      </c>
      <c r="RLH20" s="252">
        <v>0</v>
      </c>
      <c r="RLI20" s="252">
        <v>0</v>
      </c>
      <c r="RLJ20" s="252">
        <v>0</v>
      </c>
      <c r="RLK20" s="252">
        <v>0</v>
      </c>
      <c r="RLL20" s="252">
        <v>0</v>
      </c>
      <c r="RLM20" s="252">
        <v>0</v>
      </c>
      <c r="RLN20" s="252">
        <v>0</v>
      </c>
      <c r="RLO20" s="252">
        <v>0</v>
      </c>
      <c r="RLP20" s="252">
        <v>0</v>
      </c>
      <c r="RLQ20" s="252">
        <v>0</v>
      </c>
      <c r="RLR20" s="252">
        <v>0</v>
      </c>
      <c r="RLS20" s="252">
        <v>0</v>
      </c>
      <c r="RLT20" s="252">
        <v>0</v>
      </c>
      <c r="RLU20" s="252">
        <v>0</v>
      </c>
      <c r="RLV20" s="252">
        <v>0</v>
      </c>
      <c r="RLW20" s="252">
        <v>0</v>
      </c>
      <c r="RLX20" s="252">
        <v>0</v>
      </c>
      <c r="RLY20" s="252">
        <v>0</v>
      </c>
      <c r="RLZ20" s="252">
        <v>0</v>
      </c>
      <c r="RMA20" s="252">
        <v>0</v>
      </c>
      <c r="RMB20" s="252">
        <v>0</v>
      </c>
      <c r="RMC20" s="252">
        <v>0</v>
      </c>
      <c r="RMD20" s="252">
        <v>0</v>
      </c>
      <c r="RME20" s="252">
        <v>0</v>
      </c>
      <c r="RMF20" s="252">
        <v>0</v>
      </c>
      <c r="RMG20" s="252">
        <v>0</v>
      </c>
      <c r="RMH20" s="252">
        <v>0</v>
      </c>
      <c r="RMI20" s="252">
        <v>0</v>
      </c>
      <c r="RMJ20" s="252">
        <v>0</v>
      </c>
      <c r="RMK20" s="252">
        <v>0</v>
      </c>
      <c r="RML20" s="252">
        <v>0</v>
      </c>
      <c r="RMM20" s="252">
        <v>0</v>
      </c>
      <c r="RMN20" s="252">
        <v>0</v>
      </c>
      <c r="RMO20" s="252">
        <v>0</v>
      </c>
      <c r="RMP20" s="252">
        <v>0</v>
      </c>
      <c r="RMQ20" s="252">
        <v>0</v>
      </c>
      <c r="RMR20" s="252">
        <v>0</v>
      </c>
      <c r="RMS20" s="252">
        <v>0</v>
      </c>
      <c r="RMT20" s="252">
        <v>0</v>
      </c>
      <c r="RMU20" s="252">
        <v>0</v>
      </c>
      <c r="RMV20" s="252">
        <v>0</v>
      </c>
      <c r="RMW20" s="252">
        <v>0</v>
      </c>
      <c r="RMX20" s="252">
        <v>0</v>
      </c>
      <c r="RMY20" s="252">
        <v>0</v>
      </c>
      <c r="RMZ20" s="252">
        <v>0</v>
      </c>
      <c r="RNA20" s="252">
        <v>0</v>
      </c>
      <c r="RNB20" s="252">
        <v>0</v>
      </c>
      <c r="RNC20" s="252">
        <v>0</v>
      </c>
      <c r="RND20" s="252">
        <v>0</v>
      </c>
      <c r="RNE20" s="252">
        <v>0</v>
      </c>
      <c r="RNF20" s="252">
        <v>0</v>
      </c>
      <c r="RNG20" s="252">
        <v>0</v>
      </c>
      <c r="RNH20" s="252">
        <v>0</v>
      </c>
      <c r="RNI20" s="252">
        <v>0</v>
      </c>
      <c r="RNJ20" s="252">
        <v>0</v>
      </c>
      <c r="RNK20" s="252">
        <v>0</v>
      </c>
      <c r="RNL20" s="252">
        <v>0</v>
      </c>
      <c r="RNM20" s="252">
        <v>0</v>
      </c>
      <c r="RNN20" s="252">
        <v>0</v>
      </c>
      <c r="RNO20" s="252">
        <v>0</v>
      </c>
      <c r="RNP20" s="252">
        <v>0</v>
      </c>
      <c r="RNQ20" s="252">
        <v>0</v>
      </c>
      <c r="RNR20" s="252">
        <v>0</v>
      </c>
      <c r="RNS20" s="252">
        <v>0</v>
      </c>
      <c r="RNT20" s="252">
        <v>0</v>
      </c>
      <c r="RNU20" s="252">
        <v>0</v>
      </c>
      <c r="RNV20" s="252">
        <v>0</v>
      </c>
      <c r="RNW20" s="252">
        <v>0</v>
      </c>
      <c r="RNX20" s="252">
        <v>0</v>
      </c>
      <c r="RNY20" s="252">
        <v>0</v>
      </c>
      <c r="RNZ20" s="252">
        <v>0</v>
      </c>
      <c r="ROA20" s="252">
        <v>0</v>
      </c>
      <c r="ROB20" s="252">
        <v>0</v>
      </c>
      <c r="ROC20" s="252">
        <v>0</v>
      </c>
      <c r="ROD20" s="252">
        <v>0</v>
      </c>
      <c r="ROE20" s="252">
        <v>0</v>
      </c>
      <c r="ROF20" s="252">
        <v>0</v>
      </c>
      <c r="ROG20" s="252">
        <v>0</v>
      </c>
      <c r="ROH20" s="252">
        <v>0</v>
      </c>
      <c r="ROI20" s="252">
        <v>0</v>
      </c>
      <c r="ROJ20" s="252">
        <v>0</v>
      </c>
      <c r="ROK20" s="252">
        <v>0</v>
      </c>
      <c r="ROL20" s="252">
        <v>0</v>
      </c>
      <c r="ROM20" s="252">
        <v>0</v>
      </c>
      <c r="RON20" s="252">
        <v>0</v>
      </c>
      <c r="ROO20" s="252">
        <v>0</v>
      </c>
      <c r="ROP20" s="252">
        <v>0</v>
      </c>
      <c r="ROQ20" s="252">
        <v>0</v>
      </c>
      <c r="ROR20" s="252">
        <v>0</v>
      </c>
      <c r="ROS20" s="252">
        <v>0</v>
      </c>
      <c r="ROT20" s="252">
        <v>0</v>
      </c>
      <c r="ROU20" s="252">
        <v>0</v>
      </c>
      <c r="ROV20" s="252">
        <v>0</v>
      </c>
      <c r="ROW20" s="252">
        <v>0</v>
      </c>
      <c r="ROX20" s="252">
        <v>0</v>
      </c>
      <c r="ROY20" s="252">
        <v>0</v>
      </c>
      <c r="ROZ20" s="252">
        <v>0</v>
      </c>
      <c r="RPA20" s="252">
        <v>0</v>
      </c>
      <c r="RPB20" s="252">
        <v>0</v>
      </c>
      <c r="RPC20" s="252">
        <v>0</v>
      </c>
      <c r="RPD20" s="252">
        <v>0</v>
      </c>
      <c r="RPE20" s="252">
        <v>0</v>
      </c>
      <c r="RPF20" s="252">
        <v>0</v>
      </c>
      <c r="RPG20" s="252">
        <v>0</v>
      </c>
      <c r="RPH20" s="252">
        <v>0</v>
      </c>
      <c r="RPI20" s="252">
        <v>0</v>
      </c>
      <c r="RPJ20" s="252">
        <v>0</v>
      </c>
      <c r="RPK20" s="252">
        <v>0</v>
      </c>
      <c r="RPL20" s="252">
        <v>0</v>
      </c>
      <c r="RPM20" s="252">
        <v>0</v>
      </c>
      <c r="RPN20" s="252">
        <v>0</v>
      </c>
      <c r="RPO20" s="252">
        <v>0</v>
      </c>
      <c r="RPP20" s="252">
        <v>0</v>
      </c>
      <c r="RPQ20" s="252">
        <v>0</v>
      </c>
      <c r="RPR20" s="252">
        <v>0</v>
      </c>
      <c r="RPS20" s="252">
        <v>0</v>
      </c>
      <c r="RPT20" s="252">
        <v>0</v>
      </c>
      <c r="RPU20" s="252">
        <v>0</v>
      </c>
      <c r="RPV20" s="252">
        <v>0</v>
      </c>
      <c r="RPW20" s="252">
        <v>0</v>
      </c>
      <c r="RPX20" s="252">
        <v>0</v>
      </c>
      <c r="RPY20" s="252">
        <v>0</v>
      </c>
      <c r="RPZ20" s="252">
        <v>0</v>
      </c>
      <c r="RQA20" s="252">
        <v>0</v>
      </c>
      <c r="RQB20" s="252">
        <v>0</v>
      </c>
      <c r="RQC20" s="252">
        <v>0</v>
      </c>
      <c r="RQD20" s="252">
        <v>0</v>
      </c>
      <c r="RQE20" s="252">
        <v>0</v>
      </c>
      <c r="RQF20" s="252">
        <v>0</v>
      </c>
      <c r="RQG20" s="252">
        <v>0</v>
      </c>
      <c r="RQH20" s="252">
        <v>0</v>
      </c>
      <c r="RQI20" s="252">
        <v>0</v>
      </c>
      <c r="RQJ20" s="252">
        <v>0</v>
      </c>
      <c r="RQK20" s="252">
        <v>0</v>
      </c>
      <c r="RQL20" s="252">
        <v>0</v>
      </c>
      <c r="RQM20" s="252">
        <v>0</v>
      </c>
      <c r="RQN20" s="252">
        <v>0</v>
      </c>
      <c r="RQO20" s="252">
        <v>0</v>
      </c>
      <c r="RQP20" s="252">
        <v>0</v>
      </c>
      <c r="RQQ20" s="252">
        <v>0</v>
      </c>
      <c r="RQR20" s="252">
        <v>0</v>
      </c>
      <c r="RQS20" s="252">
        <v>0</v>
      </c>
      <c r="RQT20" s="252">
        <v>0</v>
      </c>
      <c r="RQU20" s="252">
        <v>0</v>
      </c>
      <c r="RQV20" s="252">
        <v>0</v>
      </c>
      <c r="RQW20" s="252">
        <v>0</v>
      </c>
      <c r="RQX20" s="252">
        <v>0</v>
      </c>
      <c r="RQY20" s="252">
        <v>0</v>
      </c>
      <c r="RQZ20" s="252">
        <v>0</v>
      </c>
      <c r="RRA20" s="252">
        <v>0</v>
      </c>
      <c r="RRB20" s="252">
        <v>0</v>
      </c>
      <c r="RRC20" s="252">
        <v>0</v>
      </c>
      <c r="RRD20" s="252">
        <v>0</v>
      </c>
      <c r="RRE20" s="252">
        <v>0</v>
      </c>
      <c r="RRF20" s="252">
        <v>0</v>
      </c>
      <c r="RRG20" s="252">
        <v>0</v>
      </c>
      <c r="RRH20" s="252">
        <v>0</v>
      </c>
      <c r="RRI20" s="252">
        <v>0</v>
      </c>
      <c r="RRJ20" s="252">
        <v>0</v>
      </c>
      <c r="RRK20" s="252">
        <v>0</v>
      </c>
      <c r="RRL20" s="252">
        <v>0</v>
      </c>
      <c r="RRM20" s="252">
        <v>0</v>
      </c>
      <c r="RRN20" s="252">
        <v>0</v>
      </c>
      <c r="RRO20" s="252">
        <v>0</v>
      </c>
      <c r="RRP20" s="252">
        <v>0</v>
      </c>
      <c r="RRQ20" s="252">
        <v>0</v>
      </c>
      <c r="RRR20" s="252">
        <v>0</v>
      </c>
      <c r="RRS20" s="252">
        <v>0</v>
      </c>
      <c r="RRT20" s="252">
        <v>0</v>
      </c>
      <c r="RRU20" s="252">
        <v>0</v>
      </c>
      <c r="RRV20" s="252">
        <v>0</v>
      </c>
      <c r="RRW20" s="252">
        <v>0</v>
      </c>
      <c r="RRX20" s="252">
        <v>0</v>
      </c>
      <c r="RRY20" s="252">
        <v>0</v>
      </c>
      <c r="RRZ20" s="252">
        <v>0</v>
      </c>
      <c r="RSA20" s="252">
        <v>0</v>
      </c>
      <c r="RSB20" s="252">
        <v>0</v>
      </c>
      <c r="RSC20" s="252">
        <v>0</v>
      </c>
      <c r="RSD20" s="252">
        <v>0</v>
      </c>
      <c r="RSE20" s="252">
        <v>0</v>
      </c>
      <c r="RSF20" s="252">
        <v>0</v>
      </c>
      <c r="RSG20" s="252">
        <v>0</v>
      </c>
      <c r="RSH20" s="252">
        <v>0</v>
      </c>
      <c r="RSI20" s="252">
        <v>0</v>
      </c>
      <c r="RSJ20" s="252">
        <v>0</v>
      </c>
      <c r="RSK20" s="252">
        <v>0</v>
      </c>
      <c r="RSL20" s="252">
        <v>0</v>
      </c>
      <c r="RSM20" s="252">
        <v>0</v>
      </c>
      <c r="RSN20" s="252">
        <v>0</v>
      </c>
      <c r="RSO20" s="252">
        <v>0</v>
      </c>
      <c r="RSP20" s="252">
        <v>0</v>
      </c>
      <c r="RSQ20" s="252">
        <v>0</v>
      </c>
      <c r="RSR20" s="252">
        <v>0</v>
      </c>
      <c r="RSS20" s="252">
        <v>0</v>
      </c>
      <c r="RST20" s="252">
        <v>0</v>
      </c>
      <c r="RSU20" s="252">
        <v>0</v>
      </c>
      <c r="RSV20" s="252">
        <v>0</v>
      </c>
      <c r="RSW20" s="252">
        <v>0</v>
      </c>
      <c r="RSX20" s="252">
        <v>0</v>
      </c>
      <c r="RSY20" s="252">
        <v>0</v>
      </c>
      <c r="RSZ20" s="252">
        <v>0</v>
      </c>
      <c r="RTA20" s="252">
        <v>0</v>
      </c>
      <c r="RTB20" s="252">
        <v>0</v>
      </c>
      <c r="RTC20" s="252">
        <v>0</v>
      </c>
      <c r="RTD20" s="252">
        <v>0</v>
      </c>
      <c r="RTE20" s="252">
        <v>0</v>
      </c>
      <c r="RTF20" s="252">
        <v>0</v>
      </c>
      <c r="RTG20" s="252">
        <v>0</v>
      </c>
      <c r="RTH20" s="252">
        <v>0</v>
      </c>
      <c r="RTI20" s="252">
        <v>0</v>
      </c>
      <c r="RTJ20" s="252">
        <v>0</v>
      </c>
      <c r="RTK20" s="252">
        <v>0</v>
      </c>
      <c r="RTL20" s="252">
        <v>0</v>
      </c>
      <c r="RTM20" s="252">
        <v>0</v>
      </c>
      <c r="RTN20" s="252">
        <v>0</v>
      </c>
      <c r="RTO20" s="252">
        <v>0</v>
      </c>
      <c r="RTP20" s="252">
        <v>0</v>
      </c>
      <c r="RTQ20" s="252">
        <v>0</v>
      </c>
      <c r="RTR20" s="252">
        <v>0</v>
      </c>
      <c r="RTS20" s="252">
        <v>0</v>
      </c>
      <c r="RTT20" s="252">
        <v>0</v>
      </c>
      <c r="RTU20" s="252">
        <v>0</v>
      </c>
      <c r="RTV20" s="252">
        <v>0</v>
      </c>
      <c r="RTW20" s="252">
        <v>0</v>
      </c>
      <c r="RTX20" s="252">
        <v>0</v>
      </c>
      <c r="RTY20" s="252">
        <v>0</v>
      </c>
      <c r="RTZ20" s="252">
        <v>0</v>
      </c>
      <c r="RUA20" s="252">
        <v>0</v>
      </c>
      <c r="RUB20" s="252">
        <v>0</v>
      </c>
      <c r="RUC20" s="252">
        <v>0</v>
      </c>
      <c r="RUD20" s="252">
        <v>0</v>
      </c>
      <c r="RUE20" s="252">
        <v>0</v>
      </c>
      <c r="RUF20" s="252">
        <v>0</v>
      </c>
      <c r="RUG20" s="252">
        <v>0</v>
      </c>
      <c r="RUH20" s="252">
        <v>0</v>
      </c>
      <c r="RUI20" s="252">
        <v>0</v>
      </c>
      <c r="RUJ20" s="252">
        <v>0</v>
      </c>
      <c r="RUK20" s="252">
        <v>0</v>
      </c>
      <c r="RUL20" s="252">
        <v>0</v>
      </c>
      <c r="RUM20" s="252">
        <v>0</v>
      </c>
      <c r="RUN20" s="252">
        <v>0</v>
      </c>
      <c r="RUO20" s="252">
        <v>0</v>
      </c>
      <c r="RUP20" s="252">
        <v>0</v>
      </c>
      <c r="RUQ20" s="252">
        <v>0</v>
      </c>
      <c r="RUR20" s="252">
        <v>0</v>
      </c>
      <c r="RUS20" s="252">
        <v>0</v>
      </c>
      <c r="RUT20" s="252">
        <v>0</v>
      </c>
      <c r="RUU20" s="252">
        <v>0</v>
      </c>
      <c r="RUV20" s="252">
        <v>0</v>
      </c>
      <c r="RUW20" s="252">
        <v>0</v>
      </c>
      <c r="RUX20" s="252">
        <v>0</v>
      </c>
      <c r="RUY20" s="252">
        <v>0</v>
      </c>
      <c r="RUZ20" s="252">
        <v>0</v>
      </c>
      <c r="RVA20" s="252">
        <v>0</v>
      </c>
      <c r="RVB20" s="252">
        <v>0</v>
      </c>
      <c r="RVC20" s="252">
        <v>0</v>
      </c>
      <c r="RVD20" s="252">
        <v>0</v>
      </c>
      <c r="RVE20" s="252">
        <v>0</v>
      </c>
      <c r="RVF20" s="252">
        <v>0</v>
      </c>
      <c r="RVG20" s="252">
        <v>0</v>
      </c>
      <c r="RVH20" s="252">
        <v>0</v>
      </c>
      <c r="RVI20" s="252">
        <v>0</v>
      </c>
      <c r="RVJ20" s="252">
        <v>0</v>
      </c>
      <c r="RVK20" s="252">
        <v>0</v>
      </c>
      <c r="RVL20" s="252">
        <v>0</v>
      </c>
      <c r="RVM20" s="252">
        <v>0</v>
      </c>
      <c r="RVN20" s="252">
        <v>0</v>
      </c>
      <c r="RVO20" s="252">
        <v>0</v>
      </c>
      <c r="RVP20" s="252">
        <v>0</v>
      </c>
      <c r="RVQ20" s="252">
        <v>0</v>
      </c>
      <c r="RVR20" s="252">
        <v>0</v>
      </c>
      <c r="RVS20" s="252">
        <v>0</v>
      </c>
      <c r="RVT20" s="252">
        <v>0</v>
      </c>
      <c r="RVU20" s="252">
        <v>0</v>
      </c>
      <c r="RVV20" s="252">
        <v>0</v>
      </c>
      <c r="RVW20" s="252">
        <v>0</v>
      </c>
      <c r="RVX20" s="252">
        <v>0</v>
      </c>
      <c r="RVY20" s="252">
        <v>0</v>
      </c>
      <c r="RVZ20" s="252">
        <v>0</v>
      </c>
      <c r="RWA20" s="252">
        <v>0</v>
      </c>
      <c r="RWB20" s="252">
        <v>0</v>
      </c>
      <c r="RWC20" s="252">
        <v>0</v>
      </c>
      <c r="RWD20" s="252">
        <v>0</v>
      </c>
      <c r="RWE20" s="252">
        <v>0</v>
      </c>
      <c r="RWF20" s="252">
        <v>0</v>
      </c>
      <c r="RWG20" s="252">
        <v>0</v>
      </c>
      <c r="RWH20" s="252">
        <v>0</v>
      </c>
      <c r="RWI20" s="252">
        <v>0</v>
      </c>
      <c r="RWJ20" s="252">
        <v>0</v>
      </c>
      <c r="RWK20" s="252">
        <v>0</v>
      </c>
      <c r="RWL20" s="252">
        <v>0</v>
      </c>
      <c r="RWM20" s="252">
        <v>0</v>
      </c>
      <c r="RWN20" s="252">
        <v>0</v>
      </c>
      <c r="RWO20" s="252">
        <v>0</v>
      </c>
      <c r="RWP20" s="252">
        <v>0</v>
      </c>
      <c r="RWQ20" s="252">
        <v>0</v>
      </c>
      <c r="RWR20" s="252">
        <v>0</v>
      </c>
      <c r="RWS20" s="252">
        <v>0</v>
      </c>
      <c r="RWT20" s="252">
        <v>0</v>
      </c>
      <c r="RWU20" s="252">
        <v>0</v>
      </c>
      <c r="RWV20" s="252">
        <v>0</v>
      </c>
      <c r="RWW20" s="252">
        <v>0</v>
      </c>
      <c r="RWX20" s="252">
        <v>0</v>
      </c>
      <c r="RWY20" s="252">
        <v>0</v>
      </c>
      <c r="RWZ20" s="252">
        <v>0</v>
      </c>
      <c r="RXA20" s="252">
        <v>0</v>
      </c>
      <c r="RXB20" s="252">
        <v>0</v>
      </c>
      <c r="RXC20" s="252">
        <v>0</v>
      </c>
      <c r="RXD20" s="252">
        <v>0</v>
      </c>
      <c r="RXE20" s="252">
        <v>0</v>
      </c>
      <c r="RXF20" s="252">
        <v>0</v>
      </c>
      <c r="RXG20" s="252">
        <v>0</v>
      </c>
      <c r="RXH20" s="252">
        <v>0</v>
      </c>
      <c r="RXI20" s="252">
        <v>0</v>
      </c>
      <c r="RXJ20" s="252">
        <v>0</v>
      </c>
      <c r="RXK20" s="252">
        <v>0</v>
      </c>
      <c r="RXL20" s="252">
        <v>0</v>
      </c>
      <c r="RXM20" s="252">
        <v>0</v>
      </c>
      <c r="RXN20" s="252">
        <v>0</v>
      </c>
      <c r="RXO20" s="252">
        <v>0</v>
      </c>
      <c r="RXP20" s="252">
        <v>0</v>
      </c>
      <c r="RXQ20" s="252">
        <v>0</v>
      </c>
      <c r="RXR20" s="252">
        <v>0</v>
      </c>
      <c r="RXS20" s="252">
        <v>0</v>
      </c>
      <c r="RXT20" s="252">
        <v>0</v>
      </c>
      <c r="RXU20" s="252">
        <v>0</v>
      </c>
      <c r="RXV20" s="252">
        <v>0</v>
      </c>
      <c r="RXW20" s="252">
        <v>0</v>
      </c>
      <c r="RXX20" s="252">
        <v>0</v>
      </c>
      <c r="RXY20" s="252">
        <v>0</v>
      </c>
      <c r="RXZ20" s="252">
        <v>0</v>
      </c>
      <c r="RYA20" s="252">
        <v>0</v>
      </c>
      <c r="RYB20" s="252">
        <v>0</v>
      </c>
      <c r="RYC20" s="252">
        <v>0</v>
      </c>
      <c r="RYD20" s="252">
        <v>0</v>
      </c>
      <c r="RYE20" s="252">
        <v>0</v>
      </c>
      <c r="RYF20" s="252">
        <v>0</v>
      </c>
      <c r="RYG20" s="252">
        <v>0</v>
      </c>
      <c r="RYH20" s="252">
        <v>0</v>
      </c>
      <c r="RYI20" s="252">
        <v>0</v>
      </c>
      <c r="RYJ20" s="252">
        <v>0</v>
      </c>
      <c r="RYK20" s="252">
        <v>0</v>
      </c>
      <c r="RYL20" s="252">
        <v>0</v>
      </c>
      <c r="RYM20" s="252">
        <v>0</v>
      </c>
      <c r="RYN20" s="252">
        <v>0</v>
      </c>
      <c r="RYO20" s="252">
        <v>0</v>
      </c>
      <c r="RYP20" s="252">
        <v>0</v>
      </c>
      <c r="RYQ20" s="252">
        <v>0</v>
      </c>
      <c r="RYR20" s="252">
        <v>0</v>
      </c>
      <c r="RYS20" s="252">
        <v>0</v>
      </c>
      <c r="RYT20" s="252">
        <v>0</v>
      </c>
      <c r="RYU20" s="252">
        <v>0</v>
      </c>
      <c r="RYV20" s="252">
        <v>0</v>
      </c>
      <c r="RYW20" s="252">
        <v>0</v>
      </c>
      <c r="RYX20" s="252">
        <v>0</v>
      </c>
      <c r="RYY20" s="252">
        <v>0</v>
      </c>
      <c r="RYZ20" s="252">
        <v>0</v>
      </c>
      <c r="RZA20" s="252">
        <v>0</v>
      </c>
      <c r="RZB20" s="252">
        <v>0</v>
      </c>
      <c r="RZC20" s="252">
        <v>0</v>
      </c>
      <c r="RZD20" s="252">
        <v>0</v>
      </c>
      <c r="RZE20" s="252">
        <v>0</v>
      </c>
      <c r="RZF20" s="252">
        <v>0</v>
      </c>
      <c r="RZG20" s="252">
        <v>0</v>
      </c>
      <c r="RZH20" s="252">
        <v>0</v>
      </c>
      <c r="RZI20" s="252">
        <v>0</v>
      </c>
      <c r="RZJ20" s="252">
        <v>0</v>
      </c>
      <c r="RZK20" s="252">
        <v>0</v>
      </c>
      <c r="RZL20" s="252">
        <v>0</v>
      </c>
      <c r="RZM20" s="252">
        <v>0</v>
      </c>
      <c r="RZN20" s="252">
        <v>0</v>
      </c>
      <c r="RZO20" s="252">
        <v>0</v>
      </c>
      <c r="RZP20" s="252">
        <v>0</v>
      </c>
      <c r="RZQ20" s="252">
        <v>0</v>
      </c>
      <c r="RZR20" s="252">
        <v>0</v>
      </c>
      <c r="RZS20" s="252">
        <v>0</v>
      </c>
      <c r="RZT20" s="252">
        <v>0</v>
      </c>
      <c r="RZU20" s="252">
        <v>0</v>
      </c>
      <c r="RZV20" s="252">
        <v>0</v>
      </c>
      <c r="RZW20" s="252">
        <v>0</v>
      </c>
      <c r="RZX20" s="252">
        <v>0</v>
      </c>
      <c r="RZY20" s="252">
        <v>0</v>
      </c>
      <c r="RZZ20" s="252">
        <v>0</v>
      </c>
      <c r="SAA20" s="252">
        <v>0</v>
      </c>
      <c r="SAB20" s="252">
        <v>0</v>
      </c>
      <c r="SAC20" s="252">
        <v>0</v>
      </c>
      <c r="SAD20" s="252">
        <v>0</v>
      </c>
      <c r="SAE20" s="252">
        <v>0</v>
      </c>
      <c r="SAF20" s="252">
        <v>0</v>
      </c>
      <c r="SAG20" s="252">
        <v>0</v>
      </c>
      <c r="SAH20" s="252">
        <v>0</v>
      </c>
      <c r="SAI20" s="252">
        <v>0</v>
      </c>
      <c r="SAJ20" s="252">
        <v>0</v>
      </c>
      <c r="SAK20" s="252">
        <v>0</v>
      </c>
      <c r="SAL20" s="252">
        <v>0</v>
      </c>
      <c r="SAM20" s="252">
        <v>0</v>
      </c>
      <c r="SAN20" s="252">
        <v>0</v>
      </c>
      <c r="SAO20" s="252">
        <v>0</v>
      </c>
      <c r="SAP20" s="252">
        <v>0</v>
      </c>
      <c r="SAQ20" s="252">
        <v>0</v>
      </c>
      <c r="SAR20" s="252">
        <v>0</v>
      </c>
      <c r="SAS20" s="252">
        <v>0</v>
      </c>
      <c r="SAT20" s="252">
        <v>0</v>
      </c>
      <c r="SAU20" s="252">
        <v>0</v>
      </c>
      <c r="SAV20" s="252">
        <v>0</v>
      </c>
      <c r="SAW20" s="252">
        <v>0</v>
      </c>
      <c r="SAX20" s="252">
        <v>0</v>
      </c>
      <c r="SAY20" s="252">
        <v>0</v>
      </c>
      <c r="SAZ20" s="252">
        <v>0</v>
      </c>
      <c r="SBA20" s="252">
        <v>0</v>
      </c>
      <c r="SBB20" s="252">
        <v>0</v>
      </c>
      <c r="SBC20" s="252">
        <v>0</v>
      </c>
      <c r="SBD20" s="252">
        <v>0</v>
      </c>
      <c r="SBE20" s="252">
        <v>0</v>
      </c>
      <c r="SBF20" s="252">
        <v>0</v>
      </c>
      <c r="SBG20" s="252">
        <v>0</v>
      </c>
      <c r="SBH20" s="252">
        <v>0</v>
      </c>
      <c r="SBI20" s="252">
        <v>0</v>
      </c>
      <c r="SBJ20" s="252">
        <v>0</v>
      </c>
      <c r="SBK20" s="252">
        <v>0</v>
      </c>
      <c r="SBL20" s="252">
        <v>0</v>
      </c>
      <c r="SBM20" s="252">
        <v>0</v>
      </c>
      <c r="SBN20" s="252">
        <v>0</v>
      </c>
      <c r="SBO20" s="252">
        <v>0</v>
      </c>
      <c r="SBP20" s="252">
        <v>0</v>
      </c>
      <c r="SBQ20" s="252">
        <v>0</v>
      </c>
      <c r="SBR20" s="252">
        <v>0</v>
      </c>
      <c r="SBS20" s="252">
        <v>0</v>
      </c>
      <c r="SBT20" s="252">
        <v>0</v>
      </c>
      <c r="SBU20" s="252">
        <v>0</v>
      </c>
      <c r="SBV20" s="252">
        <v>0</v>
      </c>
      <c r="SBW20" s="252">
        <v>0</v>
      </c>
      <c r="SBX20" s="252">
        <v>0</v>
      </c>
      <c r="SBY20" s="252">
        <v>0</v>
      </c>
      <c r="SBZ20" s="252">
        <v>0</v>
      </c>
      <c r="SCA20" s="252">
        <v>0</v>
      </c>
      <c r="SCB20" s="252">
        <v>0</v>
      </c>
      <c r="SCC20" s="252">
        <v>0</v>
      </c>
      <c r="SCD20" s="252">
        <v>0</v>
      </c>
      <c r="SCE20" s="252">
        <v>0</v>
      </c>
      <c r="SCF20" s="252">
        <v>0</v>
      </c>
      <c r="SCG20" s="252">
        <v>0</v>
      </c>
      <c r="SCH20" s="252">
        <v>0</v>
      </c>
      <c r="SCI20" s="252">
        <v>0</v>
      </c>
      <c r="SCJ20" s="252">
        <v>0</v>
      </c>
      <c r="SCK20" s="252">
        <v>0</v>
      </c>
      <c r="SCL20" s="252">
        <v>0</v>
      </c>
      <c r="SCM20" s="252">
        <v>0</v>
      </c>
      <c r="SCN20" s="252">
        <v>0</v>
      </c>
      <c r="SCO20" s="252">
        <v>0</v>
      </c>
      <c r="SCP20" s="252">
        <v>0</v>
      </c>
      <c r="SCQ20" s="252">
        <v>0</v>
      </c>
      <c r="SCR20" s="252">
        <v>0</v>
      </c>
      <c r="SCS20" s="252">
        <v>0</v>
      </c>
      <c r="SCT20" s="252">
        <v>0</v>
      </c>
      <c r="SCU20" s="252">
        <v>0</v>
      </c>
      <c r="SCV20" s="252">
        <v>0</v>
      </c>
      <c r="SCW20" s="252">
        <v>0</v>
      </c>
      <c r="SCX20" s="252">
        <v>0</v>
      </c>
      <c r="SCY20" s="252">
        <v>0</v>
      </c>
      <c r="SCZ20" s="252">
        <v>0</v>
      </c>
      <c r="SDA20" s="252">
        <v>0</v>
      </c>
      <c r="SDB20" s="252">
        <v>0</v>
      </c>
      <c r="SDC20" s="252">
        <v>0</v>
      </c>
      <c r="SDD20" s="252">
        <v>0</v>
      </c>
      <c r="SDE20" s="252">
        <v>0</v>
      </c>
      <c r="SDF20" s="252">
        <v>0</v>
      </c>
      <c r="SDG20" s="252">
        <v>0</v>
      </c>
      <c r="SDH20" s="252">
        <v>0</v>
      </c>
      <c r="SDI20" s="252">
        <v>0</v>
      </c>
      <c r="SDJ20" s="252">
        <v>0</v>
      </c>
      <c r="SDK20" s="252">
        <v>0</v>
      </c>
      <c r="SDL20" s="252">
        <v>0</v>
      </c>
      <c r="SDM20" s="252">
        <v>0</v>
      </c>
      <c r="SDN20" s="252">
        <v>0</v>
      </c>
      <c r="SDO20" s="252">
        <v>0</v>
      </c>
      <c r="SDP20" s="252">
        <v>0</v>
      </c>
      <c r="SDQ20" s="252">
        <v>0</v>
      </c>
      <c r="SDR20" s="252">
        <v>0</v>
      </c>
      <c r="SDS20" s="252">
        <v>0</v>
      </c>
      <c r="SDT20" s="252">
        <v>0</v>
      </c>
      <c r="SDU20" s="252">
        <v>0</v>
      </c>
      <c r="SDV20" s="252">
        <v>0</v>
      </c>
      <c r="SDW20" s="252">
        <v>0</v>
      </c>
      <c r="SDX20" s="252">
        <v>0</v>
      </c>
      <c r="SDY20" s="252">
        <v>0</v>
      </c>
      <c r="SDZ20" s="252">
        <v>0</v>
      </c>
      <c r="SEA20" s="252">
        <v>0</v>
      </c>
      <c r="SEB20" s="252">
        <v>0</v>
      </c>
      <c r="SEC20" s="252">
        <v>0</v>
      </c>
      <c r="SED20" s="252">
        <v>0</v>
      </c>
      <c r="SEE20" s="252">
        <v>0</v>
      </c>
      <c r="SEF20" s="252">
        <v>0</v>
      </c>
      <c r="SEG20" s="252">
        <v>0</v>
      </c>
      <c r="SEH20" s="252">
        <v>0</v>
      </c>
      <c r="SEI20" s="252">
        <v>0</v>
      </c>
      <c r="SEJ20" s="252">
        <v>0</v>
      </c>
      <c r="SEK20" s="252">
        <v>0</v>
      </c>
      <c r="SEL20" s="252">
        <v>0</v>
      </c>
      <c r="SEM20" s="252">
        <v>0</v>
      </c>
      <c r="SEN20" s="252">
        <v>0</v>
      </c>
      <c r="SEO20" s="252">
        <v>0</v>
      </c>
      <c r="SEP20" s="252">
        <v>0</v>
      </c>
      <c r="SEQ20" s="252">
        <v>0</v>
      </c>
      <c r="SER20" s="252">
        <v>0</v>
      </c>
      <c r="SES20" s="252">
        <v>0</v>
      </c>
      <c r="SET20" s="252">
        <v>0</v>
      </c>
      <c r="SEU20" s="252">
        <v>0</v>
      </c>
      <c r="SEV20" s="252">
        <v>0</v>
      </c>
      <c r="SEW20" s="252">
        <v>0</v>
      </c>
      <c r="SEX20" s="252">
        <v>0</v>
      </c>
      <c r="SEY20" s="252">
        <v>0</v>
      </c>
      <c r="SEZ20" s="252">
        <v>0</v>
      </c>
      <c r="SFA20" s="252">
        <v>0</v>
      </c>
      <c r="SFB20" s="252">
        <v>0</v>
      </c>
      <c r="SFC20" s="252">
        <v>0</v>
      </c>
      <c r="SFD20" s="252">
        <v>0</v>
      </c>
      <c r="SFE20" s="252">
        <v>0</v>
      </c>
      <c r="SFF20" s="252">
        <v>0</v>
      </c>
      <c r="SFG20" s="252">
        <v>0</v>
      </c>
      <c r="SFH20" s="252">
        <v>0</v>
      </c>
      <c r="SFI20" s="252">
        <v>0</v>
      </c>
      <c r="SFJ20" s="252">
        <v>0</v>
      </c>
      <c r="SFK20" s="252">
        <v>0</v>
      </c>
      <c r="SFL20" s="252">
        <v>0</v>
      </c>
      <c r="SFM20" s="252">
        <v>0</v>
      </c>
      <c r="SFN20" s="252">
        <v>0</v>
      </c>
      <c r="SFO20" s="252">
        <v>0</v>
      </c>
      <c r="SFP20" s="252">
        <v>0</v>
      </c>
      <c r="SFQ20" s="252">
        <v>0</v>
      </c>
      <c r="SFR20" s="252">
        <v>0</v>
      </c>
      <c r="SFS20" s="252">
        <v>0</v>
      </c>
      <c r="SFT20" s="252">
        <v>0</v>
      </c>
      <c r="SFU20" s="252">
        <v>0</v>
      </c>
      <c r="SFV20" s="252">
        <v>0</v>
      </c>
      <c r="SFW20" s="252">
        <v>0</v>
      </c>
      <c r="SFX20" s="252">
        <v>0</v>
      </c>
      <c r="SFY20" s="252">
        <v>0</v>
      </c>
      <c r="SFZ20" s="252">
        <v>0</v>
      </c>
      <c r="SGA20" s="252">
        <v>0</v>
      </c>
      <c r="SGB20" s="252">
        <v>0</v>
      </c>
      <c r="SGC20" s="252">
        <v>0</v>
      </c>
      <c r="SGD20" s="252">
        <v>0</v>
      </c>
      <c r="SGE20" s="252">
        <v>0</v>
      </c>
      <c r="SGF20" s="252">
        <v>0</v>
      </c>
      <c r="SGG20" s="252">
        <v>0</v>
      </c>
      <c r="SGH20" s="252">
        <v>0</v>
      </c>
      <c r="SGI20" s="252">
        <v>0</v>
      </c>
      <c r="SGJ20" s="252">
        <v>0</v>
      </c>
      <c r="SGK20" s="252">
        <v>0</v>
      </c>
      <c r="SGL20" s="252">
        <v>0</v>
      </c>
      <c r="SGM20" s="252">
        <v>0</v>
      </c>
      <c r="SGN20" s="252">
        <v>0</v>
      </c>
      <c r="SGO20" s="252">
        <v>0</v>
      </c>
      <c r="SGP20" s="252">
        <v>0</v>
      </c>
      <c r="SGQ20" s="252">
        <v>0</v>
      </c>
      <c r="SGR20" s="252">
        <v>0</v>
      </c>
      <c r="SGS20" s="252">
        <v>0</v>
      </c>
      <c r="SGT20" s="252">
        <v>0</v>
      </c>
      <c r="SGU20" s="252">
        <v>0</v>
      </c>
      <c r="SGV20" s="252">
        <v>0</v>
      </c>
      <c r="SGW20" s="252">
        <v>0</v>
      </c>
      <c r="SGX20" s="252">
        <v>0</v>
      </c>
      <c r="SGY20" s="252">
        <v>0</v>
      </c>
      <c r="SGZ20" s="252">
        <v>0</v>
      </c>
      <c r="SHA20" s="252">
        <v>0</v>
      </c>
      <c r="SHB20" s="252">
        <v>0</v>
      </c>
      <c r="SHC20" s="252">
        <v>0</v>
      </c>
      <c r="SHD20" s="252">
        <v>0</v>
      </c>
      <c r="SHE20" s="252">
        <v>0</v>
      </c>
      <c r="SHF20" s="252">
        <v>0</v>
      </c>
      <c r="SHG20" s="252">
        <v>0</v>
      </c>
      <c r="SHH20" s="252">
        <v>0</v>
      </c>
      <c r="SHI20" s="252">
        <v>0</v>
      </c>
      <c r="SHJ20" s="252">
        <v>0</v>
      </c>
      <c r="SHK20" s="252">
        <v>0</v>
      </c>
      <c r="SHL20" s="252">
        <v>0</v>
      </c>
      <c r="SHM20" s="252">
        <v>0</v>
      </c>
      <c r="SHN20" s="252">
        <v>0</v>
      </c>
      <c r="SHO20" s="252">
        <v>0</v>
      </c>
      <c r="SHP20" s="252">
        <v>0</v>
      </c>
      <c r="SHQ20" s="252">
        <v>0</v>
      </c>
      <c r="SHR20" s="252">
        <v>0</v>
      </c>
      <c r="SHS20" s="252">
        <v>0</v>
      </c>
      <c r="SHT20" s="252">
        <v>0</v>
      </c>
      <c r="SHU20" s="252">
        <v>0</v>
      </c>
      <c r="SHV20" s="252">
        <v>0</v>
      </c>
      <c r="SHW20" s="252">
        <v>0</v>
      </c>
      <c r="SHX20" s="252">
        <v>0</v>
      </c>
      <c r="SHY20" s="252">
        <v>0</v>
      </c>
      <c r="SHZ20" s="252">
        <v>0</v>
      </c>
      <c r="SIA20" s="252">
        <v>0</v>
      </c>
      <c r="SIB20" s="252">
        <v>0</v>
      </c>
      <c r="SIC20" s="252">
        <v>0</v>
      </c>
      <c r="SID20" s="252">
        <v>0</v>
      </c>
      <c r="SIE20" s="252">
        <v>0</v>
      </c>
      <c r="SIF20" s="252">
        <v>0</v>
      </c>
      <c r="SIG20" s="252">
        <v>0</v>
      </c>
      <c r="SIH20" s="252">
        <v>0</v>
      </c>
      <c r="SII20" s="252">
        <v>0</v>
      </c>
      <c r="SIJ20" s="252">
        <v>0</v>
      </c>
      <c r="SIK20" s="252">
        <v>0</v>
      </c>
      <c r="SIL20" s="252">
        <v>0</v>
      </c>
      <c r="SIM20" s="252">
        <v>0</v>
      </c>
      <c r="SIN20" s="252">
        <v>0</v>
      </c>
      <c r="SIO20" s="252">
        <v>0</v>
      </c>
      <c r="SIP20" s="252">
        <v>0</v>
      </c>
      <c r="SIQ20" s="252">
        <v>0</v>
      </c>
      <c r="SIR20" s="252">
        <v>0</v>
      </c>
      <c r="SIS20" s="252">
        <v>0</v>
      </c>
      <c r="SIT20" s="252">
        <v>0</v>
      </c>
      <c r="SIU20" s="252">
        <v>0</v>
      </c>
      <c r="SIV20" s="252">
        <v>0</v>
      </c>
      <c r="SIW20" s="252">
        <v>0</v>
      </c>
      <c r="SIX20" s="252">
        <v>0</v>
      </c>
      <c r="SIY20" s="252">
        <v>0</v>
      </c>
      <c r="SIZ20" s="252">
        <v>0</v>
      </c>
      <c r="SJA20" s="252">
        <v>0</v>
      </c>
      <c r="SJB20" s="252">
        <v>0</v>
      </c>
      <c r="SJC20" s="252">
        <v>0</v>
      </c>
      <c r="SJD20" s="252">
        <v>0</v>
      </c>
      <c r="SJE20" s="252">
        <v>0</v>
      </c>
      <c r="SJF20" s="252">
        <v>0</v>
      </c>
      <c r="SJG20" s="252">
        <v>0</v>
      </c>
      <c r="SJH20" s="252">
        <v>0</v>
      </c>
      <c r="SJI20" s="252">
        <v>0</v>
      </c>
      <c r="SJJ20" s="252">
        <v>0</v>
      </c>
      <c r="SJK20" s="252">
        <v>0</v>
      </c>
      <c r="SJL20" s="252">
        <v>0</v>
      </c>
      <c r="SJM20" s="252">
        <v>0</v>
      </c>
      <c r="SJN20" s="252">
        <v>0</v>
      </c>
      <c r="SJO20" s="252">
        <v>0</v>
      </c>
      <c r="SJP20" s="252">
        <v>0</v>
      </c>
      <c r="SJQ20" s="252">
        <v>0</v>
      </c>
      <c r="SJR20" s="252">
        <v>0</v>
      </c>
      <c r="SJS20" s="252">
        <v>0</v>
      </c>
      <c r="SJT20" s="252">
        <v>0</v>
      </c>
      <c r="SJU20" s="252">
        <v>0</v>
      </c>
      <c r="SJV20" s="252">
        <v>0</v>
      </c>
      <c r="SJW20" s="252">
        <v>0</v>
      </c>
      <c r="SJX20" s="252">
        <v>0</v>
      </c>
      <c r="SJY20" s="252">
        <v>0</v>
      </c>
      <c r="SJZ20" s="252">
        <v>0</v>
      </c>
      <c r="SKA20" s="252">
        <v>0</v>
      </c>
      <c r="SKB20" s="252">
        <v>0</v>
      </c>
      <c r="SKC20" s="252">
        <v>0</v>
      </c>
      <c r="SKD20" s="252">
        <v>0</v>
      </c>
      <c r="SKE20" s="252">
        <v>0</v>
      </c>
      <c r="SKF20" s="252">
        <v>0</v>
      </c>
      <c r="SKG20" s="252">
        <v>0</v>
      </c>
      <c r="SKH20" s="252">
        <v>0</v>
      </c>
      <c r="SKI20" s="252">
        <v>0</v>
      </c>
      <c r="SKJ20" s="252">
        <v>0</v>
      </c>
      <c r="SKK20" s="252">
        <v>0</v>
      </c>
      <c r="SKL20" s="252">
        <v>0</v>
      </c>
      <c r="SKM20" s="252">
        <v>0</v>
      </c>
      <c r="SKN20" s="252">
        <v>0</v>
      </c>
      <c r="SKO20" s="252">
        <v>0</v>
      </c>
      <c r="SKP20" s="252">
        <v>0</v>
      </c>
      <c r="SKQ20" s="252">
        <v>0</v>
      </c>
      <c r="SKR20" s="252">
        <v>0</v>
      </c>
      <c r="SKS20" s="252">
        <v>0</v>
      </c>
      <c r="SKT20" s="252">
        <v>0</v>
      </c>
      <c r="SKU20" s="252">
        <v>0</v>
      </c>
      <c r="SKV20" s="252">
        <v>0</v>
      </c>
      <c r="SKW20" s="252">
        <v>0</v>
      </c>
      <c r="SKX20" s="252">
        <v>0</v>
      </c>
      <c r="SKY20" s="252">
        <v>0</v>
      </c>
      <c r="SKZ20" s="252">
        <v>0</v>
      </c>
      <c r="SLA20" s="252">
        <v>0</v>
      </c>
      <c r="SLB20" s="252">
        <v>0</v>
      </c>
      <c r="SLC20" s="252">
        <v>0</v>
      </c>
      <c r="SLD20" s="252">
        <v>0</v>
      </c>
      <c r="SLE20" s="252">
        <v>0</v>
      </c>
      <c r="SLF20" s="252">
        <v>0</v>
      </c>
      <c r="SLG20" s="252">
        <v>0</v>
      </c>
      <c r="SLH20" s="252">
        <v>0</v>
      </c>
      <c r="SLI20" s="252">
        <v>0</v>
      </c>
      <c r="SLJ20" s="252">
        <v>0</v>
      </c>
      <c r="SLK20" s="252">
        <v>0</v>
      </c>
      <c r="SLL20" s="252">
        <v>0</v>
      </c>
      <c r="SLM20" s="252">
        <v>0</v>
      </c>
      <c r="SLN20" s="252">
        <v>0</v>
      </c>
      <c r="SLO20" s="252">
        <v>0</v>
      </c>
      <c r="SLP20" s="252">
        <v>0</v>
      </c>
      <c r="SLQ20" s="252">
        <v>0</v>
      </c>
      <c r="SLR20" s="252">
        <v>0</v>
      </c>
      <c r="SLS20" s="252">
        <v>0</v>
      </c>
      <c r="SLT20" s="252">
        <v>0</v>
      </c>
      <c r="SLU20" s="252">
        <v>0</v>
      </c>
      <c r="SLV20" s="252">
        <v>0</v>
      </c>
      <c r="SLW20" s="252">
        <v>0</v>
      </c>
      <c r="SLX20" s="252">
        <v>0</v>
      </c>
      <c r="SLY20" s="252">
        <v>0</v>
      </c>
      <c r="SLZ20" s="252">
        <v>0</v>
      </c>
      <c r="SMA20" s="252">
        <v>0</v>
      </c>
      <c r="SMB20" s="252">
        <v>0</v>
      </c>
      <c r="SMC20" s="252">
        <v>0</v>
      </c>
      <c r="SMD20" s="252">
        <v>0</v>
      </c>
      <c r="SME20" s="252">
        <v>0</v>
      </c>
      <c r="SMF20" s="252">
        <v>0</v>
      </c>
      <c r="SMG20" s="252">
        <v>0</v>
      </c>
      <c r="SMH20" s="252">
        <v>0</v>
      </c>
      <c r="SMI20" s="252">
        <v>0</v>
      </c>
      <c r="SMJ20" s="252">
        <v>0</v>
      </c>
      <c r="SMK20" s="252">
        <v>0</v>
      </c>
      <c r="SML20" s="252">
        <v>0</v>
      </c>
      <c r="SMM20" s="252">
        <v>0</v>
      </c>
      <c r="SMN20" s="252">
        <v>0</v>
      </c>
      <c r="SMO20" s="252">
        <v>0</v>
      </c>
      <c r="SMP20" s="252">
        <v>0</v>
      </c>
      <c r="SMQ20" s="252">
        <v>0</v>
      </c>
      <c r="SMR20" s="252">
        <v>0</v>
      </c>
      <c r="SMS20" s="252">
        <v>0</v>
      </c>
      <c r="SMT20" s="252">
        <v>0</v>
      </c>
      <c r="SMU20" s="252">
        <v>0</v>
      </c>
      <c r="SMV20" s="252">
        <v>0</v>
      </c>
      <c r="SMW20" s="252">
        <v>0</v>
      </c>
      <c r="SMX20" s="252">
        <v>0</v>
      </c>
      <c r="SMY20" s="252">
        <v>0</v>
      </c>
      <c r="SMZ20" s="252">
        <v>0</v>
      </c>
      <c r="SNA20" s="252">
        <v>0</v>
      </c>
      <c r="SNB20" s="252">
        <v>0</v>
      </c>
      <c r="SNC20" s="252">
        <v>0</v>
      </c>
      <c r="SND20" s="252">
        <v>0</v>
      </c>
      <c r="SNE20" s="252">
        <v>0</v>
      </c>
      <c r="SNF20" s="252">
        <v>0</v>
      </c>
      <c r="SNG20" s="252">
        <v>0</v>
      </c>
      <c r="SNH20" s="252">
        <v>0</v>
      </c>
      <c r="SNI20" s="252">
        <v>0</v>
      </c>
      <c r="SNJ20" s="252">
        <v>0</v>
      </c>
      <c r="SNK20" s="252">
        <v>0</v>
      </c>
      <c r="SNL20" s="252">
        <v>0</v>
      </c>
      <c r="SNM20" s="252">
        <v>0</v>
      </c>
      <c r="SNN20" s="252">
        <v>0</v>
      </c>
      <c r="SNO20" s="252">
        <v>0</v>
      </c>
      <c r="SNP20" s="252">
        <v>0</v>
      </c>
      <c r="SNQ20" s="252">
        <v>0</v>
      </c>
      <c r="SNR20" s="252">
        <v>0</v>
      </c>
      <c r="SNS20" s="252">
        <v>0</v>
      </c>
      <c r="SNT20" s="252">
        <v>0</v>
      </c>
      <c r="SNU20" s="252">
        <v>0</v>
      </c>
      <c r="SNV20" s="252">
        <v>0</v>
      </c>
      <c r="SNW20" s="252">
        <v>0</v>
      </c>
      <c r="SNX20" s="252">
        <v>0</v>
      </c>
      <c r="SNY20" s="252">
        <v>0</v>
      </c>
      <c r="SNZ20" s="252">
        <v>0</v>
      </c>
      <c r="SOA20" s="252">
        <v>0</v>
      </c>
      <c r="SOB20" s="252">
        <v>0</v>
      </c>
      <c r="SOC20" s="252">
        <v>0</v>
      </c>
      <c r="SOD20" s="252">
        <v>0</v>
      </c>
      <c r="SOE20" s="252">
        <v>0</v>
      </c>
      <c r="SOF20" s="252">
        <v>0</v>
      </c>
      <c r="SOG20" s="252">
        <v>0</v>
      </c>
      <c r="SOH20" s="252">
        <v>0</v>
      </c>
      <c r="SOI20" s="252">
        <v>0</v>
      </c>
      <c r="SOJ20" s="252">
        <v>0</v>
      </c>
      <c r="SOK20" s="252">
        <v>0</v>
      </c>
      <c r="SOL20" s="252">
        <v>0</v>
      </c>
      <c r="SOM20" s="252">
        <v>0</v>
      </c>
      <c r="SON20" s="252">
        <v>0</v>
      </c>
      <c r="SOO20" s="252">
        <v>0</v>
      </c>
      <c r="SOP20" s="252">
        <v>0</v>
      </c>
      <c r="SOQ20" s="252">
        <v>0</v>
      </c>
      <c r="SOR20" s="252">
        <v>0</v>
      </c>
      <c r="SOS20" s="252">
        <v>0</v>
      </c>
      <c r="SOT20" s="252">
        <v>0</v>
      </c>
      <c r="SOU20" s="252">
        <v>0</v>
      </c>
      <c r="SOV20" s="252">
        <v>0</v>
      </c>
      <c r="SOW20" s="252">
        <v>0</v>
      </c>
      <c r="SOX20" s="252">
        <v>0</v>
      </c>
      <c r="SOY20" s="252">
        <v>0</v>
      </c>
      <c r="SOZ20" s="252">
        <v>0</v>
      </c>
      <c r="SPA20" s="252">
        <v>0</v>
      </c>
      <c r="SPB20" s="252">
        <v>0</v>
      </c>
      <c r="SPC20" s="252">
        <v>0</v>
      </c>
      <c r="SPD20" s="252">
        <v>0</v>
      </c>
      <c r="SPE20" s="252">
        <v>0</v>
      </c>
      <c r="SPF20" s="252">
        <v>0</v>
      </c>
      <c r="SPG20" s="252">
        <v>0</v>
      </c>
      <c r="SPH20" s="252">
        <v>0</v>
      </c>
      <c r="SPI20" s="252">
        <v>0</v>
      </c>
      <c r="SPJ20" s="252">
        <v>0</v>
      </c>
      <c r="SPK20" s="252">
        <v>0</v>
      </c>
      <c r="SPL20" s="252">
        <v>0</v>
      </c>
      <c r="SPM20" s="252">
        <v>0</v>
      </c>
      <c r="SPN20" s="252">
        <v>0</v>
      </c>
      <c r="SPO20" s="252">
        <v>0</v>
      </c>
      <c r="SPP20" s="252">
        <v>0</v>
      </c>
      <c r="SPQ20" s="252">
        <v>0</v>
      </c>
      <c r="SPR20" s="252">
        <v>0</v>
      </c>
      <c r="SPS20" s="252">
        <v>0</v>
      </c>
      <c r="SPT20" s="252">
        <v>0</v>
      </c>
      <c r="SPU20" s="252">
        <v>0</v>
      </c>
      <c r="SPV20" s="252">
        <v>0</v>
      </c>
      <c r="SPW20" s="252">
        <v>0</v>
      </c>
      <c r="SPX20" s="252">
        <v>0</v>
      </c>
      <c r="SPY20" s="252">
        <v>0</v>
      </c>
      <c r="SPZ20" s="252">
        <v>0</v>
      </c>
      <c r="SQA20" s="252">
        <v>0</v>
      </c>
      <c r="SQB20" s="252">
        <v>0</v>
      </c>
      <c r="SQC20" s="252">
        <v>0</v>
      </c>
      <c r="SQD20" s="252">
        <v>0</v>
      </c>
      <c r="SQE20" s="252">
        <v>0</v>
      </c>
      <c r="SQF20" s="252">
        <v>0</v>
      </c>
      <c r="SQG20" s="252">
        <v>0</v>
      </c>
      <c r="SQH20" s="252">
        <v>0</v>
      </c>
      <c r="SQI20" s="252">
        <v>0</v>
      </c>
      <c r="SQJ20" s="252">
        <v>0</v>
      </c>
      <c r="SQK20" s="252">
        <v>0</v>
      </c>
      <c r="SQL20" s="252">
        <v>0</v>
      </c>
      <c r="SQM20" s="252">
        <v>0</v>
      </c>
      <c r="SQN20" s="252">
        <v>0</v>
      </c>
      <c r="SQO20" s="252">
        <v>0</v>
      </c>
      <c r="SQP20" s="252">
        <v>0</v>
      </c>
      <c r="SQQ20" s="252">
        <v>0</v>
      </c>
      <c r="SQR20" s="252">
        <v>0</v>
      </c>
      <c r="SQS20" s="252">
        <v>0</v>
      </c>
      <c r="SQT20" s="252">
        <v>0</v>
      </c>
      <c r="SQU20" s="252">
        <v>0</v>
      </c>
      <c r="SQV20" s="252">
        <v>0</v>
      </c>
      <c r="SQW20" s="252">
        <v>0</v>
      </c>
      <c r="SQX20" s="252">
        <v>0</v>
      </c>
      <c r="SQY20" s="252">
        <v>0</v>
      </c>
      <c r="SQZ20" s="252">
        <v>0</v>
      </c>
      <c r="SRA20" s="252">
        <v>0</v>
      </c>
      <c r="SRB20" s="252">
        <v>0</v>
      </c>
      <c r="SRC20" s="252">
        <v>0</v>
      </c>
      <c r="SRD20" s="252">
        <v>0</v>
      </c>
      <c r="SRE20" s="252">
        <v>0</v>
      </c>
      <c r="SRF20" s="252">
        <v>0</v>
      </c>
      <c r="SRG20" s="252">
        <v>0</v>
      </c>
      <c r="SRH20" s="252">
        <v>0</v>
      </c>
      <c r="SRI20" s="252">
        <v>0</v>
      </c>
      <c r="SRJ20" s="252">
        <v>0</v>
      </c>
      <c r="SRK20" s="252">
        <v>0</v>
      </c>
      <c r="SRL20" s="252">
        <v>0</v>
      </c>
      <c r="SRM20" s="252">
        <v>0</v>
      </c>
      <c r="SRN20" s="252">
        <v>0</v>
      </c>
      <c r="SRO20" s="252">
        <v>0</v>
      </c>
      <c r="SRP20" s="252">
        <v>0</v>
      </c>
      <c r="SRQ20" s="252">
        <v>0</v>
      </c>
      <c r="SRR20" s="252">
        <v>0</v>
      </c>
      <c r="SRS20" s="252">
        <v>0</v>
      </c>
      <c r="SRT20" s="252">
        <v>0</v>
      </c>
      <c r="SRU20" s="252">
        <v>0</v>
      </c>
      <c r="SRV20" s="252">
        <v>0</v>
      </c>
      <c r="SRW20" s="252">
        <v>0</v>
      </c>
      <c r="SRX20" s="252">
        <v>0</v>
      </c>
      <c r="SRY20" s="252">
        <v>0</v>
      </c>
      <c r="SRZ20" s="252">
        <v>0</v>
      </c>
      <c r="SSA20" s="252">
        <v>0</v>
      </c>
      <c r="SSB20" s="252">
        <v>0</v>
      </c>
      <c r="SSC20" s="252">
        <v>0</v>
      </c>
      <c r="SSD20" s="252">
        <v>0</v>
      </c>
      <c r="SSE20" s="252">
        <v>0</v>
      </c>
      <c r="SSF20" s="252">
        <v>0</v>
      </c>
      <c r="SSG20" s="252">
        <v>0</v>
      </c>
      <c r="SSH20" s="252">
        <v>0</v>
      </c>
      <c r="SSI20" s="252">
        <v>0</v>
      </c>
      <c r="SSJ20" s="252">
        <v>0</v>
      </c>
      <c r="SSK20" s="252">
        <v>0</v>
      </c>
      <c r="SSL20" s="252">
        <v>0</v>
      </c>
      <c r="SSM20" s="252">
        <v>0</v>
      </c>
      <c r="SSN20" s="252">
        <v>0</v>
      </c>
      <c r="SSO20" s="252">
        <v>0</v>
      </c>
      <c r="SSP20" s="252">
        <v>0</v>
      </c>
      <c r="SSQ20" s="252">
        <v>0</v>
      </c>
      <c r="SSR20" s="252">
        <v>0</v>
      </c>
      <c r="SSS20" s="252">
        <v>0</v>
      </c>
      <c r="SST20" s="252">
        <v>0</v>
      </c>
      <c r="SSU20" s="252">
        <v>0</v>
      </c>
      <c r="SSV20" s="252">
        <v>0</v>
      </c>
      <c r="SSW20" s="252">
        <v>0</v>
      </c>
      <c r="SSX20" s="252">
        <v>0</v>
      </c>
      <c r="SSY20" s="252">
        <v>0</v>
      </c>
      <c r="SSZ20" s="252">
        <v>0</v>
      </c>
      <c r="STA20" s="252">
        <v>0</v>
      </c>
      <c r="STB20" s="252">
        <v>0</v>
      </c>
      <c r="STC20" s="252">
        <v>0</v>
      </c>
      <c r="STD20" s="252">
        <v>0</v>
      </c>
      <c r="STE20" s="252">
        <v>0</v>
      </c>
      <c r="STF20" s="252">
        <v>0</v>
      </c>
      <c r="STG20" s="252">
        <v>0</v>
      </c>
      <c r="STH20" s="252">
        <v>0</v>
      </c>
      <c r="STI20" s="252">
        <v>0</v>
      </c>
      <c r="STJ20" s="252">
        <v>0</v>
      </c>
      <c r="STK20" s="252">
        <v>0</v>
      </c>
      <c r="STL20" s="252">
        <v>0</v>
      </c>
      <c r="STM20" s="252">
        <v>0</v>
      </c>
      <c r="STN20" s="252">
        <v>0</v>
      </c>
      <c r="STO20" s="252">
        <v>0</v>
      </c>
      <c r="STP20" s="252">
        <v>0</v>
      </c>
      <c r="STQ20" s="252">
        <v>0</v>
      </c>
      <c r="STR20" s="252">
        <v>0</v>
      </c>
      <c r="STS20" s="252">
        <v>0</v>
      </c>
      <c r="STT20" s="252">
        <v>0</v>
      </c>
      <c r="STU20" s="252">
        <v>0</v>
      </c>
      <c r="STV20" s="252">
        <v>0</v>
      </c>
      <c r="STW20" s="252">
        <v>0</v>
      </c>
      <c r="STX20" s="252">
        <v>0</v>
      </c>
      <c r="STY20" s="252">
        <v>0</v>
      </c>
      <c r="STZ20" s="252">
        <v>0</v>
      </c>
      <c r="SUA20" s="252">
        <v>0</v>
      </c>
      <c r="SUB20" s="252">
        <v>0</v>
      </c>
      <c r="SUC20" s="252">
        <v>0</v>
      </c>
      <c r="SUD20" s="252">
        <v>0</v>
      </c>
      <c r="SUE20" s="252">
        <v>0</v>
      </c>
      <c r="SUF20" s="252">
        <v>0</v>
      </c>
      <c r="SUG20" s="252">
        <v>0</v>
      </c>
      <c r="SUH20" s="252">
        <v>0</v>
      </c>
      <c r="SUI20" s="252">
        <v>0</v>
      </c>
      <c r="SUJ20" s="252">
        <v>0</v>
      </c>
      <c r="SUK20" s="252">
        <v>0</v>
      </c>
      <c r="SUL20" s="252">
        <v>0</v>
      </c>
      <c r="SUM20" s="252">
        <v>0</v>
      </c>
      <c r="SUN20" s="252">
        <v>0</v>
      </c>
      <c r="SUO20" s="252">
        <v>0</v>
      </c>
      <c r="SUP20" s="252">
        <v>0</v>
      </c>
      <c r="SUQ20" s="252">
        <v>0</v>
      </c>
      <c r="SUR20" s="252">
        <v>0</v>
      </c>
      <c r="SUS20" s="252">
        <v>0</v>
      </c>
      <c r="SUT20" s="252">
        <v>0</v>
      </c>
      <c r="SUU20" s="252">
        <v>0</v>
      </c>
      <c r="SUV20" s="252">
        <v>0</v>
      </c>
      <c r="SUW20" s="252">
        <v>0</v>
      </c>
      <c r="SUX20" s="252">
        <v>0</v>
      </c>
      <c r="SUY20" s="252">
        <v>0</v>
      </c>
      <c r="SUZ20" s="252">
        <v>0</v>
      </c>
      <c r="SVA20" s="252">
        <v>0</v>
      </c>
      <c r="SVB20" s="252">
        <v>0</v>
      </c>
      <c r="SVC20" s="252">
        <v>0</v>
      </c>
      <c r="SVD20" s="252">
        <v>0</v>
      </c>
      <c r="SVE20" s="252">
        <v>0</v>
      </c>
      <c r="SVF20" s="252">
        <v>0</v>
      </c>
      <c r="SVG20" s="252">
        <v>0</v>
      </c>
      <c r="SVH20" s="252">
        <v>0</v>
      </c>
      <c r="SVI20" s="252">
        <v>0</v>
      </c>
      <c r="SVJ20" s="252">
        <v>0</v>
      </c>
      <c r="SVK20" s="252">
        <v>0</v>
      </c>
      <c r="SVL20" s="252">
        <v>0</v>
      </c>
      <c r="SVM20" s="252">
        <v>0</v>
      </c>
      <c r="SVN20" s="252">
        <v>0</v>
      </c>
      <c r="SVO20" s="252">
        <v>0</v>
      </c>
      <c r="SVP20" s="252">
        <v>0</v>
      </c>
      <c r="SVQ20" s="252">
        <v>0</v>
      </c>
      <c r="SVR20" s="252">
        <v>0</v>
      </c>
      <c r="SVS20" s="252">
        <v>0</v>
      </c>
      <c r="SVT20" s="252">
        <v>0</v>
      </c>
      <c r="SVU20" s="252">
        <v>0</v>
      </c>
      <c r="SVV20" s="252">
        <v>0</v>
      </c>
      <c r="SVW20" s="252">
        <v>0</v>
      </c>
      <c r="SVX20" s="252">
        <v>0</v>
      </c>
      <c r="SVY20" s="252">
        <v>0</v>
      </c>
      <c r="SVZ20" s="252">
        <v>0</v>
      </c>
      <c r="SWA20" s="252">
        <v>0</v>
      </c>
      <c r="SWB20" s="252">
        <v>0</v>
      </c>
      <c r="SWC20" s="252">
        <v>0</v>
      </c>
      <c r="SWD20" s="252">
        <v>0</v>
      </c>
      <c r="SWE20" s="252">
        <v>0</v>
      </c>
      <c r="SWF20" s="252">
        <v>0</v>
      </c>
      <c r="SWG20" s="252">
        <v>0</v>
      </c>
      <c r="SWH20" s="252">
        <v>0</v>
      </c>
      <c r="SWI20" s="252">
        <v>0</v>
      </c>
      <c r="SWJ20" s="252">
        <v>0</v>
      </c>
      <c r="SWK20" s="252">
        <v>0</v>
      </c>
      <c r="SWL20" s="252">
        <v>0</v>
      </c>
      <c r="SWM20" s="252">
        <v>0</v>
      </c>
      <c r="SWN20" s="252">
        <v>0</v>
      </c>
      <c r="SWO20" s="252">
        <v>0</v>
      </c>
      <c r="SWP20" s="252">
        <v>0</v>
      </c>
      <c r="SWQ20" s="252">
        <v>0</v>
      </c>
      <c r="SWR20" s="252">
        <v>0</v>
      </c>
      <c r="SWS20" s="252">
        <v>0</v>
      </c>
      <c r="SWT20" s="252">
        <v>0</v>
      </c>
      <c r="SWU20" s="252">
        <v>0</v>
      </c>
      <c r="SWV20" s="252">
        <v>0</v>
      </c>
      <c r="SWW20" s="252">
        <v>0</v>
      </c>
      <c r="SWX20" s="252">
        <v>0</v>
      </c>
      <c r="SWY20" s="252">
        <v>0</v>
      </c>
      <c r="SWZ20" s="252">
        <v>0</v>
      </c>
      <c r="SXA20" s="252">
        <v>0</v>
      </c>
      <c r="SXB20" s="252">
        <v>0</v>
      </c>
      <c r="SXC20" s="252">
        <v>0</v>
      </c>
      <c r="SXD20" s="252">
        <v>0</v>
      </c>
      <c r="SXE20" s="252">
        <v>0</v>
      </c>
      <c r="SXF20" s="252">
        <v>0</v>
      </c>
      <c r="SXG20" s="252">
        <v>0</v>
      </c>
      <c r="SXH20" s="252">
        <v>0</v>
      </c>
      <c r="SXI20" s="252">
        <v>0</v>
      </c>
      <c r="SXJ20" s="252">
        <v>0</v>
      </c>
      <c r="SXK20" s="252">
        <v>0</v>
      </c>
      <c r="SXL20" s="252">
        <v>0</v>
      </c>
      <c r="SXM20" s="252">
        <v>0</v>
      </c>
      <c r="SXN20" s="252">
        <v>0</v>
      </c>
      <c r="SXO20" s="252">
        <v>0</v>
      </c>
      <c r="SXP20" s="252">
        <v>0</v>
      </c>
      <c r="SXQ20" s="252">
        <v>0</v>
      </c>
      <c r="SXR20" s="252">
        <v>0</v>
      </c>
      <c r="SXS20" s="252">
        <v>0</v>
      </c>
      <c r="SXT20" s="252">
        <v>0</v>
      </c>
      <c r="SXU20" s="252">
        <v>0</v>
      </c>
      <c r="SXV20" s="252">
        <v>0</v>
      </c>
      <c r="SXW20" s="252">
        <v>0</v>
      </c>
      <c r="SXX20" s="252">
        <v>0</v>
      </c>
      <c r="SXY20" s="252">
        <v>0</v>
      </c>
      <c r="SXZ20" s="252">
        <v>0</v>
      </c>
      <c r="SYA20" s="252">
        <v>0</v>
      </c>
      <c r="SYB20" s="252">
        <v>0</v>
      </c>
      <c r="SYC20" s="252">
        <v>0</v>
      </c>
      <c r="SYD20" s="252">
        <v>0</v>
      </c>
      <c r="SYE20" s="252">
        <v>0</v>
      </c>
      <c r="SYF20" s="252">
        <v>0</v>
      </c>
      <c r="SYG20" s="252">
        <v>0</v>
      </c>
      <c r="SYH20" s="252">
        <v>0</v>
      </c>
      <c r="SYI20" s="252">
        <v>0</v>
      </c>
      <c r="SYJ20" s="252">
        <v>0</v>
      </c>
      <c r="SYK20" s="252">
        <v>0</v>
      </c>
      <c r="SYL20" s="252">
        <v>0</v>
      </c>
      <c r="SYM20" s="252">
        <v>0</v>
      </c>
      <c r="SYN20" s="252">
        <v>0</v>
      </c>
      <c r="SYO20" s="252">
        <v>0</v>
      </c>
      <c r="SYP20" s="252">
        <v>0</v>
      </c>
      <c r="SYQ20" s="252">
        <v>0</v>
      </c>
      <c r="SYR20" s="252">
        <v>0</v>
      </c>
      <c r="SYS20" s="252">
        <v>0</v>
      </c>
      <c r="SYT20" s="252">
        <v>0</v>
      </c>
      <c r="SYU20" s="252">
        <v>0</v>
      </c>
      <c r="SYV20" s="252">
        <v>0</v>
      </c>
      <c r="SYW20" s="252">
        <v>0</v>
      </c>
      <c r="SYX20" s="252">
        <v>0</v>
      </c>
      <c r="SYY20" s="252">
        <v>0</v>
      </c>
      <c r="SYZ20" s="252">
        <v>0</v>
      </c>
      <c r="SZA20" s="252">
        <v>0</v>
      </c>
      <c r="SZB20" s="252">
        <v>0</v>
      </c>
      <c r="SZC20" s="252">
        <v>0</v>
      </c>
      <c r="SZD20" s="252">
        <v>0</v>
      </c>
      <c r="SZE20" s="252">
        <v>0</v>
      </c>
      <c r="SZF20" s="252">
        <v>0</v>
      </c>
      <c r="SZG20" s="252">
        <v>0</v>
      </c>
      <c r="SZH20" s="252">
        <v>0</v>
      </c>
      <c r="SZI20" s="252">
        <v>0</v>
      </c>
      <c r="SZJ20" s="252">
        <v>0</v>
      </c>
      <c r="SZK20" s="252">
        <v>0</v>
      </c>
      <c r="SZL20" s="252">
        <v>0</v>
      </c>
      <c r="SZM20" s="252">
        <v>0</v>
      </c>
      <c r="SZN20" s="252">
        <v>0</v>
      </c>
      <c r="SZO20" s="252">
        <v>0</v>
      </c>
      <c r="SZP20" s="252">
        <v>0</v>
      </c>
      <c r="SZQ20" s="252">
        <v>0</v>
      </c>
      <c r="SZR20" s="252">
        <v>0</v>
      </c>
      <c r="SZS20" s="252">
        <v>0</v>
      </c>
      <c r="SZT20" s="252">
        <v>0</v>
      </c>
      <c r="SZU20" s="252">
        <v>0</v>
      </c>
      <c r="SZV20" s="252">
        <v>0</v>
      </c>
      <c r="SZW20" s="252">
        <v>0</v>
      </c>
      <c r="SZX20" s="252">
        <v>0</v>
      </c>
      <c r="SZY20" s="252">
        <v>0</v>
      </c>
      <c r="SZZ20" s="252">
        <v>0</v>
      </c>
      <c r="TAA20" s="252">
        <v>0</v>
      </c>
      <c r="TAB20" s="252">
        <v>0</v>
      </c>
      <c r="TAC20" s="252">
        <v>0</v>
      </c>
      <c r="TAD20" s="252">
        <v>0</v>
      </c>
      <c r="TAE20" s="252">
        <v>0</v>
      </c>
      <c r="TAF20" s="252">
        <v>0</v>
      </c>
      <c r="TAG20" s="252">
        <v>0</v>
      </c>
      <c r="TAH20" s="252">
        <v>0</v>
      </c>
      <c r="TAI20" s="252">
        <v>0</v>
      </c>
      <c r="TAJ20" s="252">
        <v>0</v>
      </c>
      <c r="TAK20" s="252">
        <v>0</v>
      </c>
      <c r="TAL20" s="252">
        <v>0</v>
      </c>
      <c r="TAM20" s="252">
        <v>0</v>
      </c>
      <c r="TAN20" s="252">
        <v>0</v>
      </c>
      <c r="TAO20" s="252">
        <v>0</v>
      </c>
      <c r="TAP20" s="252">
        <v>0</v>
      </c>
      <c r="TAQ20" s="252">
        <v>0</v>
      </c>
      <c r="TAR20" s="252">
        <v>0</v>
      </c>
      <c r="TAS20" s="252">
        <v>0</v>
      </c>
      <c r="TAT20" s="252">
        <v>0</v>
      </c>
      <c r="TAU20" s="252">
        <v>0</v>
      </c>
      <c r="TAV20" s="252">
        <v>0</v>
      </c>
      <c r="TAW20" s="252">
        <v>0</v>
      </c>
      <c r="TAX20" s="252">
        <v>0</v>
      </c>
      <c r="TAY20" s="252">
        <v>0</v>
      </c>
      <c r="TAZ20" s="252">
        <v>0</v>
      </c>
      <c r="TBA20" s="252">
        <v>0</v>
      </c>
      <c r="TBB20" s="252">
        <v>0</v>
      </c>
      <c r="TBC20" s="252">
        <v>0</v>
      </c>
      <c r="TBD20" s="252">
        <v>0</v>
      </c>
      <c r="TBE20" s="252">
        <v>0</v>
      </c>
      <c r="TBF20" s="252">
        <v>0</v>
      </c>
      <c r="TBG20" s="252">
        <v>0</v>
      </c>
      <c r="TBH20" s="252">
        <v>0</v>
      </c>
      <c r="TBI20" s="252">
        <v>0</v>
      </c>
      <c r="TBJ20" s="252">
        <v>0</v>
      </c>
      <c r="TBK20" s="252">
        <v>0</v>
      </c>
      <c r="TBL20" s="252">
        <v>0</v>
      </c>
      <c r="TBM20" s="252">
        <v>0</v>
      </c>
      <c r="TBN20" s="252">
        <v>0</v>
      </c>
      <c r="TBO20" s="252">
        <v>0</v>
      </c>
      <c r="TBP20" s="252">
        <v>0</v>
      </c>
      <c r="TBQ20" s="252">
        <v>0</v>
      </c>
      <c r="TBR20" s="252">
        <v>0</v>
      </c>
      <c r="TBS20" s="252">
        <v>0</v>
      </c>
      <c r="TBT20" s="252">
        <v>0</v>
      </c>
      <c r="TBU20" s="252">
        <v>0</v>
      </c>
      <c r="TBV20" s="252">
        <v>0</v>
      </c>
      <c r="TBW20" s="252">
        <v>0</v>
      </c>
      <c r="TBX20" s="252">
        <v>0</v>
      </c>
      <c r="TBY20" s="252">
        <v>0</v>
      </c>
      <c r="TBZ20" s="252">
        <v>0</v>
      </c>
      <c r="TCA20" s="252">
        <v>0</v>
      </c>
      <c r="TCB20" s="252">
        <v>0</v>
      </c>
      <c r="TCC20" s="252">
        <v>0</v>
      </c>
      <c r="TCD20" s="252">
        <v>0</v>
      </c>
      <c r="TCE20" s="252">
        <v>0</v>
      </c>
      <c r="TCF20" s="252">
        <v>0</v>
      </c>
      <c r="TCG20" s="252">
        <v>0</v>
      </c>
      <c r="TCH20" s="252">
        <v>0</v>
      </c>
      <c r="TCI20" s="252">
        <v>0</v>
      </c>
      <c r="TCJ20" s="252">
        <v>0</v>
      </c>
      <c r="TCK20" s="252">
        <v>0</v>
      </c>
      <c r="TCL20" s="252">
        <v>0</v>
      </c>
      <c r="TCM20" s="252">
        <v>0</v>
      </c>
      <c r="TCN20" s="252">
        <v>0</v>
      </c>
      <c r="TCO20" s="252">
        <v>0</v>
      </c>
      <c r="TCP20" s="252">
        <v>0</v>
      </c>
      <c r="TCQ20" s="252">
        <v>0</v>
      </c>
      <c r="TCR20" s="252">
        <v>0</v>
      </c>
      <c r="TCS20" s="252">
        <v>0</v>
      </c>
      <c r="TCT20" s="252">
        <v>0</v>
      </c>
      <c r="TCU20" s="252">
        <v>0</v>
      </c>
      <c r="TCV20" s="252">
        <v>0</v>
      </c>
      <c r="TCW20" s="252">
        <v>0</v>
      </c>
      <c r="TCX20" s="252">
        <v>0</v>
      </c>
      <c r="TCY20" s="252">
        <v>0</v>
      </c>
      <c r="TCZ20" s="252">
        <v>0</v>
      </c>
      <c r="TDA20" s="252">
        <v>0</v>
      </c>
      <c r="TDB20" s="252">
        <v>0</v>
      </c>
      <c r="TDC20" s="252">
        <v>0</v>
      </c>
      <c r="TDD20" s="252">
        <v>0</v>
      </c>
      <c r="TDE20" s="252">
        <v>0</v>
      </c>
      <c r="TDF20" s="252">
        <v>0</v>
      </c>
      <c r="TDG20" s="252">
        <v>0</v>
      </c>
      <c r="TDH20" s="252">
        <v>0</v>
      </c>
      <c r="TDI20" s="252">
        <v>0</v>
      </c>
      <c r="TDJ20" s="252">
        <v>0</v>
      </c>
      <c r="TDK20" s="252">
        <v>0</v>
      </c>
      <c r="TDL20" s="252">
        <v>0</v>
      </c>
      <c r="TDM20" s="252">
        <v>0</v>
      </c>
      <c r="TDN20" s="252">
        <v>0</v>
      </c>
      <c r="TDO20" s="252">
        <v>0</v>
      </c>
      <c r="TDP20" s="252">
        <v>0</v>
      </c>
      <c r="TDQ20" s="252">
        <v>0</v>
      </c>
      <c r="TDR20" s="252">
        <v>0</v>
      </c>
      <c r="TDS20" s="252">
        <v>0</v>
      </c>
      <c r="TDT20" s="252">
        <v>0</v>
      </c>
      <c r="TDU20" s="252">
        <v>0</v>
      </c>
      <c r="TDV20" s="252">
        <v>0</v>
      </c>
      <c r="TDW20" s="252">
        <v>0</v>
      </c>
      <c r="TDX20" s="252">
        <v>0</v>
      </c>
      <c r="TDY20" s="252">
        <v>0</v>
      </c>
      <c r="TDZ20" s="252">
        <v>0</v>
      </c>
      <c r="TEA20" s="252">
        <v>0</v>
      </c>
      <c r="TEB20" s="252">
        <v>0</v>
      </c>
      <c r="TEC20" s="252">
        <v>0</v>
      </c>
      <c r="TED20" s="252">
        <v>0</v>
      </c>
      <c r="TEE20" s="252">
        <v>0</v>
      </c>
      <c r="TEF20" s="252">
        <v>0</v>
      </c>
      <c r="TEG20" s="252">
        <v>0</v>
      </c>
      <c r="TEH20" s="252">
        <v>0</v>
      </c>
      <c r="TEI20" s="252">
        <v>0</v>
      </c>
      <c r="TEJ20" s="252">
        <v>0</v>
      </c>
      <c r="TEK20" s="252">
        <v>0</v>
      </c>
      <c r="TEL20" s="252">
        <v>0</v>
      </c>
      <c r="TEM20" s="252">
        <v>0</v>
      </c>
      <c r="TEN20" s="252">
        <v>0</v>
      </c>
      <c r="TEO20" s="252">
        <v>0</v>
      </c>
      <c r="TEP20" s="252">
        <v>0</v>
      </c>
      <c r="TEQ20" s="252">
        <v>0</v>
      </c>
      <c r="TER20" s="252">
        <v>0</v>
      </c>
      <c r="TES20" s="252">
        <v>0</v>
      </c>
      <c r="TET20" s="252">
        <v>0</v>
      </c>
      <c r="TEU20" s="252">
        <v>0</v>
      </c>
      <c r="TEV20" s="252">
        <v>0</v>
      </c>
      <c r="TEW20" s="252">
        <v>0</v>
      </c>
      <c r="TEX20" s="252">
        <v>0</v>
      </c>
      <c r="TEY20" s="252">
        <v>0</v>
      </c>
      <c r="TEZ20" s="252">
        <v>0</v>
      </c>
      <c r="TFA20" s="252">
        <v>0</v>
      </c>
      <c r="TFB20" s="252">
        <v>0</v>
      </c>
      <c r="TFC20" s="252">
        <v>0</v>
      </c>
      <c r="TFD20" s="252">
        <v>0</v>
      </c>
      <c r="TFE20" s="252">
        <v>0</v>
      </c>
      <c r="TFF20" s="252">
        <v>0</v>
      </c>
      <c r="TFG20" s="252">
        <v>0</v>
      </c>
      <c r="TFH20" s="252">
        <v>0</v>
      </c>
      <c r="TFI20" s="252">
        <v>0</v>
      </c>
      <c r="TFJ20" s="252">
        <v>0</v>
      </c>
      <c r="TFK20" s="252">
        <v>0</v>
      </c>
      <c r="TFL20" s="252">
        <v>0</v>
      </c>
      <c r="TFM20" s="252">
        <v>0</v>
      </c>
      <c r="TFN20" s="252">
        <v>0</v>
      </c>
      <c r="TFO20" s="252">
        <v>0</v>
      </c>
      <c r="TFP20" s="252">
        <v>0</v>
      </c>
      <c r="TFQ20" s="252">
        <v>0</v>
      </c>
      <c r="TFR20" s="252">
        <v>0</v>
      </c>
      <c r="TFS20" s="252">
        <v>0</v>
      </c>
      <c r="TFT20" s="252">
        <v>0</v>
      </c>
      <c r="TFU20" s="252">
        <v>0</v>
      </c>
      <c r="TFV20" s="252">
        <v>0</v>
      </c>
      <c r="TFW20" s="252">
        <v>0</v>
      </c>
      <c r="TFX20" s="252">
        <v>0</v>
      </c>
      <c r="TFY20" s="252">
        <v>0</v>
      </c>
      <c r="TFZ20" s="252">
        <v>0</v>
      </c>
      <c r="TGA20" s="252">
        <v>0</v>
      </c>
      <c r="TGB20" s="252">
        <v>0</v>
      </c>
      <c r="TGC20" s="252">
        <v>0</v>
      </c>
      <c r="TGD20" s="252">
        <v>0</v>
      </c>
      <c r="TGE20" s="252">
        <v>0</v>
      </c>
      <c r="TGF20" s="252">
        <v>0</v>
      </c>
      <c r="TGG20" s="252">
        <v>0</v>
      </c>
      <c r="TGH20" s="252">
        <v>0</v>
      </c>
      <c r="TGI20" s="252">
        <v>0</v>
      </c>
      <c r="TGJ20" s="252">
        <v>0</v>
      </c>
      <c r="TGK20" s="252">
        <v>0</v>
      </c>
      <c r="TGL20" s="252">
        <v>0</v>
      </c>
      <c r="TGM20" s="252">
        <v>0</v>
      </c>
      <c r="TGN20" s="252">
        <v>0</v>
      </c>
      <c r="TGO20" s="252">
        <v>0</v>
      </c>
      <c r="TGP20" s="252">
        <v>0</v>
      </c>
      <c r="TGQ20" s="252">
        <v>0</v>
      </c>
      <c r="TGR20" s="252">
        <v>0</v>
      </c>
      <c r="TGS20" s="252">
        <v>0</v>
      </c>
      <c r="TGT20" s="252">
        <v>0</v>
      </c>
      <c r="TGU20" s="252">
        <v>0</v>
      </c>
      <c r="TGV20" s="252">
        <v>0</v>
      </c>
      <c r="TGW20" s="252">
        <v>0</v>
      </c>
      <c r="TGX20" s="252">
        <v>0</v>
      </c>
      <c r="TGY20" s="252">
        <v>0</v>
      </c>
      <c r="TGZ20" s="252">
        <v>0</v>
      </c>
      <c r="THA20" s="252">
        <v>0</v>
      </c>
      <c r="THB20" s="252">
        <v>0</v>
      </c>
      <c r="THC20" s="252">
        <v>0</v>
      </c>
      <c r="THD20" s="252">
        <v>0</v>
      </c>
      <c r="THE20" s="252">
        <v>0</v>
      </c>
      <c r="THF20" s="252">
        <v>0</v>
      </c>
      <c r="THG20" s="252">
        <v>0</v>
      </c>
      <c r="THH20" s="252">
        <v>0</v>
      </c>
      <c r="THI20" s="252">
        <v>0</v>
      </c>
      <c r="THJ20" s="252">
        <v>0</v>
      </c>
      <c r="THK20" s="252">
        <v>0</v>
      </c>
      <c r="THL20" s="252">
        <v>0</v>
      </c>
      <c r="THM20" s="252">
        <v>0</v>
      </c>
      <c r="THN20" s="252">
        <v>0</v>
      </c>
      <c r="THO20" s="252">
        <v>0</v>
      </c>
      <c r="THP20" s="252">
        <v>0</v>
      </c>
      <c r="THQ20" s="252">
        <v>0</v>
      </c>
      <c r="THR20" s="252">
        <v>0</v>
      </c>
      <c r="THS20" s="252">
        <v>0</v>
      </c>
      <c r="THT20" s="252">
        <v>0</v>
      </c>
      <c r="THU20" s="252">
        <v>0</v>
      </c>
      <c r="THV20" s="252">
        <v>0</v>
      </c>
      <c r="THW20" s="252">
        <v>0</v>
      </c>
      <c r="THX20" s="252">
        <v>0</v>
      </c>
      <c r="THY20" s="252">
        <v>0</v>
      </c>
      <c r="THZ20" s="252">
        <v>0</v>
      </c>
      <c r="TIA20" s="252">
        <v>0</v>
      </c>
      <c r="TIB20" s="252">
        <v>0</v>
      </c>
      <c r="TIC20" s="252">
        <v>0</v>
      </c>
      <c r="TID20" s="252">
        <v>0</v>
      </c>
      <c r="TIE20" s="252">
        <v>0</v>
      </c>
      <c r="TIF20" s="252">
        <v>0</v>
      </c>
      <c r="TIG20" s="252">
        <v>0</v>
      </c>
      <c r="TIH20" s="252">
        <v>0</v>
      </c>
      <c r="TII20" s="252">
        <v>0</v>
      </c>
      <c r="TIJ20" s="252">
        <v>0</v>
      </c>
      <c r="TIK20" s="252">
        <v>0</v>
      </c>
      <c r="TIL20" s="252">
        <v>0</v>
      </c>
      <c r="TIM20" s="252">
        <v>0</v>
      </c>
      <c r="TIN20" s="252">
        <v>0</v>
      </c>
      <c r="TIO20" s="252">
        <v>0</v>
      </c>
      <c r="TIP20" s="252">
        <v>0</v>
      </c>
      <c r="TIQ20" s="252">
        <v>0</v>
      </c>
      <c r="TIR20" s="252">
        <v>0</v>
      </c>
      <c r="TIS20" s="252">
        <v>0</v>
      </c>
      <c r="TIT20" s="252">
        <v>0</v>
      </c>
      <c r="TIU20" s="252">
        <v>0</v>
      </c>
      <c r="TIV20" s="252">
        <v>0</v>
      </c>
      <c r="TIW20" s="252">
        <v>0</v>
      </c>
      <c r="TIX20" s="252">
        <v>0</v>
      </c>
      <c r="TIY20" s="252">
        <v>0</v>
      </c>
      <c r="TIZ20" s="252">
        <v>0</v>
      </c>
      <c r="TJA20" s="252">
        <v>0</v>
      </c>
      <c r="TJB20" s="252">
        <v>0</v>
      </c>
      <c r="TJC20" s="252">
        <v>0</v>
      </c>
      <c r="TJD20" s="252">
        <v>0</v>
      </c>
      <c r="TJE20" s="252">
        <v>0</v>
      </c>
      <c r="TJF20" s="252">
        <v>0</v>
      </c>
      <c r="TJG20" s="252">
        <v>0</v>
      </c>
      <c r="TJH20" s="252">
        <v>0</v>
      </c>
      <c r="TJI20" s="252">
        <v>0</v>
      </c>
      <c r="TJJ20" s="252">
        <v>0</v>
      </c>
      <c r="TJK20" s="252">
        <v>0</v>
      </c>
      <c r="TJL20" s="252">
        <v>0</v>
      </c>
      <c r="TJM20" s="252">
        <v>0</v>
      </c>
      <c r="TJN20" s="252">
        <v>0</v>
      </c>
      <c r="TJO20" s="252">
        <v>0</v>
      </c>
      <c r="TJP20" s="252">
        <v>0</v>
      </c>
      <c r="TJQ20" s="252">
        <v>0</v>
      </c>
      <c r="TJR20" s="252">
        <v>0</v>
      </c>
      <c r="TJS20" s="252">
        <v>0</v>
      </c>
      <c r="TJT20" s="252">
        <v>0</v>
      </c>
      <c r="TJU20" s="252">
        <v>0</v>
      </c>
      <c r="TJV20" s="252">
        <v>0</v>
      </c>
      <c r="TJW20" s="252">
        <v>0</v>
      </c>
      <c r="TJX20" s="252">
        <v>0</v>
      </c>
      <c r="TJY20" s="252">
        <v>0</v>
      </c>
      <c r="TJZ20" s="252">
        <v>0</v>
      </c>
      <c r="TKA20" s="252">
        <v>0</v>
      </c>
      <c r="TKB20" s="252">
        <v>0</v>
      </c>
      <c r="TKC20" s="252">
        <v>0</v>
      </c>
      <c r="TKD20" s="252">
        <v>0</v>
      </c>
      <c r="TKE20" s="252">
        <v>0</v>
      </c>
      <c r="TKF20" s="252">
        <v>0</v>
      </c>
      <c r="TKG20" s="252">
        <v>0</v>
      </c>
      <c r="TKH20" s="252">
        <v>0</v>
      </c>
      <c r="TKI20" s="252">
        <v>0</v>
      </c>
      <c r="TKJ20" s="252">
        <v>0</v>
      </c>
      <c r="TKK20" s="252">
        <v>0</v>
      </c>
      <c r="TKL20" s="252">
        <v>0</v>
      </c>
      <c r="TKM20" s="252">
        <v>0</v>
      </c>
      <c r="TKN20" s="252">
        <v>0</v>
      </c>
      <c r="TKO20" s="252">
        <v>0</v>
      </c>
      <c r="TKP20" s="252">
        <v>0</v>
      </c>
      <c r="TKQ20" s="252">
        <v>0</v>
      </c>
      <c r="TKR20" s="252">
        <v>0</v>
      </c>
      <c r="TKS20" s="252">
        <v>0</v>
      </c>
      <c r="TKT20" s="252">
        <v>0</v>
      </c>
      <c r="TKU20" s="252">
        <v>0</v>
      </c>
      <c r="TKV20" s="252">
        <v>0</v>
      </c>
      <c r="TKW20" s="252">
        <v>0</v>
      </c>
      <c r="TKX20" s="252">
        <v>0</v>
      </c>
      <c r="TKY20" s="252">
        <v>0</v>
      </c>
      <c r="TKZ20" s="252">
        <v>0</v>
      </c>
      <c r="TLA20" s="252">
        <v>0</v>
      </c>
      <c r="TLB20" s="252">
        <v>0</v>
      </c>
      <c r="TLC20" s="252">
        <v>0</v>
      </c>
      <c r="TLD20" s="252">
        <v>0</v>
      </c>
      <c r="TLE20" s="252">
        <v>0</v>
      </c>
      <c r="TLF20" s="252">
        <v>0</v>
      </c>
      <c r="TLG20" s="252">
        <v>0</v>
      </c>
      <c r="TLH20" s="252">
        <v>0</v>
      </c>
      <c r="TLI20" s="252">
        <v>0</v>
      </c>
      <c r="TLJ20" s="252">
        <v>0</v>
      </c>
      <c r="TLK20" s="252">
        <v>0</v>
      </c>
      <c r="TLL20" s="252">
        <v>0</v>
      </c>
      <c r="TLM20" s="252">
        <v>0</v>
      </c>
      <c r="TLN20" s="252">
        <v>0</v>
      </c>
      <c r="TLO20" s="252">
        <v>0</v>
      </c>
      <c r="TLP20" s="252">
        <v>0</v>
      </c>
      <c r="TLQ20" s="252">
        <v>0</v>
      </c>
      <c r="TLR20" s="252">
        <v>0</v>
      </c>
      <c r="TLS20" s="252">
        <v>0</v>
      </c>
      <c r="TLT20" s="252">
        <v>0</v>
      </c>
      <c r="TLU20" s="252">
        <v>0</v>
      </c>
      <c r="TLV20" s="252">
        <v>0</v>
      </c>
      <c r="TLW20" s="252">
        <v>0</v>
      </c>
      <c r="TLX20" s="252">
        <v>0</v>
      </c>
      <c r="TLY20" s="252">
        <v>0</v>
      </c>
      <c r="TLZ20" s="252">
        <v>0</v>
      </c>
      <c r="TMA20" s="252">
        <v>0</v>
      </c>
      <c r="TMB20" s="252">
        <v>0</v>
      </c>
      <c r="TMC20" s="252">
        <v>0</v>
      </c>
      <c r="TMD20" s="252">
        <v>0</v>
      </c>
      <c r="TME20" s="252">
        <v>0</v>
      </c>
      <c r="TMF20" s="252">
        <v>0</v>
      </c>
      <c r="TMG20" s="252">
        <v>0</v>
      </c>
      <c r="TMH20" s="252">
        <v>0</v>
      </c>
      <c r="TMI20" s="252">
        <v>0</v>
      </c>
      <c r="TMJ20" s="252">
        <v>0</v>
      </c>
      <c r="TMK20" s="252">
        <v>0</v>
      </c>
      <c r="TML20" s="252">
        <v>0</v>
      </c>
      <c r="TMM20" s="252">
        <v>0</v>
      </c>
      <c r="TMN20" s="252">
        <v>0</v>
      </c>
      <c r="TMO20" s="252">
        <v>0</v>
      </c>
      <c r="TMP20" s="252">
        <v>0</v>
      </c>
      <c r="TMQ20" s="252">
        <v>0</v>
      </c>
      <c r="TMR20" s="252">
        <v>0</v>
      </c>
      <c r="TMS20" s="252">
        <v>0</v>
      </c>
      <c r="TMT20" s="252">
        <v>0</v>
      </c>
      <c r="TMU20" s="252">
        <v>0</v>
      </c>
      <c r="TMV20" s="252">
        <v>0</v>
      </c>
      <c r="TMW20" s="252">
        <v>0</v>
      </c>
      <c r="TMX20" s="252">
        <v>0</v>
      </c>
      <c r="TMY20" s="252">
        <v>0</v>
      </c>
      <c r="TMZ20" s="252">
        <v>0</v>
      </c>
      <c r="TNA20" s="252">
        <v>0</v>
      </c>
      <c r="TNB20" s="252">
        <v>0</v>
      </c>
      <c r="TNC20" s="252">
        <v>0</v>
      </c>
      <c r="TND20" s="252">
        <v>0</v>
      </c>
      <c r="TNE20" s="252">
        <v>0</v>
      </c>
      <c r="TNF20" s="252">
        <v>0</v>
      </c>
      <c r="TNG20" s="252">
        <v>0</v>
      </c>
      <c r="TNH20" s="252">
        <v>0</v>
      </c>
      <c r="TNI20" s="252">
        <v>0</v>
      </c>
      <c r="TNJ20" s="252">
        <v>0</v>
      </c>
      <c r="TNK20" s="252">
        <v>0</v>
      </c>
      <c r="TNL20" s="252">
        <v>0</v>
      </c>
      <c r="TNM20" s="252">
        <v>0</v>
      </c>
      <c r="TNN20" s="252">
        <v>0</v>
      </c>
      <c r="TNO20" s="252">
        <v>0</v>
      </c>
      <c r="TNP20" s="252">
        <v>0</v>
      </c>
      <c r="TNQ20" s="252">
        <v>0</v>
      </c>
      <c r="TNR20" s="252">
        <v>0</v>
      </c>
      <c r="TNS20" s="252">
        <v>0</v>
      </c>
      <c r="TNT20" s="252">
        <v>0</v>
      </c>
      <c r="TNU20" s="252">
        <v>0</v>
      </c>
      <c r="TNV20" s="252">
        <v>0</v>
      </c>
      <c r="TNW20" s="252">
        <v>0</v>
      </c>
      <c r="TNX20" s="252">
        <v>0</v>
      </c>
      <c r="TNY20" s="252">
        <v>0</v>
      </c>
      <c r="TNZ20" s="252">
        <v>0</v>
      </c>
      <c r="TOA20" s="252">
        <v>0</v>
      </c>
      <c r="TOB20" s="252">
        <v>0</v>
      </c>
      <c r="TOC20" s="252">
        <v>0</v>
      </c>
      <c r="TOD20" s="252">
        <v>0</v>
      </c>
      <c r="TOE20" s="252">
        <v>0</v>
      </c>
      <c r="TOF20" s="252">
        <v>0</v>
      </c>
      <c r="TOG20" s="252">
        <v>0</v>
      </c>
      <c r="TOH20" s="252">
        <v>0</v>
      </c>
      <c r="TOI20" s="252">
        <v>0</v>
      </c>
      <c r="TOJ20" s="252">
        <v>0</v>
      </c>
      <c r="TOK20" s="252">
        <v>0</v>
      </c>
      <c r="TOL20" s="252">
        <v>0</v>
      </c>
      <c r="TOM20" s="252">
        <v>0</v>
      </c>
      <c r="TON20" s="252">
        <v>0</v>
      </c>
      <c r="TOO20" s="252">
        <v>0</v>
      </c>
      <c r="TOP20" s="252">
        <v>0</v>
      </c>
      <c r="TOQ20" s="252">
        <v>0</v>
      </c>
      <c r="TOR20" s="252">
        <v>0</v>
      </c>
      <c r="TOS20" s="252">
        <v>0</v>
      </c>
      <c r="TOT20" s="252">
        <v>0</v>
      </c>
      <c r="TOU20" s="252">
        <v>0</v>
      </c>
      <c r="TOV20" s="252">
        <v>0</v>
      </c>
      <c r="TOW20" s="252">
        <v>0</v>
      </c>
      <c r="TOX20" s="252">
        <v>0</v>
      </c>
      <c r="TOY20" s="252">
        <v>0</v>
      </c>
      <c r="TOZ20" s="252">
        <v>0</v>
      </c>
      <c r="TPA20" s="252">
        <v>0</v>
      </c>
      <c r="TPB20" s="252">
        <v>0</v>
      </c>
      <c r="TPC20" s="252">
        <v>0</v>
      </c>
      <c r="TPD20" s="252">
        <v>0</v>
      </c>
      <c r="TPE20" s="252">
        <v>0</v>
      </c>
      <c r="TPF20" s="252">
        <v>0</v>
      </c>
      <c r="TPG20" s="252">
        <v>0</v>
      </c>
      <c r="TPH20" s="252">
        <v>0</v>
      </c>
      <c r="TPI20" s="252">
        <v>0</v>
      </c>
      <c r="TPJ20" s="252">
        <v>0</v>
      </c>
      <c r="TPK20" s="252">
        <v>0</v>
      </c>
      <c r="TPL20" s="252">
        <v>0</v>
      </c>
      <c r="TPM20" s="252">
        <v>0</v>
      </c>
      <c r="TPN20" s="252">
        <v>0</v>
      </c>
      <c r="TPO20" s="252">
        <v>0</v>
      </c>
      <c r="TPP20" s="252">
        <v>0</v>
      </c>
      <c r="TPQ20" s="252">
        <v>0</v>
      </c>
      <c r="TPR20" s="252">
        <v>0</v>
      </c>
      <c r="TPS20" s="252">
        <v>0</v>
      </c>
      <c r="TPT20" s="252">
        <v>0</v>
      </c>
      <c r="TPU20" s="252">
        <v>0</v>
      </c>
      <c r="TPV20" s="252">
        <v>0</v>
      </c>
      <c r="TPW20" s="252">
        <v>0</v>
      </c>
      <c r="TPX20" s="252">
        <v>0</v>
      </c>
      <c r="TPY20" s="252">
        <v>0</v>
      </c>
      <c r="TPZ20" s="252">
        <v>0</v>
      </c>
      <c r="TQA20" s="252">
        <v>0</v>
      </c>
      <c r="TQB20" s="252">
        <v>0</v>
      </c>
      <c r="TQC20" s="252">
        <v>0</v>
      </c>
      <c r="TQD20" s="252">
        <v>0</v>
      </c>
      <c r="TQE20" s="252">
        <v>0</v>
      </c>
      <c r="TQF20" s="252">
        <v>0</v>
      </c>
      <c r="TQG20" s="252">
        <v>0</v>
      </c>
      <c r="TQH20" s="252">
        <v>0</v>
      </c>
      <c r="TQI20" s="252">
        <v>0</v>
      </c>
      <c r="TQJ20" s="252">
        <v>0</v>
      </c>
      <c r="TQK20" s="252">
        <v>0</v>
      </c>
      <c r="TQL20" s="252">
        <v>0</v>
      </c>
      <c r="TQM20" s="252">
        <v>0</v>
      </c>
      <c r="TQN20" s="252">
        <v>0</v>
      </c>
      <c r="TQO20" s="252">
        <v>0</v>
      </c>
      <c r="TQP20" s="252">
        <v>0</v>
      </c>
      <c r="TQQ20" s="252">
        <v>0</v>
      </c>
      <c r="TQR20" s="252">
        <v>0</v>
      </c>
      <c r="TQS20" s="252">
        <v>0</v>
      </c>
      <c r="TQT20" s="252">
        <v>0</v>
      </c>
      <c r="TQU20" s="252">
        <v>0</v>
      </c>
      <c r="TQV20" s="252">
        <v>0</v>
      </c>
      <c r="TQW20" s="252">
        <v>0</v>
      </c>
      <c r="TQX20" s="252">
        <v>0</v>
      </c>
      <c r="TQY20" s="252">
        <v>0</v>
      </c>
      <c r="TQZ20" s="252">
        <v>0</v>
      </c>
      <c r="TRA20" s="252">
        <v>0</v>
      </c>
      <c r="TRB20" s="252">
        <v>0</v>
      </c>
      <c r="TRC20" s="252">
        <v>0</v>
      </c>
      <c r="TRD20" s="252">
        <v>0</v>
      </c>
      <c r="TRE20" s="252">
        <v>0</v>
      </c>
      <c r="TRF20" s="252">
        <v>0</v>
      </c>
      <c r="TRG20" s="252">
        <v>0</v>
      </c>
      <c r="TRH20" s="252">
        <v>0</v>
      </c>
      <c r="TRI20" s="252">
        <v>0</v>
      </c>
      <c r="TRJ20" s="252">
        <v>0</v>
      </c>
      <c r="TRK20" s="252">
        <v>0</v>
      </c>
      <c r="TRL20" s="252">
        <v>0</v>
      </c>
      <c r="TRM20" s="252">
        <v>0</v>
      </c>
      <c r="TRN20" s="252">
        <v>0</v>
      </c>
      <c r="TRO20" s="252">
        <v>0</v>
      </c>
      <c r="TRP20" s="252">
        <v>0</v>
      </c>
      <c r="TRQ20" s="252">
        <v>0</v>
      </c>
      <c r="TRR20" s="252">
        <v>0</v>
      </c>
      <c r="TRS20" s="252">
        <v>0</v>
      </c>
      <c r="TRT20" s="252">
        <v>0</v>
      </c>
      <c r="TRU20" s="252">
        <v>0</v>
      </c>
      <c r="TRV20" s="252">
        <v>0</v>
      </c>
      <c r="TRW20" s="252">
        <v>0</v>
      </c>
      <c r="TRX20" s="252">
        <v>0</v>
      </c>
      <c r="TRY20" s="252">
        <v>0</v>
      </c>
      <c r="TRZ20" s="252">
        <v>0</v>
      </c>
      <c r="TSA20" s="252">
        <v>0</v>
      </c>
      <c r="TSB20" s="252">
        <v>0</v>
      </c>
      <c r="TSC20" s="252">
        <v>0</v>
      </c>
      <c r="TSD20" s="252">
        <v>0</v>
      </c>
      <c r="TSE20" s="252">
        <v>0</v>
      </c>
      <c r="TSF20" s="252">
        <v>0</v>
      </c>
      <c r="TSG20" s="252">
        <v>0</v>
      </c>
      <c r="TSH20" s="252">
        <v>0</v>
      </c>
      <c r="TSI20" s="252">
        <v>0</v>
      </c>
      <c r="TSJ20" s="252">
        <v>0</v>
      </c>
      <c r="TSK20" s="252">
        <v>0</v>
      </c>
      <c r="TSL20" s="252">
        <v>0</v>
      </c>
      <c r="TSM20" s="252">
        <v>0</v>
      </c>
      <c r="TSN20" s="252">
        <v>0</v>
      </c>
      <c r="TSO20" s="252">
        <v>0</v>
      </c>
      <c r="TSP20" s="252">
        <v>0</v>
      </c>
      <c r="TSQ20" s="252">
        <v>0</v>
      </c>
      <c r="TSR20" s="252">
        <v>0</v>
      </c>
      <c r="TSS20" s="252">
        <v>0</v>
      </c>
      <c r="TST20" s="252">
        <v>0</v>
      </c>
      <c r="TSU20" s="252">
        <v>0</v>
      </c>
      <c r="TSV20" s="252">
        <v>0</v>
      </c>
      <c r="TSW20" s="252">
        <v>0</v>
      </c>
      <c r="TSX20" s="252">
        <v>0</v>
      </c>
      <c r="TSY20" s="252">
        <v>0</v>
      </c>
      <c r="TSZ20" s="252">
        <v>0</v>
      </c>
      <c r="TTA20" s="252">
        <v>0</v>
      </c>
      <c r="TTB20" s="252">
        <v>0</v>
      </c>
      <c r="TTC20" s="252">
        <v>0</v>
      </c>
      <c r="TTD20" s="252">
        <v>0</v>
      </c>
      <c r="TTE20" s="252">
        <v>0</v>
      </c>
      <c r="TTF20" s="252">
        <v>0</v>
      </c>
      <c r="TTG20" s="252">
        <v>0</v>
      </c>
      <c r="TTH20" s="252">
        <v>0</v>
      </c>
      <c r="TTI20" s="252">
        <v>0</v>
      </c>
      <c r="TTJ20" s="252">
        <v>0</v>
      </c>
      <c r="TTK20" s="252">
        <v>0</v>
      </c>
      <c r="TTL20" s="252">
        <v>0</v>
      </c>
      <c r="TTM20" s="252">
        <v>0</v>
      </c>
      <c r="TTN20" s="252">
        <v>0</v>
      </c>
      <c r="TTO20" s="252">
        <v>0</v>
      </c>
      <c r="TTP20" s="252">
        <v>0</v>
      </c>
      <c r="TTQ20" s="252">
        <v>0</v>
      </c>
      <c r="TTR20" s="252">
        <v>0</v>
      </c>
      <c r="TTS20" s="252">
        <v>0</v>
      </c>
      <c r="TTT20" s="252">
        <v>0</v>
      </c>
      <c r="TTU20" s="252">
        <v>0</v>
      </c>
      <c r="TTV20" s="252">
        <v>0</v>
      </c>
      <c r="TTW20" s="252">
        <v>0</v>
      </c>
      <c r="TTX20" s="252">
        <v>0</v>
      </c>
      <c r="TTY20" s="252">
        <v>0</v>
      </c>
      <c r="TTZ20" s="252">
        <v>0</v>
      </c>
      <c r="TUA20" s="252">
        <v>0</v>
      </c>
      <c r="TUB20" s="252">
        <v>0</v>
      </c>
      <c r="TUC20" s="252">
        <v>0</v>
      </c>
      <c r="TUD20" s="252">
        <v>0</v>
      </c>
      <c r="TUE20" s="252">
        <v>0</v>
      </c>
      <c r="TUF20" s="252">
        <v>0</v>
      </c>
      <c r="TUG20" s="252">
        <v>0</v>
      </c>
      <c r="TUH20" s="252">
        <v>0</v>
      </c>
      <c r="TUI20" s="252">
        <v>0</v>
      </c>
      <c r="TUJ20" s="252">
        <v>0</v>
      </c>
      <c r="TUK20" s="252">
        <v>0</v>
      </c>
      <c r="TUL20" s="252">
        <v>0</v>
      </c>
      <c r="TUM20" s="252">
        <v>0</v>
      </c>
      <c r="TUN20" s="252">
        <v>0</v>
      </c>
      <c r="TUO20" s="252">
        <v>0</v>
      </c>
      <c r="TUP20" s="252">
        <v>0</v>
      </c>
      <c r="TUQ20" s="252">
        <v>0</v>
      </c>
      <c r="TUR20" s="252">
        <v>0</v>
      </c>
      <c r="TUS20" s="252">
        <v>0</v>
      </c>
      <c r="TUT20" s="252">
        <v>0</v>
      </c>
      <c r="TUU20" s="252">
        <v>0</v>
      </c>
      <c r="TUV20" s="252">
        <v>0</v>
      </c>
      <c r="TUW20" s="252">
        <v>0</v>
      </c>
      <c r="TUX20" s="252">
        <v>0</v>
      </c>
      <c r="TUY20" s="252">
        <v>0</v>
      </c>
      <c r="TUZ20" s="252">
        <v>0</v>
      </c>
      <c r="TVA20" s="252">
        <v>0</v>
      </c>
      <c r="TVB20" s="252">
        <v>0</v>
      </c>
      <c r="TVC20" s="252">
        <v>0</v>
      </c>
      <c r="TVD20" s="252">
        <v>0</v>
      </c>
      <c r="TVE20" s="252">
        <v>0</v>
      </c>
      <c r="TVF20" s="252">
        <v>0</v>
      </c>
      <c r="TVG20" s="252">
        <v>0</v>
      </c>
      <c r="TVH20" s="252">
        <v>0</v>
      </c>
      <c r="TVI20" s="252">
        <v>0</v>
      </c>
      <c r="TVJ20" s="252">
        <v>0</v>
      </c>
      <c r="TVK20" s="252">
        <v>0</v>
      </c>
      <c r="TVL20" s="252">
        <v>0</v>
      </c>
      <c r="TVM20" s="252">
        <v>0</v>
      </c>
      <c r="TVN20" s="252">
        <v>0</v>
      </c>
      <c r="TVO20" s="252">
        <v>0</v>
      </c>
      <c r="TVP20" s="252">
        <v>0</v>
      </c>
      <c r="TVQ20" s="252">
        <v>0</v>
      </c>
      <c r="TVR20" s="252">
        <v>0</v>
      </c>
      <c r="TVS20" s="252">
        <v>0</v>
      </c>
      <c r="TVT20" s="252">
        <v>0</v>
      </c>
      <c r="TVU20" s="252">
        <v>0</v>
      </c>
      <c r="TVV20" s="252">
        <v>0</v>
      </c>
      <c r="TVW20" s="252">
        <v>0</v>
      </c>
      <c r="TVX20" s="252">
        <v>0</v>
      </c>
      <c r="TVY20" s="252">
        <v>0</v>
      </c>
      <c r="TVZ20" s="252">
        <v>0</v>
      </c>
      <c r="TWA20" s="252">
        <v>0</v>
      </c>
      <c r="TWB20" s="252">
        <v>0</v>
      </c>
      <c r="TWC20" s="252">
        <v>0</v>
      </c>
      <c r="TWD20" s="252">
        <v>0</v>
      </c>
      <c r="TWE20" s="252">
        <v>0</v>
      </c>
      <c r="TWF20" s="252">
        <v>0</v>
      </c>
      <c r="TWG20" s="252">
        <v>0</v>
      </c>
      <c r="TWH20" s="252">
        <v>0</v>
      </c>
      <c r="TWI20" s="252">
        <v>0</v>
      </c>
      <c r="TWJ20" s="252">
        <v>0</v>
      </c>
      <c r="TWK20" s="252">
        <v>0</v>
      </c>
      <c r="TWL20" s="252">
        <v>0</v>
      </c>
      <c r="TWM20" s="252">
        <v>0</v>
      </c>
      <c r="TWN20" s="252">
        <v>0</v>
      </c>
      <c r="TWO20" s="252">
        <v>0</v>
      </c>
      <c r="TWP20" s="252">
        <v>0</v>
      </c>
      <c r="TWQ20" s="252">
        <v>0</v>
      </c>
      <c r="TWR20" s="252">
        <v>0</v>
      </c>
      <c r="TWS20" s="252">
        <v>0</v>
      </c>
      <c r="TWT20" s="252">
        <v>0</v>
      </c>
      <c r="TWU20" s="252">
        <v>0</v>
      </c>
      <c r="TWV20" s="252">
        <v>0</v>
      </c>
      <c r="TWW20" s="252">
        <v>0</v>
      </c>
      <c r="TWX20" s="252">
        <v>0</v>
      </c>
      <c r="TWY20" s="252">
        <v>0</v>
      </c>
      <c r="TWZ20" s="252">
        <v>0</v>
      </c>
      <c r="TXA20" s="252">
        <v>0</v>
      </c>
      <c r="TXB20" s="252">
        <v>0</v>
      </c>
      <c r="TXC20" s="252">
        <v>0</v>
      </c>
      <c r="TXD20" s="252">
        <v>0</v>
      </c>
      <c r="TXE20" s="252">
        <v>0</v>
      </c>
      <c r="TXF20" s="252">
        <v>0</v>
      </c>
      <c r="TXG20" s="252">
        <v>0</v>
      </c>
      <c r="TXH20" s="252">
        <v>0</v>
      </c>
      <c r="TXI20" s="252">
        <v>0</v>
      </c>
      <c r="TXJ20" s="252">
        <v>0</v>
      </c>
      <c r="TXK20" s="252">
        <v>0</v>
      </c>
      <c r="TXL20" s="252">
        <v>0</v>
      </c>
      <c r="TXM20" s="252">
        <v>0</v>
      </c>
      <c r="TXN20" s="252">
        <v>0</v>
      </c>
      <c r="TXO20" s="252">
        <v>0</v>
      </c>
      <c r="TXP20" s="252">
        <v>0</v>
      </c>
      <c r="TXQ20" s="252">
        <v>0</v>
      </c>
      <c r="TXR20" s="252">
        <v>0</v>
      </c>
      <c r="TXS20" s="252">
        <v>0</v>
      </c>
      <c r="TXT20" s="252">
        <v>0</v>
      </c>
      <c r="TXU20" s="252">
        <v>0</v>
      </c>
      <c r="TXV20" s="252">
        <v>0</v>
      </c>
      <c r="TXW20" s="252">
        <v>0</v>
      </c>
      <c r="TXX20" s="252">
        <v>0</v>
      </c>
      <c r="TXY20" s="252">
        <v>0</v>
      </c>
      <c r="TXZ20" s="252">
        <v>0</v>
      </c>
      <c r="TYA20" s="252">
        <v>0</v>
      </c>
      <c r="TYB20" s="252">
        <v>0</v>
      </c>
      <c r="TYC20" s="252">
        <v>0</v>
      </c>
      <c r="TYD20" s="252">
        <v>0</v>
      </c>
      <c r="TYE20" s="252">
        <v>0</v>
      </c>
      <c r="TYF20" s="252">
        <v>0</v>
      </c>
      <c r="TYG20" s="252">
        <v>0</v>
      </c>
      <c r="TYH20" s="252">
        <v>0</v>
      </c>
      <c r="TYI20" s="252">
        <v>0</v>
      </c>
      <c r="TYJ20" s="252">
        <v>0</v>
      </c>
      <c r="TYK20" s="252">
        <v>0</v>
      </c>
      <c r="TYL20" s="252">
        <v>0</v>
      </c>
      <c r="TYM20" s="252">
        <v>0</v>
      </c>
      <c r="TYN20" s="252">
        <v>0</v>
      </c>
      <c r="TYO20" s="252">
        <v>0</v>
      </c>
      <c r="TYP20" s="252">
        <v>0</v>
      </c>
      <c r="TYQ20" s="252">
        <v>0</v>
      </c>
      <c r="TYR20" s="252">
        <v>0</v>
      </c>
      <c r="TYS20" s="252">
        <v>0</v>
      </c>
      <c r="TYT20" s="252">
        <v>0</v>
      </c>
      <c r="TYU20" s="252">
        <v>0</v>
      </c>
      <c r="TYV20" s="252">
        <v>0</v>
      </c>
      <c r="TYW20" s="252">
        <v>0</v>
      </c>
      <c r="TYX20" s="252">
        <v>0</v>
      </c>
      <c r="TYY20" s="252">
        <v>0</v>
      </c>
      <c r="TYZ20" s="252">
        <v>0</v>
      </c>
      <c r="TZA20" s="252">
        <v>0</v>
      </c>
      <c r="TZB20" s="252">
        <v>0</v>
      </c>
      <c r="TZC20" s="252">
        <v>0</v>
      </c>
      <c r="TZD20" s="252">
        <v>0</v>
      </c>
      <c r="TZE20" s="252">
        <v>0</v>
      </c>
      <c r="TZF20" s="252">
        <v>0</v>
      </c>
      <c r="TZG20" s="252">
        <v>0</v>
      </c>
      <c r="TZH20" s="252">
        <v>0</v>
      </c>
      <c r="TZI20" s="252">
        <v>0</v>
      </c>
      <c r="TZJ20" s="252">
        <v>0</v>
      </c>
      <c r="TZK20" s="252">
        <v>0</v>
      </c>
      <c r="TZL20" s="252">
        <v>0</v>
      </c>
      <c r="TZM20" s="252">
        <v>0</v>
      </c>
      <c r="TZN20" s="252">
        <v>0</v>
      </c>
      <c r="TZO20" s="252">
        <v>0</v>
      </c>
      <c r="TZP20" s="252">
        <v>0</v>
      </c>
      <c r="TZQ20" s="252">
        <v>0</v>
      </c>
      <c r="TZR20" s="252">
        <v>0</v>
      </c>
      <c r="TZS20" s="252">
        <v>0</v>
      </c>
      <c r="TZT20" s="252">
        <v>0</v>
      </c>
      <c r="TZU20" s="252">
        <v>0</v>
      </c>
      <c r="TZV20" s="252">
        <v>0</v>
      </c>
      <c r="TZW20" s="252">
        <v>0</v>
      </c>
      <c r="TZX20" s="252">
        <v>0</v>
      </c>
      <c r="TZY20" s="252">
        <v>0</v>
      </c>
      <c r="TZZ20" s="252">
        <v>0</v>
      </c>
      <c r="UAA20" s="252">
        <v>0</v>
      </c>
      <c r="UAB20" s="252">
        <v>0</v>
      </c>
      <c r="UAC20" s="252">
        <v>0</v>
      </c>
      <c r="UAD20" s="252">
        <v>0</v>
      </c>
      <c r="UAE20" s="252">
        <v>0</v>
      </c>
      <c r="UAF20" s="252">
        <v>0</v>
      </c>
      <c r="UAG20" s="252">
        <v>0</v>
      </c>
      <c r="UAH20" s="252">
        <v>0</v>
      </c>
      <c r="UAI20" s="252">
        <v>0</v>
      </c>
      <c r="UAJ20" s="252">
        <v>0</v>
      </c>
      <c r="UAK20" s="252">
        <v>0</v>
      </c>
      <c r="UAL20" s="252">
        <v>0</v>
      </c>
      <c r="UAM20" s="252">
        <v>0</v>
      </c>
      <c r="UAN20" s="252">
        <v>0</v>
      </c>
      <c r="UAO20" s="252">
        <v>0</v>
      </c>
      <c r="UAP20" s="252">
        <v>0</v>
      </c>
      <c r="UAQ20" s="252">
        <v>0</v>
      </c>
      <c r="UAR20" s="252">
        <v>0</v>
      </c>
      <c r="UAS20" s="252">
        <v>0</v>
      </c>
      <c r="UAT20" s="252">
        <v>0</v>
      </c>
      <c r="UAU20" s="252">
        <v>0</v>
      </c>
      <c r="UAV20" s="252">
        <v>0</v>
      </c>
      <c r="UAW20" s="252">
        <v>0</v>
      </c>
      <c r="UAX20" s="252">
        <v>0</v>
      </c>
      <c r="UAY20" s="252">
        <v>0</v>
      </c>
      <c r="UAZ20" s="252">
        <v>0</v>
      </c>
      <c r="UBA20" s="252">
        <v>0</v>
      </c>
      <c r="UBB20" s="252">
        <v>0</v>
      </c>
      <c r="UBC20" s="252">
        <v>0</v>
      </c>
      <c r="UBD20" s="252">
        <v>0</v>
      </c>
      <c r="UBE20" s="252">
        <v>0</v>
      </c>
      <c r="UBF20" s="252">
        <v>0</v>
      </c>
      <c r="UBG20" s="252">
        <v>0</v>
      </c>
      <c r="UBH20" s="252">
        <v>0</v>
      </c>
      <c r="UBI20" s="252">
        <v>0</v>
      </c>
      <c r="UBJ20" s="252">
        <v>0</v>
      </c>
      <c r="UBK20" s="252">
        <v>0</v>
      </c>
      <c r="UBL20" s="252">
        <v>0</v>
      </c>
      <c r="UBM20" s="252">
        <v>0</v>
      </c>
      <c r="UBN20" s="252">
        <v>0</v>
      </c>
      <c r="UBO20" s="252">
        <v>0</v>
      </c>
      <c r="UBP20" s="252">
        <v>0</v>
      </c>
      <c r="UBQ20" s="252">
        <v>0</v>
      </c>
      <c r="UBR20" s="252">
        <v>0</v>
      </c>
      <c r="UBS20" s="252">
        <v>0</v>
      </c>
      <c r="UBT20" s="252">
        <v>0</v>
      </c>
      <c r="UBU20" s="252">
        <v>0</v>
      </c>
      <c r="UBV20" s="252">
        <v>0</v>
      </c>
      <c r="UBW20" s="252">
        <v>0</v>
      </c>
      <c r="UBX20" s="252">
        <v>0</v>
      </c>
      <c r="UBY20" s="252">
        <v>0</v>
      </c>
      <c r="UBZ20" s="252">
        <v>0</v>
      </c>
      <c r="UCA20" s="252">
        <v>0</v>
      </c>
      <c r="UCB20" s="252">
        <v>0</v>
      </c>
      <c r="UCC20" s="252">
        <v>0</v>
      </c>
      <c r="UCD20" s="252">
        <v>0</v>
      </c>
      <c r="UCE20" s="252">
        <v>0</v>
      </c>
      <c r="UCF20" s="252">
        <v>0</v>
      </c>
      <c r="UCG20" s="252">
        <v>0</v>
      </c>
      <c r="UCH20" s="252">
        <v>0</v>
      </c>
      <c r="UCI20" s="252">
        <v>0</v>
      </c>
      <c r="UCJ20" s="252">
        <v>0</v>
      </c>
      <c r="UCK20" s="252">
        <v>0</v>
      </c>
      <c r="UCL20" s="252">
        <v>0</v>
      </c>
      <c r="UCM20" s="252">
        <v>0</v>
      </c>
      <c r="UCN20" s="252">
        <v>0</v>
      </c>
      <c r="UCO20" s="252">
        <v>0</v>
      </c>
      <c r="UCP20" s="252">
        <v>0</v>
      </c>
      <c r="UCQ20" s="252">
        <v>0</v>
      </c>
      <c r="UCR20" s="252">
        <v>0</v>
      </c>
      <c r="UCS20" s="252">
        <v>0</v>
      </c>
      <c r="UCT20" s="252">
        <v>0</v>
      </c>
      <c r="UCU20" s="252">
        <v>0</v>
      </c>
      <c r="UCV20" s="252">
        <v>0</v>
      </c>
      <c r="UCW20" s="252">
        <v>0</v>
      </c>
      <c r="UCX20" s="252">
        <v>0</v>
      </c>
      <c r="UCY20" s="252">
        <v>0</v>
      </c>
      <c r="UCZ20" s="252">
        <v>0</v>
      </c>
      <c r="UDA20" s="252">
        <v>0</v>
      </c>
      <c r="UDB20" s="252">
        <v>0</v>
      </c>
      <c r="UDC20" s="252">
        <v>0</v>
      </c>
      <c r="UDD20" s="252">
        <v>0</v>
      </c>
      <c r="UDE20" s="252">
        <v>0</v>
      </c>
      <c r="UDF20" s="252">
        <v>0</v>
      </c>
      <c r="UDG20" s="252">
        <v>0</v>
      </c>
      <c r="UDH20" s="252">
        <v>0</v>
      </c>
      <c r="UDI20" s="252">
        <v>0</v>
      </c>
      <c r="UDJ20" s="252">
        <v>0</v>
      </c>
      <c r="UDK20" s="252">
        <v>0</v>
      </c>
      <c r="UDL20" s="252">
        <v>0</v>
      </c>
      <c r="UDM20" s="252">
        <v>0</v>
      </c>
      <c r="UDN20" s="252">
        <v>0</v>
      </c>
      <c r="UDO20" s="252">
        <v>0</v>
      </c>
      <c r="UDP20" s="252">
        <v>0</v>
      </c>
      <c r="UDQ20" s="252">
        <v>0</v>
      </c>
      <c r="UDR20" s="252">
        <v>0</v>
      </c>
      <c r="UDS20" s="252">
        <v>0</v>
      </c>
      <c r="UDT20" s="252">
        <v>0</v>
      </c>
      <c r="UDU20" s="252">
        <v>0</v>
      </c>
      <c r="UDV20" s="252">
        <v>0</v>
      </c>
      <c r="UDW20" s="252">
        <v>0</v>
      </c>
      <c r="UDX20" s="252">
        <v>0</v>
      </c>
      <c r="UDY20" s="252">
        <v>0</v>
      </c>
      <c r="UDZ20" s="252">
        <v>0</v>
      </c>
      <c r="UEA20" s="252">
        <v>0</v>
      </c>
      <c r="UEB20" s="252">
        <v>0</v>
      </c>
      <c r="UEC20" s="252">
        <v>0</v>
      </c>
      <c r="UED20" s="252">
        <v>0</v>
      </c>
      <c r="UEE20" s="252">
        <v>0</v>
      </c>
      <c r="UEF20" s="252">
        <v>0</v>
      </c>
      <c r="UEG20" s="252">
        <v>0</v>
      </c>
      <c r="UEH20" s="252">
        <v>0</v>
      </c>
      <c r="UEI20" s="252">
        <v>0</v>
      </c>
      <c r="UEJ20" s="252">
        <v>0</v>
      </c>
      <c r="UEK20" s="252">
        <v>0</v>
      </c>
      <c r="UEL20" s="252">
        <v>0</v>
      </c>
      <c r="UEM20" s="252">
        <v>0</v>
      </c>
      <c r="UEN20" s="252">
        <v>0</v>
      </c>
      <c r="UEO20" s="252">
        <v>0</v>
      </c>
      <c r="UEP20" s="252">
        <v>0</v>
      </c>
      <c r="UEQ20" s="252">
        <v>0</v>
      </c>
      <c r="UER20" s="252">
        <v>0</v>
      </c>
      <c r="UES20" s="252">
        <v>0</v>
      </c>
      <c r="UET20" s="252">
        <v>0</v>
      </c>
      <c r="UEU20" s="252">
        <v>0</v>
      </c>
      <c r="UEV20" s="252">
        <v>0</v>
      </c>
      <c r="UEW20" s="252">
        <v>0</v>
      </c>
      <c r="UEX20" s="252">
        <v>0</v>
      </c>
      <c r="UEY20" s="252">
        <v>0</v>
      </c>
      <c r="UEZ20" s="252">
        <v>0</v>
      </c>
      <c r="UFA20" s="252">
        <v>0</v>
      </c>
      <c r="UFB20" s="252">
        <v>0</v>
      </c>
      <c r="UFC20" s="252">
        <v>0</v>
      </c>
      <c r="UFD20" s="252">
        <v>0</v>
      </c>
      <c r="UFE20" s="252">
        <v>0</v>
      </c>
      <c r="UFF20" s="252">
        <v>0</v>
      </c>
      <c r="UFG20" s="252">
        <v>0</v>
      </c>
      <c r="UFH20" s="252">
        <v>0</v>
      </c>
      <c r="UFI20" s="252">
        <v>0</v>
      </c>
      <c r="UFJ20" s="252">
        <v>0</v>
      </c>
      <c r="UFK20" s="252">
        <v>0</v>
      </c>
      <c r="UFL20" s="252">
        <v>0</v>
      </c>
      <c r="UFM20" s="252">
        <v>0</v>
      </c>
      <c r="UFN20" s="252">
        <v>0</v>
      </c>
      <c r="UFO20" s="252">
        <v>0</v>
      </c>
      <c r="UFP20" s="252">
        <v>0</v>
      </c>
      <c r="UFQ20" s="252">
        <v>0</v>
      </c>
      <c r="UFR20" s="252">
        <v>0</v>
      </c>
      <c r="UFS20" s="252">
        <v>0</v>
      </c>
      <c r="UFT20" s="252">
        <v>0</v>
      </c>
      <c r="UFU20" s="252">
        <v>0</v>
      </c>
      <c r="UFV20" s="252">
        <v>0</v>
      </c>
      <c r="UFW20" s="252">
        <v>0</v>
      </c>
      <c r="UFX20" s="252">
        <v>0</v>
      </c>
      <c r="UFY20" s="252">
        <v>0</v>
      </c>
      <c r="UFZ20" s="252">
        <v>0</v>
      </c>
      <c r="UGA20" s="252">
        <v>0</v>
      </c>
      <c r="UGB20" s="252">
        <v>0</v>
      </c>
      <c r="UGC20" s="252">
        <v>0</v>
      </c>
      <c r="UGD20" s="252">
        <v>0</v>
      </c>
      <c r="UGE20" s="252">
        <v>0</v>
      </c>
      <c r="UGF20" s="252">
        <v>0</v>
      </c>
      <c r="UGG20" s="252">
        <v>0</v>
      </c>
      <c r="UGH20" s="252">
        <v>0</v>
      </c>
      <c r="UGI20" s="252">
        <v>0</v>
      </c>
      <c r="UGJ20" s="252">
        <v>0</v>
      </c>
      <c r="UGK20" s="252">
        <v>0</v>
      </c>
      <c r="UGL20" s="252">
        <v>0</v>
      </c>
      <c r="UGM20" s="252">
        <v>0</v>
      </c>
      <c r="UGN20" s="252">
        <v>0</v>
      </c>
      <c r="UGO20" s="252">
        <v>0</v>
      </c>
      <c r="UGP20" s="252">
        <v>0</v>
      </c>
      <c r="UGQ20" s="252">
        <v>0</v>
      </c>
      <c r="UGR20" s="252">
        <v>0</v>
      </c>
      <c r="UGS20" s="252">
        <v>0</v>
      </c>
      <c r="UGT20" s="252">
        <v>0</v>
      </c>
      <c r="UGU20" s="252">
        <v>0</v>
      </c>
      <c r="UGV20" s="252">
        <v>0</v>
      </c>
      <c r="UGW20" s="252">
        <v>0</v>
      </c>
      <c r="UGX20" s="252">
        <v>0</v>
      </c>
      <c r="UGY20" s="252">
        <v>0</v>
      </c>
      <c r="UGZ20" s="252">
        <v>0</v>
      </c>
      <c r="UHA20" s="252">
        <v>0</v>
      </c>
      <c r="UHB20" s="252">
        <v>0</v>
      </c>
      <c r="UHC20" s="252">
        <v>0</v>
      </c>
      <c r="UHD20" s="252">
        <v>0</v>
      </c>
      <c r="UHE20" s="252">
        <v>0</v>
      </c>
      <c r="UHF20" s="252">
        <v>0</v>
      </c>
      <c r="UHG20" s="252">
        <v>0</v>
      </c>
      <c r="UHH20" s="252">
        <v>0</v>
      </c>
      <c r="UHI20" s="252">
        <v>0</v>
      </c>
      <c r="UHJ20" s="252">
        <v>0</v>
      </c>
      <c r="UHK20" s="252">
        <v>0</v>
      </c>
      <c r="UHL20" s="252">
        <v>0</v>
      </c>
      <c r="UHM20" s="252">
        <v>0</v>
      </c>
      <c r="UHN20" s="252">
        <v>0</v>
      </c>
      <c r="UHO20" s="252">
        <v>0</v>
      </c>
      <c r="UHP20" s="252">
        <v>0</v>
      </c>
      <c r="UHQ20" s="252">
        <v>0</v>
      </c>
      <c r="UHR20" s="252">
        <v>0</v>
      </c>
      <c r="UHS20" s="252">
        <v>0</v>
      </c>
      <c r="UHT20" s="252">
        <v>0</v>
      </c>
      <c r="UHU20" s="252">
        <v>0</v>
      </c>
      <c r="UHV20" s="252">
        <v>0</v>
      </c>
      <c r="UHW20" s="252">
        <v>0</v>
      </c>
      <c r="UHX20" s="252">
        <v>0</v>
      </c>
      <c r="UHY20" s="252">
        <v>0</v>
      </c>
      <c r="UHZ20" s="252">
        <v>0</v>
      </c>
      <c r="UIA20" s="252">
        <v>0</v>
      </c>
      <c r="UIB20" s="252">
        <v>0</v>
      </c>
      <c r="UIC20" s="252">
        <v>0</v>
      </c>
      <c r="UID20" s="252">
        <v>0</v>
      </c>
      <c r="UIE20" s="252">
        <v>0</v>
      </c>
      <c r="UIF20" s="252">
        <v>0</v>
      </c>
      <c r="UIG20" s="252">
        <v>0</v>
      </c>
      <c r="UIH20" s="252">
        <v>0</v>
      </c>
      <c r="UII20" s="252">
        <v>0</v>
      </c>
      <c r="UIJ20" s="252">
        <v>0</v>
      </c>
      <c r="UIK20" s="252">
        <v>0</v>
      </c>
      <c r="UIL20" s="252">
        <v>0</v>
      </c>
      <c r="UIM20" s="252">
        <v>0</v>
      </c>
      <c r="UIN20" s="252">
        <v>0</v>
      </c>
      <c r="UIO20" s="252">
        <v>0</v>
      </c>
      <c r="UIP20" s="252">
        <v>0</v>
      </c>
      <c r="UIQ20" s="252">
        <v>0</v>
      </c>
      <c r="UIR20" s="252">
        <v>0</v>
      </c>
      <c r="UIS20" s="252">
        <v>0</v>
      </c>
      <c r="UIT20" s="252">
        <v>0</v>
      </c>
      <c r="UIU20" s="252">
        <v>0</v>
      </c>
      <c r="UIV20" s="252">
        <v>0</v>
      </c>
      <c r="UIW20" s="252">
        <v>0</v>
      </c>
      <c r="UIX20" s="252">
        <v>0</v>
      </c>
      <c r="UIY20" s="252">
        <v>0</v>
      </c>
      <c r="UIZ20" s="252">
        <v>0</v>
      </c>
      <c r="UJA20" s="252">
        <v>0</v>
      </c>
      <c r="UJB20" s="252">
        <v>0</v>
      </c>
      <c r="UJC20" s="252">
        <v>0</v>
      </c>
      <c r="UJD20" s="252">
        <v>0</v>
      </c>
      <c r="UJE20" s="252">
        <v>0</v>
      </c>
      <c r="UJF20" s="252">
        <v>0</v>
      </c>
      <c r="UJG20" s="252">
        <v>0</v>
      </c>
      <c r="UJH20" s="252">
        <v>0</v>
      </c>
      <c r="UJI20" s="252">
        <v>0</v>
      </c>
      <c r="UJJ20" s="252">
        <v>0</v>
      </c>
      <c r="UJK20" s="252">
        <v>0</v>
      </c>
      <c r="UJL20" s="252">
        <v>0</v>
      </c>
      <c r="UJM20" s="252">
        <v>0</v>
      </c>
      <c r="UJN20" s="252">
        <v>0</v>
      </c>
      <c r="UJO20" s="252">
        <v>0</v>
      </c>
      <c r="UJP20" s="252">
        <v>0</v>
      </c>
      <c r="UJQ20" s="252">
        <v>0</v>
      </c>
      <c r="UJR20" s="252">
        <v>0</v>
      </c>
      <c r="UJS20" s="252">
        <v>0</v>
      </c>
      <c r="UJT20" s="252">
        <v>0</v>
      </c>
      <c r="UJU20" s="252">
        <v>0</v>
      </c>
      <c r="UJV20" s="252">
        <v>0</v>
      </c>
      <c r="UJW20" s="252">
        <v>0</v>
      </c>
      <c r="UJX20" s="252">
        <v>0</v>
      </c>
      <c r="UJY20" s="252">
        <v>0</v>
      </c>
      <c r="UJZ20" s="252">
        <v>0</v>
      </c>
      <c r="UKA20" s="252">
        <v>0</v>
      </c>
      <c r="UKB20" s="252">
        <v>0</v>
      </c>
      <c r="UKC20" s="252">
        <v>0</v>
      </c>
      <c r="UKD20" s="252">
        <v>0</v>
      </c>
      <c r="UKE20" s="252">
        <v>0</v>
      </c>
      <c r="UKF20" s="252">
        <v>0</v>
      </c>
      <c r="UKG20" s="252">
        <v>0</v>
      </c>
      <c r="UKH20" s="252">
        <v>0</v>
      </c>
      <c r="UKI20" s="252">
        <v>0</v>
      </c>
      <c r="UKJ20" s="252">
        <v>0</v>
      </c>
      <c r="UKK20" s="252">
        <v>0</v>
      </c>
      <c r="UKL20" s="252">
        <v>0</v>
      </c>
      <c r="UKM20" s="252">
        <v>0</v>
      </c>
      <c r="UKN20" s="252">
        <v>0</v>
      </c>
      <c r="UKO20" s="252">
        <v>0</v>
      </c>
      <c r="UKP20" s="252">
        <v>0</v>
      </c>
      <c r="UKQ20" s="252">
        <v>0</v>
      </c>
      <c r="UKR20" s="252">
        <v>0</v>
      </c>
      <c r="UKS20" s="252">
        <v>0</v>
      </c>
      <c r="UKT20" s="252">
        <v>0</v>
      </c>
      <c r="UKU20" s="252">
        <v>0</v>
      </c>
      <c r="UKV20" s="252">
        <v>0</v>
      </c>
      <c r="UKW20" s="252">
        <v>0</v>
      </c>
      <c r="UKX20" s="252">
        <v>0</v>
      </c>
      <c r="UKY20" s="252">
        <v>0</v>
      </c>
      <c r="UKZ20" s="252">
        <v>0</v>
      </c>
      <c r="ULA20" s="252">
        <v>0</v>
      </c>
      <c r="ULB20" s="252">
        <v>0</v>
      </c>
      <c r="ULC20" s="252">
        <v>0</v>
      </c>
      <c r="ULD20" s="252">
        <v>0</v>
      </c>
      <c r="ULE20" s="252">
        <v>0</v>
      </c>
      <c r="ULF20" s="252">
        <v>0</v>
      </c>
      <c r="ULG20" s="252">
        <v>0</v>
      </c>
      <c r="ULH20" s="252">
        <v>0</v>
      </c>
      <c r="ULI20" s="252">
        <v>0</v>
      </c>
      <c r="ULJ20" s="252">
        <v>0</v>
      </c>
      <c r="ULK20" s="252">
        <v>0</v>
      </c>
      <c r="ULL20" s="252">
        <v>0</v>
      </c>
      <c r="ULM20" s="252">
        <v>0</v>
      </c>
      <c r="ULN20" s="252">
        <v>0</v>
      </c>
      <c r="ULO20" s="252">
        <v>0</v>
      </c>
      <c r="ULP20" s="252">
        <v>0</v>
      </c>
      <c r="ULQ20" s="252">
        <v>0</v>
      </c>
      <c r="ULR20" s="252">
        <v>0</v>
      </c>
      <c r="ULS20" s="252">
        <v>0</v>
      </c>
      <c r="ULT20" s="252">
        <v>0</v>
      </c>
      <c r="ULU20" s="252">
        <v>0</v>
      </c>
      <c r="ULV20" s="252">
        <v>0</v>
      </c>
      <c r="ULW20" s="252">
        <v>0</v>
      </c>
      <c r="ULX20" s="252">
        <v>0</v>
      </c>
      <c r="ULY20" s="252">
        <v>0</v>
      </c>
      <c r="ULZ20" s="252">
        <v>0</v>
      </c>
      <c r="UMA20" s="252">
        <v>0</v>
      </c>
      <c r="UMB20" s="252">
        <v>0</v>
      </c>
      <c r="UMC20" s="252">
        <v>0</v>
      </c>
      <c r="UMD20" s="252">
        <v>0</v>
      </c>
      <c r="UME20" s="252">
        <v>0</v>
      </c>
      <c r="UMF20" s="252">
        <v>0</v>
      </c>
      <c r="UMG20" s="252">
        <v>0</v>
      </c>
      <c r="UMH20" s="252">
        <v>0</v>
      </c>
      <c r="UMI20" s="252">
        <v>0</v>
      </c>
      <c r="UMJ20" s="252">
        <v>0</v>
      </c>
      <c r="UMK20" s="252">
        <v>0</v>
      </c>
      <c r="UML20" s="252">
        <v>0</v>
      </c>
      <c r="UMM20" s="252">
        <v>0</v>
      </c>
      <c r="UMN20" s="252">
        <v>0</v>
      </c>
      <c r="UMO20" s="252">
        <v>0</v>
      </c>
      <c r="UMP20" s="252">
        <v>0</v>
      </c>
      <c r="UMQ20" s="252">
        <v>0</v>
      </c>
      <c r="UMR20" s="252">
        <v>0</v>
      </c>
      <c r="UMS20" s="252">
        <v>0</v>
      </c>
      <c r="UMT20" s="252">
        <v>0</v>
      </c>
      <c r="UMU20" s="252">
        <v>0</v>
      </c>
      <c r="UMV20" s="252">
        <v>0</v>
      </c>
      <c r="UMW20" s="252">
        <v>0</v>
      </c>
      <c r="UMX20" s="252">
        <v>0</v>
      </c>
      <c r="UMY20" s="252">
        <v>0</v>
      </c>
      <c r="UMZ20" s="252">
        <v>0</v>
      </c>
      <c r="UNA20" s="252">
        <v>0</v>
      </c>
      <c r="UNB20" s="252">
        <v>0</v>
      </c>
      <c r="UNC20" s="252">
        <v>0</v>
      </c>
      <c r="UND20" s="252">
        <v>0</v>
      </c>
      <c r="UNE20" s="252">
        <v>0</v>
      </c>
      <c r="UNF20" s="252">
        <v>0</v>
      </c>
      <c r="UNG20" s="252">
        <v>0</v>
      </c>
      <c r="UNH20" s="252">
        <v>0</v>
      </c>
      <c r="UNI20" s="252">
        <v>0</v>
      </c>
      <c r="UNJ20" s="252">
        <v>0</v>
      </c>
      <c r="UNK20" s="252">
        <v>0</v>
      </c>
      <c r="UNL20" s="252">
        <v>0</v>
      </c>
      <c r="UNM20" s="252">
        <v>0</v>
      </c>
      <c r="UNN20" s="252">
        <v>0</v>
      </c>
      <c r="UNO20" s="252">
        <v>0</v>
      </c>
      <c r="UNP20" s="252">
        <v>0</v>
      </c>
      <c r="UNQ20" s="252">
        <v>0</v>
      </c>
      <c r="UNR20" s="252">
        <v>0</v>
      </c>
      <c r="UNS20" s="252">
        <v>0</v>
      </c>
      <c r="UNT20" s="252">
        <v>0</v>
      </c>
      <c r="UNU20" s="252">
        <v>0</v>
      </c>
      <c r="UNV20" s="252">
        <v>0</v>
      </c>
      <c r="UNW20" s="252">
        <v>0</v>
      </c>
      <c r="UNX20" s="252">
        <v>0</v>
      </c>
      <c r="UNY20" s="252">
        <v>0</v>
      </c>
      <c r="UNZ20" s="252">
        <v>0</v>
      </c>
      <c r="UOA20" s="252">
        <v>0</v>
      </c>
      <c r="UOB20" s="252">
        <v>0</v>
      </c>
      <c r="UOC20" s="252">
        <v>0</v>
      </c>
      <c r="UOD20" s="252">
        <v>0</v>
      </c>
      <c r="UOE20" s="252">
        <v>0</v>
      </c>
      <c r="UOF20" s="252">
        <v>0</v>
      </c>
      <c r="UOG20" s="252">
        <v>0</v>
      </c>
      <c r="UOH20" s="252">
        <v>0</v>
      </c>
      <c r="UOI20" s="252">
        <v>0</v>
      </c>
      <c r="UOJ20" s="252">
        <v>0</v>
      </c>
      <c r="UOK20" s="252">
        <v>0</v>
      </c>
      <c r="UOL20" s="252">
        <v>0</v>
      </c>
      <c r="UOM20" s="252">
        <v>0</v>
      </c>
      <c r="UON20" s="252">
        <v>0</v>
      </c>
      <c r="UOO20" s="252">
        <v>0</v>
      </c>
      <c r="UOP20" s="252">
        <v>0</v>
      </c>
      <c r="UOQ20" s="252">
        <v>0</v>
      </c>
      <c r="UOR20" s="252">
        <v>0</v>
      </c>
      <c r="UOS20" s="252">
        <v>0</v>
      </c>
      <c r="UOT20" s="252">
        <v>0</v>
      </c>
      <c r="UOU20" s="252">
        <v>0</v>
      </c>
      <c r="UOV20" s="252">
        <v>0</v>
      </c>
      <c r="UOW20" s="252">
        <v>0</v>
      </c>
      <c r="UOX20" s="252">
        <v>0</v>
      </c>
      <c r="UOY20" s="252">
        <v>0</v>
      </c>
      <c r="UOZ20" s="252">
        <v>0</v>
      </c>
      <c r="UPA20" s="252">
        <v>0</v>
      </c>
      <c r="UPB20" s="252">
        <v>0</v>
      </c>
      <c r="UPC20" s="252">
        <v>0</v>
      </c>
      <c r="UPD20" s="252">
        <v>0</v>
      </c>
      <c r="UPE20" s="252">
        <v>0</v>
      </c>
      <c r="UPF20" s="252">
        <v>0</v>
      </c>
      <c r="UPG20" s="252">
        <v>0</v>
      </c>
      <c r="UPH20" s="252">
        <v>0</v>
      </c>
      <c r="UPI20" s="252">
        <v>0</v>
      </c>
      <c r="UPJ20" s="252">
        <v>0</v>
      </c>
      <c r="UPK20" s="252">
        <v>0</v>
      </c>
      <c r="UPL20" s="252">
        <v>0</v>
      </c>
      <c r="UPM20" s="252">
        <v>0</v>
      </c>
      <c r="UPN20" s="252">
        <v>0</v>
      </c>
      <c r="UPO20" s="252">
        <v>0</v>
      </c>
      <c r="UPP20" s="252">
        <v>0</v>
      </c>
      <c r="UPQ20" s="252">
        <v>0</v>
      </c>
      <c r="UPR20" s="252">
        <v>0</v>
      </c>
      <c r="UPS20" s="252">
        <v>0</v>
      </c>
      <c r="UPT20" s="252">
        <v>0</v>
      </c>
      <c r="UPU20" s="252">
        <v>0</v>
      </c>
      <c r="UPV20" s="252">
        <v>0</v>
      </c>
      <c r="UPW20" s="252">
        <v>0</v>
      </c>
      <c r="UPX20" s="252">
        <v>0</v>
      </c>
      <c r="UPY20" s="252">
        <v>0</v>
      </c>
      <c r="UPZ20" s="252">
        <v>0</v>
      </c>
      <c r="UQA20" s="252">
        <v>0</v>
      </c>
      <c r="UQB20" s="252">
        <v>0</v>
      </c>
      <c r="UQC20" s="252">
        <v>0</v>
      </c>
      <c r="UQD20" s="252">
        <v>0</v>
      </c>
      <c r="UQE20" s="252">
        <v>0</v>
      </c>
      <c r="UQF20" s="252">
        <v>0</v>
      </c>
      <c r="UQG20" s="252">
        <v>0</v>
      </c>
      <c r="UQH20" s="252">
        <v>0</v>
      </c>
      <c r="UQI20" s="252">
        <v>0</v>
      </c>
      <c r="UQJ20" s="252">
        <v>0</v>
      </c>
      <c r="UQK20" s="252">
        <v>0</v>
      </c>
      <c r="UQL20" s="252">
        <v>0</v>
      </c>
      <c r="UQM20" s="252">
        <v>0</v>
      </c>
      <c r="UQN20" s="252">
        <v>0</v>
      </c>
      <c r="UQO20" s="252">
        <v>0</v>
      </c>
      <c r="UQP20" s="252">
        <v>0</v>
      </c>
      <c r="UQQ20" s="252">
        <v>0</v>
      </c>
      <c r="UQR20" s="252">
        <v>0</v>
      </c>
      <c r="UQS20" s="252">
        <v>0</v>
      </c>
      <c r="UQT20" s="252">
        <v>0</v>
      </c>
      <c r="UQU20" s="252">
        <v>0</v>
      </c>
      <c r="UQV20" s="252">
        <v>0</v>
      </c>
      <c r="UQW20" s="252">
        <v>0</v>
      </c>
      <c r="UQX20" s="252">
        <v>0</v>
      </c>
      <c r="UQY20" s="252">
        <v>0</v>
      </c>
      <c r="UQZ20" s="252">
        <v>0</v>
      </c>
      <c r="URA20" s="252">
        <v>0</v>
      </c>
      <c r="URB20" s="252">
        <v>0</v>
      </c>
      <c r="URC20" s="252">
        <v>0</v>
      </c>
      <c r="URD20" s="252">
        <v>0</v>
      </c>
      <c r="URE20" s="252">
        <v>0</v>
      </c>
      <c r="URF20" s="252">
        <v>0</v>
      </c>
      <c r="URG20" s="252">
        <v>0</v>
      </c>
      <c r="URH20" s="252">
        <v>0</v>
      </c>
      <c r="URI20" s="252">
        <v>0</v>
      </c>
      <c r="URJ20" s="252">
        <v>0</v>
      </c>
      <c r="URK20" s="252">
        <v>0</v>
      </c>
      <c r="URL20" s="252">
        <v>0</v>
      </c>
      <c r="URM20" s="252">
        <v>0</v>
      </c>
      <c r="URN20" s="252">
        <v>0</v>
      </c>
      <c r="URO20" s="252">
        <v>0</v>
      </c>
      <c r="URP20" s="252">
        <v>0</v>
      </c>
      <c r="URQ20" s="252">
        <v>0</v>
      </c>
      <c r="URR20" s="252">
        <v>0</v>
      </c>
      <c r="URS20" s="252">
        <v>0</v>
      </c>
      <c r="URT20" s="252">
        <v>0</v>
      </c>
      <c r="URU20" s="252">
        <v>0</v>
      </c>
      <c r="URV20" s="252">
        <v>0</v>
      </c>
      <c r="URW20" s="252">
        <v>0</v>
      </c>
      <c r="URX20" s="252">
        <v>0</v>
      </c>
      <c r="URY20" s="252">
        <v>0</v>
      </c>
      <c r="URZ20" s="252">
        <v>0</v>
      </c>
      <c r="USA20" s="252">
        <v>0</v>
      </c>
      <c r="USB20" s="252">
        <v>0</v>
      </c>
      <c r="USC20" s="252">
        <v>0</v>
      </c>
      <c r="USD20" s="252">
        <v>0</v>
      </c>
      <c r="USE20" s="252">
        <v>0</v>
      </c>
      <c r="USF20" s="252">
        <v>0</v>
      </c>
      <c r="USG20" s="252">
        <v>0</v>
      </c>
      <c r="USH20" s="252">
        <v>0</v>
      </c>
      <c r="USI20" s="252">
        <v>0</v>
      </c>
      <c r="USJ20" s="252">
        <v>0</v>
      </c>
      <c r="USK20" s="252">
        <v>0</v>
      </c>
      <c r="USL20" s="252">
        <v>0</v>
      </c>
      <c r="USM20" s="252">
        <v>0</v>
      </c>
      <c r="USN20" s="252">
        <v>0</v>
      </c>
      <c r="USO20" s="252">
        <v>0</v>
      </c>
      <c r="USP20" s="252">
        <v>0</v>
      </c>
      <c r="USQ20" s="252">
        <v>0</v>
      </c>
      <c r="USR20" s="252">
        <v>0</v>
      </c>
      <c r="USS20" s="252">
        <v>0</v>
      </c>
      <c r="UST20" s="252">
        <v>0</v>
      </c>
      <c r="USU20" s="252">
        <v>0</v>
      </c>
      <c r="USV20" s="252">
        <v>0</v>
      </c>
      <c r="USW20" s="252">
        <v>0</v>
      </c>
      <c r="USX20" s="252">
        <v>0</v>
      </c>
      <c r="USY20" s="252">
        <v>0</v>
      </c>
      <c r="USZ20" s="252">
        <v>0</v>
      </c>
      <c r="UTA20" s="252">
        <v>0</v>
      </c>
      <c r="UTB20" s="252">
        <v>0</v>
      </c>
      <c r="UTC20" s="252">
        <v>0</v>
      </c>
      <c r="UTD20" s="252">
        <v>0</v>
      </c>
      <c r="UTE20" s="252">
        <v>0</v>
      </c>
      <c r="UTF20" s="252">
        <v>0</v>
      </c>
      <c r="UTG20" s="252">
        <v>0</v>
      </c>
      <c r="UTH20" s="252">
        <v>0</v>
      </c>
      <c r="UTI20" s="252">
        <v>0</v>
      </c>
      <c r="UTJ20" s="252">
        <v>0</v>
      </c>
      <c r="UTK20" s="252">
        <v>0</v>
      </c>
      <c r="UTL20" s="252">
        <v>0</v>
      </c>
      <c r="UTM20" s="252">
        <v>0</v>
      </c>
      <c r="UTN20" s="252">
        <v>0</v>
      </c>
      <c r="UTO20" s="252">
        <v>0</v>
      </c>
      <c r="UTP20" s="252">
        <v>0</v>
      </c>
      <c r="UTQ20" s="252">
        <v>0</v>
      </c>
      <c r="UTR20" s="252">
        <v>0</v>
      </c>
      <c r="UTS20" s="252">
        <v>0</v>
      </c>
      <c r="UTT20" s="252">
        <v>0</v>
      </c>
      <c r="UTU20" s="252">
        <v>0</v>
      </c>
      <c r="UTV20" s="252">
        <v>0</v>
      </c>
      <c r="UTW20" s="252">
        <v>0</v>
      </c>
      <c r="UTX20" s="252">
        <v>0</v>
      </c>
      <c r="UTY20" s="252">
        <v>0</v>
      </c>
      <c r="UTZ20" s="252">
        <v>0</v>
      </c>
      <c r="UUA20" s="252">
        <v>0</v>
      </c>
      <c r="UUB20" s="252">
        <v>0</v>
      </c>
      <c r="UUC20" s="252">
        <v>0</v>
      </c>
      <c r="UUD20" s="252">
        <v>0</v>
      </c>
      <c r="UUE20" s="252">
        <v>0</v>
      </c>
      <c r="UUF20" s="252">
        <v>0</v>
      </c>
      <c r="UUG20" s="252">
        <v>0</v>
      </c>
      <c r="UUH20" s="252">
        <v>0</v>
      </c>
      <c r="UUI20" s="252">
        <v>0</v>
      </c>
      <c r="UUJ20" s="252">
        <v>0</v>
      </c>
      <c r="UUK20" s="252">
        <v>0</v>
      </c>
      <c r="UUL20" s="252">
        <v>0</v>
      </c>
      <c r="UUM20" s="252">
        <v>0</v>
      </c>
      <c r="UUN20" s="252">
        <v>0</v>
      </c>
      <c r="UUO20" s="252">
        <v>0</v>
      </c>
      <c r="UUP20" s="252">
        <v>0</v>
      </c>
      <c r="UUQ20" s="252">
        <v>0</v>
      </c>
      <c r="UUR20" s="252">
        <v>0</v>
      </c>
      <c r="UUS20" s="252">
        <v>0</v>
      </c>
      <c r="UUT20" s="252">
        <v>0</v>
      </c>
      <c r="UUU20" s="252">
        <v>0</v>
      </c>
      <c r="UUV20" s="252">
        <v>0</v>
      </c>
      <c r="UUW20" s="252">
        <v>0</v>
      </c>
      <c r="UUX20" s="252">
        <v>0</v>
      </c>
      <c r="UUY20" s="252">
        <v>0</v>
      </c>
      <c r="UUZ20" s="252">
        <v>0</v>
      </c>
      <c r="UVA20" s="252">
        <v>0</v>
      </c>
      <c r="UVB20" s="252">
        <v>0</v>
      </c>
      <c r="UVC20" s="252">
        <v>0</v>
      </c>
      <c r="UVD20" s="252">
        <v>0</v>
      </c>
      <c r="UVE20" s="252">
        <v>0</v>
      </c>
      <c r="UVF20" s="252">
        <v>0</v>
      </c>
      <c r="UVG20" s="252">
        <v>0</v>
      </c>
      <c r="UVH20" s="252">
        <v>0</v>
      </c>
      <c r="UVI20" s="252">
        <v>0</v>
      </c>
      <c r="UVJ20" s="252">
        <v>0</v>
      </c>
      <c r="UVK20" s="252">
        <v>0</v>
      </c>
      <c r="UVL20" s="252">
        <v>0</v>
      </c>
      <c r="UVM20" s="252">
        <v>0</v>
      </c>
      <c r="UVN20" s="252">
        <v>0</v>
      </c>
      <c r="UVO20" s="252">
        <v>0</v>
      </c>
      <c r="UVP20" s="252">
        <v>0</v>
      </c>
      <c r="UVQ20" s="252">
        <v>0</v>
      </c>
      <c r="UVR20" s="252">
        <v>0</v>
      </c>
      <c r="UVS20" s="252">
        <v>0</v>
      </c>
      <c r="UVT20" s="252">
        <v>0</v>
      </c>
      <c r="UVU20" s="252">
        <v>0</v>
      </c>
      <c r="UVV20" s="252">
        <v>0</v>
      </c>
      <c r="UVW20" s="252">
        <v>0</v>
      </c>
      <c r="UVX20" s="252">
        <v>0</v>
      </c>
      <c r="UVY20" s="252">
        <v>0</v>
      </c>
      <c r="UVZ20" s="252">
        <v>0</v>
      </c>
      <c r="UWA20" s="252">
        <v>0</v>
      </c>
      <c r="UWB20" s="252">
        <v>0</v>
      </c>
      <c r="UWC20" s="252">
        <v>0</v>
      </c>
      <c r="UWD20" s="252">
        <v>0</v>
      </c>
      <c r="UWE20" s="252">
        <v>0</v>
      </c>
      <c r="UWF20" s="252">
        <v>0</v>
      </c>
      <c r="UWG20" s="252">
        <v>0</v>
      </c>
      <c r="UWH20" s="252">
        <v>0</v>
      </c>
      <c r="UWI20" s="252">
        <v>0</v>
      </c>
      <c r="UWJ20" s="252">
        <v>0</v>
      </c>
      <c r="UWK20" s="252">
        <v>0</v>
      </c>
      <c r="UWL20" s="252">
        <v>0</v>
      </c>
      <c r="UWM20" s="252">
        <v>0</v>
      </c>
      <c r="UWN20" s="252">
        <v>0</v>
      </c>
      <c r="UWO20" s="252">
        <v>0</v>
      </c>
      <c r="UWP20" s="252">
        <v>0</v>
      </c>
      <c r="UWQ20" s="252">
        <v>0</v>
      </c>
      <c r="UWR20" s="252">
        <v>0</v>
      </c>
      <c r="UWS20" s="252">
        <v>0</v>
      </c>
      <c r="UWT20" s="252">
        <v>0</v>
      </c>
      <c r="UWU20" s="252">
        <v>0</v>
      </c>
      <c r="UWV20" s="252">
        <v>0</v>
      </c>
      <c r="UWW20" s="252">
        <v>0</v>
      </c>
      <c r="UWX20" s="252">
        <v>0</v>
      </c>
      <c r="UWY20" s="252">
        <v>0</v>
      </c>
      <c r="UWZ20" s="252">
        <v>0</v>
      </c>
      <c r="UXA20" s="252">
        <v>0</v>
      </c>
      <c r="UXB20" s="252">
        <v>0</v>
      </c>
      <c r="UXC20" s="252">
        <v>0</v>
      </c>
      <c r="UXD20" s="252">
        <v>0</v>
      </c>
      <c r="UXE20" s="252">
        <v>0</v>
      </c>
      <c r="UXF20" s="252">
        <v>0</v>
      </c>
      <c r="UXG20" s="252">
        <v>0</v>
      </c>
      <c r="UXH20" s="252">
        <v>0</v>
      </c>
      <c r="UXI20" s="252">
        <v>0</v>
      </c>
      <c r="UXJ20" s="252">
        <v>0</v>
      </c>
      <c r="UXK20" s="252">
        <v>0</v>
      </c>
      <c r="UXL20" s="252">
        <v>0</v>
      </c>
      <c r="UXM20" s="252">
        <v>0</v>
      </c>
      <c r="UXN20" s="252">
        <v>0</v>
      </c>
      <c r="UXO20" s="252">
        <v>0</v>
      </c>
      <c r="UXP20" s="252">
        <v>0</v>
      </c>
      <c r="UXQ20" s="252">
        <v>0</v>
      </c>
      <c r="UXR20" s="252">
        <v>0</v>
      </c>
      <c r="UXS20" s="252">
        <v>0</v>
      </c>
      <c r="UXT20" s="252">
        <v>0</v>
      </c>
      <c r="UXU20" s="252">
        <v>0</v>
      </c>
      <c r="UXV20" s="252">
        <v>0</v>
      </c>
      <c r="UXW20" s="252">
        <v>0</v>
      </c>
      <c r="UXX20" s="252">
        <v>0</v>
      </c>
      <c r="UXY20" s="252">
        <v>0</v>
      </c>
      <c r="UXZ20" s="252">
        <v>0</v>
      </c>
      <c r="UYA20" s="252">
        <v>0</v>
      </c>
      <c r="UYB20" s="252">
        <v>0</v>
      </c>
      <c r="UYC20" s="252">
        <v>0</v>
      </c>
      <c r="UYD20" s="252">
        <v>0</v>
      </c>
      <c r="UYE20" s="252">
        <v>0</v>
      </c>
      <c r="UYF20" s="252">
        <v>0</v>
      </c>
      <c r="UYG20" s="252">
        <v>0</v>
      </c>
      <c r="UYH20" s="252">
        <v>0</v>
      </c>
      <c r="UYI20" s="252">
        <v>0</v>
      </c>
      <c r="UYJ20" s="252">
        <v>0</v>
      </c>
      <c r="UYK20" s="252">
        <v>0</v>
      </c>
      <c r="UYL20" s="252">
        <v>0</v>
      </c>
      <c r="UYM20" s="252">
        <v>0</v>
      </c>
      <c r="UYN20" s="252">
        <v>0</v>
      </c>
      <c r="UYO20" s="252">
        <v>0</v>
      </c>
      <c r="UYP20" s="252">
        <v>0</v>
      </c>
      <c r="UYQ20" s="252">
        <v>0</v>
      </c>
      <c r="UYR20" s="252">
        <v>0</v>
      </c>
      <c r="UYS20" s="252">
        <v>0</v>
      </c>
      <c r="UYT20" s="252">
        <v>0</v>
      </c>
      <c r="UYU20" s="252">
        <v>0</v>
      </c>
      <c r="UYV20" s="252">
        <v>0</v>
      </c>
      <c r="UYW20" s="252">
        <v>0</v>
      </c>
      <c r="UYX20" s="252">
        <v>0</v>
      </c>
      <c r="UYY20" s="252">
        <v>0</v>
      </c>
      <c r="UYZ20" s="252">
        <v>0</v>
      </c>
      <c r="UZA20" s="252">
        <v>0</v>
      </c>
      <c r="UZB20" s="252">
        <v>0</v>
      </c>
      <c r="UZC20" s="252">
        <v>0</v>
      </c>
      <c r="UZD20" s="252">
        <v>0</v>
      </c>
      <c r="UZE20" s="252">
        <v>0</v>
      </c>
      <c r="UZF20" s="252">
        <v>0</v>
      </c>
      <c r="UZG20" s="252">
        <v>0</v>
      </c>
      <c r="UZH20" s="252">
        <v>0</v>
      </c>
      <c r="UZI20" s="252">
        <v>0</v>
      </c>
      <c r="UZJ20" s="252">
        <v>0</v>
      </c>
      <c r="UZK20" s="252">
        <v>0</v>
      </c>
      <c r="UZL20" s="252">
        <v>0</v>
      </c>
      <c r="UZM20" s="252">
        <v>0</v>
      </c>
      <c r="UZN20" s="252">
        <v>0</v>
      </c>
      <c r="UZO20" s="252">
        <v>0</v>
      </c>
      <c r="UZP20" s="252">
        <v>0</v>
      </c>
      <c r="UZQ20" s="252">
        <v>0</v>
      </c>
      <c r="UZR20" s="252">
        <v>0</v>
      </c>
      <c r="UZS20" s="252">
        <v>0</v>
      </c>
      <c r="UZT20" s="252">
        <v>0</v>
      </c>
      <c r="UZU20" s="252">
        <v>0</v>
      </c>
      <c r="UZV20" s="252">
        <v>0</v>
      </c>
      <c r="UZW20" s="252">
        <v>0</v>
      </c>
      <c r="UZX20" s="252">
        <v>0</v>
      </c>
      <c r="UZY20" s="252">
        <v>0</v>
      </c>
      <c r="UZZ20" s="252">
        <v>0</v>
      </c>
      <c r="VAA20" s="252">
        <v>0</v>
      </c>
      <c r="VAB20" s="252">
        <v>0</v>
      </c>
      <c r="VAC20" s="252">
        <v>0</v>
      </c>
      <c r="VAD20" s="252">
        <v>0</v>
      </c>
      <c r="VAE20" s="252">
        <v>0</v>
      </c>
      <c r="VAF20" s="252">
        <v>0</v>
      </c>
      <c r="VAG20" s="252">
        <v>0</v>
      </c>
      <c r="VAH20" s="252">
        <v>0</v>
      </c>
      <c r="VAI20" s="252">
        <v>0</v>
      </c>
      <c r="VAJ20" s="252">
        <v>0</v>
      </c>
      <c r="VAK20" s="252">
        <v>0</v>
      </c>
      <c r="VAL20" s="252">
        <v>0</v>
      </c>
      <c r="VAM20" s="252">
        <v>0</v>
      </c>
      <c r="VAN20" s="252">
        <v>0</v>
      </c>
      <c r="VAO20" s="252">
        <v>0</v>
      </c>
      <c r="VAP20" s="252">
        <v>0</v>
      </c>
      <c r="VAQ20" s="252">
        <v>0</v>
      </c>
      <c r="VAR20" s="252">
        <v>0</v>
      </c>
      <c r="VAS20" s="252">
        <v>0</v>
      </c>
      <c r="VAT20" s="252">
        <v>0</v>
      </c>
      <c r="VAU20" s="252">
        <v>0</v>
      </c>
      <c r="VAV20" s="252">
        <v>0</v>
      </c>
      <c r="VAW20" s="252">
        <v>0</v>
      </c>
      <c r="VAX20" s="252">
        <v>0</v>
      </c>
      <c r="VAY20" s="252">
        <v>0</v>
      </c>
      <c r="VAZ20" s="252">
        <v>0</v>
      </c>
      <c r="VBA20" s="252">
        <v>0</v>
      </c>
      <c r="VBB20" s="252">
        <v>0</v>
      </c>
      <c r="VBC20" s="252">
        <v>0</v>
      </c>
      <c r="VBD20" s="252">
        <v>0</v>
      </c>
      <c r="VBE20" s="252">
        <v>0</v>
      </c>
      <c r="VBF20" s="252">
        <v>0</v>
      </c>
      <c r="VBG20" s="252">
        <v>0</v>
      </c>
      <c r="VBH20" s="252">
        <v>0</v>
      </c>
      <c r="VBI20" s="252">
        <v>0</v>
      </c>
      <c r="VBJ20" s="252">
        <v>0</v>
      </c>
      <c r="VBK20" s="252">
        <v>0</v>
      </c>
      <c r="VBL20" s="252">
        <v>0</v>
      </c>
      <c r="VBM20" s="252">
        <v>0</v>
      </c>
      <c r="VBN20" s="252">
        <v>0</v>
      </c>
      <c r="VBO20" s="252">
        <v>0</v>
      </c>
      <c r="VBP20" s="252">
        <v>0</v>
      </c>
      <c r="VBQ20" s="252">
        <v>0</v>
      </c>
      <c r="VBR20" s="252">
        <v>0</v>
      </c>
      <c r="VBS20" s="252">
        <v>0</v>
      </c>
      <c r="VBT20" s="252">
        <v>0</v>
      </c>
      <c r="VBU20" s="252">
        <v>0</v>
      </c>
      <c r="VBV20" s="252">
        <v>0</v>
      </c>
      <c r="VBW20" s="252">
        <v>0</v>
      </c>
      <c r="VBX20" s="252">
        <v>0</v>
      </c>
      <c r="VBY20" s="252">
        <v>0</v>
      </c>
      <c r="VBZ20" s="252">
        <v>0</v>
      </c>
      <c r="VCA20" s="252">
        <v>0</v>
      </c>
      <c r="VCB20" s="252">
        <v>0</v>
      </c>
      <c r="VCC20" s="252">
        <v>0</v>
      </c>
      <c r="VCD20" s="252">
        <v>0</v>
      </c>
      <c r="VCE20" s="252">
        <v>0</v>
      </c>
      <c r="VCF20" s="252">
        <v>0</v>
      </c>
      <c r="VCG20" s="252">
        <v>0</v>
      </c>
      <c r="VCH20" s="252">
        <v>0</v>
      </c>
      <c r="VCI20" s="252">
        <v>0</v>
      </c>
      <c r="VCJ20" s="252">
        <v>0</v>
      </c>
      <c r="VCK20" s="252">
        <v>0</v>
      </c>
      <c r="VCL20" s="252">
        <v>0</v>
      </c>
      <c r="VCM20" s="252">
        <v>0</v>
      </c>
      <c r="VCN20" s="252">
        <v>0</v>
      </c>
      <c r="VCO20" s="252">
        <v>0</v>
      </c>
      <c r="VCP20" s="252">
        <v>0</v>
      </c>
      <c r="VCQ20" s="252">
        <v>0</v>
      </c>
      <c r="VCR20" s="252">
        <v>0</v>
      </c>
      <c r="VCS20" s="252">
        <v>0</v>
      </c>
      <c r="VCT20" s="252">
        <v>0</v>
      </c>
      <c r="VCU20" s="252">
        <v>0</v>
      </c>
      <c r="VCV20" s="252">
        <v>0</v>
      </c>
      <c r="VCW20" s="252">
        <v>0</v>
      </c>
      <c r="VCX20" s="252">
        <v>0</v>
      </c>
      <c r="VCY20" s="252">
        <v>0</v>
      </c>
      <c r="VCZ20" s="252">
        <v>0</v>
      </c>
      <c r="VDA20" s="252">
        <v>0</v>
      </c>
      <c r="VDB20" s="252">
        <v>0</v>
      </c>
      <c r="VDC20" s="252">
        <v>0</v>
      </c>
      <c r="VDD20" s="252">
        <v>0</v>
      </c>
      <c r="VDE20" s="252">
        <v>0</v>
      </c>
      <c r="VDF20" s="252">
        <v>0</v>
      </c>
      <c r="VDG20" s="252">
        <v>0</v>
      </c>
      <c r="VDH20" s="252">
        <v>0</v>
      </c>
      <c r="VDI20" s="252">
        <v>0</v>
      </c>
      <c r="VDJ20" s="252">
        <v>0</v>
      </c>
      <c r="VDK20" s="252">
        <v>0</v>
      </c>
      <c r="VDL20" s="252">
        <v>0</v>
      </c>
      <c r="VDM20" s="252">
        <v>0</v>
      </c>
      <c r="VDN20" s="252">
        <v>0</v>
      </c>
      <c r="VDO20" s="252">
        <v>0</v>
      </c>
      <c r="VDP20" s="252">
        <v>0</v>
      </c>
      <c r="VDQ20" s="252">
        <v>0</v>
      </c>
      <c r="VDR20" s="252">
        <v>0</v>
      </c>
      <c r="VDS20" s="252">
        <v>0</v>
      </c>
      <c r="VDT20" s="252">
        <v>0</v>
      </c>
      <c r="VDU20" s="252">
        <v>0</v>
      </c>
      <c r="VDV20" s="252">
        <v>0</v>
      </c>
      <c r="VDW20" s="252">
        <v>0</v>
      </c>
      <c r="VDX20" s="252">
        <v>0</v>
      </c>
      <c r="VDY20" s="252">
        <v>0</v>
      </c>
      <c r="VDZ20" s="252">
        <v>0</v>
      </c>
      <c r="VEA20" s="252">
        <v>0</v>
      </c>
      <c r="VEB20" s="252">
        <v>0</v>
      </c>
      <c r="VEC20" s="252">
        <v>0</v>
      </c>
      <c r="VED20" s="252">
        <v>0</v>
      </c>
      <c r="VEE20" s="252">
        <v>0</v>
      </c>
      <c r="VEF20" s="252">
        <v>0</v>
      </c>
      <c r="VEG20" s="252">
        <v>0</v>
      </c>
      <c r="VEH20" s="252">
        <v>0</v>
      </c>
      <c r="VEI20" s="252">
        <v>0</v>
      </c>
      <c r="VEJ20" s="252">
        <v>0</v>
      </c>
      <c r="VEK20" s="252">
        <v>0</v>
      </c>
      <c r="VEL20" s="252">
        <v>0</v>
      </c>
      <c r="VEM20" s="252">
        <v>0</v>
      </c>
      <c r="VEN20" s="252">
        <v>0</v>
      </c>
      <c r="VEO20" s="252">
        <v>0</v>
      </c>
      <c r="VEP20" s="252">
        <v>0</v>
      </c>
      <c r="VEQ20" s="252">
        <v>0</v>
      </c>
      <c r="VER20" s="252">
        <v>0</v>
      </c>
      <c r="VES20" s="252">
        <v>0</v>
      </c>
      <c r="VET20" s="252">
        <v>0</v>
      </c>
      <c r="VEU20" s="252">
        <v>0</v>
      </c>
      <c r="VEV20" s="252">
        <v>0</v>
      </c>
      <c r="VEW20" s="252">
        <v>0</v>
      </c>
      <c r="VEX20" s="252">
        <v>0</v>
      </c>
      <c r="VEY20" s="252">
        <v>0</v>
      </c>
      <c r="VEZ20" s="252">
        <v>0</v>
      </c>
      <c r="VFA20" s="252">
        <v>0</v>
      </c>
      <c r="VFB20" s="252">
        <v>0</v>
      </c>
      <c r="VFC20" s="252">
        <v>0</v>
      </c>
      <c r="VFD20" s="252">
        <v>0</v>
      </c>
      <c r="VFE20" s="252">
        <v>0</v>
      </c>
      <c r="VFF20" s="252">
        <v>0</v>
      </c>
      <c r="VFG20" s="252">
        <v>0</v>
      </c>
      <c r="VFH20" s="252">
        <v>0</v>
      </c>
      <c r="VFI20" s="252">
        <v>0</v>
      </c>
      <c r="VFJ20" s="252">
        <v>0</v>
      </c>
      <c r="VFK20" s="252">
        <v>0</v>
      </c>
      <c r="VFL20" s="252">
        <v>0</v>
      </c>
      <c r="VFM20" s="252">
        <v>0</v>
      </c>
      <c r="VFN20" s="252">
        <v>0</v>
      </c>
      <c r="VFO20" s="252">
        <v>0</v>
      </c>
      <c r="VFP20" s="252">
        <v>0</v>
      </c>
      <c r="VFQ20" s="252">
        <v>0</v>
      </c>
      <c r="VFR20" s="252">
        <v>0</v>
      </c>
      <c r="VFS20" s="252">
        <v>0</v>
      </c>
      <c r="VFT20" s="252">
        <v>0</v>
      </c>
      <c r="VFU20" s="252">
        <v>0</v>
      </c>
      <c r="VFV20" s="252">
        <v>0</v>
      </c>
      <c r="VFW20" s="252">
        <v>0</v>
      </c>
      <c r="VFX20" s="252">
        <v>0</v>
      </c>
      <c r="VFY20" s="252">
        <v>0</v>
      </c>
      <c r="VFZ20" s="252">
        <v>0</v>
      </c>
      <c r="VGA20" s="252">
        <v>0</v>
      </c>
      <c r="VGB20" s="252">
        <v>0</v>
      </c>
      <c r="VGC20" s="252">
        <v>0</v>
      </c>
      <c r="VGD20" s="252">
        <v>0</v>
      </c>
      <c r="VGE20" s="252">
        <v>0</v>
      </c>
      <c r="VGF20" s="252">
        <v>0</v>
      </c>
      <c r="VGG20" s="252">
        <v>0</v>
      </c>
      <c r="VGH20" s="252">
        <v>0</v>
      </c>
      <c r="VGI20" s="252">
        <v>0</v>
      </c>
      <c r="VGJ20" s="252">
        <v>0</v>
      </c>
      <c r="VGK20" s="252">
        <v>0</v>
      </c>
      <c r="VGL20" s="252">
        <v>0</v>
      </c>
      <c r="VGM20" s="252">
        <v>0</v>
      </c>
      <c r="VGN20" s="252">
        <v>0</v>
      </c>
      <c r="VGO20" s="252">
        <v>0</v>
      </c>
      <c r="VGP20" s="252">
        <v>0</v>
      </c>
      <c r="VGQ20" s="252">
        <v>0</v>
      </c>
      <c r="VGR20" s="252">
        <v>0</v>
      </c>
      <c r="VGS20" s="252">
        <v>0</v>
      </c>
      <c r="VGT20" s="252">
        <v>0</v>
      </c>
      <c r="VGU20" s="252">
        <v>0</v>
      </c>
      <c r="VGV20" s="252">
        <v>0</v>
      </c>
      <c r="VGW20" s="252">
        <v>0</v>
      </c>
      <c r="VGX20" s="252">
        <v>0</v>
      </c>
      <c r="VGY20" s="252">
        <v>0</v>
      </c>
      <c r="VGZ20" s="252">
        <v>0</v>
      </c>
      <c r="VHA20" s="252">
        <v>0</v>
      </c>
      <c r="VHB20" s="252">
        <v>0</v>
      </c>
      <c r="VHC20" s="252">
        <v>0</v>
      </c>
      <c r="VHD20" s="252">
        <v>0</v>
      </c>
      <c r="VHE20" s="252">
        <v>0</v>
      </c>
      <c r="VHF20" s="252">
        <v>0</v>
      </c>
      <c r="VHG20" s="252">
        <v>0</v>
      </c>
      <c r="VHH20" s="252">
        <v>0</v>
      </c>
      <c r="VHI20" s="252">
        <v>0</v>
      </c>
      <c r="VHJ20" s="252">
        <v>0</v>
      </c>
      <c r="VHK20" s="252">
        <v>0</v>
      </c>
      <c r="VHL20" s="252">
        <v>0</v>
      </c>
      <c r="VHM20" s="252">
        <v>0</v>
      </c>
      <c r="VHN20" s="252">
        <v>0</v>
      </c>
      <c r="VHO20" s="252">
        <v>0</v>
      </c>
      <c r="VHP20" s="252">
        <v>0</v>
      </c>
      <c r="VHQ20" s="252">
        <v>0</v>
      </c>
      <c r="VHR20" s="252">
        <v>0</v>
      </c>
      <c r="VHS20" s="252">
        <v>0</v>
      </c>
      <c r="VHT20" s="252">
        <v>0</v>
      </c>
      <c r="VHU20" s="252">
        <v>0</v>
      </c>
      <c r="VHV20" s="252">
        <v>0</v>
      </c>
      <c r="VHW20" s="252">
        <v>0</v>
      </c>
      <c r="VHX20" s="252">
        <v>0</v>
      </c>
      <c r="VHY20" s="252">
        <v>0</v>
      </c>
      <c r="VHZ20" s="252">
        <v>0</v>
      </c>
      <c r="VIA20" s="252">
        <v>0</v>
      </c>
      <c r="VIB20" s="252">
        <v>0</v>
      </c>
      <c r="VIC20" s="252">
        <v>0</v>
      </c>
      <c r="VID20" s="252">
        <v>0</v>
      </c>
      <c r="VIE20" s="252">
        <v>0</v>
      </c>
      <c r="VIF20" s="252">
        <v>0</v>
      </c>
      <c r="VIG20" s="252">
        <v>0</v>
      </c>
      <c r="VIH20" s="252">
        <v>0</v>
      </c>
      <c r="VII20" s="252">
        <v>0</v>
      </c>
      <c r="VIJ20" s="252">
        <v>0</v>
      </c>
      <c r="VIK20" s="252">
        <v>0</v>
      </c>
      <c r="VIL20" s="252">
        <v>0</v>
      </c>
      <c r="VIM20" s="252">
        <v>0</v>
      </c>
      <c r="VIN20" s="252">
        <v>0</v>
      </c>
      <c r="VIO20" s="252">
        <v>0</v>
      </c>
      <c r="VIP20" s="252">
        <v>0</v>
      </c>
      <c r="VIQ20" s="252">
        <v>0</v>
      </c>
      <c r="VIR20" s="252">
        <v>0</v>
      </c>
      <c r="VIS20" s="252">
        <v>0</v>
      </c>
      <c r="VIT20" s="252">
        <v>0</v>
      </c>
      <c r="VIU20" s="252">
        <v>0</v>
      </c>
      <c r="VIV20" s="252">
        <v>0</v>
      </c>
      <c r="VIW20" s="252">
        <v>0</v>
      </c>
      <c r="VIX20" s="252">
        <v>0</v>
      </c>
      <c r="VIY20" s="252">
        <v>0</v>
      </c>
      <c r="VIZ20" s="252">
        <v>0</v>
      </c>
      <c r="VJA20" s="252">
        <v>0</v>
      </c>
      <c r="VJB20" s="252">
        <v>0</v>
      </c>
      <c r="VJC20" s="252">
        <v>0</v>
      </c>
      <c r="VJD20" s="252">
        <v>0</v>
      </c>
      <c r="VJE20" s="252">
        <v>0</v>
      </c>
      <c r="VJF20" s="252">
        <v>0</v>
      </c>
      <c r="VJG20" s="252">
        <v>0</v>
      </c>
      <c r="VJH20" s="252">
        <v>0</v>
      </c>
      <c r="VJI20" s="252">
        <v>0</v>
      </c>
      <c r="VJJ20" s="252">
        <v>0</v>
      </c>
      <c r="VJK20" s="252">
        <v>0</v>
      </c>
      <c r="VJL20" s="252">
        <v>0</v>
      </c>
      <c r="VJM20" s="252">
        <v>0</v>
      </c>
      <c r="VJN20" s="252">
        <v>0</v>
      </c>
      <c r="VJO20" s="252">
        <v>0</v>
      </c>
      <c r="VJP20" s="252">
        <v>0</v>
      </c>
      <c r="VJQ20" s="252">
        <v>0</v>
      </c>
      <c r="VJR20" s="252">
        <v>0</v>
      </c>
      <c r="VJS20" s="252">
        <v>0</v>
      </c>
      <c r="VJT20" s="252">
        <v>0</v>
      </c>
      <c r="VJU20" s="252">
        <v>0</v>
      </c>
      <c r="VJV20" s="252">
        <v>0</v>
      </c>
      <c r="VJW20" s="252">
        <v>0</v>
      </c>
      <c r="VJX20" s="252">
        <v>0</v>
      </c>
      <c r="VJY20" s="252">
        <v>0</v>
      </c>
      <c r="VJZ20" s="252">
        <v>0</v>
      </c>
      <c r="VKA20" s="252">
        <v>0</v>
      </c>
      <c r="VKB20" s="252">
        <v>0</v>
      </c>
      <c r="VKC20" s="252">
        <v>0</v>
      </c>
      <c r="VKD20" s="252">
        <v>0</v>
      </c>
      <c r="VKE20" s="252">
        <v>0</v>
      </c>
      <c r="VKF20" s="252">
        <v>0</v>
      </c>
      <c r="VKG20" s="252">
        <v>0</v>
      </c>
      <c r="VKH20" s="252">
        <v>0</v>
      </c>
      <c r="VKI20" s="252">
        <v>0</v>
      </c>
      <c r="VKJ20" s="252">
        <v>0</v>
      </c>
      <c r="VKK20" s="252">
        <v>0</v>
      </c>
      <c r="VKL20" s="252">
        <v>0</v>
      </c>
      <c r="VKM20" s="252">
        <v>0</v>
      </c>
      <c r="VKN20" s="252">
        <v>0</v>
      </c>
      <c r="VKO20" s="252">
        <v>0</v>
      </c>
      <c r="VKP20" s="252">
        <v>0</v>
      </c>
      <c r="VKQ20" s="252">
        <v>0</v>
      </c>
      <c r="VKR20" s="252">
        <v>0</v>
      </c>
      <c r="VKS20" s="252">
        <v>0</v>
      </c>
      <c r="VKT20" s="252">
        <v>0</v>
      </c>
      <c r="VKU20" s="252">
        <v>0</v>
      </c>
      <c r="VKV20" s="252">
        <v>0</v>
      </c>
      <c r="VKW20" s="252">
        <v>0</v>
      </c>
      <c r="VKX20" s="252">
        <v>0</v>
      </c>
      <c r="VKY20" s="252">
        <v>0</v>
      </c>
      <c r="VKZ20" s="252">
        <v>0</v>
      </c>
      <c r="VLA20" s="252">
        <v>0</v>
      </c>
      <c r="VLB20" s="252">
        <v>0</v>
      </c>
      <c r="VLC20" s="252">
        <v>0</v>
      </c>
      <c r="VLD20" s="252">
        <v>0</v>
      </c>
      <c r="VLE20" s="252">
        <v>0</v>
      </c>
      <c r="VLF20" s="252">
        <v>0</v>
      </c>
      <c r="VLG20" s="252">
        <v>0</v>
      </c>
      <c r="VLH20" s="252">
        <v>0</v>
      </c>
      <c r="VLI20" s="252">
        <v>0</v>
      </c>
      <c r="VLJ20" s="252">
        <v>0</v>
      </c>
      <c r="VLK20" s="252">
        <v>0</v>
      </c>
      <c r="VLL20" s="252">
        <v>0</v>
      </c>
      <c r="VLM20" s="252">
        <v>0</v>
      </c>
      <c r="VLN20" s="252">
        <v>0</v>
      </c>
      <c r="VLO20" s="252">
        <v>0</v>
      </c>
      <c r="VLP20" s="252">
        <v>0</v>
      </c>
      <c r="VLQ20" s="252">
        <v>0</v>
      </c>
      <c r="VLR20" s="252">
        <v>0</v>
      </c>
      <c r="VLS20" s="252">
        <v>0</v>
      </c>
      <c r="VLT20" s="252">
        <v>0</v>
      </c>
      <c r="VLU20" s="252">
        <v>0</v>
      </c>
      <c r="VLV20" s="252">
        <v>0</v>
      </c>
      <c r="VLW20" s="252">
        <v>0</v>
      </c>
      <c r="VLX20" s="252">
        <v>0</v>
      </c>
      <c r="VLY20" s="252">
        <v>0</v>
      </c>
      <c r="VLZ20" s="252">
        <v>0</v>
      </c>
      <c r="VMA20" s="252">
        <v>0</v>
      </c>
      <c r="VMB20" s="252">
        <v>0</v>
      </c>
      <c r="VMC20" s="252">
        <v>0</v>
      </c>
      <c r="VMD20" s="252">
        <v>0</v>
      </c>
      <c r="VME20" s="252">
        <v>0</v>
      </c>
      <c r="VMF20" s="252">
        <v>0</v>
      </c>
      <c r="VMG20" s="252">
        <v>0</v>
      </c>
      <c r="VMH20" s="252">
        <v>0</v>
      </c>
      <c r="VMI20" s="252">
        <v>0</v>
      </c>
      <c r="VMJ20" s="252">
        <v>0</v>
      </c>
      <c r="VMK20" s="252">
        <v>0</v>
      </c>
      <c r="VML20" s="252">
        <v>0</v>
      </c>
      <c r="VMM20" s="252">
        <v>0</v>
      </c>
      <c r="VMN20" s="252">
        <v>0</v>
      </c>
      <c r="VMO20" s="252">
        <v>0</v>
      </c>
      <c r="VMP20" s="252">
        <v>0</v>
      </c>
      <c r="VMQ20" s="252">
        <v>0</v>
      </c>
      <c r="VMR20" s="252">
        <v>0</v>
      </c>
      <c r="VMS20" s="252">
        <v>0</v>
      </c>
      <c r="VMT20" s="252">
        <v>0</v>
      </c>
      <c r="VMU20" s="252">
        <v>0</v>
      </c>
      <c r="VMV20" s="252">
        <v>0</v>
      </c>
      <c r="VMW20" s="252">
        <v>0</v>
      </c>
      <c r="VMX20" s="252">
        <v>0</v>
      </c>
      <c r="VMY20" s="252">
        <v>0</v>
      </c>
      <c r="VMZ20" s="252">
        <v>0</v>
      </c>
      <c r="VNA20" s="252">
        <v>0</v>
      </c>
      <c r="VNB20" s="252">
        <v>0</v>
      </c>
      <c r="VNC20" s="252">
        <v>0</v>
      </c>
      <c r="VND20" s="252">
        <v>0</v>
      </c>
      <c r="VNE20" s="252">
        <v>0</v>
      </c>
      <c r="VNF20" s="252">
        <v>0</v>
      </c>
      <c r="VNG20" s="252">
        <v>0</v>
      </c>
      <c r="VNH20" s="252">
        <v>0</v>
      </c>
      <c r="VNI20" s="252">
        <v>0</v>
      </c>
      <c r="VNJ20" s="252">
        <v>0</v>
      </c>
      <c r="VNK20" s="252">
        <v>0</v>
      </c>
      <c r="VNL20" s="252">
        <v>0</v>
      </c>
      <c r="VNM20" s="252">
        <v>0</v>
      </c>
      <c r="VNN20" s="252">
        <v>0</v>
      </c>
      <c r="VNO20" s="252">
        <v>0</v>
      </c>
      <c r="VNP20" s="252">
        <v>0</v>
      </c>
      <c r="VNQ20" s="252">
        <v>0</v>
      </c>
      <c r="VNR20" s="252">
        <v>0</v>
      </c>
      <c r="VNS20" s="252">
        <v>0</v>
      </c>
      <c r="VNT20" s="252">
        <v>0</v>
      </c>
      <c r="VNU20" s="252">
        <v>0</v>
      </c>
      <c r="VNV20" s="252">
        <v>0</v>
      </c>
      <c r="VNW20" s="252">
        <v>0</v>
      </c>
      <c r="VNX20" s="252">
        <v>0</v>
      </c>
      <c r="VNY20" s="252">
        <v>0</v>
      </c>
      <c r="VNZ20" s="252">
        <v>0</v>
      </c>
      <c r="VOA20" s="252">
        <v>0</v>
      </c>
      <c r="VOB20" s="252">
        <v>0</v>
      </c>
      <c r="VOC20" s="252">
        <v>0</v>
      </c>
      <c r="VOD20" s="252">
        <v>0</v>
      </c>
      <c r="VOE20" s="252">
        <v>0</v>
      </c>
      <c r="VOF20" s="252">
        <v>0</v>
      </c>
      <c r="VOG20" s="252">
        <v>0</v>
      </c>
      <c r="VOH20" s="252">
        <v>0</v>
      </c>
      <c r="VOI20" s="252">
        <v>0</v>
      </c>
      <c r="VOJ20" s="252">
        <v>0</v>
      </c>
      <c r="VOK20" s="252">
        <v>0</v>
      </c>
      <c r="VOL20" s="252">
        <v>0</v>
      </c>
      <c r="VOM20" s="252">
        <v>0</v>
      </c>
      <c r="VON20" s="252">
        <v>0</v>
      </c>
      <c r="VOO20" s="252">
        <v>0</v>
      </c>
      <c r="VOP20" s="252">
        <v>0</v>
      </c>
      <c r="VOQ20" s="252">
        <v>0</v>
      </c>
      <c r="VOR20" s="252">
        <v>0</v>
      </c>
      <c r="VOS20" s="252">
        <v>0</v>
      </c>
      <c r="VOT20" s="252">
        <v>0</v>
      </c>
      <c r="VOU20" s="252">
        <v>0</v>
      </c>
      <c r="VOV20" s="252">
        <v>0</v>
      </c>
      <c r="VOW20" s="252">
        <v>0</v>
      </c>
      <c r="VOX20" s="252">
        <v>0</v>
      </c>
      <c r="VOY20" s="252">
        <v>0</v>
      </c>
      <c r="VOZ20" s="252">
        <v>0</v>
      </c>
      <c r="VPA20" s="252">
        <v>0</v>
      </c>
      <c r="VPB20" s="252">
        <v>0</v>
      </c>
      <c r="VPC20" s="252">
        <v>0</v>
      </c>
      <c r="VPD20" s="252">
        <v>0</v>
      </c>
      <c r="VPE20" s="252">
        <v>0</v>
      </c>
      <c r="VPF20" s="252">
        <v>0</v>
      </c>
      <c r="VPG20" s="252">
        <v>0</v>
      </c>
      <c r="VPH20" s="252">
        <v>0</v>
      </c>
      <c r="VPI20" s="252">
        <v>0</v>
      </c>
      <c r="VPJ20" s="252">
        <v>0</v>
      </c>
      <c r="VPK20" s="252">
        <v>0</v>
      </c>
      <c r="VPL20" s="252">
        <v>0</v>
      </c>
      <c r="VPM20" s="252">
        <v>0</v>
      </c>
      <c r="VPN20" s="252">
        <v>0</v>
      </c>
      <c r="VPO20" s="252">
        <v>0</v>
      </c>
      <c r="VPP20" s="252">
        <v>0</v>
      </c>
      <c r="VPQ20" s="252">
        <v>0</v>
      </c>
      <c r="VPR20" s="252">
        <v>0</v>
      </c>
      <c r="VPS20" s="252">
        <v>0</v>
      </c>
      <c r="VPT20" s="252">
        <v>0</v>
      </c>
      <c r="VPU20" s="252">
        <v>0</v>
      </c>
      <c r="VPV20" s="252">
        <v>0</v>
      </c>
      <c r="VPW20" s="252">
        <v>0</v>
      </c>
      <c r="VPX20" s="252">
        <v>0</v>
      </c>
      <c r="VPY20" s="252">
        <v>0</v>
      </c>
      <c r="VPZ20" s="252">
        <v>0</v>
      </c>
      <c r="VQA20" s="252">
        <v>0</v>
      </c>
      <c r="VQB20" s="252">
        <v>0</v>
      </c>
      <c r="VQC20" s="252">
        <v>0</v>
      </c>
      <c r="VQD20" s="252">
        <v>0</v>
      </c>
      <c r="VQE20" s="252">
        <v>0</v>
      </c>
      <c r="VQF20" s="252">
        <v>0</v>
      </c>
      <c r="VQG20" s="252">
        <v>0</v>
      </c>
      <c r="VQH20" s="252">
        <v>0</v>
      </c>
      <c r="VQI20" s="252">
        <v>0</v>
      </c>
      <c r="VQJ20" s="252">
        <v>0</v>
      </c>
      <c r="VQK20" s="252">
        <v>0</v>
      </c>
      <c r="VQL20" s="252">
        <v>0</v>
      </c>
      <c r="VQM20" s="252">
        <v>0</v>
      </c>
      <c r="VQN20" s="252">
        <v>0</v>
      </c>
      <c r="VQO20" s="252">
        <v>0</v>
      </c>
      <c r="VQP20" s="252">
        <v>0</v>
      </c>
      <c r="VQQ20" s="252">
        <v>0</v>
      </c>
      <c r="VQR20" s="252">
        <v>0</v>
      </c>
      <c r="VQS20" s="252">
        <v>0</v>
      </c>
      <c r="VQT20" s="252">
        <v>0</v>
      </c>
      <c r="VQU20" s="252">
        <v>0</v>
      </c>
      <c r="VQV20" s="252">
        <v>0</v>
      </c>
      <c r="VQW20" s="252">
        <v>0</v>
      </c>
      <c r="VQX20" s="252">
        <v>0</v>
      </c>
      <c r="VQY20" s="252">
        <v>0</v>
      </c>
      <c r="VQZ20" s="252">
        <v>0</v>
      </c>
      <c r="VRA20" s="252">
        <v>0</v>
      </c>
      <c r="VRB20" s="252">
        <v>0</v>
      </c>
      <c r="VRC20" s="252">
        <v>0</v>
      </c>
      <c r="VRD20" s="252">
        <v>0</v>
      </c>
      <c r="VRE20" s="252">
        <v>0</v>
      </c>
      <c r="VRF20" s="252">
        <v>0</v>
      </c>
      <c r="VRG20" s="252">
        <v>0</v>
      </c>
      <c r="VRH20" s="252">
        <v>0</v>
      </c>
      <c r="VRI20" s="252">
        <v>0</v>
      </c>
      <c r="VRJ20" s="252">
        <v>0</v>
      </c>
      <c r="VRK20" s="252">
        <v>0</v>
      </c>
      <c r="VRL20" s="252">
        <v>0</v>
      </c>
      <c r="VRM20" s="252">
        <v>0</v>
      </c>
      <c r="VRN20" s="252">
        <v>0</v>
      </c>
      <c r="VRO20" s="252">
        <v>0</v>
      </c>
      <c r="VRP20" s="252">
        <v>0</v>
      </c>
      <c r="VRQ20" s="252">
        <v>0</v>
      </c>
      <c r="VRR20" s="252">
        <v>0</v>
      </c>
      <c r="VRS20" s="252">
        <v>0</v>
      </c>
      <c r="VRT20" s="252">
        <v>0</v>
      </c>
      <c r="VRU20" s="252">
        <v>0</v>
      </c>
      <c r="VRV20" s="252">
        <v>0</v>
      </c>
      <c r="VRW20" s="252">
        <v>0</v>
      </c>
      <c r="VRX20" s="252">
        <v>0</v>
      </c>
      <c r="VRY20" s="252">
        <v>0</v>
      </c>
      <c r="VRZ20" s="252">
        <v>0</v>
      </c>
      <c r="VSA20" s="252">
        <v>0</v>
      </c>
      <c r="VSB20" s="252">
        <v>0</v>
      </c>
      <c r="VSC20" s="252">
        <v>0</v>
      </c>
      <c r="VSD20" s="252">
        <v>0</v>
      </c>
      <c r="VSE20" s="252">
        <v>0</v>
      </c>
      <c r="VSF20" s="252">
        <v>0</v>
      </c>
      <c r="VSG20" s="252">
        <v>0</v>
      </c>
      <c r="VSH20" s="252">
        <v>0</v>
      </c>
      <c r="VSI20" s="252">
        <v>0</v>
      </c>
      <c r="VSJ20" s="252">
        <v>0</v>
      </c>
      <c r="VSK20" s="252">
        <v>0</v>
      </c>
      <c r="VSL20" s="252">
        <v>0</v>
      </c>
      <c r="VSM20" s="252">
        <v>0</v>
      </c>
      <c r="VSN20" s="252">
        <v>0</v>
      </c>
      <c r="VSO20" s="252">
        <v>0</v>
      </c>
      <c r="VSP20" s="252">
        <v>0</v>
      </c>
      <c r="VSQ20" s="252">
        <v>0</v>
      </c>
      <c r="VSR20" s="252">
        <v>0</v>
      </c>
      <c r="VSS20" s="252">
        <v>0</v>
      </c>
      <c r="VST20" s="252">
        <v>0</v>
      </c>
      <c r="VSU20" s="252">
        <v>0</v>
      </c>
      <c r="VSV20" s="252">
        <v>0</v>
      </c>
      <c r="VSW20" s="252">
        <v>0</v>
      </c>
      <c r="VSX20" s="252">
        <v>0</v>
      </c>
      <c r="VSY20" s="252">
        <v>0</v>
      </c>
      <c r="VSZ20" s="252">
        <v>0</v>
      </c>
      <c r="VTA20" s="252">
        <v>0</v>
      </c>
      <c r="VTB20" s="252">
        <v>0</v>
      </c>
      <c r="VTC20" s="252">
        <v>0</v>
      </c>
      <c r="VTD20" s="252">
        <v>0</v>
      </c>
      <c r="VTE20" s="252">
        <v>0</v>
      </c>
      <c r="VTF20" s="252">
        <v>0</v>
      </c>
      <c r="VTG20" s="252">
        <v>0</v>
      </c>
      <c r="VTH20" s="252">
        <v>0</v>
      </c>
      <c r="VTI20" s="252">
        <v>0</v>
      </c>
      <c r="VTJ20" s="252">
        <v>0</v>
      </c>
      <c r="VTK20" s="252">
        <v>0</v>
      </c>
      <c r="VTL20" s="252">
        <v>0</v>
      </c>
      <c r="VTM20" s="252">
        <v>0</v>
      </c>
      <c r="VTN20" s="252">
        <v>0</v>
      </c>
      <c r="VTO20" s="252">
        <v>0</v>
      </c>
      <c r="VTP20" s="252">
        <v>0</v>
      </c>
      <c r="VTQ20" s="252">
        <v>0</v>
      </c>
      <c r="VTR20" s="252">
        <v>0</v>
      </c>
      <c r="VTS20" s="252">
        <v>0</v>
      </c>
      <c r="VTT20" s="252">
        <v>0</v>
      </c>
      <c r="VTU20" s="252">
        <v>0</v>
      </c>
      <c r="VTV20" s="252">
        <v>0</v>
      </c>
      <c r="VTW20" s="252">
        <v>0</v>
      </c>
      <c r="VTX20" s="252">
        <v>0</v>
      </c>
      <c r="VTY20" s="252">
        <v>0</v>
      </c>
      <c r="VTZ20" s="252">
        <v>0</v>
      </c>
      <c r="VUA20" s="252">
        <v>0</v>
      </c>
      <c r="VUB20" s="252">
        <v>0</v>
      </c>
      <c r="VUC20" s="252">
        <v>0</v>
      </c>
      <c r="VUD20" s="252">
        <v>0</v>
      </c>
      <c r="VUE20" s="252">
        <v>0</v>
      </c>
      <c r="VUF20" s="252">
        <v>0</v>
      </c>
      <c r="VUG20" s="252">
        <v>0</v>
      </c>
      <c r="VUH20" s="252">
        <v>0</v>
      </c>
      <c r="VUI20" s="252">
        <v>0</v>
      </c>
      <c r="VUJ20" s="252">
        <v>0</v>
      </c>
      <c r="VUK20" s="252">
        <v>0</v>
      </c>
      <c r="VUL20" s="252">
        <v>0</v>
      </c>
      <c r="VUM20" s="252">
        <v>0</v>
      </c>
      <c r="VUN20" s="252">
        <v>0</v>
      </c>
      <c r="VUO20" s="252">
        <v>0</v>
      </c>
      <c r="VUP20" s="252">
        <v>0</v>
      </c>
      <c r="VUQ20" s="252">
        <v>0</v>
      </c>
      <c r="VUR20" s="252">
        <v>0</v>
      </c>
      <c r="VUS20" s="252">
        <v>0</v>
      </c>
      <c r="VUT20" s="252">
        <v>0</v>
      </c>
      <c r="VUU20" s="252">
        <v>0</v>
      </c>
      <c r="VUV20" s="252">
        <v>0</v>
      </c>
      <c r="VUW20" s="252">
        <v>0</v>
      </c>
      <c r="VUX20" s="252">
        <v>0</v>
      </c>
      <c r="VUY20" s="252">
        <v>0</v>
      </c>
      <c r="VUZ20" s="252">
        <v>0</v>
      </c>
      <c r="VVA20" s="252">
        <v>0</v>
      </c>
      <c r="VVB20" s="252">
        <v>0</v>
      </c>
      <c r="VVC20" s="252">
        <v>0</v>
      </c>
      <c r="VVD20" s="252">
        <v>0</v>
      </c>
      <c r="VVE20" s="252">
        <v>0</v>
      </c>
      <c r="VVF20" s="252">
        <v>0</v>
      </c>
      <c r="VVG20" s="252">
        <v>0</v>
      </c>
      <c r="VVH20" s="252">
        <v>0</v>
      </c>
      <c r="VVI20" s="252">
        <v>0</v>
      </c>
      <c r="VVJ20" s="252">
        <v>0</v>
      </c>
      <c r="VVK20" s="252">
        <v>0</v>
      </c>
      <c r="VVL20" s="252">
        <v>0</v>
      </c>
      <c r="VVM20" s="252">
        <v>0</v>
      </c>
      <c r="VVN20" s="252">
        <v>0</v>
      </c>
      <c r="VVO20" s="252">
        <v>0</v>
      </c>
      <c r="VVP20" s="252">
        <v>0</v>
      </c>
      <c r="VVQ20" s="252">
        <v>0</v>
      </c>
      <c r="VVR20" s="252">
        <v>0</v>
      </c>
      <c r="VVS20" s="252">
        <v>0</v>
      </c>
      <c r="VVT20" s="252">
        <v>0</v>
      </c>
      <c r="VVU20" s="252">
        <v>0</v>
      </c>
      <c r="VVV20" s="252">
        <v>0</v>
      </c>
      <c r="VVW20" s="252">
        <v>0</v>
      </c>
      <c r="VVX20" s="252">
        <v>0</v>
      </c>
      <c r="VVY20" s="252">
        <v>0</v>
      </c>
      <c r="VVZ20" s="252">
        <v>0</v>
      </c>
      <c r="VWA20" s="252">
        <v>0</v>
      </c>
      <c r="VWB20" s="252">
        <v>0</v>
      </c>
      <c r="VWC20" s="252">
        <v>0</v>
      </c>
      <c r="VWD20" s="252">
        <v>0</v>
      </c>
      <c r="VWE20" s="252">
        <v>0</v>
      </c>
      <c r="VWF20" s="252">
        <v>0</v>
      </c>
      <c r="VWG20" s="252">
        <v>0</v>
      </c>
      <c r="VWH20" s="252">
        <v>0</v>
      </c>
      <c r="VWI20" s="252">
        <v>0</v>
      </c>
      <c r="VWJ20" s="252">
        <v>0</v>
      </c>
      <c r="VWK20" s="252">
        <v>0</v>
      </c>
      <c r="VWL20" s="252">
        <v>0</v>
      </c>
      <c r="VWM20" s="252">
        <v>0</v>
      </c>
      <c r="VWN20" s="252">
        <v>0</v>
      </c>
      <c r="VWO20" s="252">
        <v>0</v>
      </c>
      <c r="VWP20" s="252">
        <v>0</v>
      </c>
      <c r="VWQ20" s="252">
        <v>0</v>
      </c>
      <c r="VWR20" s="252">
        <v>0</v>
      </c>
      <c r="VWS20" s="252">
        <v>0</v>
      </c>
      <c r="VWT20" s="252">
        <v>0</v>
      </c>
      <c r="VWU20" s="252">
        <v>0</v>
      </c>
      <c r="VWV20" s="252">
        <v>0</v>
      </c>
      <c r="VWW20" s="252">
        <v>0</v>
      </c>
      <c r="VWX20" s="252">
        <v>0</v>
      </c>
      <c r="VWY20" s="252">
        <v>0</v>
      </c>
      <c r="VWZ20" s="252">
        <v>0</v>
      </c>
      <c r="VXA20" s="252">
        <v>0</v>
      </c>
      <c r="VXB20" s="252">
        <v>0</v>
      </c>
      <c r="VXC20" s="252">
        <v>0</v>
      </c>
      <c r="VXD20" s="252">
        <v>0</v>
      </c>
      <c r="VXE20" s="252">
        <v>0</v>
      </c>
      <c r="VXF20" s="252">
        <v>0</v>
      </c>
      <c r="VXG20" s="252">
        <v>0</v>
      </c>
      <c r="VXH20" s="252">
        <v>0</v>
      </c>
      <c r="VXI20" s="252">
        <v>0</v>
      </c>
      <c r="VXJ20" s="252">
        <v>0</v>
      </c>
      <c r="VXK20" s="252">
        <v>0</v>
      </c>
      <c r="VXL20" s="252">
        <v>0</v>
      </c>
      <c r="VXM20" s="252">
        <v>0</v>
      </c>
      <c r="VXN20" s="252">
        <v>0</v>
      </c>
      <c r="VXO20" s="252">
        <v>0</v>
      </c>
      <c r="VXP20" s="252">
        <v>0</v>
      </c>
      <c r="VXQ20" s="252">
        <v>0</v>
      </c>
      <c r="VXR20" s="252">
        <v>0</v>
      </c>
      <c r="VXS20" s="252">
        <v>0</v>
      </c>
      <c r="VXT20" s="252">
        <v>0</v>
      </c>
      <c r="VXU20" s="252">
        <v>0</v>
      </c>
      <c r="VXV20" s="252">
        <v>0</v>
      </c>
      <c r="VXW20" s="252">
        <v>0</v>
      </c>
      <c r="VXX20" s="252">
        <v>0</v>
      </c>
      <c r="VXY20" s="252">
        <v>0</v>
      </c>
      <c r="VXZ20" s="252">
        <v>0</v>
      </c>
      <c r="VYA20" s="252">
        <v>0</v>
      </c>
      <c r="VYB20" s="252">
        <v>0</v>
      </c>
      <c r="VYC20" s="252">
        <v>0</v>
      </c>
      <c r="VYD20" s="252">
        <v>0</v>
      </c>
      <c r="VYE20" s="252">
        <v>0</v>
      </c>
      <c r="VYF20" s="252">
        <v>0</v>
      </c>
      <c r="VYG20" s="252">
        <v>0</v>
      </c>
      <c r="VYH20" s="252">
        <v>0</v>
      </c>
      <c r="VYI20" s="252">
        <v>0</v>
      </c>
      <c r="VYJ20" s="252">
        <v>0</v>
      </c>
      <c r="VYK20" s="252">
        <v>0</v>
      </c>
      <c r="VYL20" s="252">
        <v>0</v>
      </c>
      <c r="VYM20" s="252">
        <v>0</v>
      </c>
      <c r="VYN20" s="252">
        <v>0</v>
      </c>
      <c r="VYO20" s="252">
        <v>0</v>
      </c>
      <c r="VYP20" s="252">
        <v>0</v>
      </c>
      <c r="VYQ20" s="252">
        <v>0</v>
      </c>
      <c r="VYR20" s="252">
        <v>0</v>
      </c>
      <c r="VYS20" s="252">
        <v>0</v>
      </c>
      <c r="VYT20" s="252">
        <v>0</v>
      </c>
      <c r="VYU20" s="252">
        <v>0</v>
      </c>
      <c r="VYV20" s="252">
        <v>0</v>
      </c>
      <c r="VYW20" s="252">
        <v>0</v>
      </c>
      <c r="VYX20" s="252">
        <v>0</v>
      </c>
      <c r="VYY20" s="252">
        <v>0</v>
      </c>
      <c r="VYZ20" s="252">
        <v>0</v>
      </c>
      <c r="VZA20" s="252">
        <v>0</v>
      </c>
      <c r="VZB20" s="252">
        <v>0</v>
      </c>
      <c r="VZC20" s="252">
        <v>0</v>
      </c>
      <c r="VZD20" s="252">
        <v>0</v>
      </c>
      <c r="VZE20" s="252">
        <v>0</v>
      </c>
      <c r="VZF20" s="252">
        <v>0</v>
      </c>
      <c r="VZG20" s="252">
        <v>0</v>
      </c>
      <c r="VZH20" s="252">
        <v>0</v>
      </c>
      <c r="VZI20" s="252">
        <v>0</v>
      </c>
      <c r="VZJ20" s="252">
        <v>0</v>
      </c>
      <c r="VZK20" s="252">
        <v>0</v>
      </c>
      <c r="VZL20" s="252">
        <v>0</v>
      </c>
      <c r="VZM20" s="252">
        <v>0</v>
      </c>
      <c r="VZN20" s="252">
        <v>0</v>
      </c>
      <c r="VZO20" s="252">
        <v>0</v>
      </c>
      <c r="VZP20" s="252">
        <v>0</v>
      </c>
      <c r="VZQ20" s="252">
        <v>0</v>
      </c>
      <c r="VZR20" s="252">
        <v>0</v>
      </c>
      <c r="VZS20" s="252">
        <v>0</v>
      </c>
      <c r="VZT20" s="252">
        <v>0</v>
      </c>
      <c r="VZU20" s="252">
        <v>0</v>
      </c>
      <c r="VZV20" s="252">
        <v>0</v>
      </c>
      <c r="VZW20" s="252">
        <v>0</v>
      </c>
      <c r="VZX20" s="252">
        <v>0</v>
      </c>
      <c r="VZY20" s="252">
        <v>0</v>
      </c>
      <c r="VZZ20" s="252">
        <v>0</v>
      </c>
      <c r="WAA20" s="252">
        <v>0</v>
      </c>
      <c r="WAB20" s="252">
        <v>0</v>
      </c>
      <c r="WAC20" s="252">
        <v>0</v>
      </c>
      <c r="WAD20" s="252">
        <v>0</v>
      </c>
      <c r="WAE20" s="252">
        <v>0</v>
      </c>
      <c r="WAF20" s="252">
        <v>0</v>
      </c>
      <c r="WAG20" s="252">
        <v>0</v>
      </c>
      <c r="WAH20" s="252">
        <v>0</v>
      </c>
      <c r="WAI20" s="252">
        <v>0</v>
      </c>
      <c r="WAJ20" s="252">
        <v>0</v>
      </c>
      <c r="WAK20" s="252">
        <v>0</v>
      </c>
      <c r="WAL20" s="252">
        <v>0</v>
      </c>
      <c r="WAM20" s="252">
        <v>0</v>
      </c>
      <c r="WAN20" s="252">
        <v>0</v>
      </c>
      <c r="WAO20" s="252">
        <v>0</v>
      </c>
      <c r="WAP20" s="252">
        <v>0</v>
      </c>
      <c r="WAQ20" s="252">
        <v>0</v>
      </c>
      <c r="WAR20" s="252">
        <v>0</v>
      </c>
      <c r="WAS20" s="252">
        <v>0</v>
      </c>
      <c r="WAT20" s="252">
        <v>0</v>
      </c>
      <c r="WAU20" s="252">
        <v>0</v>
      </c>
      <c r="WAV20" s="252">
        <v>0</v>
      </c>
      <c r="WAW20" s="252">
        <v>0</v>
      </c>
      <c r="WAX20" s="252">
        <v>0</v>
      </c>
      <c r="WAY20" s="252">
        <v>0</v>
      </c>
      <c r="WAZ20" s="252">
        <v>0</v>
      </c>
      <c r="WBA20" s="252">
        <v>0</v>
      </c>
      <c r="WBB20" s="252">
        <v>0</v>
      </c>
      <c r="WBC20" s="252">
        <v>0</v>
      </c>
      <c r="WBD20" s="252">
        <v>0</v>
      </c>
      <c r="WBE20" s="252">
        <v>0</v>
      </c>
      <c r="WBF20" s="252">
        <v>0</v>
      </c>
      <c r="WBG20" s="252">
        <v>0</v>
      </c>
      <c r="WBH20" s="252">
        <v>0</v>
      </c>
      <c r="WBI20" s="252">
        <v>0</v>
      </c>
      <c r="WBJ20" s="252">
        <v>0</v>
      </c>
      <c r="WBK20" s="252">
        <v>0</v>
      </c>
      <c r="WBL20" s="252">
        <v>0</v>
      </c>
      <c r="WBM20" s="252">
        <v>0</v>
      </c>
      <c r="WBN20" s="252">
        <v>0</v>
      </c>
      <c r="WBO20" s="252">
        <v>0</v>
      </c>
      <c r="WBP20" s="252">
        <v>0</v>
      </c>
      <c r="WBQ20" s="252">
        <v>0</v>
      </c>
      <c r="WBR20" s="252">
        <v>0</v>
      </c>
      <c r="WBS20" s="252">
        <v>0</v>
      </c>
      <c r="WBT20" s="252">
        <v>0</v>
      </c>
      <c r="WBU20" s="252">
        <v>0</v>
      </c>
      <c r="WBV20" s="252">
        <v>0</v>
      </c>
      <c r="WBW20" s="252">
        <v>0</v>
      </c>
      <c r="WBX20" s="252">
        <v>0</v>
      </c>
      <c r="WBY20" s="252">
        <v>0</v>
      </c>
      <c r="WBZ20" s="252">
        <v>0</v>
      </c>
      <c r="WCA20" s="252">
        <v>0</v>
      </c>
      <c r="WCB20" s="252">
        <v>0</v>
      </c>
      <c r="WCC20" s="252">
        <v>0</v>
      </c>
      <c r="WCD20" s="252">
        <v>0</v>
      </c>
      <c r="WCE20" s="252">
        <v>0</v>
      </c>
      <c r="WCF20" s="252">
        <v>0</v>
      </c>
      <c r="WCG20" s="252">
        <v>0</v>
      </c>
      <c r="WCH20" s="252">
        <v>0</v>
      </c>
      <c r="WCI20" s="252">
        <v>0</v>
      </c>
      <c r="WCJ20" s="252">
        <v>0</v>
      </c>
      <c r="WCK20" s="252">
        <v>0</v>
      </c>
      <c r="WCL20" s="252">
        <v>0</v>
      </c>
      <c r="WCM20" s="252">
        <v>0</v>
      </c>
      <c r="WCN20" s="252">
        <v>0</v>
      </c>
      <c r="WCO20" s="252">
        <v>0</v>
      </c>
      <c r="WCP20" s="252">
        <v>0</v>
      </c>
      <c r="WCQ20" s="252">
        <v>0</v>
      </c>
      <c r="WCR20" s="252">
        <v>0</v>
      </c>
      <c r="WCS20" s="252">
        <v>0</v>
      </c>
      <c r="WCT20" s="252">
        <v>0</v>
      </c>
      <c r="WCU20" s="252">
        <v>0</v>
      </c>
      <c r="WCV20" s="252">
        <v>0</v>
      </c>
      <c r="WCW20" s="252">
        <v>0</v>
      </c>
      <c r="WCX20" s="252">
        <v>0</v>
      </c>
      <c r="WCY20" s="252">
        <v>0</v>
      </c>
      <c r="WCZ20" s="252">
        <v>0</v>
      </c>
      <c r="WDA20" s="252">
        <v>0</v>
      </c>
      <c r="WDB20" s="252">
        <v>0</v>
      </c>
      <c r="WDC20" s="252">
        <v>0</v>
      </c>
      <c r="WDD20" s="252">
        <v>0</v>
      </c>
      <c r="WDE20" s="252">
        <v>0</v>
      </c>
      <c r="WDF20" s="252">
        <v>0</v>
      </c>
      <c r="WDG20" s="252">
        <v>0</v>
      </c>
      <c r="WDH20" s="252">
        <v>0</v>
      </c>
      <c r="WDI20" s="252">
        <v>0</v>
      </c>
      <c r="WDJ20" s="252">
        <v>0</v>
      </c>
      <c r="WDK20" s="252">
        <v>0</v>
      </c>
      <c r="WDL20" s="252">
        <v>0</v>
      </c>
      <c r="WDM20" s="252">
        <v>0</v>
      </c>
      <c r="WDN20" s="252">
        <v>0</v>
      </c>
      <c r="WDO20" s="252">
        <v>0</v>
      </c>
      <c r="WDP20" s="252">
        <v>0</v>
      </c>
      <c r="WDQ20" s="252">
        <v>0</v>
      </c>
      <c r="WDR20" s="252">
        <v>0</v>
      </c>
      <c r="WDS20" s="252">
        <v>0</v>
      </c>
      <c r="WDT20" s="252">
        <v>0</v>
      </c>
      <c r="WDU20" s="252">
        <v>0</v>
      </c>
      <c r="WDV20" s="252">
        <v>0</v>
      </c>
      <c r="WDW20" s="252">
        <v>0</v>
      </c>
      <c r="WDX20" s="252">
        <v>0</v>
      </c>
      <c r="WDY20" s="252">
        <v>0</v>
      </c>
      <c r="WDZ20" s="252">
        <v>0</v>
      </c>
      <c r="WEA20" s="252">
        <v>0</v>
      </c>
      <c r="WEB20" s="252">
        <v>0</v>
      </c>
      <c r="WEC20" s="252">
        <v>0</v>
      </c>
      <c r="WED20" s="252">
        <v>0</v>
      </c>
      <c r="WEE20" s="252">
        <v>0</v>
      </c>
      <c r="WEF20" s="252">
        <v>0</v>
      </c>
      <c r="WEG20" s="252">
        <v>0</v>
      </c>
      <c r="WEH20" s="252">
        <v>0</v>
      </c>
      <c r="WEI20" s="252">
        <v>0</v>
      </c>
      <c r="WEJ20" s="252">
        <v>0</v>
      </c>
      <c r="WEK20" s="252">
        <v>0</v>
      </c>
      <c r="WEL20" s="252">
        <v>0</v>
      </c>
      <c r="WEM20" s="252">
        <v>0</v>
      </c>
      <c r="WEN20" s="252">
        <v>0</v>
      </c>
      <c r="WEO20" s="252">
        <v>0</v>
      </c>
      <c r="WEP20" s="252">
        <v>0</v>
      </c>
      <c r="WEQ20" s="252">
        <v>0</v>
      </c>
      <c r="WER20" s="252">
        <v>0</v>
      </c>
      <c r="WES20" s="252">
        <v>0</v>
      </c>
      <c r="WET20" s="252">
        <v>0</v>
      </c>
      <c r="WEU20" s="252">
        <v>0</v>
      </c>
      <c r="WEV20" s="252">
        <v>0</v>
      </c>
      <c r="WEW20" s="252">
        <v>0</v>
      </c>
      <c r="WEX20" s="252">
        <v>0</v>
      </c>
      <c r="WEY20" s="252">
        <v>0</v>
      </c>
      <c r="WEZ20" s="252">
        <v>0</v>
      </c>
      <c r="WFA20" s="252">
        <v>0</v>
      </c>
      <c r="WFB20" s="252">
        <v>0</v>
      </c>
      <c r="WFC20" s="252">
        <v>0</v>
      </c>
      <c r="WFD20" s="252">
        <v>0</v>
      </c>
      <c r="WFE20" s="252">
        <v>0</v>
      </c>
      <c r="WFF20" s="252">
        <v>0</v>
      </c>
      <c r="WFG20" s="252">
        <v>0</v>
      </c>
      <c r="WFH20" s="252">
        <v>0</v>
      </c>
      <c r="WFI20" s="252">
        <v>0</v>
      </c>
      <c r="WFJ20" s="252">
        <v>0</v>
      </c>
      <c r="WFK20" s="252">
        <v>0</v>
      </c>
      <c r="WFL20" s="252">
        <v>0</v>
      </c>
      <c r="WFM20" s="252">
        <v>0</v>
      </c>
      <c r="WFN20" s="252">
        <v>0</v>
      </c>
      <c r="WFO20" s="252">
        <v>0</v>
      </c>
      <c r="WFP20" s="252">
        <v>0</v>
      </c>
      <c r="WFQ20" s="252">
        <v>0</v>
      </c>
      <c r="WFR20" s="252">
        <v>0</v>
      </c>
      <c r="WFS20" s="252">
        <v>0</v>
      </c>
      <c r="WFT20" s="252">
        <v>0</v>
      </c>
      <c r="WFU20" s="252">
        <v>0</v>
      </c>
      <c r="WFV20" s="252">
        <v>0</v>
      </c>
      <c r="WFW20" s="252">
        <v>0</v>
      </c>
      <c r="WFX20" s="252">
        <v>0</v>
      </c>
      <c r="WFY20" s="252">
        <v>0</v>
      </c>
      <c r="WFZ20" s="252">
        <v>0</v>
      </c>
      <c r="WGA20" s="252">
        <v>0</v>
      </c>
      <c r="WGB20" s="252">
        <v>0</v>
      </c>
      <c r="WGC20" s="252">
        <v>0</v>
      </c>
      <c r="WGD20" s="252">
        <v>0</v>
      </c>
      <c r="WGE20" s="252">
        <v>0</v>
      </c>
      <c r="WGF20" s="252">
        <v>0</v>
      </c>
      <c r="WGG20" s="252">
        <v>0</v>
      </c>
      <c r="WGH20" s="252">
        <v>0</v>
      </c>
      <c r="WGI20" s="252">
        <v>0</v>
      </c>
      <c r="WGJ20" s="252">
        <v>0</v>
      </c>
      <c r="WGK20" s="252">
        <v>0</v>
      </c>
      <c r="WGL20" s="252">
        <v>0</v>
      </c>
      <c r="WGM20" s="252">
        <v>0</v>
      </c>
      <c r="WGN20" s="252">
        <v>0</v>
      </c>
      <c r="WGO20" s="252">
        <v>0</v>
      </c>
      <c r="WGP20" s="252">
        <v>0</v>
      </c>
      <c r="WGQ20" s="252">
        <v>0</v>
      </c>
      <c r="WGR20" s="252">
        <v>0</v>
      </c>
      <c r="WGS20" s="252">
        <v>0</v>
      </c>
      <c r="WGT20" s="252">
        <v>0</v>
      </c>
      <c r="WGU20" s="252">
        <v>0</v>
      </c>
      <c r="WGV20" s="252">
        <v>0</v>
      </c>
      <c r="WGW20" s="252">
        <v>0</v>
      </c>
      <c r="WGX20" s="252">
        <v>0</v>
      </c>
      <c r="WGY20" s="252">
        <v>0</v>
      </c>
      <c r="WGZ20" s="252">
        <v>0</v>
      </c>
      <c r="WHA20" s="252">
        <v>0</v>
      </c>
      <c r="WHB20" s="252">
        <v>0</v>
      </c>
      <c r="WHC20" s="252">
        <v>0</v>
      </c>
      <c r="WHD20" s="252">
        <v>0</v>
      </c>
      <c r="WHE20" s="252">
        <v>0</v>
      </c>
      <c r="WHF20" s="252">
        <v>0</v>
      </c>
      <c r="WHG20" s="252">
        <v>0</v>
      </c>
      <c r="WHH20" s="252">
        <v>0</v>
      </c>
      <c r="WHI20" s="252">
        <v>0</v>
      </c>
      <c r="WHJ20" s="252">
        <v>0</v>
      </c>
      <c r="WHK20" s="252">
        <v>0</v>
      </c>
      <c r="WHL20" s="252">
        <v>0</v>
      </c>
      <c r="WHM20" s="252">
        <v>0</v>
      </c>
      <c r="WHN20" s="252">
        <v>0</v>
      </c>
      <c r="WHO20" s="252">
        <v>0</v>
      </c>
      <c r="WHP20" s="252">
        <v>0</v>
      </c>
      <c r="WHQ20" s="252">
        <v>0</v>
      </c>
      <c r="WHR20" s="252">
        <v>0</v>
      </c>
      <c r="WHS20" s="252">
        <v>0</v>
      </c>
      <c r="WHT20" s="252">
        <v>0</v>
      </c>
      <c r="WHU20" s="252">
        <v>0</v>
      </c>
      <c r="WHV20" s="252">
        <v>0</v>
      </c>
      <c r="WHW20" s="252">
        <v>0</v>
      </c>
      <c r="WHX20" s="252">
        <v>0</v>
      </c>
      <c r="WHY20" s="252">
        <v>0</v>
      </c>
      <c r="WHZ20" s="252">
        <v>0</v>
      </c>
      <c r="WIA20" s="252">
        <v>0</v>
      </c>
      <c r="WIB20" s="252">
        <v>0</v>
      </c>
      <c r="WIC20" s="252">
        <v>0</v>
      </c>
      <c r="WID20" s="252">
        <v>0</v>
      </c>
      <c r="WIE20" s="252">
        <v>0</v>
      </c>
      <c r="WIF20" s="252">
        <v>0</v>
      </c>
      <c r="WIG20" s="252">
        <v>0</v>
      </c>
      <c r="WIH20" s="252">
        <v>0</v>
      </c>
      <c r="WII20" s="252">
        <v>0</v>
      </c>
      <c r="WIJ20" s="252">
        <v>0</v>
      </c>
      <c r="WIK20" s="252">
        <v>0</v>
      </c>
      <c r="WIL20" s="252">
        <v>0</v>
      </c>
      <c r="WIM20" s="252">
        <v>0</v>
      </c>
      <c r="WIN20" s="252">
        <v>0</v>
      </c>
      <c r="WIO20" s="252">
        <v>0</v>
      </c>
      <c r="WIP20" s="252">
        <v>0</v>
      </c>
      <c r="WIQ20" s="252">
        <v>0</v>
      </c>
      <c r="WIR20" s="252">
        <v>0</v>
      </c>
      <c r="WIS20" s="252">
        <v>0</v>
      </c>
      <c r="WIT20" s="252">
        <v>0</v>
      </c>
      <c r="WIU20" s="252">
        <v>0</v>
      </c>
      <c r="WIV20" s="252">
        <v>0</v>
      </c>
      <c r="WIW20" s="252">
        <v>0</v>
      </c>
      <c r="WIX20" s="252">
        <v>0</v>
      </c>
      <c r="WIY20" s="252">
        <v>0</v>
      </c>
      <c r="WIZ20" s="252">
        <v>0</v>
      </c>
      <c r="WJA20" s="252">
        <v>0</v>
      </c>
      <c r="WJB20" s="252">
        <v>0</v>
      </c>
      <c r="WJC20" s="252">
        <v>0</v>
      </c>
      <c r="WJD20" s="252">
        <v>0</v>
      </c>
      <c r="WJE20" s="252">
        <v>0</v>
      </c>
      <c r="WJF20" s="252">
        <v>0</v>
      </c>
      <c r="WJG20" s="252">
        <v>0</v>
      </c>
      <c r="WJH20" s="252">
        <v>0</v>
      </c>
      <c r="WJI20" s="252">
        <v>0</v>
      </c>
      <c r="WJJ20" s="252">
        <v>0</v>
      </c>
      <c r="WJK20" s="252">
        <v>0</v>
      </c>
      <c r="WJL20" s="252">
        <v>0</v>
      </c>
      <c r="WJM20" s="252">
        <v>0</v>
      </c>
      <c r="WJN20" s="252">
        <v>0</v>
      </c>
      <c r="WJO20" s="252">
        <v>0</v>
      </c>
      <c r="WJP20" s="252">
        <v>0</v>
      </c>
      <c r="WJQ20" s="252">
        <v>0</v>
      </c>
      <c r="WJR20" s="252">
        <v>0</v>
      </c>
      <c r="WJS20" s="252">
        <v>0</v>
      </c>
      <c r="WJT20" s="252">
        <v>0</v>
      </c>
      <c r="WJU20" s="252">
        <v>0</v>
      </c>
      <c r="WJV20" s="252">
        <v>0</v>
      </c>
      <c r="WJW20" s="252">
        <v>0</v>
      </c>
      <c r="WJX20" s="252">
        <v>0</v>
      </c>
      <c r="WJY20" s="252">
        <v>0</v>
      </c>
      <c r="WJZ20" s="252">
        <v>0</v>
      </c>
      <c r="WKA20" s="252">
        <v>0</v>
      </c>
      <c r="WKB20" s="252">
        <v>0</v>
      </c>
      <c r="WKC20" s="252">
        <v>0</v>
      </c>
      <c r="WKD20" s="252">
        <v>0</v>
      </c>
      <c r="WKE20" s="252">
        <v>0</v>
      </c>
      <c r="WKF20" s="252">
        <v>0</v>
      </c>
      <c r="WKG20" s="252">
        <v>0</v>
      </c>
      <c r="WKH20" s="252">
        <v>0</v>
      </c>
      <c r="WKI20" s="252">
        <v>0</v>
      </c>
      <c r="WKJ20" s="252">
        <v>0</v>
      </c>
      <c r="WKK20" s="252">
        <v>0</v>
      </c>
      <c r="WKL20" s="252">
        <v>0</v>
      </c>
      <c r="WKM20" s="252">
        <v>0</v>
      </c>
      <c r="WKN20" s="252">
        <v>0</v>
      </c>
      <c r="WKO20" s="252">
        <v>0</v>
      </c>
      <c r="WKP20" s="252">
        <v>0</v>
      </c>
      <c r="WKQ20" s="252">
        <v>0</v>
      </c>
      <c r="WKR20" s="252">
        <v>0</v>
      </c>
      <c r="WKS20" s="252">
        <v>0</v>
      </c>
      <c r="WKT20" s="252">
        <v>0</v>
      </c>
      <c r="WKU20" s="252">
        <v>0</v>
      </c>
      <c r="WKV20" s="252">
        <v>0</v>
      </c>
      <c r="WKW20" s="252">
        <v>0</v>
      </c>
      <c r="WKX20" s="252">
        <v>0</v>
      </c>
      <c r="WKY20" s="252">
        <v>0</v>
      </c>
      <c r="WKZ20" s="252">
        <v>0</v>
      </c>
      <c r="WLA20" s="252">
        <v>0</v>
      </c>
      <c r="WLB20" s="252">
        <v>0</v>
      </c>
      <c r="WLC20" s="252">
        <v>0</v>
      </c>
      <c r="WLD20" s="252">
        <v>0</v>
      </c>
      <c r="WLE20" s="252">
        <v>0</v>
      </c>
      <c r="WLF20" s="252">
        <v>0</v>
      </c>
      <c r="WLG20" s="252">
        <v>0</v>
      </c>
      <c r="WLH20" s="252">
        <v>0</v>
      </c>
      <c r="WLI20" s="252">
        <v>0</v>
      </c>
      <c r="WLJ20" s="252">
        <v>0</v>
      </c>
      <c r="WLK20" s="252">
        <v>0</v>
      </c>
      <c r="WLL20" s="252">
        <v>0</v>
      </c>
      <c r="WLM20" s="252">
        <v>0</v>
      </c>
      <c r="WLN20" s="252">
        <v>0</v>
      </c>
      <c r="WLO20" s="252">
        <v>0</v>
      </c>
      <c r="WLP20" s="252">
        <v>0</v>
      </c>
      <c r="WLQ20" s="252">
        <v>0</v>
      </c>
      <c r="WLR20" s="252">
        <v>0</v>
      </c>
      <c r="WLS20" s="252">
        <v>0</v>
      </c>
      <c r="WLT20" s="252">
        <v>0</v>
      </c>
      <c r="WLU20" s="252">
        <v>0</v>
      </c>
      <c r="WLV20" s="252">
        <v>0</v>
      </c>
      <c r="WLW20" s="252">
        <v>0</v>
      </c>
      <c r="WLX20" s="252">
        <v>0</v>
      </c>
      <c r="WLY20" s="252">
        <v>0</v>
      </c>
      <c r="WLZ20" s="252">
        <v>0</v>
      </c>
      <c r="WMA20" s="252">
        <v>0</v>
      </c>
      <c r="WMB20" s="252">
        <v>0</v>
      </c>
      <c r="WMC20" s="252">
        <v>0</v>
      </c>
      <c r="WMD20" s="252">
        <v>0</v>
      </c>
      <c r="WME20" s="252">
        <v>0</v>
      </c>
      <c r="WMF20" s="252">
        <v>0</v>
      </c>
      <c r="WMG20" s="252">
        <v>0</v>
      </c>
      <c r="WMH20" s="252">
        <v>0</v>
      </c>
      <c r="WMI20" s="252">
        <v>0</v>
      </c>
      <c r="WMJ20" s="252">
        <v>0</v>
      </c>
      <c r="WMK20" s="252">
        <v>0</v>
      </c>
      <c r="WML20" s="252">
        <v>0</v>
      </c>
      <c r="WMM20" s="252">
        <v>0</v>
      </c>
      <c r="WMN20" s="252">
        <v>0</v>
      </c>
      <c r="WMO20" s="252">
        <v>0</v>
      </c>
      <c r="WMP20" s="252">
        <v>0</v>
      </c>
      <c r="WMQ20" s="252">
        <v>0</v>
      </c>
      <c r="WMR20" s="252">
        <v>0</v>
      </c>
      <c r="WMS20" s="252">
        <v>0</v>
      </c>
      <c r="WMT20" s="252">
        <v>0</v>
      </c>
      <c r="WMU20" s="252">
        <v>0</v>
      </c>
      <c r="WMV20" s="252">
        <v>0</v>
      </c>
      <c r="WMW20" s="252">
        <v>0</v>
      </c>
      <c r="WMX20" s="252">
        <v>0</v>
      </c>
      <c r="WMY20" s="252">
        <v>0</v>
      </c>
      <c r="WMZ20" s="252">
        <v>0</v>
      </c>
      <c r="WNA20" s="252">
        <v>0</v>
      </c>
      <c r="WNB20" s="252">
        <v>0</v>
      </c>
      <c r="WNC20" s="252">
        <v>0</v>
      </c>
      <c r="WND20" s="252">
        <v>0</v>
      </c>
      <c r="WNE20" s="252">
        <v>0</v>
      </c>
      <c r="WNF20" s="252">
        <v>0</v>
      </c>
      <c r="WNG20" s="252">
        <v>0</v>
      </c>
      <c r="WNH20" s="252">
        <v>0</v>
      </c>
      <c r="WNI20" s="252">
        <v>0</v>
      </c>
      <c r="WNJ20" s="252">
        <v>0</v>
      </c>
      <c r="WNK20" s="252">
        <v>0</v>
      </c>
      <c r="WNL20" s="252">
        <v>0</v>
      </c>
      <c r="WNM20" s="252">
        <v>0</v>
      </c>
      <c r="WNN20" s="252">
        <v>0</v>
      </c>
      <c r="WNO20" s="252">
        <v>0</v>
      </c>
      <c r="WNP20" s="252">
        <v>0</v>
      </c>
      <c r="WNQ20" s="252">
        <v>0</v>
      </c>
      <c r="WNR20" s="252">
        <v>0</v>
      </c>
      <c r="WNS20" s="252">
        <v>0</v>
      </c>
      <c r="WNT20" s="252">
        <v>0</v>
      </c>
      <c r="WNU20" s="252">
        <v>0</v>
      </c>
      <c r="WNV20" s="252">
        <v>0</v>
      </c>
      <c r="WNW20" s="252">
        <v>0</v>
      </c>
      <c r="WNX20" s="252">
        <v>0</v>
      </c>
      <c r="WNY20" s="252">
        <v>0</v>
      </c>
      <c r="WNZ20" s="252">
        <v>0</v>
      </c>
      <c r="WOA20" s="252">
        <v>0</v>
      </c>
      <c r="WOB20" s="252">
        <v>0</v>
      </c>
      <c r="WOC20" s="252">
        <v>0</v>
      </c>
      <c r="WOD20" s="252">
        <v>0</v>
      </c>
      <c r="WOE20" s="252">
        <v>0</v>
      </c>
      <c r="WOF20" s="252">
        <v>0</v>
      </c>
      <c r="WOG20" s="252">
        <v>0</v>
      </c>
      <c r="WOH20" s="252">
        <v>0</v>
      </c>
      <c r="WOI20" s="252">
        <v>0</v>
      </c>
      <c r="WOJ20" s="252">
        <v>0</v>
      </c>
      <c r="WOK20" s="252">
        <v>0</v>
      </c>
      <c r="WOL20" s="252">
        <v>0</v>
      </c>
      <c r="WOM20" s="252">
        <v>0</v>
      </c>
      <c r="WON20" s="252">
        <v>0</v>
      </c>
      <c r="WOO20" s="252">
        <v>0</v>
      </c>
      <c r="WOP20" s="252">
        <v>0</v>
      </c>
      <c r="WOQ20" s="252">
        <v>0</v>
      </c>
      <c r="WOR20" s="252">
        <v>0</v>
      </c>
      <c r="WOS20" s="252">
        <v>0</v>
      </c>
      <c r="WOT20" s="252">
        <v>0</v>
      </c>
      <c r="WOU20" s="252">
        <v>0</v>
      </c>
      <c r="WOV20" s="252">
        <v>0</v>
      </c>
      <c r="WOW20" s="252">
        <v>0</v>
      </c>
      <c r="WOX20" s="252">
        <v>0</v>
      </c>
      <c r="WOY20" s="252">
        <v>0</v>
      </c>
      <c r="WOZ20" s="252">
        <v>0</v>
      </c>
      <c r="WPA20" s="252">
        <v>0</v>
      </c>
      <c r="WPB20" s="252">
        <v>0</v>
      </c>
      <c r="WPC20" s="252">
        <v>0</v>
      </c>
      <c r="WPD20" s="252">
        <v>0</v>
      </c>
      <c r="WPE20" s="252">
        <v>0</v>
      </c>
      <c r="WPF20" s="252">
        <v>0</v>
      </c>
      <c r="WPG20" s="252">
        <v>0</v>
      </c>
      <c r="WPH20" s="252">
        <v>0</v>
      </c>
      <c r="WPI20" s="252">
        <v>0</v>
      </c>
      <c r="WPJ20" s="252">
        <v>0</v>
      </c>
      <c r="WPK20" s="252">
        <v>0</v>
      </c>
      <c r="WPL20" s="252">
        <v>0</v>
      </c>
      <c r="WPM20" s="252">
        <v>0</v>
      </c>
      <c r="WPN20" s="252">
        <v>0</v>
      </c>
      <c r="WPO20" s="252">
        <v>0</v>
      </c>
      <c r="WPP20" s="252">
        <v>0</v>
      </c>
      <c r="WPQ20" s="252">
        <v>0</v>
      </c>
      <c r="WPR20" s="252">
        <v>0</v>
      </c>
      <c r="WPS20" s="252">
        <v>0</v>
      </c>
      <c r="WPT20" s="252">
        <v>0</v>
      </c>
      <c r="WPU20" s="252">
        <v>0</v>
      </c>
      <c r="WPV20" s="252">
        <v>0</v>
      </c>
      <c r="WPW20" s="252">
        <v>0</v>
      </c>
      <c r="WPX20" s="252">
        <v>0</v>
      </c>
      <c r="WPY20" s="252">
        <v>0</v>
      </c>
      <c r="WPZ20" s="252">
        <v>0</v>
      </c>
      <c r="WQA20" s="252">
        <v>0</v>
      </c>
      <c r="WQB20" s="252">
        <v>0</v>
      </c>
      <c r="WQC20" s="252">
        <v>0</v>
      </c>
      <c r="WQD20" s="252">
        <v>0</v>
      </c>
      <c r="WQE20" s="252">
        <v>0</v>
      </c>
      <c r="WQF20" s="252">
        <v>0</v>
      </c>
      <c r="WQG20" s="252">
        <v>0</v>
      </c>
      <c r="WQH20" s="252">
        <v>0</v>
      </c>
      <c r="WQI20" s="252">
        <v>0</v>
      </c>
      <c r="WQJ20" s="252">
        <v>0</v>
      </c>
      <c r="WQK20" s="252">
        <v>0</v>
      </c>
      <c r="WQL20" s="252">
        <v>0</v>
      </c>
      <c r="WQM20" s="252">
        <v>0</v>
      </c>
      <c r="WQN20" s="252">
        <v>0</v>
      </c>
      <c r="WQO20" s="252">
        <v>0</v>
      </c>
      <c r="WQP20" s="252">
        <v>0</v>
      </c>
      <c r="WQQ20" s="252">
        <v>0</v>
      </c>
      <c r="WQR20" s="252">
        <v>0</v>
      </c>
      <c r="WQS20" s="252">
        <v>0</v>
      </c>
      <c r="WQT20" s="252">
        <v>0</v>
      </c>
      <c r="WQU20" s="252">
        <v>0</v>
      </c>
      <c r="WQV20" s="252">
        <v>0</v>
      </c>
      <c r="WQW20" s="252">
        <v>0</v>
      </c>
      <c r="WQX20" s="252">
        <v>0</v>
      </c>
      <c r="WQY20" s="252">
        <v>0</v>
      </c>
      <c r="WQZ20" s="252">
        <v>0</v>
      </c>
      <c r="WRA20" s="252">
        <v>0</v>
      </c>
      <c r="WRB20" s="252">
        <v>0</v>
      </c>
      <c r="WRC20" s="252">
        <v>0</v>
      </c>
      <c r="WRD20" s="252">
        <v>0</v>
      </c>
      <c r="WRE20" s="252">
        <v>0</v>
      </c>
      <c r="WRF20" s="252">
        <v>0</v>
      </c>
      <c r="WRG20" s="252">
        <v>0</v>
      </c>
      <c r="WRH20" s="252">
        <v>0</v>
      </c>
      <c r="WRI20" s="252">
        <v>0</v>
      </c>
      <c r="WRJ20" s="252">
        <v>0</v>
      </c>
      <c r="WRK20" s="252">
        <v>0</v>
      </c>
      <c r="WRL20" s="252">
        <v>0</v>
      </c>
      <c r="WRM20" s="252">
        <v>0</v>
      </c>
      <c r="WRN20" s="252">
        <v>0</v>
      </c>
      <c r="WRO20" s="252">
        <v>0</v>
      </c>
      <c r="WRP20" s="252">
        <v>0</v>
      </c>
      <c r="WRQ20" s="252">
        <v>0</v>
      </c>
      <c r="WRR20" s="252">
        <v>0</v>
      </c>
      <c r="WRS20" s="252">
        <v>0</v>
      </c>
      <c r="WRT20" s="252">
        <v>0</v>
      </c>
      <c r="WRU20" s="252">
        <v>0</v>
      </c>
      <c r="WRV20" s="252">
        <v>0</v>
      </c>
      <c r="WRW20" s="252">
        <v>0</v>
      </c>
      <c r="WRX20" s="252">
        <v>0</v>
      </c>
      <c r="WRY20" s="252">
        <v>0</v>
      </c>
      <c r="WRZ20" s="252">
        <v>0</v>
      </c>
      <c r="WSA20" s="252">
        <v>0</v>
      </c>
      <c r="WSB20" s="252">
        <v>0</v>
      </c>
      <c r="WSC20" s="252">
        <v>0</v>
      </c>
      <c r="WSD20" s="252">
        <v>0</v>
      </c>
      <c r="WSE20" s="252">
        <v>0</v>
      </c>
      <c r="WSF20" s="252">
        <v>0</v>
      </c>
      <c r="WSG20" s="252">
        <v>0</v>
      </c>
      <c r="WSH20" s="252">
        <v>0</v>
      </c>
      <c r="WSI20" s="252">
        <v>0</v>
      </c>
      <c r="WSJ20" s="252">
        <v>0</v>
      </c>
      <c r="WSK20" s="252">
        <v>0</v>
      </c>
      <c r="WSL20" s="252">
        <v>0</v>
      </c>
      <c r="WSM20" s="252">
        <v>0</v>
      </c>
      <c r="WSN20" s="252">
        <v>0</v>
      </c>
      <c r="WSO20" s="252">
        <v>0</v>
      </c>
      <c r="WSP20" s="252">
        <v>0</v>
      </c>
      <c r="WSQ20" s="252">
        <v>0</v>
      </c>
      <c r="WSR20" s="252">
        <v>0</v>
      </c>
      <c r="WSS20" s="252">
        <v>0</v>
      </c>
      <c r="WST20" s="252">
        <v>0</v>
      </c>
      <c r="WSU20" s="252">
        <v>0</v>
      </c>
      <c r="WSV20" s="252">
        <v>0</v>
      </c>
      <c r="WSW20" s="252">
        <v>0</v>
      </c>
      <c r="WSX20" s="252">
        <v>0</v>
      </c>
      <c r="WSY20" s="252">
        <v>0</v>
      </c>
      <c r="WSZ20" s="252">
        <v>0</v>
      </c>
      <c r="WTA20" s="252">
        <v>0</v>
      </c>
      <c r="WTB20" s="252">
        <v>0</v>
      </c>
      <c r="WTC20" s="252">
        <v>0</v>
      </c>
      <c r="WTD20" s="252">
        <v>0</v>
      </c>
      <c r="WTE20" s="252">
        <v>0</v>
      </c>
      <c r="WTF20" s="252">
        <v>0</v>
      </c>
      <c r="WTG20" s="252">
        <v>0</v>
      </c>
      <c r="WTH20" s="252">
        <v>0</v>
      </c>
      <c r="WTI20" s="252">
        <v>0</v>
      </c>
      <c r="WTJ20" s="252">
        <v>0</v>
      </c>
      <c r="WTK20" s="252">
        <v>0</v>
      </c>
      <c r="WTL20" s="252">
        <v>0</v>
      </c>
      <c r="WTM20" s="252">
        <v>0</v>
      </c>
      <c r="WTN20" s="252">
        <v>0</v>
      </c>
      <c r="WTO20" s="252">
        <v>0</v>
      </c>
      <c r="WTP20" s="252">
        <v>0</v>
      </c>
      <c r="WTQ20" s="252">
        <v>0</v>
      </c>
      <c r="WTR20" s="252">
        <v>0</v>
      </c>
      <c r="WTS20" s="252">
        <v>0</v>
      </c>
      <c r="WTT20" s="252">
        <v>0</v>
      </c>
      <c r="WTU20" s="252">
        <v>0</v>
      </c>
      <c r="WTV20" s="252">
        <v>0</v>
      </c>
      <c r="WTW20" s="252">
        <v>0</v>
      </c>
      <c r="WTX20" s="252">
        <v>0</v>
      </c>
      <c r="WTY20" s="252">
        <v>0</v>
      </c>
      <c r="WTZ20" s="252">
        <v>0</v>
      </c>
      <c r="WUA20" s="252">
        <v>0</v>
      </c>
      <c r="WUB20" s="252">
        <v>0</v>
      </c>
      <c r="WUC20" s="252">
        <v>0</v>
      </c>
      <c r="WUD20" s="252">
        <v>0</v>
      </c>
      <c r="WUE20" s="252">
        <v>0</v>
      </c>
      <c r="WUF20" s="252">
        <v>0</v>
      </c>
      <c r="WUG20" s="252">
        <v>0</v>
      </c>
      <c r="WUH20" s="252">
        <v>0</v>
      </c>
      <c r="WUI20" s="252">
        <v>0</v>
      </c>
      <c r="WUJ20" s="252">
        <v>0</v>
      </c>
      <c r="WUK20" s="252">
        <v>0</v>
      </c>
      <c r="WUL20" s="252">
        <v>0</v>
      </c>
      <c r="WUM20" s="252">
        <v>0</v>
      </c>
      <c r="WUN20" s="252">
        <v>0</v>
      </c>
      <c r="WUO20" s="252">
        <v>0</v>
      </c>
      <c r="WUP20" s="252">
        <v>0</v>
      </c>
      <c r="WUQ20" s="252">
        <v>0</v>
      </c>
      <c r="WUR20" s="252">
        <v>0</v>
      </c>
      <c r="WUS20" s="252">
        <v>0</v>
      </c>
      <c r="WUT20" s="252">
        <v>0</v>
      </c>
      <c r="WUU20" s="252">
        <v>0</v>
      </c>
      <c r="WUV20" s="252">
        <v>0</v>
      </c>
      <c r="WUW20" s="252">
        <v>0</v>
      </c>
      <c r="WUX20" s="252">
        <v>0</v>
      </c>
      <c r="WUY20" s="252">
        <v>0</v>
      </c>
      <c r="WUZ20" s="252">
        <v>0</v>
      </c>
      <c r="WVA20" s="252">
        <v>0</v>
      </c>
      <c r="WVB20" s="252">
        <v>0</v>
      </c>
      <c r="WVC20" s="252">
        <v>0</v>
      </c>
      <c r="WVD20" s="252">
        <v>0</v>
      </c>
      <c r="WVE20" s="252">
        <v>0</v>
      </c>
      <c r="WVF20" s="252">
        <v>0</v>
      </c>
      <c r="WVG20" s="252">
        <v>0</v>
      </c>
      <c r="WVH20" s="252">
        <v>0</v>
      </c>
      <c r="WVI20" s="252">
        <v>0</v>
      </c>
      <c r="WVJ20" s="252">
        <v>0</v>
      </c>
      <c r="WVK20" s="252">
        <v>0</v>
      </c>
      <c r="WVL20" s="252">
        <v>0</v>
      </c>
      <c r="WVM20" s="252">
        <v>0</v>
      </c>
      <c r="WVN20" s="252">
        <v>0</v>
      </c>
      <c r="WVO20" s="252">
        <v>0</v>
      </c>
      <c r="WVP20" s="252">
        <v>0</v>
      </c>
      <c r="WVQ20" s="252">
        <v>0</v>
      </c>
      <c r="WVR20" s="252">
        <v>0</v>
      </c>
      <c r="WVS20" s="252">
        <v>0</v>
      </c>
      <c r="WVT20" s="252">
        <v>0</v>
      </c>
      <c r="WVU20" s="252">
        <v>0</v>
      </c>
      <c r="WVV20" s="252">
        <v>0</v>
      </c>
      <c r="WVW20" s="252">
        <v>0</v>
      </c>
      <c r="WVX20" s="252">
        <v>0</v>
      </c>
      <c r="WVY20" s="252">
        <v>0</v>
      </c>
      <c r="WVZ20" s="252">
        <v>0</v>
      </c>
      <c r="WWA20" s="252">
        <v>0</v>
      </c>
      <c r="WWB20" s="252">
        <v>0</v>
      </c>
      <c r="WWC20" s="252">
        <v>0</v>
      </c>
      <c r="WWD20" s="252">
        <v>0</v>
      </c>
      <c r="WWE20" s="252">
        <v>0</v>
      </c>
      <c r="WWF20" s="252">
        <v>0</v>
      </c>
      <c r="WWG20" s="252">
        <v>0</v>
      </c>
      <c r="WWH20" s="252">
        <v>0</v>
      </c>
      <c r="WWI20" s="252">
        <v>0</v>
      </c>
      <c r="WWJ20" s="252">
        <v>0</v>
      </c>
      <c r="WWK20" s="252">
        <v>0</v>
      </c>
      <c r="WWL20" s="252">
        <v>0</v>
      </c>
      <c r="WWM20" s="252">
        <v>0</v>
      </c>
      <c r="WWN20" s="252">
        <v>0</v>
      </c>
      <c r="WWO20" s="252">
        <v>0</v>
      </c>
      <c r="WWP20" s="252">
        <v>0</v>
      </c>
      <c r="WWQ20" s="252">
        <v>0</v>
      </c>
      <c r="WWR20" s="252">
        <v>0</v>
      </c>
      <c r="WWS20" s="252">
        <v>0</v>
      </c>
      <c r="WWT20" s="252">
        <v>0</v>
      </c>
      <c r="WWU20" s="252">
        <v>0</v>
      </c>
      <c r="WWV20" s="252">
        <v>0</v>
      </c>
      <c r="WWW20" s="252">
        <v>0</v>
      </c>
      <c r="WWX20" s="252">
        <v>0</v>
      </c>
      <c r="WWY20" s="252">
        <v>0</v>
      </c>
      <c r="WWZ20" s="252">
        <v>0</v>
      </c>
      <c r="WXA20" s="252">
        <v>0</v>
      </c>
      <c r="WXB20" s="252">
        <v>0</v>
      </c>
      <c r="WXC20" s="252">
        <v>0</v>
      </c>
      <c r="WXD20" s="252">
        <v>0</v>
      </c>
      <c r="WXE20" s="252">
        <v>0</v>
      </c>
      <c r="WXF20" s="252">
        <v>0</v>
      </c>
      <c r="WXG20" s="252">
        <v>0</v>
      </c>
      <c r="WXH20" s="252">
        <v>0</v>
      </c>
      <c r="WXI20" s="252">
        <v>0</v>
      </c>
      <c r="WXJ20" s="252">
        <v>0</v>
      </c>
      <c r="WXK20" s="252">
        <v>0</v>
      </c>
      <c r="WXL20" s="252">
        <v>0</v>
      </c>
      <c r="WXM20" s="252">
        <v>0</v>
      </c>
      <c r="WXN20" s="252">
        <v>0</v>
      </c>
      <c r="WXO20" s="252">
        <v>0</v>
      </c>
      <c r="WXP20" s="252">
        <v>0</v>
      </c>
      <c r="WXQ20" s="252">
        <v>0</v>
      </c>
      <c r="WXR20" s="252">
        <v>0</v>
      </c>
      <c r="WXS20" s="252">
        <v>0</v>
      </c>
      <c r="WXT20" s="252">
        <v>0</v>
      </c>
      <c r="WXU20" s="252">
        <v>0</v>
      </c>
      <c r="WXV20" s="252">
        <v>0</v>
      </c>
      <c r="WXW20" s="252">
        <v>0</v>
      </c>
      <c r="WXX20" s="252">
        <v>0</v>
      </c>
      <c r="WXY20" s="252">
        <v>0</v>
      </c>
      <c r="WXZ20" s="252">
        <v>0</v>
      </c>
      <c r="WYA20" s="252">
        <v>0</v>
      </c>
      <c r="WYB20" s="252">
        <v>0</v>
      </c>
      <c r="WYC20" s="252">
        <v>0</v>
      </c>
      <c r="WYD20" s="252">
        <v>0</v>
      </c>
      <c r="WYE20" s="252">
        <v>0</v>
      </c>
      <c r="WYF20" s="252">
        <v>0</v>
      </c>
      <c r="WYG20" s="252">
        <v>0</v>
      </c>
      <c r="WYH20" s="252">
        <v>0</v>
      </c>
      <c r="WYI20" s="252">
        <v>0</v>
      </c>
      <c r="WYJ20" s="252">
        <v>0</v>
      </c>
      <c r="WYK20" s="252">
        <v>0</v>
      </c>
      <c r="WYL20" s="252">
        <v>0</v>
      </c>
      <c r="WYM20" s="252">
        <v>0</v>
      </c>
      <c r="WYN20" s="252">
        <v>0</v>
      </c>
      <c r="WYO20" s="252">
        <v>0</v>
      </c>
      <c r="WYP20" s="252">
        <v>0</v>
      </c>
      <c r="WYQ20" s="252">
        <v>0</v>
      </c>
      <c r="WYR20" s="252">
        <v>0</v>
      </c>
      <c r="WYS20" s="252">
        <v>0</v>
      </c>
      <c r="WYT20" s="252">
        <v>0</v>
      </c>
      <c r="WYU20" s="252">
        <v>0</v>
      </c>
      <c r="WYV20" s="252">
        <v>0</v>
      </c>
      <c r="WYW20" s="252">
        <v>0</v>
      </c>
      <c r="WYX20" s="252">
        <v>0</v>
      </c>
      <c r="WYY20" s="252">
        <v>0</v>
      </c>
      <c r="WYZ20" s="252">
        <v>0</v>
      </c>
      <c r="WZA20" s="252">
        <v>0</v>
      </c>
      <c r="WZB20" s="252">
        <v>0</v>
      </c>
      <c r="WZC20" s="252">
        <v>0</v>
      </c>
      <c r="WZD20" s="252">
        <v>0</v>
      </c>
      <c r="WZE20" s="252">
        <v>0</v>
      </c>
      <c r="WZF20" s="252">
        <v>0</v>
      </c>
      <c r="WZG20" s="252">
        <v>0</v>
      </c>
      <c r="WZH20" s="252">
        <v>0</v>
      </c>
      <c r="WZI20" s="252">
        <v>0</v>
      </c>
      <c r="WZJ20" s="252">
        <v>0</v>
      </c>
      <c r="WZK20" s="252">
        <v>0</v>
      </c>
      <c r="WZL20" s="252">
        <v>0</v>
      </c>
      <c r="WZM20" s="252">
        <v>0</v>
      </c>
      <c r="WZN20" s="252">
        <v>0</v>
      </c>
      <c r="WZO20" s="252">
        <v>0</v>
      </c>
      <c r="WZP20" s="252">
        <v>0</v>
      </c>
      <c r="WZQ20" s="252">
        <v>0</v>
      </c>
      <c r="WZR20" s="252">
        <v>0</v>
      </c>
      <c r="WZS20" s="252">
        <v>0</v>
      </c>
      <c r="WZT20" s="252">
        <v>0</v>
      </c>
      <c r="WZU20" s="252">
        <v>0</v>
      </c>
      <c r="WZV20" s="252">
        <v>0</v>
      </c>
      <c r="WZW20" s="252">
        <v>0</v>
      </c>
      <c r="WZX20" s="252">
        <v>0</v>
      </c>
      <c r="WZY20" s="252">
        <v>0</v>
      </c>
      <c r="WZZ20" s="252">
        <v>0</v>
      </c>
      <c r="XAA20" s="252">
        <v>0</v>
      </c>
      <c r="XAB20" s="252">
        <v>0</v>
      </c>
      <c r="XAC20" s="252">
        <v>0</v>
      </c>
      <c r="XAD20" s="252">
        <v>0</v>
      </c>
      <c r="XAE20" s="252">
        <v>0</v>
      </c>
      <c r="XAF20" s="252">
        <v>0</v>
      </c>
      <c r="XAG20" s="252">
        <v>0</v>
      </c>
      <c r="XAH20" s="252">
        <v>0</v>
      </c>
      <c r="XAI20" s="252">
        <v>0</v>
      </c>
      <c r="XAJ20" s="252">
        <v>0</v>
      </c>
      <c r="XAK20" s="252">
        <v>0</v>
      </c>
      <c r="XAL20" s="252">
        <v>0</v>
      </c>
      <c r="XAM20" s="252">
        <v>0</v>
      </c>
      <c r="XAN20" s="252">
        <v>0</v>
      </c>
      <c r="XAO20" s="252">
        <v>0</v>
      </c>
      <c r="XAP20" s="252">
        <v>0</v>
      </c>
      <c r="XAQ20" s="252">
        <v>0</v>
      </c>
      <c r="XAR20" s="252">
        <v>0</v>
      </c>
      <c r="XAS20" s="252">
        <v>0</v>
      </c>
      <c r="XAT20" s="252">
        <v>0</v>
      </c>
      <c r="XAU20" s="252">
        <v>0</v>
      </c>
      <c r="XAV20" s="252">
        <v>0</v>
      </c>
      <c r="XAW20" s="252">
        <v>0</v>
      </c>
      <c r="XAX20" s="252">
        <v>0</v>
      </c>
      <c r="XAY20" s="252">
        <v>0</v>
      </c>
      <c r="XAZ20" s="252">
        <v>0</v>
      </c>
      <c r="XBA20" s="252">
        <v>0</v>
      </c>
      <c r="XBB20" s="252">
        <v>0</v>
      </c>
      <c r="XBC20" s="252">
        <v>0</v>
      </c>
      <c r="XBD20" s="252">
        <v>0</v>
      </c>
      <c r="XBE20" s="252">
        <v>0</v>
      </c>
      <c r="XBF20" s="252">
        <v>0</v>
      </c>
      <c r="XBG20" s="252">
        <v>0</v>
      </c>
      <c r="XBH20" s="252">
        <v>0</v>
      </c>
      <c r="XBI20" s="252">
        <v>0</v>
      </c>
      <c r="XBJ20" s="252">
        <v>0</v>
      </c>
      <c r="XBK20" s="252">
        <v>0</v>
      </c>
      <c r="XBL20" s="252">
        <v>0</v>
      </c>
      <c r="XBM20" s="252">
        <v>0</v>
      </c>
      <c r="XBN20" s="252">
        <v>0</v>
      </c>
      <c r="XBO20" s="252">
        <v>0</v>
      </c>
      <c r="XBP20" s="252">
        <v>0</v>
      </c>
      <c r="XBQ20" s="252">
        <v>0</v>
      </c>
      <c r="XBR20" s="252">
        <v>0</v>
      </c>
      <c r="XBS20" s="252">
        <v>0</v>
      </c>
      <c r="XBT20" s="252">
        <v>0</v>
      </c>
      <c r="XBU20" s="252">
        <v>0</v>
      </c>
      <c r="XBV20" s="252">
        <v>0</v>
      </c>
      <c r="XBW20" s="252">
        <v>0</v>
      </c>
      <c r="XBX20" s="252">
        <v>0</v>
      </c>
      <c r="XBY20" s="252">
        <v>0</v>
      </c>
      <c r="XBZ20" s="252">
        <v>0</v>
      </c>
      <c r="XCA20" s="252">
        <v>0</v>
      </c>
      <c r="XCB20" s="252">
        <v>0</v>
      </c>
      <c r="XCC20" s="252">
        <v>0</v>
      </c>
      <c r="XCD20" s="252">
        <v>0</v>
      </c>
      <c r="XCE20" s="252">
        <v>0</v>
      </c>
      <c r="XCF20" s="252">
        <v>0</v>
      </c>
      <c r="XCG20" s="252">
        <v>0</v>
      </c>
      <c r="XCH20" s="252">
        <v>0</v>
      </c>
      <c r="XCI20" s="252">
        <v>0</v>
      </c>
      <c r="XCJ20" s="252">
        <v>0</v>
      </c>
      <c r="XCK20" s="252">
        <v>0</v>
      </c>
      <c r="XCL20" s="252">
        <v>0</v>
      </c>
      <c r="XCM20" s="252">
        <v>0</v>
      </c>
      <c r="XCN20" s="252">
        <v>0</v>
      </c>
      <c r="XCO20" s="252">
        <v>0</v>
      </c>
      <c r="XCP20" s="252">
        <v>0</v>
      </c>
      <c r="XCQ20" s="252">
        <v>0</v>
      </c>
      <c r="XCR20" s="252">
        <v>0</v>
      </c>
      <c r="XCS20" s="252">
        <v>0</v>
      </c>
      <c r="XCT20" s="252">
        <v>0</v>
      </c>
      <c r="XCU20" s="252">
        <v>0</v>
      </c>
      <c r="XCV20" s="252">
        <v>0</v>
      </c>
      <c r="XCW20" s="252">
        <v>0</v>
      </c>
      <c r="XCX20" s="252">
        <v>0</v>
      </c>
      <c r="XCY20" s="252">
        <v>0</v>
      </c>
      <c r="XCZ20" s="252">
        <v>0</v>
      </c>
      <c r="XDA20" s="252">
        <v>0</v>
      </c>
      <c r="XDB20" s="252">
        <v>0</v>
      </c>
      <c r="XDC20" s="252">
        <v>0</v>
      </c>
      <c r="XDD20" s="252">
        <v>0</v>
      </c>
      <c r="XDE20" s="252">
        <v>0</v>
      </c>
      <c r="XDF20" s="252">
        <v>0</v>
      </c>
      <c r="XDG20" s="252">
        <v>0</v>
      </c>
      <c r="XDH20" s="252">
        <v>0</v>
      </c>
      <c r="XDI20" s="252">
        <v>0</v>
      </c>
      <c r="XDJ20" s="252">
        <v>0</v>
      </c>
      <c r="XDK20" s="252">
        <v>0</v>
      </c>
      <c r="XDL20" s="252">
        <v>0</v>
      </c>
      <c r="XDM20" s="252">
        <v>0</v>
      </c>
      <c r="XDN20" s="252">
        <v>0</v>
      </c>
      <c r="XDO20" s="252">
        <v>0</v>
      </c>
      <c r="XDP20" s="252">
        <v>0</v>
      </c>
      <c r="XDQ20" s="252">
        <v>0</v>
      </c>
      <c r="XDR20" s="252">
        <v>0</v>
      </c>
      <c r="XDS20" s="252">
        <v>0</v>
      </c>
      <c r="XDT20" s="252">
        <v>0</v>
      </c>
      <c r="XDU20" s="252">
        <v>0</v>
      </c>
      <c r="XDV20" s="252">
        <v>0</v>
      </c>
      <c r="XDW20" s="252">
        <v>0</v>
      </c>
      <c r="XDX20" s="252">
        <v>0</v>
      </c>
      <c r="XDY20" s="252">
        <v>0</v>
      </c>
      <c r="XDZ20" s="252">
        <v>0</v>
      </c>
      <c r="XEA20" s="252">
        <v>0</v>
      </c>
      <c r="XEB20" s="252">
        <v>0</v>
      </c>
      <c r="XEC20" s="252">
        <v>0</v>
      </c>
      <c r="XED20" s="252">
        <v>0</v>
      </c>
      <c r="XEE20" s="252">
        <v>0</v>
      </c>
      <c r="XEF20" s="252">
        <v>0</v>
      </c>
      <c r="XEG20" s="252">
        <v>0</v>
      </c>
      <c r="XEH20" s="252">
        <v>0</v>
      </c>
      <c r="XEI20" s="252">
        <v>0</v>
      </c>
      <c r="XEJ20" s="252">
        <v>0</v>
      </c>
      <c r="XEK20" s="252">
        <v>0</v>
      </c>
      <c r="XEL20" s="252">
        <v>0</v>
      </c>
      <c r="XEM20" s="252">
        <v>0</v>
      </c>
      <c r="XEN20" s="252">
        <v>0</v>
      </c>
      <c r="XEO20" s="252">
        <v>0</v>
      </c>
      <c r="XEP20" s="252">
        <v>0</v>
      </c>
      <c r="XEQ20" s="252">
        <v>0</v>
      </c>
      <c r="XER20" s="252">
        <v>0</v>
      </c>
      <c r="XES20" s="252">
        <v>0</v>
      </c>
      <c r="XET20" s="252">
        <v>0</v>
      </c>
      <c r="XEU20" s="252">
        <v>0</v>
      </c>
      <c r="XEV20" s="252">
        <v>0</v>
      </c>
      <c r="XEW20" s="252">
        <v>0</v>
      </c>
      <c r="XEX20" s="252">
        <v>0</v>
      </c>
      <c r="XEY20" s="252">
        <v>0</v>
      </c>
      <c r="XEZ20" s="252">
        <v>0</v>
      </c>
      <c r="XFA20" s="252">
        <v>0</v>
      </c>
      <c r="XFB20" s="252">
        <v>0</v>
      </c>
    </row>
    <row r="21" spans="1:16382" s="251" customFormat="1" outlineLevel="1" x14ac:dyDescent="0.25">
      <c r="A21" s="224" t="s">
        <v>1156</v>
      </c>
      <c r="B21" s="229">
        <v>0</v>
      </c>
      <c r="C21" s="229">
        <v>0</v>
      </c>
      <c r="D21" s="229">
        <v>0</v>
      </c>
      <c r="E21" s="229">
        <v>0</v>
      </c>
      <c r="F21" s="229">
        <v>0</v>
      </c>
      <c r="G21" s="229">
        <v>0</v>
      </c>
      <c r="H21" s="229">
        <v>0</v>
      </c>
      <c r="I21" s="229">
        <v>0</v>
      </c>
      <c r="J21" s="229">
        <v>0</v>
      </c>
      <c r="K21" s="229">
        <v>0</v>
      </c>
      <c r="L21" s="229">
        <v>0</v>
      </c>
      <c r="M21" s="229">
        <v>0</v>
      </c>
      <c r="N21" s="229">
        <v>0</v>
      </c>
      <c r="O21" s="229">
        <v>0</v>
      </c>
      <c r="P21" s="229">
        <v>0</v>
      </c>
      <c r="Q21" s="229">
        <v>0</v>
      </c>
      <c r="R21" s="229">
        <v>0</v>
      </c>
      <c r="S21" s="229">
        <v>0</v>
      </c>
      <c r="T21" s="229">
        <v>0</v>
      </c>
      <c r="U21" s="229">
        <v>0</v>
      </c>
      <c r="V21" s="229">
        <v>0</v>
      </c>
      <c r="W21" s="229">
        <v>0</v>
      </c>
      <c r="X21" s="229">
        <v>0</v>
      </c>
      <c r="Y21" s="229">
        <v>0</v>
      </c>
      <c r="Z21" s="229">
        <v>0</v>
      </c>
      <c r="AA21" s="229">
        <v>0</v>
      </c>
      <c r="AB21" s="229">
        <v>0</v>
      </c>
      <c r="AC21" s="229">
        <v>0</v>
      </c>
      <c r="AD21" s="229">
        <v>0</v>
      </c>
      <c r="AE21" s="229">
        <v>0</v>
      </c>
      <c r="AF21" s="229">
        <v>0</v>
      </c>
      <c r="AG21" s="229">
        <v>0</v>
      </c>
      <c r="AH21" s="229">
        <v>0</v>
      </c>
      <c r="AI21" s="229">
        <v>0</v>
      </c>
      <c r="AJ21" s="229">
        <v>0</v>
      </c>
      <c r="AK21" s="229">
        <v>0</v>
      </c>
      <c r="AL21" s="229">
        <v>0</v>
      </c>
      <c r="AM21" s="229">
        <v>0</v>
      </c>
      <c r="AN21" s="229">
        <v>0</v>
      </c>
      <c r="AO21" s="229">
        <v>0</v>
      </c>
      <c r="AP21" s="229">
        <v>0</v>
      </c>
      <c r="AQ21" s="229">
        <v>0</v>
      </c>
      <c r="AR21" s="229">
        <v>0</v>
      </c>
      <c r="AS21" s="229">
        <v>0</v>
      </c>
      <c r="AT21" s="229">
        <v>0</v>
      </c>
      <c r="AU21" s="229">
        <v>0</v>
      </c>
      <c r="AV21" s="229">
        <v>0</v>
      </c>
      <c r="AW21" s="229">
        <v>0</v>
      </c>
      <c r="AX21" s="229">
        <v>0</v>
      </c>
      <c r="AY21" s="229">
        <v>0</v>
      </c>
      <c r="AZ21" s="229">
        <v>0</v>
      </c>
      <c r="BA21" s="229">
        <v>0</v>
      </c>
      <c r="BB21" s="229">
        <v>0</v>
      </c>
      <c r="BC21" s="229">
        <v>0</v>
      </c>
      <c r="BD21" s="229">
        <v>0</v>
      </c>
      <c r="BE21" s="229">
        <v>0</v>
      </c>
      <c r="BF21" s="229">
        <v>0</v>
      </c>
      <c r="BG21" s="229">
        <v>0</v>
      </c>
      <c r="BH21" s="229">
        <v>0</v>
      </c>
      <c r="BI21" s="229">
        <v>0</v>
      </c>
      <c r="BJ21" s="229">
        <v>0</v>
      </c>
      <c r="BK21" s="229">
        <v>0</v>
      </c>
      <c r="BL21" s="229">
        <v>0</v>
      </c>
      <c r="BM21" s="229">
        <v>0</v>
      </c>
      <c r="BN21" s="229">
        <v>0</v>
      </c>
      <c r="BO21" s="229">
        <v>0</v>
      </c>
      <c r="BP21" s="229">
        <v>0</v>
      </c>
      <c r="BQ21" s="229">
        <v>0</v>
      </c>
      <c r="BR21" s="229">
        <v>0</v>
      </c>
      <c r="BS21" s="229">
        <v>0</v>
      </c>
      <c r="BT21" s="229">
        <v>0</v>
      </c>
      <c r="BU21" s="229">
        <v>0</v>
      </c>
      <c r="BV21" s="229">
        <v>0</v>
      </c>
      <c r="BW21" s="229">
        <v>0</v>
      </c>
      <c r="BX21" s="229">
        <v>0</v>
      </c>
      <c r="BY21" s="229">
        <v>0</v>
      </c>
      <c r="BZ21" s="229">
        <v>0</v>
      </c>
      <c r="CA21" s="229">
        <v>0</v>
      </c>
      <c r="CB21" s="229">
        <v>0</v>
      </c>
      <c r="CC21" s="229">
        <v>0</v>
      </c>
      <c r="CD21" s="229">
        <v>0</v>
      </c>
      <c r="CE21" s="229">
        <v>0</v>
      </c>
      <c r="CF21" s="229">
        <v>0</v>
      </c>
      <c r="CG21" s="229">
        <v>0</v>
      </c>
      <c r="CH21" s="229">
        <v>0</v>
      </c>
      <c r="CI21" s="229">
        <v>0</v>
      </c>
      <c r="CJ21" s="229">
        <v>0</v>
      </c>
      <c r="CK21" s="229">
        <v>0</v>
      </c>
      <c r="CL21" s="229">
        <v>0</v>
      </c>
      <c r="CM21" s="229">
        <v>0</v>
      </c>
      <c r="CN21" s="229">
        <v>0</v>
      </c>
      <c r="CO21" s="229">
        <v>0</v>
      </c>
      <c r="CP21" s="229">
        <v>0</v>
      </c>
      <c r="CQ21" s="229">
        <v>0</v>
      </c>
      <c r="CR21" s="229">
        <v>0</v>
      </c>
      <c r="CS21" s="229">
        <v>0</v>
      </c>
      <c r="CT21" s="229">
        <v>0</v>
      </c>
      <c r="CU21" s="229">
        <v>0</v>
      </c>
      <c r="CV21" s="229">
        <v>0</v>
      </c>
      <c r="CW21" s="229">
        <v>0</v>
      </c>
      <c r="CX21" s="229">
        <v>0</v>
      </c>
      <c r="CY21" s="229">
        <v>0</v>
      </c>
      <c r="CZ21" s="229">
        <v>0</v>
      </c>
      <c r="DA21" s="229">
        <v>0</v>
      </c>
      <c r="DB21" s="229">
        <v>0</v>
      </c>
      <c r="DC21" s="229">
        <v>0</v>
      </c>
      <c r="DD21" s="229">
        <v>0</v>
      </c>
      <c r="DE21" s="229">
        <v>0</v>
      </c>
      <c r="DF21" s="229">
        <v>0</v>
      </c>
      <c r="DG21" s="229">
        <v>0</v>
      </c>
      <c r="DH21" s="229">
        <v>0</v>
      </c>
      <c r="DI21" s="229">
        <v>0</v>
      </c>
      <c r="DJ21" s="229">
        <v>0</v>
      </c>
      <c r="DK21" s="229">
        <v>0</v>
      </c>
      <c r="DL21" s="229">
        <v>0</v>
      </c>
      <c r="DM21" s="229">
        <v>0</v>
      </c>
      <c r="DN21" s="229">
        <v>0</v>
      </c>
      <c r="DO21" s="229">
        <v>0</v>
      </c>
      <c r="DP21" s="229">
        <v>0</v>
      </c>
      <c r="DQ21" s="229">
        <v>0</v>
      </c>
      <c r="DR21" s="229">
        <v>0</v>
      </c>
      <c r="DS21" s="229">
        <v>0</v>
      </c>
      <c r="DT21" s="229">
        <v>0</v>
      </c>
      <c r="DU21" s="229">
        <v>0</v>
      </c>
      <c r="DV21" s="229">
        <v>0</v>
      </c>
      <c r="DW21" s="229">
        <v>0</v>
      </c>
      <c r="DX21" s="229">
        <v>0</v>
      </c>
      <c r="DY21" s="229">
        <v>0</v>
      </c>
      <c r="DZ21" s="229">
        <v>0</v>
      </c>
      <c r="EA21" s="229">
        <v>0</v>
      </c>
      <c r="EB21" s="229">
        <v>0</v>
      </c>
      <c r="EC21" s="229">
        <v>0</v>
      </c>
      <c r="ED21" s="229">
        <v>0</v>
      </c>
      <c r="EE21" s="229">
        <v>0</v>
      </c>
      <c r="EF21" s="229">
        <v>0</v>
      </c>
      <c r="EG21" s="229">
        <v>0</v>
      </c>
      <c r="EH21" s="229">
        <v>0</v>
      </c>
      <c r="EI21" s="229">
        <v>0</v>
      </c>
      <c r="EJ21" s="229">
        <v>0</v>
      </c>
      <c r="EK21" s="229">
        <v>0</v>
      </c>
      <c r="EL21" s="229">
        <v>0</v>
      </c>
      <c r="EM21" s="229">
        <v>0</v>
      </c>
      <c r="EN21" s="229">
        <v>0</v>
      </c>
      <c r="EO21" s="229">
        <v>0</v>
      </c>
      <c r="EP21" s="229">
        <v>0</v>
      </c>
      <c r="EQ21" s="229">
        <v>0</v>
      </c>
      <c r="ER21" s="229">
        <v>0</v>
      </c>
      <c r="ES21" s="229">
        <v>0</v>
      </c>
      <c r="ET21" s="229">
        <v>0</v>
      </c>
      <c r="EU21" s="229">
        <v>0</v>
      </c>
      <c r="EV21" s="229">
        <v>0</v>
      </c>
      <c r="EW21" s="229">
        <v>0</v>
      </c>
      <c r="EX21" s="229">
        <v>0</v>
      </c>
      <c r="EY21" s="229">
        <v>0</v>
      </c>
      <c r="EZ21" s="229">
        <v>0</v>
      </c>
      <c r="FA21" s="229">
        <v>0</v>
      </c>
      <c r="FB21" s="229">
        <v>0</v>
      </c>
      <c r="FC21" s="229">
        <v>0</v>
      </c>
      <c r="FD21" s="229">
        <v>0</v>
      </c>
      <c r="FE21" s="229">
        <v>0</v>
      </c>
      <c r="FF21" s="229">
        <v>0</v>
      </c>
      <c r="FG21" s="229">
        <v>0</v>
      </c>
      <c r="FH21" s="229">
        <v>0</v>
      </c>
      <c r="FI21" s="229">
        <v>0</v>
      </c>
      <c r="FJ21" s="229">
        <v>0</v>
      </c>
      <c r="FK21" s="229">
        <v>0</v>
      </c>
      <c r="FL21" s="229">
        <v>0</v>
      </c>
      <c r="FM21" s="229">
        <v>0</v>
      </c>
      <c r="FN21" s="229">
        <v>0</v>
      </c>
      <c r="FO21" s="229">
        <v>0</v>
      </c>
      <c r="FP21" s="229">
        <v>0</v>
      </c>
      <c r="FQ21" s="229">
        <v>0</v>
      </c>
      <c r="FR21" s="229">
        <v>0</v>
      </c>
      <c r="FS21" s="229">
        <v>0</v>
      </c>
      <c r="FT21" s="229">
        <v>0</v>
      </c>
      <c r="FU21" s="229">
        <v>0</v>
      </c>
      <c r="FV21" s="229">
        <v>0</v>
      </c>
      <c r="FW21" s="229">
        <v>0</v>
      </c>
      <c r="FX21" s="229">
        <v>0</v>
      </c>
      <c r="FY21" s="229">
        <v>0</v>
      </c>
      <c r="FZ21" s="229">
        <v>0</v>
      </c>
      <c r="GA21" s="229">
        <v>0</v>
      </c>
      <c r="GB21" s="229">
        <v>0</v>
      </c>
      <c r="GC21" s="229">
        <v>0</v>
      </c>
      <c r="GD21" s="229">
        <v>0</v>
      </c>
      <c r="GE21" s="229">
        <v>0</v>
      </c>
      <c r="GF21" s="229">
        <v>0</v>
      </c>
      <c r="GG21" s="229">
        <v>0</v>
      </c>
      <c r="GH21" s="229">
        <v>0</v>
      </c>
      <c r="GI21" s="229">
        <v>0</v>
      </c>
      <c r="GJ21" s="229">
        <v>0</v>
      </c>
      <c r="GK21" s="229">
        <v>0</v>
      </c>
      <c r="GL21" s="229">
        <v>0</v>
      </c>
      <c r="GM21" s="229">
        <v>0</v>
      </c>
      <c r="GN21" s="229">
        <v>0</v>
      </c>
      <c r="GO21" s="229">
        <v>0</v>
      </c>
      <c r="GP21" s="229">
        <v>0</v>
      </c>
      <c r="GQ21" s="229">
        <v>0</v>
      </c>
      <c r="GR21" s="229">
        <v>0</v>
      </c>
      <c r="GS21" s="229">
        <v>0</v>
      </c>
      <c r="GT21" s="229">
        <v>0</v>
      </c>
      <c r="GU21" s="229">
        <v>0</v>
      </c>
      <c r="GV21" s="229">
        <v>0</v>
      </c>
      <c r="GW21" s="229">
        <v>0</v>
      </c>
      <c r="GX21" s="229">
        <v>0</v>
      </c>
      <c r="GY21" s="229">
        <v>0</v>
      </c>
      <c r="GZ21" s="229">
        <v>0</v>
      </c>
      <c r="HA21" s="229">
        <v>0</v>
      </c>
      <c r="HB21" s="229">
        <v>0</v>
      </c>
      <c r="HC21" s="229">
        <v>0</v>
      </c>
      <c r="HD21" s="229">
        <v>0</v>
      </c>
      <c r="HE21" s="229">
        <v>0</v>
      </c>
      <c r="HF21" s="229">
        <v>0</v>
      </c>
      <c r="HG21" s="229">
        <v>0</v>
      </c>
      <c r="HH21" s="229">
        <v>0</v>
      </c>
      <c r="HI21" s="229">
        <v>0</v>
      </c>
      <c r="HJ21" s="229">
        <v>0</v>
      </c>
      <c r="HK21" s="229">
        <v>0</v>
      </c>
      <c r="HL21" s="229">
        <v>0</v>
      </c>
      <c r="HM21" s="229">
        <v>0</v>
      </c>
      <c r="HN21" s="229">
        <v>0</v>
      </c>
      <c r="HO21" s="229">
        <v>0</v>
      </c>
      <c r="HP21" s="229">
        <v>0</v>
      </c>
      <c r="HQ21" s="229">
        <v>0</v>
      </c>
      <c r="HR21" s="229">
        <v>0</v>
      </c>
      <c r="HS21" s="229">
        <v>0</v>
      </c>
      <c r="HT21" s="229">
        <v>0</v>
      </c>
      <c r="HU21" s="229">
        <v>0</v>
      </c>
      <c r="HV21" s="229">
        <v>0</v>
      </c>
      <c r="HW21" s="229">
        <v>0</v>
      </c>
      <c r="HX21" s="229">
        <v>0</v>
      </c>
      <c r="HY21" s="229">
        <v>0</v>
      </c>
      <c r="HZ21" s="229">
        <v>0</v>
      </c>
      <c r="IA21" s="229">
        <v>0</v>
      </c>
      <c r="IB21" s="229">
        <v>0</v>
      </c>
      <c r="IC21" s="229">
        <v>0</v>
      </c>
      <c r="ID21" s="229">
        <v>0</v>
      </c>
      <c r="IE21" s="229">
        <v>0</v>
      </c>
      <c r="IF21" s="229">
        <v>0</v>
      </c>
      <c r="IG21" s="229">
        <v>0</v>
      </c>
      <c r="IH21" s="229">
        <v>0</v>
      </c>
      <c r="II21" s="229">
        <v>0</v>
      </c>
      <c r="IJ21" s="229">
        <v>0</v>
      </c>
      <c r="IK21" s="229">
        <v>0</v>
      </c>
      <c r="IL21" s="229">
        <v>0</v>
      </c>
      <c r="IM21" s="229">
        <v>0</v>
      </c>
      <c r="IN21" s="229">
        <v>0</v>
      </c>
      <c r="IO21" s="229">
        <v>0</v>
      </c>
      <c r="IP21" s="229">
        <v>0</v>
      </c>
      <c r="IQ21" s="229">
        <v>0</v>
      </c>
      <c r="IR21" s="229">
        <v>0</v>
      </c>
      <c r="IS21" s="229">
        <v>0</v>
      </c>
      <c r="IT21" s="229">
        <v>0</v>
      </c>
      <c r="IU21" s="229">
        <v>0</v>
      </c>
      <c r="IV21" s="229">
        <v>0</v>
      </c>
      <c r="IW21" s="229">
        <v>0</v>
      </c>
      <c r="IX21" s="229">
        <v>0</v>
      </c>
      <c r="IY21" s="229">
        <v>0</v>
      </c>
      <c r="IZ21" s="229">
        <v>0</v>
      </c>
      <c r="JA21" s="229">
        <v>0</v>
      </c>
      <c r="JB21" s="229">
        <v>0</v>
      </c>
      <c r="JC21" s="229">
        <v>0</v>
      </c>
      <c r="JD21" s="229">
        <v>0</v>
      </c>
      <c r="JE21" s="229">
        <v>0</v>
      </c>
      <c r="JF21" s="229">
        <v>0</v>
      </c>
      <c r="JG21" s="229">
        <v>0</v>
      </c>
      <c r="JH21" s="229">
        <v>0</v>
      </c>
      <c r="JI21" s="229">
        <v>0</v>
      </c>
      <c r="JJ21" s="229">
        <v>0</v>
      </c>
      <c r="JK21" s="229">
        <v>0</v>
      </c>
      <c r="JL21" s="229">
        <v>0</v>
      </c>
      <c r="JM21" s="229">
        <v>0</v>
      </c>
      <c r="JN21" s="229">
        <v>0</v>
      </c>
      <c r="JO21" s="229">
        <v>0</v>
      </c>
      <c r="JP21" s="229">
        <v>0</v>
      </c>
      <c r="JQ21" s="229">
        <v>0</v>
      </c>
      <c r="JR21" s="229">
        <v>0</v>
      </c>
      <c r="JS21" s="229">
        <v>0</v>
      </c>
      <c r="JT21" s="229">
        <v>0</v>
      </c>
      <c r="JU21" s="229">
        <v>0</v>
      </c>
      <c r="JV21" s="229">
        <v>0</v>
      </c>
      <c r="JW21" s="229">
        <v>0</v>
      </c>
      <c r="JX21" s="229">
        <v>0</v>
      </c>
      <c r="JY21" s="229">
        <v>0</v>
      </c>
      <c r="JZ21" s="229">
        <v>0</v>
      </c>
      <c r="KA21" s="229">
        <v>0</v>
      </c>
      <c r="KB21" s="229">
        <v>0</v>
      </c>
      <c r="KC21" s="229">
        <v>0</v>
      </c>
      <c r="KD21" s="229">
        <v>0</v>
      </c>
      <c r="KE21" s="229">
        <v>0</v>
      </c>
      <c r="KF21" s="229">
        <v>0</v>
      </c>
      <c r="KG21" s="229">
        <v>0</v>
      </c>
      <c r="KH21" s="229">
        <v>0</v>
      </c>
      <c r="KI21" s="229">
        <v>0</v>
      </c>
      <c r="KJ21" s="229">
        <v>0</v>
      </c>
      <c r="KK21" s="229">
        <v>0</v>
      </c>
      <c r="KL21" s="229">
        <v>0</v>
      </c>
      <c r="KM21" s="229">
        <v>0</v>
      </c>
      <c r="KN21" s="229">
        <v>0</v>
      </c>
      <c r="KO21" s="229">
        <v>0</v>
      </c>
      <c r="KP21" s="229">
        <v>0</v>
      </c>
      <c r="KQ21" s="229">
        <v>0</v>
      </c>
      <c r="KR21" s="229">
        <v>0</v>
      </c>
      <c r="KS21" s="229">
        <v>0</v>
      </c>
      <c r="KT21" s="229">
        <v>0</v>
      </c>
      <c r="KU21" s="229">
        <v>0</v>
      </c>
      <c r="KV21" s="229">
        <v>0</v>
      </c>
      <c r="KW21" s="229">
        <v>0</v>
      </c>
      <c r="KX21" s="229">
        <v>0</v>
      </c>
      <c r="KY21" s="229">
        <v>0</v>
      </c>
      <c r="KZ21" s="229">
        <v>0</v>
      </c>
      <c r="LA21" s="229">
        <v>0</v>
      </c>
      <c r="LB21" s="229">
        <v>0</v>
      </c>
      <c r="LC21" s="229">
        <v>0</v>
      </c>
      <c r="LD21" s="229">
        <v>0</v>
      </c>
      <c r="LE21" s="229">
        <v>0</v>
      </c>
      <c r="LF21" s="229">
        <v>0</v>
      </c>
      <c r="LG21" s="229">
        <v>0</v>
      </c>
      <c r="LH21" s="229">
        <v>0</v>
      </c>
      <c r="LI21" s="229">
        <v>0</v>
      </c>
      <c r="LJ21" s="229">
        <v>0</v>
      </c>
      <c r="LK21" s="229">
        <v>0</v>
      </c>
      <c r="LL21" s="229">
        <v>0</v>
      </c>
      <c r="LM21" s="229">
        <v>0</v>
      </c>
      <c r="LN21" s="229">
        <v>0</v>
      </c>
      <c r="LO21" s="229">
        <v>0</v>
      </c>
      <c r="LP21" s="229">
        <v>0</v>
      </c>
      <c r="LQ21" s="229">
        <v>0</v>
      </c>
      <c r="LR21" s="229">
        <v>0</v>
      </c>
      <c r="LS21" s="229">
        <v>0</v>
      </c>
      <c r="LT21" s="229">
        <v>0</v>
      </c>
      <c r="LU21" s="229">
        <v>0</v>
      </c>
      <c r="LV21" s="229">
        <v>0</v>
      </c>
      <c r="LW21" s="229">
        <v>0</v>
      </c>
      <c r="LX21" s="229">
        <v>0</v>
      </c>
      <c r="LY21" s="229">
        <v>0</v>
      </c>
      <c r="LZ21" s="229">
        <v>0</v>
      </c>
      <c r="MA21" s="229">
        <v>0</v>
      </c>
      <c r="MB21" s="229">
        <v>0</v>
      </c>
      <c r="MC21" s="229">
        <v>0</v>
      </c>
      <c r="MD21" s="229">
        <v>0</v>
      </c>
      <c r="ME21" s="229">
        <v>0</v>
      </c>
      <c r="MF21" s="229">
        <v>0</v>
      </c>
      <c r="MG21" s="229">
        <v>0</v>
      </c>
      <c r="MH21" s="229">
        <v>0</v>
      </c>
      <c r="MI21" s="229">
        <v>0</v>
      </c>
      <c r="MJ21" s="229">
        <v>0</v>
      </c>
      <c r="MK21" s="229">
        <v>0</v>
      </c>
      <c r="ML21" s="229">
        <v>0</v>
      </c>
      <c r="MM21" s="229">
        <v>0</v>
      </c>
      <c r="MN21" s="229">
        <v>0</v>
      </c>
      <c r="MO21" s="229">
        <v>0</v>
      </c>
      <c r="MP21" s="229">
        <v>0</v>
      </c>
      <c r="MQ21" s="229">
        <v>0</v>
      </c>
      <c r="MR21" s="229">
        <v>0</v>
      </c>
      <c r="MS21" s="229">
        <v>0</v>
      </c>
      <c r="MT21" s="229">
        <v>0</v>
      </c>
      <c r="MU21" s="229">
        <v>0</v>
      </c>
      <c r="MV21" s="229">
        <v>0</v>
      </c>
      <c r="MW21" s="229">
        <v>0</v>
      </c>
      <c r="MX21" s="229">
        <v>0</v>
      </c>
      <c r="MY21" s="229">
        <v>0</v>
      </c>
      <c r="MZ21" s="229">
        <v>0</v>
      </c>
      <c r="NA21" s="229">
        <v>0</v>
      </c>
      <c r="NB21" s="229">
        <v>0</v>
      </c>
      <c r="NC21" s="229">
        <v>0</v>
      </c>
      <c r="ND21" s="229">
        <v>0</v>
      </c>
      <c r="NE21" s="229">
        <v>0</v>
      </c>
      <c r="NF21" s="229">
        <v>0</v>
      </c>
      <c r="NG21" s="229">
        <v>0</v>
      </c>
      <c r="NH21" s="229">
        <v>0</v>
      </c>
      <c r="NI21" s="229">
        <v>0</v>
      </c>
      <c r="NJ21" s="229">
        <v>0</v>
      </c>
      <c r="NK21" s="229">
        <v>0</v>
      </c>
      <c r="NL21" s="229">
        <v>0</v>
      </c>
      <c r="NM21" s="229">
        <v>0</v>
      </c>
      <c r="NN21" s="229">
        <v>0</v>
      </c>
      <c r="NO21" s="229">
        <v>0</v>
      </c>
      <c r="NP21" s="229">
        <v>0</v>
      </c>
      <c r="NQ21" s="229">
        <v>0</v>
      </c>
      <c r="NR21" s="229">
        <v>0</v>
      </c>
      <c r="NS21" s="229">
        <v>0</v>
      </c>
      <c r="NT21" s="229">
        <v>0</v>
      </c>
      <c r="NU21" s="229">
        <v>0</v>
      </c>
      <c r="NV21" s="229">
        <v>0</v>
      </c>
      <c r="NW21" s="229">
        <v>0</v>
      </c>
      <c r="NX21" s="229">
        <v>0</v>
      </c>
      <c r="NY21" s="229">
        <v>0</v>
      </c>
      <c r="NZ21" s="229">
        <v>0</v>
      </c>
      <c r="OA21" s="229">
        <v>0</v>
      </c>
      <c r="OB21" s="229">
        <v>0</v>
      </c>
      <c r="OC21" s="229">
        <v>0</v>
      </c>
      <c r="OD21" s="229">
        <v>0</v>
      </c>
      <c r="OE21" s="229">
        <v>0</v>
      </c>
      <c r="OF21" s="229">
        <v>0</v>
      </c>
      <c r="OG21" s="229">
        <v>0</v>
      </c>
      <c r="OH21" s="229">
        <v>0</v>
      </c>
      <c r="OI21" s="229">
        <v>0</v>
      </c>
      <c r="OJ21" s="229">
        <v>0</v>
      </c>
      <c r="OK21" s="229">
        <v>0</v>
      </c>
      <c r="OL21" s="229">
        <v>0</v>
      </c>
      <c r="OM21" s="229">
        <v>0</v>
      </c>
      <c r="ON21" s="229">
        <v>0</v>
      </c>
      <c r="OO21" s="229">
        <v>0</v>
      </c>
      <c r="OP21" s="229">
        <v>0</v>
      </c>
      <c r="OQ21" s="229">
        <v>0</v>
      </c>
      <c r="OR21" s="229">
        <v>0</v>
      </c>
      <c r="OS21" s="229">
        <v>0</v>
      </c>
      <c r="OT21" s="229">
        <v>0</v>
      </c>
      <c r="OU21" s="229">
        <v>0</v>
      </c>
      <c r="OV21" s="229">
        <v>0</v>
      </c>
      <c r="OW21" s="229">
        <v>0</v>
      </c>
      <c r="OX21" s="229">
        <v>0</v>
      </c>
      <c r="OY21" s="229">
        <v>0</v>
      </c>
      <c r="OZ21" s="229">
        <v>0</v>
      </c>
      <c r="PA21" s="229">
        <v>0</v>
      </c>
      <c r="PB21" s="229">
        <v>0</v>
      </c>
      <c r="PC21" s="229">
        <v>0</v>
      </c>
      <c r="PD21" s="229">
        <v>0</v>
      </c>
      <c r="PE21" s="229">
        <v>0</v>
      </c>
      <c r="PF21" s="229">
        <v>0</v>
      </c>
      <c r="PG21" s="229">
        <v>0</v>
      </c>
      <c r="PH21" s="229">
        <v>0</v>
      </c>
      <c r="PI21" s="229">
        <v>0</v>
      </c>
      <c r="PJ21" s="229">
        <v>0</v>
      </c>
      <c r="PK21" s="229">
        <v>0</v>
      </c>
      <c r="PL21" s="229">
        <v>0</v>
      </c>
      <c r="PM21" s="229">
        <v>0</v>
      </c>
      <c r="PN21" s="229">
        <v>0</v>
      </c>
      <c r="PO21" s="229">
        <v>0</v>
      </c>
      <c r="PP21" s="229">
        <v>0</v>
      </c>
      <c r="PQ21" s="229">
        <v>0</v>
      </c>
      <c r="PR21" s="229">
        <v>0</v>
      </c>
      <c r="PS21" s="229">
        <v>0</v>
      </c>
      <c r="PT21" s="229">
        <v>0</v>
      </c>
      <c r="PU21" s="229">
        <v>0</v>
      </c>
      <c r="PV21" s="229">
        <v>0</v>
      </c>
      <c r="PW21" s="229">
        <v>0</v>
      </c>
      <c r="PX21" s="229">
        <v>0</v>
      </c>
      <c r="PY21" s="229">
        <v>0</v>
      </c>
      <c r="PZ21" s="229">
        <v>0</v>
      </c>
      <c r="QA21" s="229">
        <v>0</v>
      </c>
      <c r="QB21" s="229">
        <v>0</v>
      </c>
      <c r="QC21" s="229">
        <v>0</v>
      </c>
      <c r="QD21" s="229">
        <v>0</v>
      </c>
      <c r="QE21" s="229">
        <v>0</v>
      </c>
      <c r="QF21" s="229">
        <v>0</v>
      </c>
      <c r="QG21" s="229">
        <v>0</v>
      </c>
      <c r="QH21" s="229">
        <v>0</v>
      </c>
      <c r="QI21" s="229">
        <v>0</v>
      </c>
      <c r="QJ21" s="229">
        <v>0</v>
      </c>
      <c r="QK21" s="229">
        <v>0</v>
      </c>
      <c r="QL21" s="229">
        <v>0</v>
      </c>
      <c r="QM21" s="229">
        <v>0</v>
      </c>
      <c r="QN21" s="229">
        <v>0</v>
      </c>
      <c r="QO21" s="229">
        <v>0</v>
      </c>
      <c r="QP21" s="229">
        <v>0</v>
      </c>
      <c r="QQ21" s="229">
        <v>0</v>
      </c>
      <c r="QR21" s="229">
        <v>0</v>
      </c>
      <c r="QS21" s="229">
        <v>0</v>
      </c>
      <c r="QT21" s="229">
        <v>0</v>
      </c>
      <c r="QU21" s="229">
        <v>0</v>
      </c>
      <c r="QV21" s="229">
        <v>0</v>
      </c>
      <c r="QW21" s="229">
        <v>0</v>
      </c>
      <c r="QX21" s="229">
        <v>0</v>
      </c>
      <c r="QY21" s="229">
        <v>0</v>
      </c>
      <c r="QZ21" s="229">
        <v>0</v>
      </c>
      <c r="RA21" s="229">
        <v>0</v>
      </c>
      <c r="RB21" s="229">
        <v>0</v>
      </c>
      <c r="RC21" s="229">
        <v>0</v>
      </c>
      <c r="RD21" s="229">
        <v>0</v>
      </c>
      <c r="RE21" s="229">
        <v>0</v>
      </c>
      <c r="RF21" s="229">
        <v>0</v>
      </c>
      <c r="RG21" s="229">
        <v>0</v>
      </c>
      <c r="RH21" s="229">
        <v>0</v>
      </c>
      <c r="RI21" s="229">
        <v>0</v>
      </c>
      <c r="RJ21" s="229">
        <v>0</v>
      </c>
      <c r="RK21" s="229">
        <v>0</v>
      </c>
      <c r="RL21" s="229">
        <v>0</v>
      </c>
      <c r="RM21" s="229">
        <v>0</v>
      </c>
      <c r="RN21" s="229">
        <v>0</v>
      </c>
      <c r="RO21" s="229">
        <v>0</v>
      </c>
      <c r="RP21" s="229">
        <v>0</v>
      </c>
      <c r="RQ21" s="229">
        <v>0</v>
      </c>
      <c r="RR21" s="229">
        <v>0</v>
      </c>
      <c r="RS21" s="229">
        <v>0</v>
      </c>
      <c r="RT21" s="229">
        <v>0</v>
      </c>
      <c r="RU21" s="229">
        <v>0</v>
      </c>
      <c r="RV21" s="229">
        <v>0</v>
      </c>
      <c r="RW21" s="229">
        <v>0</v>
      </c>
      <c r="RX21" s="229">
        <v>0</v>
      </c>
      <c r="RY21" s="229">
        <v>0</v>
      </c>
      <c r="RZ21" s="229">
        <v>0</v>
      </c>
      <c r="SA21" s="229">
        <v>0</v>
      </c>
      <c r="SB21" s="229">
        <v>0</v>
      </c>
      <c r="SC21" s="229">
        <v>0</v>
      </c>
      <c r="SD21" s="229">
        <v>0</v>
      </c>
      <c r="SE21" s="229">
        <v>0</v>
      </c>
      <c r="SF21" s="229">
        <v>0</v>
      </c>
      <c r="SG21" s="229">
        <v>0</v>
      </c>
      <c r="SH21" s="229">
        <v>0</v>
      </c>
      <c r="SI21" s="229">
        <v>0</v>
      </c>
      <c r="SJ21" s="229">
        <v>0</v>
      </c>
      <c r="SK21" s="229">
        <v>0</v>
      </c>
      <c r="SL21" s="229">
        <v>0</v>
      </c>
      <c r="SM21" s="229">
        <v>0</v>
      </c>
      <c r="SN21" s="229">
        <v>0</v>
      </c>
      <c r="SO21" s="229">
        <v>0</v>
      </c>
      <c r="SP21" s="229">
        <v>0</v>
      </c>
      <c r="SQ21" s="229">
        <v>0</v>
      </c>
      <c r="SR21" s="229">
        <v>0</v>
      </c>
      <c r="SS21" s="229">
        <v>0</v>
      </c>
      <c r="ST21" s="229">
        <v>0</v>
      </c>
      <c r="SU21" s="229">
        <v>0</v>
      </c>
      <c r="SV21" s="229">
        <v>0</v>
      </c>
      <c r="SW21" s="229">
        <v>0</v>
      </c>
      <c r="SX21" s="229">
        <v>0</v>
      </c>
      <c r="SY21" s="229">
        <v>0</v>
      </c>
      <c r="SZ21" s="229">
        <v>0</v>
      </c>
      <c r="TA21" s="229">
        <v>0</v>
      </c>
      <c r="TB21" s="229">
        <v>0</v>
      </c>
      <c r="TC21" s="229">
        <v>0</v>
      </c>
      <c r="TD21" s="229">
        <v>0</v>
      </c>
      <c r="TE21" s="229">
        <v>0</v>
      </c>
      <c r="TF21" s="229">
        <v>0</v>
      </c>
      <c r="TG21" s="229">
        <v>0</v>
      </c>
      <c r="TH21" s="229">
        <v>0</v>
      </c>
      <c r="TI21" s="229">
        <v>0</v>
      </c>
      <c r="TJ21" s="229">
        <v>0</v>
      </c>
      <c r="TK21" s="229">
        <v>0</v>
      </c>
      <c r="TL21" s="229">
        <v>0</v>
      </c>
      <c r="TM21" s="229">
        <v>0</v>
      </c>
      <c r="TN21" s="229">
        <v>0</v>
      </c>
      <c r="TO21" s="229">
        <v>0</v>
      </c>
      <c r="TP21" s="229">
        <v>0</v>
      </c>
      <c r="TQ21" s="229">
        <v>0</v>
      </c>
      <c r="TR21" s="229">
        <v>0</v>
      </c>
      <c r="TS21" s="229">
        <v>0</v>
      </c>
      <c r="TT21" s="229">
        <v>0</v>
      </c>
      <c r="TU21" s="229">
        <v>0</v>
      </c>
      <c r="TV21" s="229">
        <v>0</v>
      </c>
      <c r="TW21" s="229">
        <v>0</v>
      </c>
      <c r="TX21" s="229">
        <v>0</v>
      </c>
      <c r="TY21" s="229">
        <v>0</v>
      </c>
      <c r="TZ21" s="229">
        <v>0</v>
      </c>
      <c r="UA21" s="229">
        <v>0</v>
      </c>
      <c r="UB21" s="229">
        <v>0</v>
      </c>
      <c r="UC21" s="229">
        <v>0</v>
      </c>
      <c r="UD21" s="229">
        <v>0</v>
      </c>
      <c r="UE21" s="229">
        <v>0</v>
      </c>
      <c r="UF21" s="229">
        <v>0</v>
      </c>
      <c r="UG21" s="229">
        <v>0</v>
      </c>
      <c r="UH21" s="229">
        <v>0</v>
      </c>
      <c r="UI21" s="229">
        <v>0</v>
      </c>
      <c r="UJ21" s="229">
        <v>0</v>
      </c>
      <c r="UK21" s="229">
        <v>0</v>
      </c>
      <c r="UL21" s="229">
        <v>0</v>
      </c>
      <c r="UM21" s="229">
        <v>0</v>
      </c>
      <c r="UN21" s="229">
        <v>0</v>
      </c>
      <c r="UO21" s="229">
        <v>0</v>
      </c>
      <c r="UP21" s="229">
        <v>0</v>
      </c>
      <c r="UQ21" s="229">
        <v>0</v>
      </c>
      <c r="UR21" s="229">
        <v>0</v>
      </c>
      <c r="US21" s="229">
        <v>0</v>
      </c>
      <c r="UT21" s="229">
        <v>0</v>
      </c>
      <c r="UU21" s="229">
        <v>0</v>
      </c>
      <c r="UV21" s="229">
        <v>0</v>
      </c>
      <c r="UW21" s="229">
        <v>0</v>
      </c>
      <c r="UX21" s="229">
        <v>0</v>
      </c>
      <c r="UY21" s="229">
        <v>0</v>
      </c>
      <c r="UZ21" s="229">
        <v>0</v>
      </c>
      <c r="VA21" s="229">
        <v>0</v>
      </c>
      <c r="VB21" s="229">
        <v>0</v>
      </c>
      <c r="VC21" s="229">
        <v>0</v>
      </c>
      <c r="VD21" s="229">
        <v>0</v>
      </c>
      <c r="VE21" s="229">
        <v>0</v>
      </c>
      <c r="VF21" s="229">
        <v>0</v>
      </c>
      <c r="VG21" s="229">
        <v>0</v>
      </c>
      <c r="VH21" s="229">
        <v>0</v>
      </c>
      <c r="VI21" s="229">
        <v>0</v>
      </c>
      <c r="VJ21" s="229">
        <v>0</v>
      </c>
      <c r="VK21" s="229">
        <v>0</v>
      </c>
      <c r="VL21" s="229">
        <v>0</v>
      </c>
      <c r="VM21" s="229">
        <v>0</v>
      </c>
      <c r="VN21" s="229">
        <v>0</v>
      </c>
      <c r="VO21" s="229">
        <v>0</v>
      </c>
      <c r="VP21" s="229">
        <v>0</v>
      </c>
      <c r="VQ21" s="229">
        <v>0</v>
      </c>
      <c r="VR21" s="229">
        <v>0</v>
      </c>
      <c r="VS21" s="229">
        <v>0</v>
      </c>
      <c r="VT21" s="229">
        <v>0</v>
      </c>
      <c r="VU21" s="229">
        <v>0</v>
      </c>
      <c r="VV21" s="229">
        <v>0</v>
      </c>
      <c r="VW21" s="229">
        <v>0</v>
      </c>
      <c r="VX21" s="229">
        <v>0</v>
      </c>
      <c r="VY21" s="229">
        <v>0</v>
      </c>
      <c r="VZ21" s="229">
        <v>0</v>
      </c>
      <c r="WA21" s="229">
        <v>0</v>
      </c>
      <c r="WB21" s="229">
        <v>0</v>
      </c>
      <c r="WC21" s="229">
        <v>0</v>
      </c>
      <c r="WD21" s="229">
        <v>0</v>
      </c>
      <c r="WE21" s="229">
        <v>0</v>
      </c>
      <c r="WF21" s="229">
        <v>0</v>
      </c>
      <c r="WG21" s="229">
        <v>0</v>
      </c>
      <c r="WH21" s="229">
        <v>0</v>
      </c>
      <c r="WI21" s="229">
        <v>0</v>
      </c>
      <c r="WJ21" s="229">
        <v>0</v>
      </c>
      <c r="WK21" s="229">
        <v>0</v>
      </c>
      <c r="WL21" s="229">
        <v>0</v>
      </c>
      <c r="WM21" s="229">
        <v>0</v>
      </c>
      <c r="WN21" s="229">
        <v>0</v>
      </c>
      <c r="WO21" s="229">
        <v>0</v>
      </c>
      <c r="WP21" s="229">
        <v>0</v>
      </c>
      <c r="WQ21" s="229">
        <v>0</v>
      </c>
      <c r="WR21" s="229">
        <v>0</v>
      </c>
      <c r="WS21" s="229">
        <v>0</v>
      </c>
      <c r="WT21" s="229">
        <v>0</v>
      </c>
      <c r="WU21" s="229">
        <v>0</v>
      </c>
      <c r="WV21" s="229">
        <v>0</v>
      </c>
      <c r="WW21" s="229">
        <v>0</v>
      </c>
      <c r="WX21" s="229">
        <v>0</v>
      </c>
      <c r="WY21" s="229">
        <v>0</v>
      </c>
      <c r="WZ21" s="229">
        <v>0</v>
      </c>
      <c r="XA21" s="229">
        <v>0</v>
      </c>
      <c r="XB21" s="229">
        <v>0</v>
      </c>
      <c r="XC21" s="229">
        <v>0</v>
      </c>
      <c r="XD21" s="229">
        <v>0</v>
      </c>
      <c r="XE21" s="229">
        <v>0</v>
      </c>
      <c r="XF21" s="229">
        <v>0</v>
      </c>
      <c r="XG21" s="229">
        <v>0</v>
      </c>
      <c r="XH21" s="229">
        <v>0</v>
      </c>
      <c r="XI21" s="229">
        <v>0</v>
      </c>
      <c r="XJ21" s="229">
        <v>0</v>
      </c>
      <c r="XK21" s="229">
        <v>0</v>
      </c>
      <c r="XL21" s="229">
        <v>0</v>
      </c>
      <c r="XM21" s="229">
        <v>0</v>
      </c>
      <c r="XN21" s="229">
        <v>0</v>
      </c>
      <c r="XO21" s="229">
        <v>0</v>
      </c>
      <c r="XP21" s="229">
        <v>0</v>
      </c>
      <c r="XQ21" s="229">
        <v>0</v>
      </c>
      <c r="XR21" s="229">
        <v>0</v>
      </c>
      <c r="XS21" s="229">
        <v>0</v>
      </c>
      <c r="XT21" s="229">
        <v>0</v>
      </c>
      <c r="XU21" s="229">
        <v>0</v>
      </c>
      <c r="XV21" s="229">
        <v>0</v>
      </c>
      <c r="XW21" s="229">
        <v>0</v>
      </c>
      <c r="XX21" s="229">
        <v>0</v>
      </c>
      <c r="XY21" s="229">
        <v>0</v>
      </c>
      <c r="XZ21" s="229">
        <v>0</v>
      </c>
      <c r="YA21" s="229">
        <v>0</v>
      </c>
      <c r="YB21" s="229">
        <v>0</v>
      </c>
      <c r="YC21" s="229">
        <v>0</v>
      </c>
      <c r="YD21" s="229">
        <v>0</v>
      </c>
      <c r="YE21" s="229">
        <v>0</v>
      </c>
      <c r="YF21" s="229">
        <v>0</v>
      </c>
      <c r="YG21" s="229">
        <v>0</v>
      </c>
      <c r="YH21" s="229">
        <v>0</v>
      </c>
      <c r="YI21" s="229">
        <v>0</v>
      </c>
      <c r="YJ21" s="229">
        <v>0</v>
      </c>
      <c r="YK21" s="229">
        <v>0</v>
      </c>
      <c r="YL21" s="229">
        <v>0</v>
      </c>
      <c r="YM21" s="229">
        <v>0</v>
      </c>
      <c r="YN21" s="229">
        <v>0</v>
      </c>
      <c r="YO21" s="229">
        <v>0</v>
      </c>
      <c r="YP21" s="229">
        <v>0</v>
      </c>
      <c r="YQ21" s="229">
        <v>0</v>
      </c>
      <c r="YR21" s="229">
        <v>0</v>
      </c>
      <c r="YS21" s="229">
        <v>0</v>
      </c>
      <c r="YT21" s="229">
        <v>0</v>
      </c>
      <c r="YU21" s="229">
        <v>0</v>
      </c>
      <c r="YV21" s="229">
        <v>0</v>
      </c>
      <c r="YW21" s="229">
        <v>0</v>
      </c>
      <c r="YX21" s="229">
        <v>0</v>
      </c>
      <c r="YY21" s="229">
        <v>0</v>
      </c>
      <c r="YZ21" s="229">
        <v>0</v>
      </c>
      <c r="ZA21" s="229">
        <v>0</v>
      </c>
      <c r="ZB21" s="229">
        <v>0</v>
      </c>
      <c r="ZC21" s="229">
        <v>0</v>
      </c>
      <c r="ZD21" s="229">
        <v>0</v>
      </c>
      <c r="ZE21" s="229">
        <v>0</v>
      </c>
      <c r="ZF21" s="229">
        <v>0</v>
      </c>
      <c r="ZG21" s="229">
        <v>0</v>
      </c>
      <c r="ZH21" s="229">
        <v>0</v>
      </c>
      <c r="ZI21" s="229">
        <v>0</v>
      </c>
      <c r="ZJ21" s="229">
        <v>0</v>
      </c>
      <c r="ZK21" s="229">
        <v>0</v>
      </c>
      <c r="ZL21" s="229">
        <v>0</v>
      </c>
      <c r="ZM21" s="229">
        <v>0</v>
      </c>
      <c r="ZN21" s="229">
        <v>0</v>
      </c>
      <c r="ZO21" s="229">
        <v>0</v>
      </c>
      <c r="ZP21" s="229">
        <v>0</v>
      </c>
      <c r="ZQ21" s="229">
        <v>0</v>
      </c>
      <c r="ZR21" s="229">
        <v>0</v>
      </c>
      <c r="ZS21" s="229">
        <v>0</v>
      </c>
      <c r="ZT21" s="229">
        <v>0</v>
      </c>
      <c r="ZU21" s="229">
        <v>0</v>
      </c>
      <c r="ZV21" s="229">
        <v>0</v>
      </c>
      <c r="ZW21" s="229">
        <v>0</v>
      </c>
      <c r="ZX21" s="229">
        <v>0</v>
      </c>
      <c r="ZY21" s="229">
        <v>0</v>
      </c>
      <c r="ZZ21" s="229">
        <v>0</v>
      </c>
      <c r="AAA21" s="229">
        <v>0</v>
      </c>
      <c r="AAB21" s="229">
        <v>0</v>
      </c>
      <c r="AAC21" s="229">
        <v>0</v>
      </c>
      <c r="AAD21" s="229">
        <v>0</v>
      </c>
      <c r="AAE21" s="229">
        <v>0</v>
      </c>
      <c r="AAF21" s="229">
        <v>0</v>
      </c>
      <c r="AAG21" s="229">
        <v>0</v>
      </c>
      <c r="AAH21" s="229">
        <v>0</v>
      </c>
      <c r="AAI21" s="229">
        <v>0</v>
      </c>
      <c r="AAJ21" s="229">
        <v>0</v>
      </c>
      <c r="AAK21" s="229">
        <v>0</v>
      </c>
      <c r="AAL21" s="229">
        <v>0</v>
      </c>
      <c r="AAM21" s="229">
        <v>0</v>
      </c>
      <c r="AAN21" s="229">
        <v>0</v>
      </c>
      <c r="AAO21" s="229">
        <v>0</v>
      </c>
      <c r="AAP21" s="229">
        <v>0</v>
      </c>
      <c r="AAQ21" s="229">
        <v>0</v>
      </c>
      <c r="AAR21" s="229">
        <v>0</v>
      </c>
      <c r="AAS21" s="229">
        <v>0</v>
      </c>
      <c r="AAT21" s="229">
        <v>0</v>
      </c>
      <c r="AAU21" s="229">
        <v>0</v>
      </c>
      <c r="AAV21" s="229">
        <v>0</v>
      </c>
      <c r="AAW21" s="229">
        <v>0</v>
      </c>
      <c r="AAX21" s="229">
        <v>0</v>
      </c>
      <c r="AAY21" s="229">
        <v>0</v>
      </c>
      <c r="AAZ21" s="229">
        <v>0</v>
      </c>
      <c r="ABA21" s="229">
        <v>0</v>
      </c>
      <c r="ABB21" s="229">
        <v>0</v>
      </c>
      <c r="ABC21" s="229">
        <v>0</v>
      </c>
      <c r="ABD21" s="229">
        <v>0</v>
      </c>
      <c r="ABE21" s="229">
        <v>0</v>
      </c>
      <c r="ABF21" s="229">
        <v>0</v>
      </c>
      <c r="ABG21" s="229">
        <v>0</v>
      </c>
      <c r="ABH21" s="229">
        <v>0</v>
      </c>
      <c r="ABI21" s="229">
        <v>0</v>
      </c>
      <c r="ABJ21" s="229">
        <v>0</v>
      </c>
      <c r="ABK21" s="229">
        <v>0</v>
      </c>
      <c r="ABL21" s="229">
        <v>0</v>
      </c>
      <c r="ABM21" s="229">
        <v>0</v>
      </c>
      <c r="ABN21" s="229">
        <v>0</v>
      </c>
      <c r="ABO21" s="229">
        <v>0</v>
      </c>
      <c r="ABP21" s="229">
        <v>0</v>
      </c>
      <c r="ABQ21" s="229">
        <v>0</v>
      </c>
      <c r="ABR21" s="229">
        <v>0</v>
      </c>
      <c r="ABS21" s="229">
        <v>0</v>
      </c>
      <c r="ABT21" s="229">
        <v>0</v>
      </c>
      <c r="ABU21" s="229">
        <v>0</v>
      </c>
      <c r="ABV21" s="229">
        <v>0</v>
      </c>
      <c r="ABW21" s="229">
        <v>0</v>
      </c>
      <c r="ABX21" s="229">
        <v>0</v>
      </c>
      <c r="ABY21" s="229">
        <v>0</v>
      </c>
      <c r="ABZ21" s="229">
        <v>0</v>
      </c>
      <c r="ACA21" s="229">
        <v>0</v>
      </c>
      <c r="ACB21" s="229">
        <v>0</v>
      </c>
      <c r="ACC21" s="229">
        <v>0</v>
      </c>
      <c r="ACD21" s="229">
        <v>0</v>
      </c>
      <c r="ACE21" s="229">
        <v>0</v>
      </c>
      <c r="ACF21" s="229">
        <v>0</v>
      </c>
      <c r="ACG21" s="229">
        <v>0</v>
      </c>
      <c r="ACH21" s="229">
        <v>0</v>
      </c>
      <c r="ACI21" s="229">
        <v>0</v>
      </c>
      <c r="ACJ21" s="229">
        <v>0</v>
      </c>
      <c r="ACK21" s="229">
        <v>0</v>
      </c>
      <c r="ACL21" s="229">
        <v>0</v>
      </c>
      <c r="ACM21" s="229">
        <v>0</v>
      </c>
      <c r="ACN21" s="229">
        <v>0</v>
      </c>
      <c r="ACO21" s="229">
        <v>0</v>
      </c>
      <c r="ACP21" s="229">
        <v>0</v>
      </c>
      <c r="ACQ21" s="229">
        <v>0</v>
      </c>
      <c r="ACR21" s="229">
        <v>0</v>
      </c>
      <c r="ACS21" s="229">
        <v>0</v>
      </c>
      <c r="ACT21" s="229">
        <v>0</v>
      </c>
      <c r="ACU21" s="229">
        <v>0</v>
      </c>
      <c r="ACV21" s="229">
        <v>0</v>
      </c>
      <c r="ACW21" s="229">
        <v>0</v>
      </c>
      <c r="ACX21" s="229">
        <v>0</v>
      </c>
      <c r="ACY21" s="229">
        <v>0</v>
      </c>
      <c r="ACZ21" s="229">
        <v>0</v>
      </c>
      <c r="ADA21" s="229">
        <v>0</v>
      </c>
      <c r="ADB21" s="229">
        <v>0</v>
      </c>
      <c r="ADC21" s="229">
        <v>0</v>
      </c>
      <c r="ADD21" s="229">
        <v>0</v>
      </c>
      <c r="ADE21" s="229">
        <v>0</v>
      </c>
      <c r="ADF21" s="229">
        <v>0</v>
      </c>
      <c r="ADG21" s="229">
        <v>0</v>
      </c>
      <c r="ADH21" s="229">
        <v>0</v>
      </c>
      <c r="ADI21" s="229">
        <v>0</v>
      </c>
      <c r="ADJ21" s="229">
        <v>0</v>
      </c>
      <c r="ADK21" s="229">
        <v>0</v>
      </c>
      <c r="ADL21" s="229">
        <v>0</v>
      </c>
      <c r="ADM21" s="229">
        <v>0</v>
      </c>
      <c r="ADN21" s="229">
        <v>0</v>
      </c>
      <c r="ADO21" s="229">
        <v>0</v>
      </c>
      <c r="ADP21" s="229">
        <v>0</v>
      </c>
      <c r="ADQ21" s="229">
        <v>0</v>
      </c>
      <c r="ADR21" s="229">
        <v>0</v>
      </c>
      <c r="ADS21" s="229">
        <v>0</v>
      </c>
      <c r="ADT21" s="229">
        <v>0</v>
      </c>
      <c r="ADU21" s="229">
        <v>0</v>
      </c>
      <c r="ADV21" s="229">
        <v>0</v>
      </c>
      <c r="ADW21" s="229">
        <v>0</v>
      </c>
      <c r="ADX21" s="229">
        <v>0</v>
      </c>
      <c r="ADY21" s="229">
        <v>0</v>
      </c>
      <c r="ADZ21" s="229">
        <v>0</v>
      </c>
      <c r="AEA21" s="229">
        <v>0</v>
      </c>
      <c r="AEB21" s="229">
        <v>0</v>
      </c>
      <c r="AEC21" s="229">
        <v>0</v>
      </c>
      <c r="AED21" s="229">
        <v>0</v>
      </c>
      <c r="AEE21" s="229">
        <v>0</v>
      </c>
      <c r="AEF21" s="229">
        <v>0</v>
      </c>
      <c r="AEG21" s="229">
        <v>0</v>
      </c>
      <c r="AEH21" s="229">
        <v>0</v>
      </c>
      <c r="AEI21" s="229">
        <v>0</v>
      </c>
      <c r="AEJ21" s="229">
        <v>0</v>
      </c>
      <c r="AEK21" s="229">
        <v>0</v>
      </c>
      <c r="AEL21" s="229">
        <v>0</v>
      </c>
      <c r="AEM21" s="229">
        <v>0</v>
      </c>
      <c r="AEN21" s="229">
        <v>0</v>
      </c>
      <c r="AEO21" s="229">
        <v>0</v>
      </c>
      <c r="AEP21" s="229">
        <v>0</v>
      </c>
      <c r="AEQ21" s="229">
        <v>0</v>
      </c>
      <c r="AER21" s="229">
        <v>0</v>
      </c>
      <c r="AES21" s="229">
        <v>0</v>
      </c>
      <c r="AET21" s="229">
        <v>0</v>
      </c>
      <c r="AEU21" s="229">
        <v>0</v>
      </c>
      <c r="AEV21" s="229">
        <v>0</v>
      </c>
      <c r="AEW21" s="229">
        <v>0</v>
      </c>
      <c r="AEX21" s="229">
        <v>0</v>
      </c>
      <c r="AEY21" s="229">
        <v>0</v>
      </c>
      <c r="AEZ21" s="229">
        <v>0</v>
      </c>
      <c r="AFA21" s="229">
        <v>0</v>
      </c>
      <c r="AFB21" s="229">
        <v>0</v>
      </c>
      <c r="AFC21" s="229">
        <v>0</v>
      </c>
      <c r="AFD21" s="229">
        <v>0</v>
      </c>
      <c r="AFE21" s="229">
        <v>0</v>
      </c>
      <c r="AFF21" s="229">
        <v>0</v>
      </c>
      <c r="AFG21" s="229">
        <v>0</v>
      </c>
      <c r="AFH21" s="229">
        <v>0</v>
      </c>
      <c r="AFI21" s="229">
        <v>0</v>
      </c>
      <c r="AFJ21" s="229">
        <v>0</v>
      </c>
      <c r="AFK21" s="229">
        <v>0</v>
      </c>
      <c r="AFL21" s="229">
        <v>0</v>
      </c>
      <c r="AFM21" s="229">
        <v>0</v>
      </c>
      <c r="AFN21" s="229">
        <v>0</v>
      </c>
      <c r="AFO21" s="229">
        <v>0</v>
      </c>
      <c r="AFP21" s="229">
        <v>0</v>
      </c>
      <c r="AFQ21" s="229">
        <v>0</v>
      </c>
      <c r="AFR21" s="229">
        <v>0</v>
      </c>
      <c r="AFS21" s="229">
        <v>0</v>
      </c>
      <c r="AFT21" s="229">
        <v>0</v>
      </c>
      <c r="AFU21" s="229">
        <v>0</v>
      </c>
      <c r="AFV21" s="229">
        <v>0</v>
      </c>
      <c r="AFW21" s="229">
        <v>0</v>
      </c>
      <c r="AFX21" s="229">
        <v>0</v>
      </c>
      <c r="AFY21" s="229">
        <v>0</v>
      </c>
      <c r="AFZ21" s="229">
        <v>0</v>
      </c>
      <c r="AGA21" s="229">
        <v>0</v>
      </c>
      <c r="AGB21" s="229">
        <v>0</v>
      </c>
      <c r="AGC21" s="229">
        <v>0</v>
      </c>
      <c r="AGD21" s="229">
        <v>0</v>
      </c>
      <c r="AGE21" s="229">
        <v>0</v>
      </c>
      <c r="AGF21" s="229">
        <v>0</v>
      </c>
      <c r="AGG21" s="229">
        <v>0</v>
      </c>
      <c r="AGH21" s="229">
        <v>0</v>
      </c>
      <c r="AGI21" s="229">
        <v>0</v>
      </c>
      <c r="AGJ21" s="229">
        <v>0</v>
      </c>
      <c r="AGK21" s="229">
        <v>0</v>
      </c>
      <c r="AGL21" s="229">
        <v>0</v>
      </c>
      <c r="AGM21" s="229">
        <v>0</v>
      </c>
      <c r="AGN21" s="229">
        <v>0</v>
      </c>
      <c r="AGO21" s="229">
        <v>0</v>
      </c>
      <c r="AGP21" s="229">
        <v>0</v>
      </c>
      <c r="AGQ21" s="229">
        <v>0</v>
      </c>
      <c r="AGR21" s="229">
        <v>0</v>
      </c>
      <c r="AGS21" s="229">
        <v>0</v>
      </c>
      <c r="AGT21" s="229">
        <v>0</v>
      </c>
      <c r="AGU21" s="229">
        <v>0</v>
      </c>
      <c r="AGV21" s="229">
        <v>0</v>
      </c>
      <c r="AGW21" s="229">
        <v>0</v>
      </c>
      <c r="AGX21" s="229">
        <v>0</v>
      </c>
      <c r="AGY21" s="229">
        <v>0</v>
      </c>
      <c r="AGZ21" s="229">
        <v>0</v>
      </c>
      <c r="AHA21" s="229">
        <v>0</v>
      </c>
      <c r="AHB21" s="229">
        <v>0</v>
      </c>
      <c r="AHC21" s="229">
        <v>0</v>
      </c>
      <c r="AHD21" s="229">
        <v>0</v>
      </c>
      <c r="AHE21" s="229">
        <v>0</v>
      </c>
      <c r="AHF21" s="229">
        <v>0</v>
      </c>
      <c r="AHG21" s="229">
        <v>0</v>
      </c>
      <c r="AHH21" s="229">
        <v>0</v>
      </c>
      <c r="AHI21" s="229">
        <v>0</v>
      </c>
      <c r="AHJ21" s="229">
        <v>0</v>
      </c>
      <c r="AHK21" s="229">
        <v>0</v>
      </c>
      <c r="AHL21" s="229">
        <v>0</v>
      </c>
      <c r="AHM21" s="229">
        <v>0</v>
      </c>
      <c r="AHN21" s="229">
        <v>0</v>
      </c>
      <c r="AHO21" s="229">
        <v>0</v>
      </c>
      <c r="AHP21" s="229">
        <v>0</v>
      </c>
      <c r="AHQ21" s="229">
        <v>0</v>
      </c>
      <c r="AHR21" s="229">
        <v>0</v>
      </c>
      <c r="AHS21" s="229">
        <v>0</v>
      </c>
      <c r="AHT21" s="229">
        <v>0</v>
      </c>
      <c r="AHU21" s="229">
        <v>0</v>
      </c>
      <c r="AHV21" s="229">
        <v>0</v>
      </c>
      <c r="AHW21" s="229">
        <v>0</v>
      </c>
      <c r="AHX21" s="229">
        <v>0</v>
      </c>
      <c r="AHY21" s="229">
        <v>0</v>
      </c>
      <c r="AHZ21" s="229">
        <v>0</v>
      </c>
      <c r="AIA21" s="229">
        <v>0</v>
      </c>
      <c r="AIB21" s="229">
        <v>0</v>
      </c>
      <c r="AIC21" s="229">
        <v>0</v>
      </c>
      <c r="AID21" s="229">
        <v>0</v>
      </c>
      <c r="AIE21" s="229">
        <v>0</v>
      </c>
      <c r="AIF21" s="229">
        <v>0</v>
      </c>
      <c r="AIG21" s="229">
        <v>0</v>
      </c>
      <c r="AIH21" s="229">
        <v>0</v>
      </c>
      <c r="AII21" s="229">
        <v>0</v>
      </c>
      <c r="AIJ21" s="229">
        <v>0</v>
      </c>
      <c r="AIK21" s="229">
        <v>0</v>
      </c>
      <c r="AIL21" s="229">
        <v>0</v>
      </c>
      <c r="AIM21" s="229">
        <v>0</v>
      </c>
      <c r="AIN21" s="229">
        <v>0</v>
      </c>
      <c r="AIO21" s="229">
        <v>0</v>
      </c>
      <c r="AIP21" s="229">
        <v>0</v>
      </c>
      <c r="AIQ21" s="229">
        <v>0</v>
      </c>
      <c r="AIR21" s="229">
        <v>0</v>
      </c>
      <c r="AIS21" s="229">
        <v>0</v>
      </c>
      <c r="AIT21" s="229">
        <v>0</v>
      </c>
      <c r="AIU21" s="229">
        <v>0</v>
      </c>
      <c r="AIV21" s="229">
        <v>0</v>
      </c>
      <c r="AIW21" s="229">
        <v>0</v>
      </c>
      <c r="AIX21" s="229">
        <v>0</v>
      </c>
      <c r="AIY21" s="229">
        <v>0</v>
      </c>
      <c r="AIZ21" s="229">
        <v>0</v>
      </c>
      <c r="AJA21" s="229">
        <v>0</v>
      </c>
      <c r="AJB21" s="229">
        <v>0</v>
      </c>
      <c r="AJC21" s="229">
        <v>0</v>
      </c>
      <c r="AJD21" s="229">
        <v>0</v>
      </c>
      <c r="AJE21" s="229">
        <v>0</v>
      </c>
      <c r="AJF21" s="229">
        <v>0</v>
      </c>
      <c r="AJG21" s="229">
        <v>0</v>
      </c>
      <c r="AJH21" s="229">
        <v>0</v>
      </c>
      <c r="AJI21" s="229">
        <v>0</v>
      </c>
      <c r="AJJ21" s="229">
        <v>0</v>
      </c>
      <c r="AJK21" s="229">
        <v>0</v>
      </c>
      <c r="AJL21" s="229">
        <v>0</v>
      </c>
      <c r="AJM21" s="229">
        <v>0</v>
      </c>
      <c r="AJN21" s="229">
        <v>0</v>
      </c>
      <c r="AJO21" s="229">
        <v>0</v>
      </c>
      <c r="AJP21" s="229">
        <v>0</v>
      </c>
      <c r="AJQ21" s="229">
        <v>0</v>
      </c>
      <c r="AJR21" s="229">
        <v>0</v>
      </c>
      <c r="AJS21" s="229">
        <v>0</v>
      </c>
      <c r="AJT21" s="229">
        <v>0</v>
      </c>
      <c r="AJU21" s="229">
        <v>0</v>
      </c>
      <c r="AJV21" s="229">
        <v>0</v>
      </c>
      <c r="AJW21" s="229">
        <v>0</v>
      </c>
      <c r="AJX21" s="229">
        <v>0</v>
      </c>
      <c r="AJY21" s="229">
        <v>0</v>
      </c>
      <c r="AJZ21" s="229">
        <v>0</v>
      </c>
      <c r="AKA21" s="229">
        <v>0</v>
      </c>
      <c r="AKB21" s="229">
        <v>0</v>
      </c>
      <c r="AKC21" s="229">
        <v>0</v>
      </c>
      <c r="AKD21" s="229">
        <v>0</v>
      </c>
      <c r="AKE21" s="229">
        <v>0</v>
      </c>
      <c r="AKF21" s="229">
        <v>0</v>
      </c>
      <c r="AKG21" s="229">
        <v>0</v>
      </c>
      <c r="AKH21" s="229">
        <v>0</v>
      </c>
      <c r="AKI21" s="229">
        <v>0</v>
      </c>
      <c r="AKJ21" s="229">
        <v>0</v>
      </c>
      <c r="AKK21" s="229">
        <v>0</v>
      </c>
      <c r="AKL21" s="229">
        <v>0</v>
      </c>
      <c r="AKM21" s="229">
        <v>0</v>
      </c>
      <c r="AKN21" s="229">
        <v>0</v>
      </c>
      <c r="AKO21" s="229">
        <v>0</v>
      </c>
      <c r="AKP21" s="229">
        <v>0</v>
      </c>
      <c r="AKQ21" s="229">
        <v>0</v>
      </c>
      <c r="AKR21" s="229">
        <v>0</v>
      </c>
      <c r="AKS21" s="229">
        <v>0</v>
      </c>
      <c r="AKT21" s="229">
        <v>0</v>
      </c>
      <c r="AKU21" s="229">
        <v>0</v>
      </c>
      <c r="AKV21" s="229">
        <v>0</v>
      </c>
      <c r="AKW21" s="229">
        <v>0</v>
      </c>
      <c r="AKX21" s="229">
        <v>0</v>
      </c>
      <c r="AKY21" s="229">
        <v>0</v>
      </c>
      <c r="AKZ21" s="229">
        <v>0</v>
      </c>
      <c r="ALA21" s="229">
        <v>0</v>
      </c>
      <c r="ALB21" s="229">
        <v>0</v>
      </c>
      <c r="ALC21" s="229">
        <v>0</v>
      </c>
      <c r="ALD21" s="229">
        <v>0</v>
      </c>
      <c r="ALE21" s="229">
        <v>0</v>
      </c>
      <c r="ALF21" s="229">
        <v>0</v>
      </c>
      <c r="ALG21" s="229">
        <v>0</v>
      </c>
      <c r="ALH21" s="229">
        <v>0</v>
      </c>
      <c r="ALI21" s="229">
        <v>0</v>
      </c>
      <c r="ALJ21" s="229">
        <v>0</v>
      </c>
      <c r="ALK21" s="229">
        <v>0</v>
      </c>
      <c r="ALL21" s="229">
        <v>0</v>
      </c>
      <c r="ALM21" s="229">
        <v>0</v>
      </c>
      <c r="ALN21" s="229">
        <v>0</v>
      </c>
      <c r="ALO21" s="229">
        <v>0</v>
      </c>
      <c r="ALP21" s="229">
        <v>0</v>
      </c>
      <c r="ALQ21" s="229">
        <v>0</v>
      </c>
      <c r="ALR21" s="229">
        <v>0</v>
      </c>
      <c r="ALS21" s="229">
        <v>0</v>
      </c>
      <c r="ALT21" s="229">
        <v>0</v>
      </c>
      <c r="ALU21" s="229">
        <v>0</v>
      </c>
      <c r="ALV21" s="229">
        <v>0</v>
      </c>
      <c r="ALW21" s="229">
        <v>0</v>
      </c>
      <c r="ALX21" s="229">
        <v>0</v>
      </c>
      <c r="ALY21" s="229">
        <v>0</v>
      </c>
      <c r="ALZ21" s="229">
        <v>0</v>
      </c>
      <c r="AMA21" s="229">
        <v>0</v>
      </c>
      <c r="AMB21" s="229">
        <v>0</v>
      </c>
      <c r="AMC21" s="229">
        <v>0</v>
      </c>
      <c r="AMD21" s="229">
        <v>0</v>
      </c>
      <c r="AME21" s="229">
        <v>0</v>
      </c>
      <c r="AMF21" s="229">
        <v>0</v>
      </c>
      <c r="AMG21" s="229">
        <v>0</v>
      </c>
      <c r="AMH21" s="229">
        <v>0</v>
      </c>
      <c r="AMI21" s="229">
        <v>0</v>
      </c>
      <c r="AMJ21" s="229">
        <v>0</v>
      </c>
      <c r="AMK21" s="229">
        <v>0</v>
      </c>
      <c r="AML21" s="229">
        <v>0</v>
      </c>
      <c r="AMM21" s="229">
        <v>0</v>
      </c>
      <c r="AMN21" s="229">
        <v>0</v>
      </c>
      <c r="AMO21" s="229">
        <v>0</v>
      </c>
      <c r="AMP21" s="229">
        <v>0</v>
      </c>
      <c r="AMQ21" s="229">
        <v>0</v>
      </c>
      <c r="AMR21" s="229">
        <v>0</v>
      </c>
      <c r="AMS21" s="229">
        <v>0</v>
      </c>
      <c r="AMT21" s="229">
        <v>0</v>
      </c>
      <c r="AMU21" s="229">
        <v>0</v>
      </c>
      <c r="AMV21" s="229">
        <v>0</v>
      </c>
      <c r="AMW21" s="229">
        <v>0</v>
      </c>
      <c r="AMX21" s="229">
        <v>0</v>
      </c>
      <c r="AMY21" s="229">
        <v>0</v>
      </c>
      <c r="AMZ21" s="229">
        <v>0</v>
      </c>
      <c r="ANA21" s="229">
        <v>0</v>
      </c>
      <c r="ANB21" s="229">
        <v>0</v>
      </c>
      <c r="ANC21" s="229">
        <v>0</v>
      </c>
      <c r="AND21" s="229">
        <v>0</v>
      </c>
      <c r="ANE21" s="229">
        <v>0</v>
      </c>
      <c r="ANF21" s="229">
        <v>0</v>
      </c>
      <c r="ANG21" s="229">
        <v>0</v>
      </c>
      <c r="ANH21" s="229">
        <v>0</v>
      </c>
      <c r="ANI21" s="229">
        <v>0</v>
      </c>
      <c r="ANJ21" s="229">
        <v>0</v>
      </c>
      <c r="ANK21" s="229">
        <v>0</v>
      </c>
      <c r="ANL21" s="229">
        <v>0</v>
      </c>
      <c r="ANM21" s="229">
        <v>0</v>
      </c>
      <c r="ANN21" s="229">
        <v>0</v>
      </c>
      <c r="ANO21" s="229">
        <v>0</v>
      </c>
      <c r="ANP21" s="229">
        <v>0</v>
      </c>
      <c r="ANQ21" s="229">
        <v>0</v>
      </c>
      <c r="ANR21" s="229">
        <v>0</v>
      </c>
      <c r="ANS21" s="229">
        <v>0</v>
      </c>
      <c r="ANT21" s="229">
        <v>0</v>
      </c>
      <c r="ANU21" s="229">
        <v>0</v>
      </c>
      <c r="ANV21" s="229">
        <v>0</v>
      </c>
      <c r="ANW21" s="229">
        <v>0</v>
      </c>
      <c r="ANX21" s="229">
        <v>0</v>
      </c>
      <c r="ANY21" s="229">
        <v>0</v>
      </c>
      <c r="ANZ21" s="229">
        <v>0</v>
      </c>
      <c r="AOA21" s="229">
        <v>0</v>
      </c>
      <c r="AOB21" s="229">
        <v>0</v>
      </c>
      <c r="AOC21" s="229">
        <v>0</v>
      </c>
      <c r="AOD21" s="229">
        <v>0</v>
      </c>
      <c r="AOE21" s="229">
        <v>0</v>
      </c>
      <c r="AOF21" s="229">
        <v>0</v>
      </c>
      <c r="AOG21" s="229">
        <v>0</v>
      </c>
      <c r="AOH21" s="229">
        <v>0</v>
      </c>
      <c r="AOI21" s="229">
        <v>0</v>
      </c>
      <c r="AOJ21" s="229">
        <v>0</v>
      </c>
      <c r="AOK21" s="229">
        <v>0</v>
      </c>
      <c r="AOL21" s="229">
        <v>0</v>
      </c>
      <c r="AOM21" s="229">
        <v>0</v>
      </c>
      <c r="AON21" s="229">
        <v>0</v>
      </c>
      <c r="AOO21" s="229">
        <v>0</v>
      </c>
      <c r="AOP21" s="229">
        <v>0</v>
      </c>
      <c r="AOQ21" s="229">
        <v>0</v>
      </c>
      <c r="AOR21" s="229">
        <v>0</v>
      </c>
      <c r="AOS21" s="229">
        <v>0</v>
      </c>
      <c r="AOT21" s="229">
        <v>0</v>
      </c>
      <c r="AOU21" s="229">
        <v>0</v>
      </c>
      <c r="AOV21" s="229">
        <v>0</v>
      </c>
      <c r="AOW21" s="229">
        <v>0</v>
      </c>
      <c r="AOX21" s="229">
        <v>0</v>
      </c>
      <c r="AOY21" s="229">
        <v>0</v>
      </c>
      <c r="AOZ21" s="229">
        <v>0</v>
      </c>
      <c r="APA21" s="229">
        <v>0</v>
      </c>
      <c r="APB21" s="229">
        <v>0</v>
      </c>
      <c r="APC21" s="229">
        <v>0</v>
      </c>
      <c r="APD21" s="229">
        <v>0</v>
      </c>
      <c r="APE21" s="229">
        <v>0</v>
      </c>
      <c r="APF21" s="229">
        <v>0</v>
      </c>
      <c r="APG21" s="229">
        <v>0</v>
      </c>
      <c r="APH21" s="229">
        <v>0</v>
      </c>
      <c r="API21" s="229">
        <v>0</v>
      </c>
      <c r="APJ21" s="229">
        <v>0</v>
      </c>
      <c r="APK21" s="229">
        <v>0</v>
      </c>
      <c r="APL21" s="229">
        <v>0</v>
      </c>
      <c r="APM21" s="229">
        <v>0</v>
      </c>
      <c r="APN21" s="229">
        <v>0</v>
      </c>
      <c r="APO21" s="229">
        <v>0</v>
      </c>
      <c r="APP21" s="229">
        <v>0</v>
      </c>
      <c r="APQ21" s="229">
        <v>0</v>
      </c>
      <c r="APR21" s="229">
        <v>0</v>
      </c>
      <c r="APS21" s="229">
        <v>0</v>
      </c>
      <c r="APT21" s="229">
        <v>0</v>
      </c>
      <c r="APU21" s="229">
        <v>0</v>
      </c>
      <c r="APV21" s="229">
        <v>0</v>
      </c>
      <c r="APW21" s="229">
        <v>0</v>
      </c>
      <c r="APX21" s="229">
        <v>0</v>
      </c>
      <c r="APY21" s="229">
        <v>0</v>
      </c>
      <c r="APZ21" s="229">
        <v>0</v>
      </c>
      <c r="AQA21" s="229">
        <v>0</v>
      </c>
      <c r="AQB21" s="229">
        <v>0</v>
      </c>
      <c r="AQC21" s="229">
        <v>0</v>
      </c>
      <c r="AQD21" s="229">
        <v>0</v>
      </c>
      <c r="AQE21" s="229">
        <v>0</v>
      </c>
      <c r="AQF21" s="229">
        <v>0</v>
      </c>
      <c r="AQG21" s="229">
        <v>0</v>
      </c>
      <c r="AQH21" s="229">
        <v>0</v>
      </c>
      <c r="AQI21" s="229">
        <v>0</v>
      </c>
      <c r="AQJ21" s="229">
        <v>0</v>
      </c>
      <c r="AQK21" s="229">
        <v>0</v>
      </c>
      <c r="AQL21" s="229">
        <v>0</v>
      </c>
      <c r="AQM21" s="229">
        <v>0</v>
      </c>
      <c r="AQN21" s="229">
        <v>0</v>
      </c>
      <c r="AQO21" s="229">
        <v>0</v>
      </c>
      <c r="AQP21" s="229">
        <v>0</v>
      </c>
      <c r="AQQ21" s="229">
        <v>0</v>
      </c>
      <c r="AQR21" s="229">
        <v>0</v>
      </c>
      <c r="AQS21" s="229">
        <v>0</v>
      </c>
      <c r="AQT21" s="229">
        <v>0</v>
      </c>
      <c r="AQU21" s="229">
        <v>0</v>
      </c>
      <c r="AQV21" s="229">
        <v>0</v>
      </c>
      <c r="AQW21" s="229">
        <v>0</v>
      </c>
      <c r="AQX21" s="229">
        <v>0</v>
      </c>
      <c r="AQY21" s="229">
        <v>0</v>
      </c>
      <c r="AQZ21" s="229">
        <v>0</v>
      </c>
      <c r="ARA21" s="229">
        <v>0</v>
      </c>
      <c r="ARB21" s="229">
        <v>0</v>
      </c>
      <c r="ARC21" s="229">
        <v>0</v>
      </c>
      <c r="ARD21" s="229">
        <v>0</v>
      </c>
      <c r="ARE21" s="229">
        <v>0</v>
      </c>
      <c r="ARF21" s="229">
        <v>0</v>
      </c>
      <c r="ARG21" s="229">
        <v>0</v>
      </c>
      <c r="ARH21" s="229">
        <v>0</v>
      </c>
      <c r="ARI21" s="229">
        <v>0</v>
      </c>
      <c r="ARJ21" s="229">
        <v>0</v>
      </c>
      <c r="ARK21" s="229">
        <v>0</v>
      </c>
      <c r="ARL21" s="229">
        <v>0</v>
      </c>
      <c r="ARM21" s="229">
        <v>0</v>
      </c>
      <c r="ARN21" s="229">
        <v>0</v>
      </c>
      <c r="ARO21" s="229">
        <v>0</v>
      </c>
      <c r="ARP21" s="229">
        <v>0</v>
      </c>
      <c r="ARQ21" s="229">
        <v>0</v>
      </c>
      <c r="ARR21" s="229">
        <v>0</v>
      </c>
      <c r="ARS21" s="229">
        <v>0</v>
      </c>
      <c r="ART21" s="229">
        <v>0</v>
      </c>
      <c r="ARU21" s="229">
        <v>0</v>
      </c>
      <c r="ARV21" s="229">
        <v>0</v>
      </c>
      <c r="ARW21" s="229">
        <v>0</v>
      </c>
      <c r="ARX21" s="229">
        <v>0</v>
      </c>
      <c r="ARY21" s="229">
        <v>0</v>
      </c>
      <c r="ARZ21" s="229">
        <v>0</v>
      </c>
      <c r="ASA21" s="229">
        <v>0</v>
      </c>
      <c r="ASB21" s="229">
        <v>0</v>
      </c>
      <c r="ASC21" s="229">
        <v>0</v>
      </c>
      <c r="ASD21" s="229">
        <v>0</v>
      </c>
      <c r="ASE21" s="229">
        <v>0</v>
      </c>
      <c r="ASF21" s="229">
        <v>0</v>
      </c>
      <c r="ASG21" s="229">
        <v>0</v>
      </c>
      <c r="ASH21" s="229">
        <v>0</v>
      </c>
      <c r="ASI21" s="229">
        <v>0</v>
      </c>
      <c r="ASJ21" s="229">
        <v>0</v>
      </c>
      <c r="ASK21" s="229">
        <v>0</v>
      </c>
      <c r="ASL21" s="229">
        <v>0</v>
      </c>
      <c r="ASM21" s="229">
        <v>0</v>
      </c>
      <c r="ASN21" s="229">
        <v>0</v>
      </c>
      <c r="ASO21" s="229">
        <v>0</v>
      </c>
      <c r="ASP21" s="229">
        <v>0</v>
      </c>
      <c r="ASQ21" s="229">
        <v>0</v>
      </c>
      <c r="ASR21" s="229">
        <v>0</v>
      </c>
      <c r="ASS21" s="229">
        <v>0</v>
      </c>
      <c r="AST21" s="229">
        <v>0</v>
      </c>
      <c r="ASU21" s="229">
        <v>0</v>
      </c>
      <c r="ASV21" s="229">
        <v>0</v>
      </c>
      <c r="ASW21" s="229">
        <v>0</v>
      </c>
      <c r="ASX21" s="229">
        <v>0</v>
      </c>
      <c r="ASY21" s="229">
        <v>0</v>
      </c>
      <c r="ASZ21" s="229">
        <v>0</v>
      </c>
      <c r="ATA21" s="229">
        <v>0</v>
      </c>
      <c r="ATB21" s="229">
        <v>0</v>
      </c>
      <c r="ATC21" s="229">
        <v>0</v>
      </c>
      <c r="ATD21" s="229">
        <v>0</v>
      </c>
      <c r="ATE21" s="229">
        <v>0</v>
      </c>
      <c r="ATF21" s="229">
        <v>0</v>
      </c>
      <c r="ATG21" s="229">
        <v>0</v>
      </c>
      <c r="ATH21" s="229">
        <v>0</v>
      </c>
      <c r="ATI21" s="229">
        <v>0</v>
      </c>
      <c r="ATJ21" s="229">
        <v>0</v>
      </c>
      <c r="ATK21" s="229">
        <v>0</v>
      </c>
      <c r="ATL21" s="229">
        <v>0</v>
      </c>
      <c r="ATM21" s="229">
        <v>0</v>
      </c>
      <c r="ATN21" s="229">
        <v>0</v>
      </c>
      <c r="ATO21" s="229">
        <v>0</v>
      </c>
      <c r="ATP21" s="229">
        <v>0</v>
      </c>
      <c r="ATQ21" s="229">
        <v>0</v>
      </c>
      <c r="ATR21" s="229">
        <v>0</v>
      </c>
      <c r="ATS21" s="229">
        <v>0</v>
      </c>
      <c r="ATT21" s="229">
        <v>0</v>
      </c>
      <c r="ATU21" s="229">
        <v>0</v>
      </c>
      <c r="ATV21" s="229">
        <v>0</v>
      </c>
      <c r="ATW21" s="229">
        <v>0</v>
      </c>
      <c r="ATX21" s="229">
        <v>0</v>
      </c>
      <c r="ATY21" s="229">
        <v>0</v>
      </c>
      <c r="ATZ21" s="229">
        <v>0</v>
      </c>
      <c r="AUA21" s="229">
        <v>0</v>
      </c>
      <c r="AUB21" s="229">
        <v>0</v>
      </c>
      <c r="AUC21" s="229">
        <v>0</v>
      </c>
      <c r="AUD21" s="229">
        <v>0</v>
      </c>
      <c r="AUE21" s="229">
        <v>0</v>
      </c>
      <c r="AUF21" s="229">
        <v>0</v>
      </c>
      <c r="AUG21" s="229">
        <v>0</v>
      </c>
      <c r="AUH21" s="229">
        <v>0</v>
      </c>
      <c r="AUI21" s="229">
        <v>0</v>
      </c>
      <c r="AUJ21" s="229">
        <v>0</v>
      </c>
      <c r="AUK21" s="229">
        <v>0</v>
      </c>
      <c r="AUL21" s="229">
        <v>0</v>
      </c>
      <c r="AUM21" s="229">
        <v>0</v>
      </c>
      <c r="AUN21" s="229">
        <v>0</v>
      </c>
      <c r="AUO21" s="229">
        <v>0</v>
      </c>
      <c r="AUP21" s="229">
        <v>0</v>
      </c>
      <c r="AUQ21" s="229">
        <v>0</v>
      </c>
      <c r="AUR21" s="229">
        <v>0</v>
      </c>
      <c r="AUS21" s="229">
        <v>0</v>
      </c>
      <c r="AUT21" s="229">
        <v>0</v>
      </c>
      <c r="AUU21" s="229">
        <v>0</v>
      </c>
      <c r="AUV21" s="229">
        <v>0</v>
      </c>
      <c r="AUW21" s="229">
        <v>0</v>
      </c>
      <c r="AUX21" s="229">
        <v>0</v>
      </c>
      <c r="AUY21" s="229">
        <v>0</v>
      </c>
      <c r="AUZ21" s="229">
        <v>0</v>
      </c>
      <c r="AVA21" s="229">
        <v>0</v>
      </c>
      <c r="AVB21" s="229">
        <v>0</v>
      </c>
      <c r="AVC21" s="229">
        <v>0</v>
      </c>
      <c r="AVD21" s="229">
        <v>0</v>
      </c>
      <c r="AVE21" s="229">
        <v>0</v>
      </c>
      <c r="AVF21" s="229">
        <v>0</v>
      </c>
      <c r="AVG21" s="229">
        <v>0</v>
      </c>
      <c r="AVH21" s="229">
        <v>0</v>
      </c>
      <c r="AVI21" s="229">
        <v>0</v>
      </c>
      <c r="AVJ21" s="229">
        <v>0</v>
      </c>
      <c r="AVK21" s="229">
        <v>0</v>
      </c>
      <c r="AVL21" s="229">
        <v>0</v>
      </c>
      <c r="AVM21" s="229">
        <v>0</v>
      </c>
      <c r="AVN21" s="229">
        <v>0</v>
      </c>
      <c r="AVO21" s="229">
        <v>0</v>
      </c>
      <c r="AVP21" s="229">
        <v>0</v>
      </c>
      <c r="AVQ21" s="229">
        <v>0</v>
      </c>
      <c r="AVR21" s="229">
        <v>0</v>
      </c>
      <c r="AVS21" s="229">
        <v>0</v>
      </c>
      <c r="AVT21" s="229">
        <v>0</v>
      </c>
      <c r="AVU21" s="229">
        <v>0</v>
      </c>
      <c r="AVV21" s="229">
        <v>0</v>
      </c>
      <c r="AVW21" s="229">
        <v>0</v>
      </c>
      <c r="AVX21" s="229">
        <v>0</v>
      </c>
      <c r="AVY21" s="229">
        <v>0</v>
      </c>
      <c r="AVZ21" s="229">
        <v>0</v>
      </c>
      <c r="AWA21" s="229">
        <v>0</v>
      </c>
      <c r="AWB21" s="229">
        <v>0</v>
      </c>
      <c r="AWC21" s="229">
        <v>0</v>
      </c>
      <c r="AWD21" s="229">
        <v>0</v>
      </c>
      <c r="AWE21" s="229">
        <v>0</v>
      </c>
      <c r="AWF21" s="229">
        <v>0</v>
      </c>
      <c r="AWG21" s="229">
        <v>0</v>
      </c>
      <c r="AWH21" s="229">
        <v>0</v>
      </c>
      <c r="AWI21" s="229">
        <v>0</v>
      </c>
      <c r="AWJ21" s="229">
        <v>0</v>
      </c>
      <c r="AWK21" s="229">
        <v>0</v>
      </c>
      <c r="AWL21" s="229">
        <v>0</v>
      </c>
      <c r="AWM21" s="229">
        <v>0</v>
      </c>
      <c r="AWN21" s="229">
        <v>0</v>
      </c>
      <c r="AWO21" s="229">
        <v>0</v>
      </c>
      <c r="AWP21" s="229">
        <v>0</v>
      </c>
      <c r="AWQ21" s="229">
        <v>0</v>
      </c>
      <c r="AWR21" s="229">
        <v>0</v>
      </c>
      <c r="AWS21" s="229">
        <v>0</v>
      </c>
      <c r="AWT21" s="229">
        <v>0</v>
      </c>
      <c r="AWU21" s="229">
        <v>0</v>
      </c>
      <c r="AWV21" s="229">
        <v>0</v>
      </c>
      <c r="AWW21" s="229">
        <v>0</v>
      </c>
      <c r="AWX21" s="229">
        <v>0</v>
      </c>
      <c r="AWY21" s="229">
        <v>0</v>
      </c>
      <c r="AWZ21" s="229">
        <v>0</v>
      </c>
      <c r="AXA21" s="229">
        <v>0</v>
      </c>
      <c r="AXB21" s="229">
        <v>0</v>
      </c>
      <c r="AXC21" s="229">
        <v>0</v>
      </c>
      <c r="AXD21" s="229">
        <v>0</v>
      </c>
      <c r="AXE21" s="229">
        <v>0</v>
      </c>
      <c r="AXF21" s="229">
        <v>0</v>
      </c>
      <c r="AXG21" s="229">
        <v>0</v>
      </c>
      <c r="AXH21" s="229">
        <v>0</v>
      </c>
      <c r="AXI21" s="229">
        <v>0</v>
      </c>
      <c r="AXJ21" s="229">
        <v>0</v>
      </c>
      <c r="AXK21" s="229">
        <v>0</v>
      </c>
      <c r="AXL21" s="229">
        <v>0</v>
      </c>
      <c r="AXM21" s="229">
        <v>0</v>
      </c>
      <c r="AXN21" s="229">
        <v>0</v>
      </c>
      <c r="AXO21" s="229">
        <v>0</v>
      </c>
      <c r="AXP21" s="229">
        <v>0</v>
      </c>
      <c r="AXQ21" s="229">
        <v>0</v>
      </c>
      <c r="AXR21" s="229">
        <v>0</v>
      </c>
      <c r="AXS21" s="229">
        <v>0</v>
      </c>
      <c r="AXT21" s="229">
        <v>0</v>
      </c>
      <c r="AXU21" s="229">
        <v>0</v>
      </c>
      <c r="AXV21" s="229">
        <v>0</v>
      </c>
      <c r="AXW21" s="229">
        <v>0</v>
      </c>
      <c r="AXX21" s="229">
        <v>0</v>
      </c>
      <c r="AXY21" s="229">
        <v>0</v>
      </c>
      <c r="AXZ21" s="229">
        <v>0</v>
      </c>
      <c r="AYA21" s="229">
        <v>0</v>
      </c>
      <c r="AYB21" s="229">
        <v>0</v>
      </c>
      <c r="AYC21" s="229">
        <v>0</v>
      </c>
      <c r="AYD21" s="229">
        <v>0</v>
      </c>
      <c r="AYE21" s="229">
        <v>0</v>
      </c>
      <c r="AYF21" s="229">
        <v>0</v>
      </c>
      <c r="AYG21" s="229">
        <v>0</v>
      </c>
      <c r="AYH21" s="229">
        <v>0</v>
      </c>
      <c r="AYI21" s="229">
        <v>0</v>
      </c>
      <c r="AYJ21" s="229">
        <v>0</v>
      </c>
      <c r="AYK21" s="229">
        <v>0</v>
      </c>
      <c r="AYL21" s="229">
        <v>0</v>
      </c>
      <c r="AYM21" s="229">
        <v>0</v>
      </c>
      <c r="AYN21" s="229">
        <v>0</v>
      </c>
      <c r="AYO21" s="229">
        <v>0</v>
      </c>
      <c r="AYP21" s="229">
        <v>0</v>
      </c>
      <c r="AYQ21" s="229">
        <v>0</v>
      </c>
      <c r="AYR21" s="229">
        <v>0</v>
      </c>
      <c r="AYS21" s="229">
        <v>0</v>
      </c>
      <c r="AYT21" s="229">
        <v>0</v>
      </c>
      <c r="AYU21" s="229">
        <v>0</v>
      </c>
      <c r="AYV21" s="229">
        <v>0</v>
      </c>
      <c r="AYW21" s="229">
        <v>0</v>
      </c>
      <c r="AYX21" s="229">
        <v>0</v>
      </c>
      <c r="AYY21" s="229">
        <v>0</v>
      </c>
      <c r="AYZ21" s="229">
        <v>0</v>
      </c>
      <c r="AZA21" s="229">
        <v>0</v>
      </c>
      <c r="AZB21" s="229">
        <v>0</v>
      </c>
      <c r="AZC21" s="229">
        <v>0</v>
      </c>
      <c r="AZD21" s="229">
        <v>0</v>
      </c>
      <c r="AZE21" s="229">
        <v>0</v>
      </c>
      <c r="AZF21" s="229">
        <v>0</v>
      </c>
      <c r="AZG21" s="229">
        <v>0</v>
      </c>
      <c r="AZH21" s="229">
        <v>0</v>
      </c>
      <c r="AZI21" s="229">
        <v>0</v>
      </c>
      <c r="AZJ21" s="229">
        <v>0</v>
      </c>
      <c r="AZK21" s="229">
        <v>0</v>
      </c>
      <c r="AZL21" s="229">
        <v>0</v>
      </c>
      <c r="AZM21" s="229">
        <v>0</v>
      </c>
      <c r="AZN21" s="229">
        <v>0</v>
      </c>
      <c r="AZO21" s="229">
        <v>0</v>
      </c>
      <c r="AZP21" s="229">
        <v>0</v>
      </c>
      <c r="AZQ21" s="229">
        <v>0</v>
      </c>
      <c r="AZR21" s="229">
        <v>0</v>
      </c>
      <c r="AZS21" s="229">
        <v>0</v>
      </c>
      <c r="AZT21" s="229">
        <v>0</v>
      </c>
      <c r="AZU21" s="229">
        <v>0</v>
      </c>
      <c r="AZV21" s="229">
        <v>0</v>
      </c>
      <c r="AZW21" s="229">
        <v>0</v>
      </c>
      <c r="AZX21" s="229">
        <v>0</v>
      </c>
      <c r="AZY21" s="229">
        <v>0</v>
      </c>
      <c r="AZZ21" s="229">
        <v>0</v>
      </c>
      <c r="BAA21" s="229">
        <v>0</v>
      </c>
      <c r="BAB21" s="229">
        <v>0</v>
      </c>
      <c r="BAC21" s="229">
        <v>0</v>
      </c>
      <c r="BAD21" s="229">
        <v>0</v>
      </c>
      <c r="BAE21" s="229">
        <v>0</v>
      </c>
      <c r="BAF21" s="229">
        <v>0</v>
      </c>
      <c r="BAG21" s="229">
        <v>0</v>
      </c>
      <c r="BAH21" s="229">
        <v>0</v>
      </c>
      <c r="BAI21" s="229">
        <v>0</v>
      </c>
      <c r="BAJ21" s="229">
        <v>0</v>
      </c>
      <c r="BAK21" s="229">
        <v>0</v>
      </c>
      <c r="BAL21" s="229">
        <v>0</v>
      </c>
      <c r="BAM21" s="229">
        <v>0</v>
      </c>
      <c r="BAN21" s="229">
        <v>0</v>
      </c>
      <c r="BAO21" s="229">
        <v>0</v>
      </c>
      <c r="BAP21" s="229">
        <v>0</v>
      </c>
      <c r="BAQ21" s="229">
        <v>0</v>
      </c>
      <c r="BAR21" s="229">
        <v>0</v>
      </c>
      <c r="BAS21" s="229">
        <v>0</v>
      </c>
      <c r="BAT21" s="229">
        <v>0</v>
      </c>
      <c r="BAU21" s="229">
        <v>0</v>
      </c>
      <c r="BAV21" s="229">
        <v>0</v>
      </c>
      <c r="BAW21" s="229">
        <v>0</v>
      </c>
      <c r="BAX21" s="229">
        <v>0</v>
      </c>
      <c r="BAY21" s="229">
        <v>0</v>
      </c>
      <c r="BAZ21" s="229">
        <v>0</v>
      </c>
      <c r="BBA21" s="229">
        <v>0</v>
      </c>
      <c r="BBB21" s="229">
        <v>0</v>
      </c>
      <c r="BBC21" s="229">
        <v>0</v>
      </c>
      <c r="BBD21" s="229">
        <v>0</v>
      </c>
      <c r="BBE21" s="229">
        <v>0</v>
      </c>
      <c r="BBF21" s="229">
        <v>0</v>
      </c>
      <c r="BBG21" s="229">
        <v>0</v>
      </c>
      <c r="BBH21" s="229">
        <v>0</v>
      </c>
      <c r="BBI21" s="229">
        <v>0</v>
      </c>
      <c r="BBJ21" s="229">
        <v>0</v>
      </c>
      <c r="BBK21" s="229">
        <v>0</v>
      </c>
      <c r="BBL21" s="229">
        <v>0</v>
      </c>
      <c r="BBM21" s="229">
        <v>0</v>
      </c>
      <c r="BBN21" s="229">
        <v>0</v>
      </c>
      <c r="BBO21" s="229">
        <v>0</v>
      </c>
      <c r="BBP21" s="229">
        <v>0</v>
      </c>
      <c r="BBQ21" s="229">
        <v>0</v>
      </c>
      <c r="BBR21" s="229">
        <v>0</v>
      </c>
      <c r="BBS21" s="229">
        <v>0</v>
      </c>
      <c r="BBT21" s="229">
        <v>0</v>
      </c>
      <c r="BBU21" s="229">
        <v>0</v>
      </c>
      <c r="BBV21" s="229">
        <v>0</v>
      </c>
      <c r="BBW21" s="229">
        <v>0</v>
      </c>
      <c r="BBX21" s="229">
        <v>0</v>
      </c>
      <c r="BBY21" s="229">
        <v>0</v>
      </c>
      <c r="BBZ21" s="229">
        <v>0</v>
      </c>
      <c r="BCA21" s="229">
        <v>0</v>
      </c>
      <c r="BCB21" s="229">
        <v>0</v>
      </c>
      <c r="BCC21" s="229">
        <v>0</v>
      </c>
      <c r="BCD21" s="229">
        <v>0</v>
      </c>
      <c r="BCE21" s="229">
        <v>0</v>
      </c>
      <c r="BCF21" s="229">
        <v>0</v>
      </c>
      <c r="BCG21" s="229">
        <v>0</v>
      </c>
      <c r="BCH21" s="229">
        <v>0</v>
      </c>
      <c r="BCI21" s="229">
        <v>0</v>
      </c>
      <c r="BCJ21" s="229">
        <v>0</v>
      </c>
      <c r="BCK21" s="229">
        <v>0</v>
      </c>
      <c r="BCL21" s="229">
        <v>0</v>
      </c>
      <c r="BCM21" s="229">
        <v>0</v>
      </c>
      <c r="BCN21" s="229">
        <v>0</v>
      </c>
      <c r="BCO21" s="229">
        <v>0</v>
      </c>
      <c r="BCP21" s="229">
        <v>0</v>
      </c>
      <c r="BCQ21" s="229">
        <v>0</v>
      </c>
      <c r="BCR21" s="229">
        <v>0</v>
      </c>
      <c r="BCS21" s="229">
        <v>0</v>
      </c>
      <c r="BCT21" s="229">
        <v>0</v>
      </c>
      <c r="BCU21" s="229">
        <v>0</v>
      </c>
      <c r="BCV21" s="229">
        <v>0</v>
      </c>
      <c r="BCW21" s="229">
        <v>0</v>
      </c>
      <c r="BCX21" s="229">
        <v>0</v>
      </c>
      <c r="BCY21" s="229">
        <v>0</v>
      </c>
      <c r="BCZ21" s="229">
        <v>0</v>
      </c>
      <c r="BDA21" s="229">
        <v>0</v>
      </c>
      <c r="BDB21" s="229">
        <v>0</v>
      </c>
      <c r="BDC21" s="229">
        <v>0</v>
      </c>
      <c r="BDD21" s="229">
        <v>0</v>
      </c>
      <c r="BDE21" s="229">
        <v>0</v>
      </c>
      <c r="BDF21" s="229">
        <v>0</v>
      </c>
      <c r="BDG21" s="229">
        <v>0</v>
      </c>
      <c r="BDH21" s="229">
        <v>0</v>
      </c>
      <c r="BDI21" s="229">
        <v>0</v>
      </c>
      <c r="BDJ21" s="229">
        <v>0</v>
      </c>
      <c r="BDK21" s="229">
        <v>0</v>
      </c>
      <c r="BDL21" s="229">
        <v>0</v>
      </c>
      <c r="BDM21" s="229">
        <v>0</v>
      </c>
      <c r="BDN21" s="229">
        <v>0</v>
      </c>
      <c r="BDO21" s="229">
        <v>0</v>
      </c>
      <c r="BDP21" s="229">
        <v>0</v>
      </c>
      <c r="BDQ21" s="229">
        <v>0</v>
      </c>
      <c r="BDR21" s="229">
        <v>0</v>
      </c>
      <c r="BDS21" s="229">
        <v>0</v>
      </c>
      <c r="BDT21" s="229">
        <v>0</v>
      </c>
      <c r="BDU21" s="229">
        <v>0</v>
      </c>
      <c r="BDV21" s="229">
        <v>0</v>
      </c>
      <c r="BDW21" s="229">
        <v>0</v>
      </c>
      <c r="BDX21" s="229">
        <v>0</v>
      </c>
      <c r="BDY21" s="229">
        <v>0</v>
      </c>
      <c r="BDZ21" s="229">
        <v>0</v>
      </c>
      <c r="BEA21" s="229">
        <v>0</v>
      </c>
      <c r="BEB21" s="229">
        <v>0</v>
      </c>
      <c r="BEC21" s="229">
        <v>0</v>
      </c>
      <c r="BED21" s="229">
        <v>0</v>
      </c>
      <c r="BEE21" s="229">
        <v>0</v>
      </c>
      <c r="BEF21" s="229">
        <v>0</v>
      </c>
      <c r="BEG21" s="229">
        <v>0</v>
      </c>
      <c r="BEH21" s="229">
        <v>0</v>
      </c>
      <c r="BEI21" s="229">
        <v>0</v>
      </c>
      <c r="BEJ21" s="229">
        <v>0</v>
      </c>
      <c r="BEK21" s="229">
        <v>0</v>
      </c>
      <c r="BEL21" s="229">
        <v>0</v>
      </c>
      <c r="BEM21" s="229">
        <v>0</v>
      </c>
      <c r="BEN21" s="229">
        <v>0</v>
      </c>
      <c r="BEO21" s="229">
        <v>0</v>
      </c>
      <c r="BEP21" s="229">
        <v>0</v>
      </c>
      <c r="BEQ21" s="229">
        <v>0</v>
      </c>
      <c r="BER21" s="229">
        <v>0</v>
      </c>
      <c r="BES21" s="229">
        <v>0</v>
      </c>
      <c r="BET21" s="229">
        <v>0</v>
      </c>
      <c r="BEU21" s="229">
        <v>0</v>
      </c>
      <c r="BEV21" s="229">
        <v>0</v>
      </c>
      <c r="BEW21" s="229">
        <v>0</v>
      </c>
      <c r="BEX21" s="229">
        <v>0</v>
      </c>
      <c r="BEY21" s="229">
        <v>0</v>
      </c>
      <c r="BEZ21" s="229">
        <v>0</v>
      </c>
      <c r="BFA21" s="229">
        <v>0</v>
      </c>
      <c r="BFB21" s="229">
        <v>0</v>
      </c>
      <c r="BFC21" s="229">
        <v>0</v>
      </c>
      <c r="BFD21" s="229">
        <v>0</v>
      </c>
      <c r="BFE21" s="229">
        <v>0</v>
      </c>
      <c r="BFF21" s="229">
        <v>0</v>
      </c>
      <c r="BFG21" s="229">
        <v>0</v>
      </c>
      <c r="BFH21" s="229">
        <v>0</v>
      </c>
      <c r="BFI21" s="229">
        <v>0</v>
      </c>
      <c r="BFJ21" s="229">
        <v>0</v>
      </c>
      <c r="BFK21" s="229">
        <v>0</v>
      </c>
      <c r="BFL21" s="229">
        <v>0</v>
      </c>
      <c r="BFM21" s="229">
        <v>0</v>
      </c>
      <c r="BFN21" s="229">
        <v>0</v>
      </c>
      <c r="BFO21" s="229">
        <v>0</v>
      </c>
      <c r="BFP21" s="229">
        <v>0</v>
      </c>
      <c r="BFQ21" s="229">
        <v>0</v>
      </c>
      <c r="BFR21" s="229">
        <v>0</v>
      </c>
      <c r="BFS21" s="229">
        <v>0</v>
      </c>
      <c r="BFT21" s="229">
        <v>0</v>
      </c>
      <c r="BFU21" s="229">
        <v>0</v>
      </c>
      <c r="BFV21" s="229">
        <v>0</v>
      </c>
      <c r="BFW21" s="229">
        <v>0</v>
      </c>
      <c r="BFX21" s="229">
        <v>0</v>
      </c>
      <c r="BFY21" s="229">
        <v>0</v>
      </c>
      <c r="BFZ21" s="229">
        <v>0</v>
      </c>
      <c r="BGA21" s="229">
        <v>0</v>
      </c>
      <c r="BGB21" s="229">
        <v>0</v>
      </c>
      <c r="BGC21" s="229">
        <v>0</v>
      </c>
      <c r="BGD21" s="229">
        <v>0</v>
      </c>
      <c r="BGE21" s="229">
        <v>0</v>
      </c>
      <c r="BGF21" s="229">
        <v>0</v>
      </c>
      <c r="BGG21" s="229">
        <v>0</v>
      </c>
      <c r="BGH21" s="229">
        <v>0</v>
      </c>
      <c r="BGI21" s="229">
        <v>0</v>
      </c>
      <c r="BGJ21" s="229">
        <v>0</v>
      </c>
      <c r="BGK21" s="229">
        <v>0</v>
      </c>
      <c r="BGL21" s="229">
        <v>0</v>
      </c>
      <c r="BGM21" s="229">
        <v>0</v>
      </c>
      <c r="BGN21" s="229">
        <v>0</v>
      </c>
      <c r="BGO21" s="229">
        <v>0</v>
      </c>
      <c r="BGP21" s="229">
        <v>0</v>
      </c>
      <c r="BGQ21" s="229">
        <v>0</v>
      </c>
      <c r="BGR21" s="229">
        <v>0</v>
      </c>
      <c r="BGS21" s="229">
        <v>0</v>
      </c>
      <c r="BGT21" s="229">
        <v>0</v>
      </c>
      <c r="BGU21" s="229">
        <v>0</v>
      </c>
      <c r="BGV21" s="229">
        <v>0</v>
      </c>
      <c r="BGW21" s="229">
        <v>0</v>
      </c>
      <c r="BGX21" s="229">
        <v>0</v>
      </c>
      <c r="BGY21" s="229">
        <v>0</v>
      </c>
      <c r="BGZ21" s="229">
        <v>0</v>
      </c>
      <c r="BHA21" s="229">
        <v>0</v>
      </c>
      <c r="BHB21" s="229">
        <v>0</v>
      </c>
      <c r="BHC21" s="229">
        <v>0</v>
      </c>
      <c r="BHD21" s="229">
        <v>0</v>
      </c>
      <c r="BHE21" s="229">
        <v>0</v>
      </c>
      <c r="BHF21" s="229">
        <v>0</v>
      </c>
      <c r="BHG21" s="229">
        <v>0</v>
      </c>
      <c r="BHH21" s="229">
        <v>0</v>
      </c>
      <c r="BHI21" s="229">
        <v>0</v>
      </c>
      <c r="BHJ21" s="229">
        <v>0</v>
      </c>
      <c r="BHK21" s="229">
        <v>0</v>
      </c>
      <c r="BHL21" s="229">
        <v>0</v>
      </c>
      <c r="BHM21" s="229">
        <v>0</v>
      </c>
      <c r="BHN21" s="229">
        <v>0</v>
      </c>
      <c r="BHO21" s="229">
        <v>0</v>
      </c>
      <c r="BHP21" s="229">
        <v>0</v>
      </c>
      <c r="BHQ21" s="229">
        <v>0</v>
      </c>
      <c r="BHR21" s="229">
        <v>0</v>
      </c>
      <c r="BHS21" s="229">
        <v>0</v>
      </c>
      <c r="BHT21" s="229">
        <v>0</v>
      </c>
      <c r="BHU21" s="229">
        <v>0</v>
      </c>
      <c r="BHV21" s="229">
        <v>0</v>
      </c>
      <c r="BHW21" s="229">
        <v>0</v>
      </c>
      <c r="BHX21" s="229">
        <v>0</v>
      </c>
      <c r="BHY21" s="229">
        <v>0</v>
      </c>
      <c r="BHZ21" s="229">
        <v>0</v>
      </c>
      <c r="BIA21" s="229">
        <v>0</v>
      </c>
      <c r="BIB21" s="229">
        <v>0</v>
      </c>
      <c r="BIC21" s="229">
        <v>0</v>
      </c>
      <c r="BID21" s="229">
        <v>0</v>
      </c>
      <c r="BIE21" s="229">
        <v>0</v>
      </c>
      <c r="BIF21" s="229">
        <v>0</v>
      </c>
      <c r="BIG21" s="229">
        <v>0</v>
      </c>
      <c r="BIH21" s="229">
        <v>0</v>
      </c>
      <c r="BII21" s="229">
        <v>0</v>
      </c>
      <c r="BIJ21" s="229">
        <v>0</v>
      </c>
      <c r="BIK21" s="229">
        <v>0</v>
      </c>
      <c r="BIL21" s="229">
        <v>0</v>
      </c>
      <c r="BIM21" s="229">
        <v>0</v>
      </c>
      <c r="BIN21" s="229">
        <v>0</v>
      </c>
      <c r="BIO21" s="229">
        <v>0</v>
      </c>
      <c r="BIP21" s="229">
        <v>0</v>
      </c>
      <c r="BIQ21" s="229">
        <v>0</v>
      </c>
      <c r="BIR21" s="229">
        <v>0</v>
      </c>
      <c r="BIS21" s="229">
        <v>0</v>
      </c>
      <c r="BIT21" s="229">
        <v>0</v>
      </c>
      <c r="BIU21" s="229">
        <v>0</v>
      </c>
      <c r="BIV21" s="229">
        <v>0</v>
      </c>
      <c r="BIW21" s="229">
        <v>0</v>
      </c>
      <c r="BIX21" s="229">
        <v>0</v>
      </c>
      <c r="BIY21" s="229">
        <v>0</v>
      </c>
      <c r="BIZ21" s="229">
        <v>0</v>
      </c>
      <c r="BJA21" s="229">
        <v>0</v>
      </c>
      <c r="BJB21" s="229">
        <v>0</v>
      </c>
      <c r="BJC21" s="229">
        <v>0</v>
      </c>
      <c r="BJD21" s="229">
        <v>0</v>
      </c>
      <c r="BJE21" s="229">
        <v>0</v>
      </c>
      <c r="BJF21" s="229">
        <v>0</v>
      </c>
      <c r="BJG21" s="229">
        <v>0</v>
      </c>
      <c r="BJH21" s="229">
        <v>0</v>
      </c>
      <c r="BJI21" s="229">
        <v>0</v>
      </c>
      <c r="BJJ21" s="229">
        <v>0</v>
      </c>
      <c r="BJK21" s="229">
        <v>0</v>
      </c>
      <c r="BJL21" s="229">
        <v>0</v>
      </c>
      <c r="BJM21" s="229">
        <v>0</v>
      </c>
      <c r="BJN21" s="229">
        <v>0</v>
      </c>
      <c r="BJO21" s="229">
        <v>0</v>
      </c>
      <c r="BJP21" s="229">
        <v>0</v>
      </c>
      <c r="BJQ21" s="229">
        <v>0</v>
      </c>
      <c r="BJR21" s="229">
        <v>0</v>
      </c>
      <c r="BJS21" s="229">
        <v>0</v>
      </c>
      <c r="BJT21" s="229">
        <v>0</v>
      </c>
      <c r="BJU21" s="229">
        <v>0</v>
      </c>
      <c r="BJV21" s="229">
        <v>0</v>
      </c>
      <c r="BJW21" s="229">
        <v>0</v>
      </c>
      <c r="BJX21" s="229">
        <v>0</v>
      </c>
      <c r="BJY21" s="229">
        <v>0</v>
      </c>
      <c r="BJZ21" s="229">
        <v>0</v>
      </c>
      <c r="BKA21" s="229">
        <v>0</v>
      </c>
      <c r="BKB21" s="229">
        <v>0</v>
      </c>
      <c r="BKC21" s="229">
        <v>0</v>
      </c>
      <c r="BKD21" s="229">
        <v>0</v>
      </c>
      <c r="BKE21" s="229">
        <v>0</v>
      </c>
      <c r="BKF21" s="229">
        <v>0</v>
      </c>
      <c r="BKG21" s="229">
        <v>0</v>
      </c>
      <c r="BKH21" s="229">
        <v>0</v>
      </c>
      <c r="BKI21" s="229">
        <v>0</v>
      </c>
      <c r="BKJ21" s="229">
        <v>0</v>
      </c>
      <c r="BKK21" s="229">
        <v>0</v>
      </c>
      <c r="BKL21" s="229">
        <v>0</v>
      </c>
      <c r="BKM21" s="229">
        <v>0</v>
      </c>
      <c r="BKN21" s="229">
        <v>0</v>
      </c>
      <c r="BKO21" s="229">
        <v>0</v>
      </c>
      <c r="BKP21" s="229">
        <v>0</v>
      </c>
      <c r="BKQ21" s="229">
        <v>0</v>
      </c>
      <c r="BKR21" s="229">
        <v>0</v>
      </c>
      <c r="BKS21" s="229">
        <v>0</v>
      </c>
      <c r="BKT21" s="229">
        <v>0</v>
      </c>
      <c r="BKU21" s="229">
        <v>0</v>
      </c>
      <c r="BKV21" s="229">
        <v>0</v>
      </c>
      <c r="BKW21" s="229">
        <v>0</v>
      </c>
      <c r="BKX21" s="229">
        <v>0</v>
      </c>
      <c r="BKY21" s="229">
        <v>0</v>
      </c>
      <c r="BKZ21" s="229">
        <v>0</v>
      </c>
      <c r="BLA21" s="229">
        <v>0</v>
      </c>
      <c r="BLB21" s="229">
        <v>0</v>
      </c>
      <c r="BLC21" s="229">
        <v>0</v>
      </c>
      <c r="BLD21" s="229">
        <v>0</v>
      </c>
      <c r="BLE21" s="229">
        <v>0</v>
      </c>
      <c r="BLF21" s="229">
        <v>0</v>
      </c>
      <c r="BLG21" s="229">
        <v>0</v>
      </c>
      <c r="BLH21" s="229">
        <v>0</v>
      </c>
      <c r="BLI21" s="229">
        <v>0</v>
      </c>
      <c r="BLJ21" s="229">
        <v>0</v>
      </c>
      <c r="BLK21" s="229">
        <v>0</v>
      </c>
      <c r="BLL21" s="229">
        <v>0</v>
      </c>
      <c r="BLM21" s="229">
        <v>0</v>
      </c>
      <c r="BLN21" s="229">
        <v>0</v>
      </c>
      <c r="BLO21" s="229">
        <v>0</v>
      </c>
      <c r="BLP21" s="229">
        <v>0</v>
      </c>
      <c r="BLQ21" s="229">
        <v>0</v>
      </c>
      <c r="BLR21" s="229">
        <v>0</v>
      </c>
      <c r="BLS21" s="229">
        <v>0</v>
      </c>
      <c r="BLT21" s="229">
        <v>0</v>
      </c>
      <c r="BLU21" s="229">
        <v>0</v>
      </c>
      <c r="BLV21" s="229">
        <v>0</v>
      </c>
      <c r="BLW21" s="229">
        <v>0</v>
      </c>
      <c r="BLX21" s="229">
        <v>0</v>
      </c>
      <c r="BLY21" s="229">
        <v>0</v>
      </c>
      <c r="BLZ21" s="229">
        <v>0</v>
      </c>
      <c r="BMA21" s="229">
        <v>0</v>
      </c>
      <c r="BMB21" s="229">
        <v>0</v>
      </c>
      <c r="BMC21" s="229">
        <v>0</v>
      </c>
      <c r="BMD21" s="229">
        <v>0</v>
      </c>
      <c r="BME21" s="229">
        <v>0</v>
      </c>
      <c r="BMF21" s="229">
        <v>0</v>
      </c>
      <c r="BMG21" s="229">
        <v>0</v>
      </c>
      <c r="BMH21" s="229">
        <v>0</v>
      </c>
      <c r="BMI21" s="229">
        <v>0</v>
      </c>
      <c r="BMJ21" s="229">
        <v>0</v>
      </c>
      <c r="BMK21" s="229">
        <v>0</v>
      </c>
      <c r="BML21" s="229">
        <v>0</v>
      </c>
      <c r="BMM21" s="229">
        <v>0</v>
      </c>
      <c r="BMN21" s="229">
        <v>0</v>
      </c>
      <c r="BMO21" s="229">
        <v>0</v>
      </c>
      <c r="BMP21" s="229">
        <v>0</v>
      </c>
      <c r="BMQ21" s="229">
        <v>0</v>
      </c>
      <c r="BMR21" s="229">
        <v>0</v>
      </c>
      <c r="BMS21" s="229">
        <v>0</v>
      </c>
      <c r="BMT21" s="229">
        <v>0</v>
      </c>
      <c r="BMU21" s="229">
        <v>0</v>
      </c>
      <c r="BMV21" s="229">
        <v>0</v>
      </c>
      <c r="BMW21" s="229">
        <v>0</v>
      </c>
      <c r="BMX21" s="229">
        <v>0</v>
      </c>
      <c r="BMY21" s="229">
        <v>0</v>
      </c>
      <c r="BMZ21" s="229">
        <v>0</v>
      </c>
      <c r="BNA21" s="229">
        <v>0</v>
      </c>
      <c r="BNB21" s="229">
        <v>0</v>
      </c>
      <c r="BNC21" s="229">
        <v>0</v>
      </c>
      <c r="BND21" s="229">
        <v>0</v>
      </c>
      <c r="BNE21" s="229">
        <v>0</v>
      </c>
      <c r="BNF21" s="229">
        <v>0</v>
      </c>
      <c r="BNG21" s="229">
        <v>0</v>
      </c>
      <c r="BNH21" s="229">
        <v>0</v>
      </c>
      <c r="BNI21" s="229">
        <v>0</v>
      </c>
      <c r="BNJ21" s="229">
        <v>0</v>
      </c>
      <c r="BNK21" s="229">
        <v>0</v>
      </c>
      <c r="BNL21" s="229">
        <v>0</v>
      </c>
      <c r="BNM21" s="229">
        <v>0</v>
      </c>
      <c r="BNN21" s="229">
        <v>0</v>
      </c>
      <c r="BNO21" s="229">
        <v>0</v>
      </c>
      <c r="BNP21" s="229">
        <v>0</v>
      </c>
      <c r="BNQ21" s="229">
        <v>0</v>
      </c>
      <c r="BNR21" s="229">
        <v>0</v>
      </c>
      <c r="BNS21" s="229">
        <v>0</v>
      </c>
      <c r="BNT21" s="229">
        <v>0</v>
      </c>
      <c r="BNU21" s="229">
        <v>0</v>
      </c>
      <c r="BNV21" s="229">
        <v>0</v>
      </c>
      <c r="BNW21" s="229">
        <v>0</v>
      </c>
      <c r="BNX21" s="229">
        <v>0</v>
      </c>
      <c r="BNY21" s="229">
        <v>0</v>
      </c>
      <c r="BNZ21" s="229">
        <v>0</v>
      </c>
      <c r="BOA21" s="229">
        <v>0</v>
      </c>
      <c r="BOB21" s="229">
        <v>0</v>
      </c>
      <c r="BOC21" s="229">
        <v>0</v>
      </c>
      <c r="BOD21" s="229">
        <v>0</v>
      </c>
      <c r="BOE21" s="229">
        <v>0</v>
      </c>
      <c r="BOF21" s="229">
        <v>0</v>
      </c>
      <c r="BOG21" s="229">
        <v>0</v>
      </c>
      <c r="BOH21" s="229">
        <v>0</v>
      </c>
      <c r="BOI21" s="229">
        <v>0</v>
      </c>
      <c r="BOJ21" s="229">
        <v>0</v>
      </c>
      <c r="BOK21" s="229">
        <v>0</v>
      </c>
      <c r="BOL21" s="229">
        <v>0</v>
      </c>
      <c r="BOM21" s="229">
        <v>0</v>
      </c>
      <c r="BON21" s="229">
        <v>0</v>
      </c>
      <c r="BOO21" s="229">
        <v>0</v>
      </c>
      <c r="BOP21" s="229">
        <v>0</v>
      </c>
      <c r="BOQ21" s="229">
        <v>0</v>
      </c>
      <c r="BOR21" s="229">
        <v>0</v>
      </c>
      <c r="BOS21" s="229">
        <v>0</v>
      </c>
      <c r="BOT21" s="229">
        <v>0</v>
      </c>
      <c r="BOU21" s="229">
        <v>0</v>
      </c>
      <c r="BOV21" s="229">
        <v>0</v>
      </c>
      <c r="BOW21" s="229">
        <v>0</v>
      </c>
      <c r="BOX21" s="229">
        <v>0</v>
      </c>
      <c r="BOY21" s="229">
        <v>0</v>
      </c>
      <c r="BOZ21" s="229">
        <v>0</v>
      </c>
      <c r="BPA21" s="229">
        <v>0</v>
      </c>
      <c r="BPB21" s="229">
        <v>0</v>
      </c>
      <c r="BPC21" s="229">
        <v>0</v>
      </c>
      <c r="BPD21" s="229">
        <v>0</v>
      </c>
      <c r="BPE21" s="229">
        <v>0</v>
      </c>
      <c r="BPF21" s="229">
        <v>0</v>
      </c>
      <c r="BPG21" s="229">
        <v>0</v>
      </c>
      <c r="BPH21" s="229">
        <v>0</v>
      </c>
      <c r="BPI21" s="229">
        <v>0</v>
      </c>
      <c r="BPJ21" s="229">
        <v>0</v>
      </c>
      <c r="BPK21" s="229">
        <v>0</v>
      </c>
      <c r="BPL21" s="229">
        <v>0</v>
      </c>
      <c r="BPM21" s="229">
        <v>0</v>
      </c>
      <c r="BPN21" s="229">
        <v>0</v>
      </c>
      <c r="BPO21" s="229">
        <v>0</v>
      </c>
      <c r="BPP21" s="229">
        <v>0</v>
      </c>
      <c r="BPQ21" s="229">
        <v>0</v>
      </c>
      <c r="BPR21" s="229">
        <v>0</v>
      </c>
      <c r="BPS21" s="229">
        <v>0</v>
      </c>
      <c r="BPT21" s="229">
        <v>0</v>
      </c>
      <c r="BPU21" s="229">
        <v>0</v>
      </c>
      <c r="BPV21" s="229">
        <v>0</v>
      </c>
      <c r="BPW21" s="229">
        <v>0</v>
      </c>
      <c r="BPX21" s="229">
        <v>0</v>
      </c>
      <c r="BPY21" s="229">
        <v>0</v>
      </c>
      <c r="BPZ21" s="229">
        <v>0</v>
      </c>
      <c r="BQA21" s="229">
        <v>0</v>
      </c>
      <c r="BQB21" s="229">
        <v>0</v>
      </c>
      <c r="BQC21" s="229">
        <v>0</v>
      </c>
      <c r="BQD21" s="229">
        <v>0</v>
      </c>
      <c r="BQE21" s="229">
        <v>0</v>
      </c>
      <c r="BQF21" s="229">
        <v>0</v>
      </c>
      <c r="BQG21" s="229">
        <v>0</v>
      </c>
      <c r="BQH21" s="229">
        <v>0</v>
      </c>
      <c r="BQI21" s="229">
        <v>0</v>
      </c>
      <c r="BQJ21" s="229">
        <v>0</v>
      </c>
      <c r="BQK21" s="229">
        <v>0</v>
      </c>
      <c r="BQL21" s="229">
        <v>0</v>
      </c>
      <c r="BQM21" s="229">
        <v>0</v>
      </c>
      <c r="BQN21" s="229">
        <v>0</v>
      </c>
      <c r="BQO21" s="229">
        <v>0</v>
      </c>
      <c r="BQP21" s="229">
        <v>0</v>
      </c>
      <c r="BQQ21" s="229">
        <v>0</v>
      </c>
      <c r="BQR21" s="229">
        <v>0</v>
      </c>
      <c r="BQS21" s="229">
        <v>0</v>
      </c>
      <c r="BQT21" s="229">
        <v>0</v>
      </c>
      <c r="BQU21" s="229">
        <v>0</v>
      </c>
      <c r="BQV21" s="229">
        <v>0</v>
      </c>
      <c r="BQW21" s="229">
        <v>0</v>
      </c>
      <c r="BQX21" s="229">
        <v>0</v>
      </c>
      <c r="BQY21" s="229">
        <v>0</v>
      </c>
      <c r="BQZ21" s="229">
        <v>0</v>
      </c>
      <c r="BRA21" s="229">
        <v>0</v>
      </c>
      <c r="BRB21" s="229">
        <v>0</v>
      </c>
      <c r="BRC21" s="229">
        <v>0</v>
      </c>
      <c r="BRD21" s="229">
        <v>0</v>
      </c>
      <c r="BRE21" s="229">
        <v>0</v>
      </c>
      <c r="BRF21" s="229">
        <v>0</v>
      </c>
      <c r="BRG21" s="229">
        <v>0</v>
      </c>
      <c r="BRH21" s="229">
        <v>0</v>
      </c>
      <c r="BRI21" s="229">
        <v>0</v>
      </c>
      <c r="BRJ21" s="229">
        <v>0</v>
      </c>
      <c r="BRK21" s="229">
        <v>0</v>
      </c>
      <c r="BRL21" s="229">
        <v>0</v>
      </c>
      <c r="BRM21" s="229">
        <v>0</v>
      </c>
      <c r="BRN21" s="229">
        <v>0</v>
      </c>
      <c r="BRO21" s="229">
        <v>0</v>
      </c>
      <c r="BRP21" s="229">
        <v>0</v>
      </c>
      <c r="BRQ21" s="229">
        <v>0</v>
      </c>
      <c r="BRR21" s="229">
        <v>0</v>
      </c>
      <c r="BRS21" s="229">
        <v>0</v>
      </c>
      <c r="BRT21" s="229">
        <v>0</v>
      </c>
      <c r="BRU21" s="229">
        <v>0</v>
      </c>
      <c r="BRV21" s="229">
        <v>0</v>
      </c>
      <c r="BRW21" s="229">
        <v>0</v>
      </c>
      <c r="BRX21" s="229">
        <v>0</v>
      </c>
      <c r="BRY21" s="229">
        <v>0</v>
      </c>
      <c r="BRZ21" s="229">
        <v>0</v>
      </c>
      <c r="BSA21" s="229">
        <v>0</v>
      </c>
      <c r="BSB21" s="229">
        <v>0</v>
      </c>
      <c r="BSC21" s="229">
        <v>0</v>
      </c>
      <c r="BSD21" s="229">
        <v>0</v>
      </c>
      <c r="BSE21" s="229">
        <v>0</v>
      </c>
      <c r="BSF21" s="229">
        <v>0</v>
      </c>
      <c r="BSG21" s="229">
        <v>0</v>
      </c>
      <c r="BSH21" s="229">
        <v>0</v>
      </c>
      <c r="BSI21" s="229">
        <v>0</v>
      </c>
      <c r="BSJ21" s="229">
        <v>0</v>
      </c>
      <c r="BSK21" s="229">
        <v>0</v>
      </c>
      <c r="BSL21" s="229">
        <v>0</v>
      </c>
      <c r="BSM21" s="229">
        <v>0</v>
      </c>
      <c r="BSN21" s="229">
        <v>0</v>
      </c>
      <c r="BSO21" s="229">
        <v>0</v>
      </c>
      <c r="BSP21" s="229">
        <v>0</v>
      </c>
      <c r="BSQ21" s="229">
        <v>0</v>
      </c>
      <c r="BSR21" s="229">
        <v>0</v>
      </c>
      <c r="BSS21" s="229">
        <v>0</v>
      </c>
      <c r="BST21" s="229">
        <v>0</v>
      </c>
      <c r="BSU21" s="229">
        <v>0</v>
      </c>
      <c r="BSV21" s="229">
        <v>0</v>
      </c>
      <c r="BSW21" s="229">
        <v>0</v>
      </c>
      <c r="BSX21" s="229">
        <v>0</v>
      </c>
      <c r="BSY21" s="229">
        <v>0</v>
      </c>
      <c r="BSZ21" s="229">
        <v>0</v>
      </c>
      <c r="BTA21" s="229">
        <v>0</v>
      </c>
      <c r="BTB21" s="229">
        <v>0</v>
      </c>
      <c r="BTC21" s="229">
        <v>0</v>
      </c>
      <c r="BTD21" s="229">
        <v>0</v>
      </c>
      <c r="BTE21" s="229">
        <v>0</v>
      </c>
      <c r="BTF21" s="229">
        <v>0</v>
      </c>
      <c r="BTG21" s="229">
        <v>0</v>
      </c>
      <c r="BTH21" s="229">
        <v>0</v>
      </c>
      <c r="BTI21" s="229">
        <v>0</v>
      </c>
      <c r="BTJ21" s="229">
        <v>0</v>
      </c>
      <c r="BTK21" s="229">
        <v>0</v>
      </c>
      <c r="BTL21" s="229">
        <v>0</v>
      </c>
      <c r="BTM21" s="229">
        <v>0</v>
      </c>
      <c r="BTN21" s="229">
        <v>0</v>
      </c>
      <c r="BTO21" s="229">
        <v>0</v>
      </c>
      <c r="BTP21" s="229">
        <v>0</v>
      </c>
      <c r="BTQ21" s="229">
        <v>0</v>
      </c>
      <c r="BTR21" s="229">
        <v>0</v>
      </c>
      <c r="BTS21" s="229">
        <v>0</v>
      </c>
      <c r="BTT21" s="229">
        <v>0</v>
      </c>
      <c r="BTU21" s="229">
        <v>0</v>
      </c>
      <c r="BTV21" s="229">
        <v>0</v>
      </c>
      <c r="BTW21" s="229">
        <v>0</v>
      </c>
      <c r="BTX21" s="229">
        <v>0</v>
      </c>
      <c r="BTY21" s="229">
        <v>0</v>
      </c>
      <c r="BTZ21" s="229">
        <v>0</v>
      </c>
      <c r="BUA21" s="229">
        <v>0</v>
      </c>
      <c r="BUB21" s="229">
        <v>0</v>
      </c>
      <c r="BUC21" s="229">
        <v>0</v>
      </c>
      <c r="BUD21" s="229">
        <v>0</v>
      </c>
      <c r="BUE21" s="229">
        <v>0</v>
      </c>
      <c r="BUF21" s="229">
        <v>0</v>
      </c>
      <c r="BUG21" s="229">
        <v>0</v>
      </c>
      <c r="BUH21" s="229">
        <v>0</v>
      </c>
      <c r="BUI21" s="229">
        <v>0</v>
      </c>
      <c r="BUJ21" s="229">
        <v>0</v>
      </c>
      <c r="BUK21" s="229">
        <v>0</v>
      </c>
      <c r="BUL21" s="229">
        <v>0</v>
      </c>
      <c r="BUM21" s="229">
        <v>0</v>
      </c>
      <c r="BUN21" s="229">
        <v>0</v>
      </c>
      <c r="BUO21" s="229">
        <v>0</v>
      </c>
      <c r="BUP21" s="229">
        <v>0</v>
      </c>
      <c r="BUQ21" s="229">
        <v>0</v>
      </c>
      <c r="BUR21" s="229">
        <v>0</v>
      </c>
      <c r="BUS21" s="229">
        <v>0</v>
      </c>
      <c r="BUT21" s="229">
        <v>0</v>
      </c>
      <c r="BUU21" s="229">
        <v>0</v>
      </c>
      <c r="BUV21" s="229">
        <v>0</v>
      </c>
      <c r="BUW21" s="229">
        <v>0</v>
      </c>
      <c r="BUX21" s="229">
        <v>0</v>
      </c>
      <c r="BUY21" s="229">
        <v>0</v>
      </c>
      <c r="BUZ21" s="229">
        <v>0</v>
      </c>
      <c r="BVA21" s="229">
        <v>0</v>
      </c>
      <c r="BVB21" s="229">
        <v>0</v>
      </c>
      <c r="BVC21" s="229">
        <v>0</v>
      </c>
      <c r="BVD21" s="229">
        <v>0</v>
      </c>
      <c r="BVE21" s="229">
        <v>0</v>
      </c>
      <c r="BVF21" s="229">
        <v>0</v>
      </c>
      <c r="BVG21" s="229">
        <v>0</v>
      </c>
      <c r="BVH21" s="229">
        <v>0</v>
      </c>
      <c r="BVI21" s="229">
        <v>0</v>
      </c>
      <c r="BVJ21" s="229">
        <v>0</v>
      </c>
      <c r="BVK21" s="229">
        <v>0</v>
      </c>
      <c r="BVL21" s="229">
        <v>0</v>
      </c>
      <c r="BVM21" s="229">
        <v>0</v>
      </c>
      <c r="BVN21" s="229">
        <v>0</v>
      </c>
      <c r="BVO21" s="229">
        <v>0</v>
      </c>
      <c r="BVP21" s="229">
        <v>0</v>
      </c>
      <c r="BVQ21" s="229">
        <v>0</v>
      </c>
      <c r="BVR21" s="229">
        <v>0</v>
      </c>
      <c r="BVS21" s="229">
        <v>0</v>
      </c>
      <c r="BVT21" s="229">
        <v>0</v>
      </c>
      <c r="BVU21" s="229">
        <v>0</v>
      </c>
      <c r="BVV21" s="229">
        <v>0</v>
      </c>
      <c r="BVW21" s="229">
        <v>0</v>
      </c>
      <c r="BVX21" s="229">
        <v>0</v>
      </c>
      <c r="BVY21" s="229">
        <v>0</v>
      </c>
      <c r="BVZ21" s="229">
        <v>0</v>
      </c>
      <c r="BWA21" s="229">
        <v>0</v>
      </c>
      <c r="BWB21" s="229">
        <v>0</v>
      </c>
      <c r="BWC21" s="229">
        <v>0</v>
      </c>
      <c r="BWD21" s="229">
        <v>0</v>
      </c>
      <c r="BWE21" s="229">
        <v>0</v>
      </c>
      <c r="BWF21" s="229">
        <v>0</v>
      </c>
      <c r="BWG21" s="229">
        <v>0</v>
      </c>
      <c r="BWH21" s="229">
        <v>0</v>
      </c>
      <c r="BWI21" s="229">
        <v>0</v>
      </c>
      <c r="BWJ21" s="229">
        <v>0</v>
      </c>
      <c r="BWK21" s="229">
        <v>0</v>
      </c>
      <c r="BWL21" s="229">
        <v>0</v>
      </c>
      <c r="BWM21" s="229">
        <v>0</v>
      </c>
      <c r="BWN21" s="229">
        <v>0</v>
      </c>
      <c r="BWO21" s="229">
        <v>0</v>
      </c>
      <c r="BWP21" s="229">
        <v>0</v>
      </c>
      <c r="BWQ21" s="229">
        <v>0</v>
      </c>
      <c r="BWR21" s="229">
        <v>0</v>
      </c>
      <c r="BWS21" s="229">
        <v>0</v>
      </c>
      <c r="BWT21" s="229">
        <v>0</v>
      </c>
      <c r="BWU21" s="229">
        <v>0</v>
      </c>
      <c r="BWV21" s="229">
        <v>0</v>
      </c>
      <c r="BWW21" s="229">
        <v>0</v>
      </c>
      <c r="BWX21" s="229">
        <v>0</v>
      </c>
      <c r="BWY21" s="229">
        <v>0</v>
      </c>
      <c r="BWZ21" s="229">
        <v>0</v>
      </c>
      <c r="BXA21" s="229">
        <v>0</v>
      </c>
      <c r="BXB21" s="229">
        <v>0</v>
      </c>
      <c r="BXC21" s="229">
        <v>0</v>
      </c>
      <c r="BXD21" s="229">
        <v>0</v>
      </c>
      <c r="BXE21" s="229">
        <v>0</v>
      </c>
      <c r="BXF21" s="229">
        <v>0</v>
      </c>
      <c r="BXG21" s="229">
        <v>0</v>
      </c>
      <c r="BXH21" s="229">
        <v>0</v>
      </c>
      <c r="BXI21" s="229">
        <v>0</v>
      </c>
      <c r="BXJ21" s="229">
        <v>0</v>
      </c>
      <c r="BXK21" s="229">
        <v>0</v>
      </c>
      <c r="BXL21" s="229">
        <v>0</v>
      </c>
      <c r="BXM21" s="229">
        <v>0</v>
      </c>
      <c r="BXN21" s="229">
        <v>0</v>
      </c>
      <c r="BXO21" s="229">
        <v>0</v>
      </c>
      <c r="BXP21" s="229">
        <v>0</v>
      </c>
      <c r="BXQ21" s="229">
        <v>0</v>
      </c>
      <c r="BXR21" s="229">
        <v>0</v>
      </c>
      <c r="BXS21" s="229">
        <v>0</v>
      </c>
      <c r="BXT21" s="229">
        <v>0</v>
      </c>
      <c r="BXU21" s="229">
        <v>0</v>
      </c>
      <c r="BXV21" s="229">
        <v>0</v>
      </c>
      <c r="BXW21" s="229">
        <v>0</v>
      </c>
      <c r="BXX21" s="229">
        <v>0</v>
      </c>
      <c r="BXY21" s="229">
        <v>0</v>
      </c>
      <c r="BXZ21" s="229">
        <v>0</v>
      </c>
      <c r="BYA21" s="229">
        <v>0</v>
      </c>
      <c r="BYB21" s="229">
        <v>0</v>
      </c>
      <c r="BYC21" s="229">
        <v>0</v>
      </c>
      <c r="BYD21" s="229">
        <v>0</v>
      </c>
      <c r="BYE21" s="229">
        <v>0</v>
      </c>
      <c r="BYF21" s="229">
        <v>0</v>
      </c>
      <c r="BYG21" s="229">
        <v>0</v>
      </c>
      <c r="BYH21" s="229">
        <v>0</v>
      </c>
      <c r="BYI21" s="229">
        <v>0</v>
      </c>
      <c r="BYJ21" s="229">
        <v>0</v>
      </c>
      <c r="BYK21" s="229">
        <v>0</v>
      </c>
      <c r="BYL21" s="229">
        <v>0</v>
      </c>
      <c r="BYM21" s="229">
        <v>0</v>
      </c>
      <c r="BYN21" s="229">
        <v>0</v>
      </c>
      <c r="BYO21" s="229">
        <v>0</v>
      </c>
      <c r="BYP21" s="229">
        <v>0</v>
      </c>
      <c r="BYQ21" s="229">
        <v>0</v>
      </c>
      <c r="BYR21" s="229">
        <v>0</v>
      </c>
      <c r="BYS21" s="229">
        <v>0</v>
      </c>
      <c r="BYT21" s="229">
        <v>0</v>
      </c>
      <c r="BYU21" s="229">
        <v>0</v>
      </c>
      <c r="BYV21" s="229">
        <v>0</v>
      </c>
      <c r="BYW21" s="229">
        <v>0</v>
      </c>
      <c r="BYX21" s="229">
        <v>0</v>
      </c>
      <c r="BYY21" s="229">
        <v>0</v>
      </c>
      <c r="BYZ21" s="229">
        <v>0</v>
      </c>
      <c r="BZA21" s="229">
        <v>0</v>
      </c>
      <c r="BZB21" s="229">
        <v>0</v>
      </c>
      <c r="BZC21" s="229">
        <v>0</v>
      </c>
      <c r="BZD21" s="229">
        <v>0</v>
      </c>
      <c r="BZE21" s="229">
        <v>0</v>
      </c>
      <c r="BZF21" s="229">
        <v>0</v>
      </c>
      <c r="BZG21" s="229">
        <v>0</v>
      </c>
      <c r="BZH21" s="229">
        <v>0</v>
      </c>
      <c r="BZI21" s="229">
        <v>0</v>
      </c>
      <c r="BZJ21" s="229">
        <v>0</v>
      </c>
      <c r="BZK21" s="229">
        <v>0</v>
      </c>
      <c r="BZL21" s="229">
        <v>0</v>
      </c>
      <c r="BZM21" s="229">
        <v>0</v>
      </c>
      <c r="BZN21" s="229">
        <v>0</v>
      </c>
      <c r="BZO21" s="229">
        <v>0</v>
      </c>
      <c r="BZP21" s="229">
        <v>0</v>
      </c>
      <c r="BZQ21" s="229">
        <v>0</v>
      </c>
      <c r="BZR21" s="229">
        <v>0</v>
      </c>
      <c r="BZS21" s="229">
        <v>0</v>
      </c>
      <c r="BZT21" s="229">
        <v>0</v>
      </c>
      <c r="BZU21" s="229">
        <v>0</v>
      </c>
      <c r="BZV21" s="229">
        <v>0</v>
      </c>
      <c r="BZW21" s="229">
        <v>0</v>
      </c>
      <c r="BZX21" s="229">
        <v>0</v>
      </c>
      <c r="BZY21" s="229">
        <v>0</v>
      </c>
      <c r="BZZ21" s="229">
        <v>0</v>
      </c>
      <c r="CAA21" s="229">
        <v>0</v>
      </c>
      <c r="CAB21" s="229">
        <v>0</v>
      </c>
      <c r="CAC21" s="229">
        <v>0</v>
      </c>
      <c r="CAD21" s="229">
        <v>0</v>
      </c>
      <c r="CAE21" s="229">
        <v>0</v>
      </c>
      <c r="CAF21" s="229">
        <v>0</v>
      </c>
      <c r="CAG21" s="229">
        <v>0</v>
      </c>
      <c r="CAH21" s="229">
        <v>0</v>
      </c>
      <c r="CAI21" s="229">
        <v>0</v>
      </c>
      <c r="CAJ21" s="229">
        <v>0</v>
      </c>
      <c r="CAK21" s="229">
        <v>0</v>
      </c>
      <c r="CAL21" s="229">
        <v>0</v>
      </c>
      <c r="CAM21" s="229">
        <v>0</v>
      </c>
      <c r="CAN21" s="229">
        <v>0</v>
      </c>
      <c r="CAO21" s="229">
        <v>0</v>
      </c>
      <c r="CAP21" s="229">
        <v>0</v>
      </c>
      <c r="CAQ21" s="229">
        <v>0</v>
      </c>
      <c r="CAR21" s="229">
        <v>0</v>
      </c>
      <c r="CAS21" s="229">
        <v>0</v>
      </c>
      <c r="CAT21" s="229">
        <v>0</v>
      </c>
      <c r="CAU21" s="229">
        <v>0</v>
      </c>
      <c r="CAV21" s="229">
        <v>0</v>
      </c>
      <c r="CAW21" s="229">
        <v>0</v>
      </c>
      <c r="CAX21" s="229">
        <v>0</v>
      </c>
      <c r="CAY21" s="229">
        <v>0</v>
      </c>
      <c r="CAZ21" s="229">
        <v>0</v>
      </c>
      <c r="CBA21" s="229">
        <v>0</v>
      </c>
      <c r="CBB21" s="229">
        <v>0</v>
      </c>
      <c r="CBC21" s="229">
        <v>0</v>
      </c>
      <c r="CBD21" s="229">
        <v>0</v>
      </c>
      <c r="CBE21" s="229">
        <v>0</v>
      </c>
      <c r="CBF21" s="229">
        <v>0</v>
      </c>
      <c r="CBG21" s="229">
        <v>0</v>
      </c>
      <c r="CBH21" s="229">
        <v>0</v>
      </c>
      <c r="CBI21" s="229">
        <v>0</v>
      </c>
      <c r="CBJ21" s="229">
        <v>0</v>
      </c>
      <c r="CBK21" s="229">
        <v>0</v>
      </c>
      <c r="CBL21" s="229">
        <v>0</v>
      </c>
      <c r="CBM21" s="229">
        <v>0</v>
      </c>
      <c r="CBN21" s="229">
        <v>0</v>
      </c>
      <c r="CBO21" s="229">
        <v>0</v>
      </c>
      <c r="CBP21" s="229">
        <v>0</v>
      </c>
      <c r="CBQ21" s="229">
        <v>0</v>
      </c>
      <c r="CBR21" s="229">
        <v>0</v>
      </c>
      <c r="CBS21" s="229">
        <v>0</v>
      </c>
      <c r="CBT21" s="229">
        <v>0</v>
      </c>
      <c r="CBU21" s="229">
        <v>0</v>
      </c>
      <c r="CBV21" s="229">
        <v>0</v>
      </c>
      <c r="CBW21" s="229">
        <v>0</v>
      </c>
      <c r="CBX21" s="229">
        <v>0</v>
      </c>
      <c r="CBY21" s="229">
        <v>0</v>
      </c>
      <c r="CBZ21" s="229">
        <v>0</v>
      </c>
      <c r="CCA21" s="229">
        <v>0</v>
      </c>
      <c r="CCB21" s="229">
        <v>0</v>
      </c>
      <c r="CCC21" s="229">
        <v>0</v>
      </c>
      <c r="CCD21" s="229">
        <v>0</v>
      </c>
      <c r="CCE21" s="229">
        <v>0</v>
      </c>
      <c r="CCF21" s="229">
        <v>0</v>
      </c>
      <c r="CCG21" s="229">
        <v>0</v>
      </c>
      <c r="CCH21" s="229">
        <v>0</v>
      </c>
      <c r="CCI21" s="229">
        <v>0</v>
      </c>
      <c r="CCJ21" s="229">
        <v>0</v>
      </c>
      <c r="CCK21" s="229">
        <v>0</v>
      </c>
      <c r="CCL21" s="229">
        <v>0</v>
      </c>
      <c r="CCM21" s="229">
        <v>0</v>
      </c>
      <c r="CCN21" s="229">
        <v>0</v>
      </c>
      <c r="CCO21" s="229">
        <v>0</v>
      </c>
      <c r="CCP21" s="229">
        <v>0</v>
      </c>
      <c r="CCQ21" s="229">
        <v>0</v>
      </c>
      <c r="CCR21" s="229">
        <v>0</v>
      </c>
      <c r="CCS21" s="229">
        <v>0</v>
      </c>
      <c r="CCT21" s="229">
        <v>0</v>
      </c>
      <c r="CCU21" s="229">
        <v>0</v>
      </c>
      <c r="CCV21" s="229">
        <v>0</v>
      </c>
      <c r="CCW21" s="229">
        <v>0</v>
      </c>
      <c r="CCX21" s="229">
        <v>0</v>
      </c>
      <c r="CCY21" s="229">
        <v>0</v>
      </c>
      <c r="CCZ21" s="229">
        <v>0</v>
      </c>
      <c r="CDA21" s="229">
        <v>0</v>
      </c>
      <c r="CDB21" s="229">
        <v>0</v>
      </c>
      <c r="CDC21" s="229">
        <v>0</v>
      </c>
      <c r="CDD21" s="229">
        <v>0</v>
      </c>
      <c r="CDE21" s="229">
        <v>0</v>
      </c>
      <c r="CDF21" s="229">
        <v>0</v>
      </c>
      <c r="CDG21" s="229">
        <v>0</v>
      </c>
      <c r="CDH21" s="229">
        <v>0</v>
      </c>
      <c r="CDI21" s="229">
        <v>0</v>
      </c>
      <c r="CDJ21" s="229">
        <v>0</v>
      </c>
      <c r="CDK21" s="229">
        <v>0</v>
      </c>
      <c r="CDL21" s="229">
        <v>0</v>
      </c>
      <c r="CDM21" s="229">
        <v>0</v>
      </c>
      <c r="CDN21" s="229">
        <v>0</v>
      </c>
      <c r="CDO21" s="229">
        <v>0</v>
      </c>
      <c r="CDP21" s="229">
        <v>0</v>
      </c>
      <c r="CDQ21" s="229">
        <v>0</v>
      </c>
      <c r="CDR21" s="229">
        <v>0</v>
      </c>
      <c r="CDS21" s="229">
        <v>0</v>
      </c>
      <c r="CDT21" s="229">
        <v>0</v>
      </c>
      <c r="CDU21" s="229">
        <v>0</v>
      </c>
      <c r="CDV21" s="229">
        <v>0</v>
      </c>
      <c r="CDW21" s="229">
        <v>0</v>
      </c>
      <c r="CDX21" s="229">
        <v>0</v>
      </c>
      <c r="CDY21" s="229">
        <v>0</v>
      </c>
      <c r="CDZ21" s="229">
        <v>0</v>
      </c>
      <c r="CEA21" s="229">
        <v>0</v>
      </c>
      <c r="CEB21" s="229">
        <v>0</v>
      </c>
      <c r="CEC21" s="229">
        <v>0</v>
      </c>
      <c r="CED21" s="229">
        <v>0</v>
      </c>
      <c r="CEE21" s="229">
        <v>0</v>
      </c>
      <c r="CEF21" s="229">
        <v>0</v>
      </c>
      <c r="CEG21" s="229">
        <v>0</v>
      </c>
      <c r="CEH21" s="229">
        <v>0</v>
      </c>
      <c r="CEI21" s="229">
        <v>0</v>
      </c>
      <c r="CEJ21" s="229">
        <v>0</v>
      </c>
      <c r="CEK21" s="229">
        <v>0</v>
      </c>
      <c r="CEL21" s="229">
        <v>0</v>
      </c>
      <c r="CEM21" s="229">
        <v>0</v>
      </c>
      <c r="CEN21" s="229">
        <v>0</v>
      </c>
      <c r="CEO21" s="229">
        <v>0</v>
      </c>
      <c r="CEP21" s="229">
        <v>0</v>
      </c>
      <c r="CEQ21" s="229">
        <v>0</v>
      </c>
      <c r="CER21" s="229">
        <v>0</v>
      </c>
      <c r="CES21" s="229">
        <v>0</v>
      </c>
      <c r="CET21" s="229">
        <v>0</v>
      </c>
      <c r="CEU21" s="229">
        <v>0</v>
      </c>
      <c r="CEV21" s="229">
        <v>0</v>
      </c>
      <c r="CEW21" s="229">
        <v>0</v>
      </c>
      <c r="CEX21" s="229">
        <v>0</v>
      </c>
      <c r="CEY21" s="229">
        <v>0</v>
      </c>
      <c r="CEZ21" s="229">
        <v>0</v>
      </c>
      <c r="CFA21" s="229">
        <v>0</v>
      </c>
      <c r="CFB21" s="229">
        <v>0</v>
      </c>
      <c r="CFC21" s="229">
        <v>0</v>
      </c>
      <c r="CFD21" s="229">
        <v>0</v>
      </c>
      <c r="CFE21" s="229">
        <v>0</v>
      </c>
      <c r="CFF21" s="229">
        <v>0</v>
      </c>
      <c r="CFG21" s="229">
        <v>0</v>
      </c>
      <c r="CFH21" s="229">
        <v>0</v>
      </c>
      <c r="CFI21" s="229">
        <v>0</v>
      </c>
      <c r="CFJ21" s="229">
        <v>0</v>
      </c>
      <c r="CFK21" s="229">
        <v>0</v>
      </c>
      <c r="CFL21" s="229">
        <v>0</v>
      </c>
      <c r="CFM21" s="229">
        <v>0</v>
      </c>
      <c r="CFN21" s="229">
        <v>0</v>
      </c>
      <c r="CFO21" s="229">
        <v>0</v>
      </c>
      <c r="CFP21" s="229">
        <v>0</v>
      </c>
      <c r="CFQ21" s="229">
        <v>0</v>
      </c>
      <c r="CFR21" s="229">
        <v>0</v>
      </c>
      <c r="CFS21" s="229">
        <v>0</v>
      </c>
      <c r="CFT21" s="229">
        <v>0</v>
      </c>
      <c r="CFU21" s="229">
        <v>0</v>
      </c>
      <c r="CFV21" s="229">
        <v>0</v>
      </c>
      <c r="CFW21" s="229">
        <v>0</v>
      </c>
      <c r="CFX21" s="229">
        <v>0</v>
      </c>
      <c r="CFY21" s="229">
        <v>0</v>
      </c>
      <c r="CFZ21" s="229">
        <v>0</v>
      </c>
      <c r="CGA21" s="229">
        <v>0</v>
      </c>
      <c r="CGB21" s="229">
        <v>0</v>
      </c>
      <c r="CGC21" s="229">
        <v>0</v>
      </c>
      <c r="CGD21" s="229">
        <v>0</v>
      </c>
      <c r="CGE21" s="229">
        <v>0</v>
      </c>
      <c r="CGF21" s="229">
        <v>0</v>
      </c>
      <c r="CGG21" s="229">
        <v>0</v>
      </c>
      <c r="CGH21" s="229">
        <v>0</v>
      </c>
      <c r="CGI21" s="229">
        <v>0</v>
      </c>
      <c r="CGJ21" s="229">
        <v>0</v>
      </c>
      <c r="CGK21" s="229">
        <v>0</v>
      </c>
      <c r="CGL21" s="229">
        <v>0</v>
      </c>
      <c r="CGM21" s="229">
        <v>0</v>
      </c>
      <c r="CGN21" s="229">
        <v>0</v>
      </c>
      <c r="CGO21" s="229">
        <v>0</v>
      </c>
      <c r="CGP21" s="229">
        <v>0</v>
      </c>
      <c r="CGQ21" s="229">
        <v>0</v>
      </c>
      <c r="CGR21" s="229">
        <v>0</v>
      </c>
      <c r="CGS21" s="229">
        <v>0</v>
      </c>
      <c r="CGT21" s="229">
        <v>0</v>
      </c>
      <c r="CGU21" s="229">
        <v>0</v>
      </c>
      <c r="CGV21" s="229">
        <v>0</v>
      </c>
      <c r="CGW21" s="229">
        <v>0</v>
      </c>
      <c r="CGX21" s="229">
        <v>0</v>
      </c>
      <c r="CGY21" s="229">
        <v>0</v>
      </c>
      <c r="CGZ21" s="229">
        <v>0</v>
      </c>
      <c r="CHA21" s="229">
        <v>0</v>
      </c>
      <c r="CHB21" s="229">
        <v>0</v>
      </c>
      <c r="CHC21" s="229">
        <v>0</v>
      </c>
      <c r="CHD21" s="229">
        <v>0</v>
      </c>
      <c r="CHE21" s="229">
        <v>0</v>
      </c>
      <c r="CHF21" s="229">
        <v>0</v>
      </c>
      <c r="CHG21" s="229">
        <v>0</v>
      </c>
      <c r="CHH21" s="229">
        <v>0</v>
      </c>
      <c r="CHI21" s="229">
        <v>0</v>
      </c>
      <c r="CHJ21" s="229">
        <v>0</v>
      </c>
      <c r="CHK21" s="229">
        <v>0</v>
      </c>
      <c r="CHL21" s="229">
        <v>0</v>
      </c>
      <c r="CHM21" s="229">
        <v>0</v>
      </c>
      <c r="CHN21" s="229">
        <v>0</v>
      </c>
      <c r="CHO21" s="229">
        <v>0</v>
      </c>
      <c r="CHP21" s="229">
        <v>0</v>
      </c>
      <c r="CHQ21" s="229">
        <v>0</v>
      </c>
      <c r="CHR21" s="229">
        <v>0</v>
      </c>
      <c r="CHS21" s="229">
        <v>0</v>
      </c>
      <c r="CHT21" s="229">
        <v>0</v>
      </c>
      <c r="CHU21" s="229">
        <v>0</v>
      </c>
      <c r="CHV21" s="229">
        <v>0</v>
      </c>
      <c r="CHW21" s="229">
        <v>0</v>
      </c>
      <c r="CHX21" s="229">
        <v>0</v>
      </c>
      <c r="CHY21" s="229">
        <v>0</v>
      </c>
      <c r="CHZ21" s="229">
        <v>0</v>
      </c>
      <c r="CIA21" s="229">
        <v>0</v>
      </c>
      <c r="CIB21" s="229">
        <v>0</v>
      </c>
      <c r="CIC21" s="229">
        <v>0</v>
      </c>
      <c r="CID21" s="229">
        <v>0</v>
      </c>
      <c r="CIE21" s="229">
        <v>0</v>
      </c>
      <c r="CIF21" s="229">
        <v>0</v>
      </c>
      <c r="CIG21" s="229">
        <v>0</v>
      </c>
      <c r="CIH21" s="229">
        <v>0</v>
      </c>
      <c r="CII21" s="229">
        <v>0</v>
      </c>
      <c r="CIJ21" s="229">
        <v>0</v>
      </c>
      <c r="CIK21" s="229">
        <v>0</v>
      </c>
      <c r="CIL21" s="229">
        <v>0</v>
      </c>
      <c r="CIM21" s="229">
        <v>0</v>
      </c>
      <c r="CIN21" s="229">
        <v>0</v>
      </c>
      <c r="CIO21" s="229">
        <v>0</v>
      </c>
      <c r="CIP21" s="229">
        <v>0</v>
      </c>
      <c r="CIQ21" s="229">
        <v>0</v>
      </c>
      <c r="CIR21" s="229">
        <v>0</v>
      </c>
      <c r="CIS21" s="229">
        <v>0</v>
      </c>
      <c r="CIT21" s="229">
        <v>0</v>
      </c>
      <c r="CIU21" s="229">
        <v>0</v>
      </c>
      <c r="CIV21" s="229">
        <v>0</v>
      </c>
      <c r="CIW21" s="229">
        <v>0</v>
      </c>
      <c r="CIX21" s="229">
        <v>0</v>
      </c>
      <c r="CIY21" s="229">
        <v>0</v>
      </c>
      <c r="CIZ21" s="229">
        <v>0</v>
      </c>
      <c r="CJA21" s="229">
        <v>0</v>
      </c>
      <c r="CJB21" s="229">
        <v>0</v>
      </c>
      <c r="CJC21" s="229">
        <v>0</v>
      </c>
      <c r="CJD21" s="229">
        <v>0</v>
      </c>
      <c r="CJE21" s="229">
        <v>0</v>
      </c>
      <c r="CJF21" s="229">
        <v>0</v>
      </c>
      <c r="CJG21" s="229">
        <v>0</v>
      </c>
      <c r="CJH21" s="229">
        <v>0</v>
      </c>
      <c r="CJI21" s="229">
        <v>0</v>
      </c>
      <c r="CJJ21" s="229">
        <v>0</v>
      </c>
      <c r="CJK21" s="229">
        <v>0</v>
      </c>
      <c r="CJL21" s="229">
        <v>0</v>
      </c>
      <c r="CJM21" s="229">
        <v>0</v>
      </c>
      <c r="CJN21" s="229">
        <v>0</v>
      </c>
      <c r="CJO21" s="229">
        <v>0</v>
      </c>
      <c r="CJP21" s="229">
        <v>0</v>
      </c>
      <c r="CJQ21" s="229">
        <v>0</v>
      </c>
      <c r="CJR21" s="229">
        <v>0</v>
      </c>
      <c r="CJS21" s="229">
        <v>0</v>
      </c>
      <c r="CJT21" s="229">
        <v>0</v>
      </c>
      <c r="CJU21" s="229">
        <v>0</v>
      </c>
      <c r="CJV21" s="229">
        <v>0</v>
      </c>
      <c r="CJW21" s="229">
        <v>0</v>
      </c>
      <c r="CJX21" s="229">
        <v>0</v>
      </c>
      <c r="CJY21" s="229">
        <v>0</v>
      </c>
      <c r="CJZ21" s="229">
        <v>0</v>
      </c>
      <c r="CKA21" s="229">
        <v>0</v>
      </c>
      <c r="CKB21" s="229">
        <v>0</v>
      </c>
      <c r="CKC21" s="229">
        <v>0</v>
      </c>
      <c r="CKD21" s="229">
        <v>0</v>
      </c>
      <c r="CKE21" s="229">
        <v>0</v>
      </c>
      <c r="CKF21" s="229">
        <v>0</v>
      </c>
      <c r="CKG21" s="229">
        <v>0</v>
      </c>
      <c r="CKH21" s="229">
        <v>0</v>
      </c>
      <c r="CKI21" s="229">
        <v>0</v>
      </c>
      <c r="CKJ21" s="229">
        <v>0</v>
      </c>
      <c r="CKK21" s="229">
        <v>0</v>
      </c>
      <c r="CKL21" s="229">
        <v>0</v>
      </c>
      <c r="CKM21" s="229">
        <v>0</v>
      </c>
      <c r="CKN21" s="229">
        <v>0</v>
      </c>
      <c r="CKO21" s="229">
        <v>0</v>
      </c>
      <c r="CKP21" s="229">
        <v>0</v>
      </c>
      <c r="CKQ21" s="229">
        <v>0</v>
      </c>
      <c r="CKR21" s="229">
        <v>0</v>
      </c>
      <c r="CKS21" s="229">
        <v>0</v>
      </c>
      <c r="CKT21" s="229">
        <v>0</v>
      </c>
      <c r="CKU21" s="229">
        <v>0</v>
      </c>
      <c r="CKV21" s="229">
        <v>0</v>
      </c>
      <c r="CKW21" s="229">
        <v>0</v>
      </c>
      <c r="CKX21" s="229">
        <v>0</v>
      </c>
      <c r="CKY21" s="229">
        <v>0</v>
      </c>
      <c r="CKZ21" s="229">
        <v>0</v>
      </c>
      <c r="CLA21" s="229">
        <v>0</v>
      </c>
      <c r="CLB21" s="229">
        <v>0</v>
      </c>
      <c r="CLC21" s="229">
        <v>0</v>
      </c>
      <c r="CLD21" s="229">
        <v>0</v>
      </c>
      <c r="CLE21" s="229">
        <v>0</v>
      </c>
      <c r="CLF21" s="229">
        <v>0</v>
      </c>
      <c r="CLG21" s="229">
        <v>0</v>
      </c>
      <c r="CLH21" s="229">
        <v>0</v>
      </c>
      <c r="CLI21" s="229">
        <v>0</v>
      </c>
      <c r="CLJ21" s="229">
        <v>0</v>
      </c>
      <c r="CLK21" s="229">
        <v>0</v>
      </c>
      <c r="CLL21" s="229">
        <v>0</v>
      </c>
      <c r="CLM21" s="229">
        <v>0</v>
      </c>
      <c r="CLN21" s="229">
        <v>0</v>
      </c>
      <c r="CLO21" s="229">
        <v>0</v>
      </c>
      <c r="CLP21" s="229">
        <v>0</v>
      </c>
      <c r="CLQ21" s="229">
        <v>0</v>
      </c>
      <c r="CLR21" s="229">
        <v>0</v>
      </c>
      <c r="CLS21" s="229">
        <v>0</v>
      </c>
      <c r="CLT21" s="229">
        <v>0</v>
      </c>
      <c r="CLU21" s="229">
        <v>0</v>
      </c>
      <c r="CLV21" s="229">
        <v>0</v>
      </c>
      <c r="CLW21" s="229">
        <v>0</v>
      </c>
      <c r="CLX21" s="229">
        <v>0</v>
      </c>
      <c r="CLY21" s="229">
        <v>0</v>
      </c>
      <c r="CLZ21" s="229">
        <v>0</v>
      </c>
      <c r="CMA21" s="229">
        <v>0</v>
      </c>
      <c r="CMB21" s="229">
        <v>0</v>
      </c>
      <c r="CMC21" s="229">
        <v>0</v>
      </c>
      <c r="CMD21" s="229">
        <v>0</v>
      </c>
      <c r="CME21" s="229">
        <v>0</v>
      </c>
      <c r="CMF21" s="229">
        <v>0</v>
      </c>
      <c r="CMG21" s="229">
        <v>0</v>
      </c>
      <c r="CMH21" s="229">
        <v>0</v>
      </c>
      <c r="CMI21" s="229">
        <v>0</v>
      </c>
      <c r="CMJ21" s="229">
        <v>0</v>
      </c>
      <c r="CMK21" s="229">
        <v>0</v>
      </c>
      <c r="CML21" s="229">
        <v>0</v>
      </c>
      <c r="CMM21" s="229">
        <v>0</v>
      </c>
      <c r="CMN21" s="229">
        <v>0</v>
      </c>
      <c r="CMO21" s="229">
        <v>0</v>
      </c>
      <c r="CMP21" s="229">
        <v>0</v>
      </c>
      <c r="CMQ21" s="229">
        <v>0</v>
      </c>
      <c r="CMR21" s="229">
        <v>0</v>
      </c>
      <c r="CMS21" s="229">
        <v>0</v>
      </c>
      <c r="CMT21" s="229">
        <v>0</v>
      </c>
      <c r="CMU21" s="229">
        <v>0</v>
      </c>
      <c r="CMV21" s="229">
        <v>0</v>
      </c>
      <c r="CMW21" s="229">
        <v>0</v>
      </c>
      <c r="CMX21" s="229">
        <v>0</v>
      </c>
      <c r="CMY21" s="229">
        <v>0</v>
      </c>
      <c r="CMZ21" s="229">
        <v>0</v>
      </c>
      <c r="CNA21" s="229">
        <v>0</v>
      </c>
      <c r="CNB21" s="229">
        <v>0</v>
      </c>
      <c r="CNC21" s="229">
        <v>0</v>
      </c>
      <c r="CND21" s="229">
        <v>0</v>
      </c>
      <c r="CNE21" s="229">
        <v>0</v>
      </c>
      <c r="CNF21" s="229">
        <v>0</v>
      </c>
      <c r="CNG21" s="229">
        <v>0</v>
      </c>
      <c r="CNH21" s="229">
        <v>0</v>
      </c>
      <c r="CNI21" s="229">
        <v>0</v>
      </c>
      <c r="CNJ21" s="229">
        <v>0</v>
      </c>
      <c r="CNK21" s="229">
        <v>0</v>
      </c>
      <c r="CNL21" s="229">
        <v>0</v>
      </c>
      <c r="CNM21" s="229">
        <v>0</v>
      </c>
      <c r="CNN21" s="229">
        <v>0</v>
      </c>
      <c r="CNO21" s="229">
        <v>0</v>
      </c>
      <c r="CNP21" s="229">
        <v>0</v>
      </c>
      <c r="CNQ21" s="229">
        <v>0</v>
      </c>
      <c r="CNR21" s="229">
        <v>0</v>
      </c>
      <c r="CNS21" s="229">
        <v>0</v>
      </c>
      <c r="CNT21" s="229">
        <v>0</v>
      </c>
      <c r="CNU21" s="229">
        <v>0</v>
      </c>
      <c r="CNV21" s="229">
        <v>0</v>
      </c>
      <c r="CNW21" s="229">
        <v>0</v>
      </c>
      <c r="CNX21" s="229">
        <v>0</v>
      </c>
      <c r="CNY21" s="229">
        <v>0</v>
      </c>
      <c r="CNZ21" s="229">
        <v>0</v>
      </c>
      <c r="COA21" s="229">
        <v>0</v>
      </c>
      <c r="COB21" s="229">
        <v>0</v>
      </c>
      <c r="COC21" s="229">
        <v>0</v>
      </c>
      <c r="COD21" s="229">
        <v>0</v>
      </c>
      <c r="COE21" s="229">
        <v>0</v>
      </c>
      <c r="COF21" s="229">
        <v>0</v>
      </c>
      <c r="COG21" s="229">
        <v>0</v>
      </c>
      <c r="COH21" s="229">
        <v>0</v>
      </c>
      <c r="COI21" s="229">
        <v>0</v>
      </c>
      <c r="COJ21" s="229">
        <v>0</v>
      </c>
      <c r="COK21" s="229">
        <v>0</v>
      </c>
      <c r="COL21" s="229">
        <v>0</v>
      </c>
      <c r="COM21" s="229">
        <v>0</v>
      </c>
      <c r="CON21" s="229">
        <v>0</v>
      </c>
      <c r="COO21" s="229">
        <v>0</v>
      </c>
      <c r="COP21" s="229">
        <v>0</v>
      </c>
      <c r="COQ21" s="229">
        <v>0</v>
      </c>
      <c r="COR21" s="229">
        <v>0</v>
      </c>
      <c r="COS21" s="229">
        <v>0</v>
      </c>
      <c r="COT21" s="229">
        <v>0</v>
      </c>
      <c r="COU21" s="229">
        <v>0</v>
      </c>
      <c r="COV21" s="229">
        <v>0</v>
      </c>
      <c r="COW21" s="229">
        <v>0</v>
      </c>
      <c r="COX21" s="229">
        <v>0</v>
      </c>
      <c r="COY21" s="229">
        <v>0</v>
      </c>
      <c r="COZ21" s="229">
        <v>0</v>
      </c>
      <c r="CPA21" s="229">
        <v>0</v>
      </c>
      <c r="CPB21" s="229">
        <v>0</v>
      </c>
      <c r="CPC21" s="229">
        <v>0</v>
      </c>
      <c r="CPD21" s="229">
        <v>0</v>
      </c>
      <c r="CPE21" s="229">
        <v>0</v>
      </c>
      <c r="CPF21" s="229">
        <v>0</v>
      </c>
      <c r="CPG21" s="229">
        <v>0</v>
      </c>
      <c r="CPH21" s="229">
        <v>0</v>
      </c>
      <c r="CPI21" s="229">
        <v>0</v>
      </c>
      <c r="CPJ21" s="229">
        <v>0</v>
      </c>
      <c r="CPK21" s="229">
        <v>0</v>
      </c>
      <c r="CPL21" s="229">
        <v>0</v>
      </c>
      <c r="CPM21" s="229">
        <v>0</v>
      </c>
      <c r="CPN21" s="229">
        <v>0</v>
      </c>
      <c r="CPO21" s="229">
        <v>0</v>
      </c>
      <c r="CPP21" s="229">
        <v>0</v>
      </c>
      <c r="CPQ21" s="229">
        <v>0</v>
      </c>
      <c r="CPR21" s="229">
        <v>0</v>
      </c>
      <c r="CPS21" s="229">
        <v>0</v>
      </c>
      <c r="CPT21" s="229">
        <v>0</v>
      </c>
      <c r="CPU21" s="229">
        <v>0</v>
      </c>
      <c r="CPV21" s="229">
        <v>0</v>
      </c>
      <c r="CPW21" s="229">
        <v>0</v>
      </c>
      <c r="CPX21" s="229">
        <v>0</v>
      </c>
      <c r="CPY21" s="229">
        <v>0</v>
      </c>
      <c r="CPZ21" s="229">
        <v>0</v>
      </c>
      <c r="CQA21" s="229">
        <v>0</v>
      </c>
      <c r="CQB21" s="229">
        <v>0</v>
      </c>
      <c r="CQC21" s="229">
        <v>0</v>
      </c>
      <c r="CQD21" s="229">
        <v>0</v>
      </c>
      <c r="CQE21" s="229">
        <v>0</v>
      </c>
      <c r="CQF21" s="229">
        <v>0</v>
      </c>
      <c r="CQG21" s="229">
        <v>0</v>
      </c>
      <c r="CQH21" s="229">
        <v>0</v>
      </c>
      <c r="CQI21" s="229">
        <v>0</v>
      </c>
      <c r="CQJ21" s="229">
        <v>0</v>
      </c>
      <c r="CQK21" s="229">
        <v>0</v>
      </c>
      <c r="CQL21" s="229">
        <v>0</v>
      </c>
      <c r="CQM21" s="229">
        <v>0</v>
      </c>
      <c r="CQN21" s="229">
        <v>0</v>
      </c>
      <c r="CQO21" s="229">
        <v>0</v>
      </c>
      <c r="CQP21" s="229">
        <v>0</v>
      </c>
      <c r="CQQ21" s="229">
        <v>0</v>
      </c>
      <c r="CQR21" s="229">
        <v>0</v>
      </c>
      <c r="CQS21" s="229">
        <v>0</v>
      </c>
      <c r="CQT21" s="229">
        <v>0</v>
      </c>
      <c r="CQU21" s="229">
        <v>0</v>
      </c>
      <c r="CQV21" s="229">
        <v>0</v>
      </c>
      <c r="CQW21" s="229">
        <v>0</v>
      </c>
      <c r="CQX21" s="229">
        <v>0</v>
      </c>
      <c r="CQY21" s="229">
        <v>0</v>
      </c>
      <c r="CQZ21" s="229">
        <v>0</v>
      </c>
      <c r="CRA21" s="229">
        <v>0</v>
      </c>
      <c r="CRB21" s="229">
        <v>0</v>
      </c>
      <c r="CRC21" s="229">
        <v>0</v>
      </c>
      <c r="CRD21" s="229">
        <v>0</v>
      </c>
      <c r="CRE21" s="229">
        <v>0</v>
      </c>
      <c r="CRF21" s="229">
        <v>0</v>
      </c>
      <c r="CRG21" s="229">
        <v>0</v>
      </c>
      <c r="CRH21" s="229">
        <v>0</v>
      </c>
      <c r="CRI21" s="229">
        <v>0</v>
      </c>
      <c r="CRJ21" s="229">
        <v>0</v>
      </c>
      <c r="CRK21" s="229">
        <v>0</v>
      </c>
      <c r="CRL21" s="229">
        <v>0</v>
      </c>
      <c r="CRM21" s="229">
        <v>0</v>
      </c>
      <c r="CRN21" s="229">
        <v>0</v>
      </c>
      <c r="CRO21" s="229">
        <v>0</v>
      </c>
      <c r="CRP21" s="229">
        <v>0</v>
      </c>
      <c r="CRQ21" s="229">
        <v>0</v>
      </c>
      <c r="CRR21" s="229">
        <v>0</v>
      </c>
      <c r="CRS21" s="229">
        <v>0</v>
      </c>
      <c r="CRT21" s="229">
        <v>0</v>
      </c>
      <c r="CRU21" s="229">
        <v>0</v>
      </c>
      <c r="CRV21" s="229">
        <v>0</v>
      </c>
      <c r="CRW21" s="229">
        <v>0</v>
      </c>
      <c r="CRX21" s="229">
        <v>0</v>
      </c>
      <c r="CRY21" s="229">
        <v>0</v>
      </c>
      <c r="CRZ21" s="229">
        <v>0</v>
      </c>
      <c r="CSA21" s="229">
        <v>0</v>
      </c>
      <c r="CSB21" s="229">
        <v>0</v>
      </c>
      <c r="CSC21" s="229">
        <v>0</v>
      </c>
      <c r="CSD21" s="229">
        <v>0</v>
      </c>
      <c r="CSE21" s="229">
        <v>0</v>
      </c>
      <c r="CSF21" s="229">
        <v>0</v>
      </c>
      <c r="CSG21" s="229">
        <v>0</v>
      </c>
      <c r="CSH21" s="229">
        <v>0</v>
      </c>
      <c r="CSI21" s="229">
        <v>0</v>
      </c>
      <c r="CSJ21" s="229">
        <v>0</v>
      </c>
      <c r="CSK21" s="229">
        <v>0</v>
      </c>
      <c r="CSL21" s="229">
        <v>0</v>
      </c>
      <c r="CSM21" s="229">
        <v>0</v>
      </c>
      <c r="CSN21" s="229">
        <v>0</v>
      </c>
      <c r="CSO21" s="229">
        <v>0</v>
      </c>
      <c r="CSP21" s="229">
        <v>0</v>
      </c>
      <c r="CSQ21" s="229">
        <v>0</v>
      </c>
      <c r="CSR21" s="229">
        <v>0</v>
      </c>
      <c r="CSS21" s="229">
        <v>0</v>
      </c>
      <c r="CST21" s="229">
        <v>0</v>
      </c>
      <c r="CSU21" s="229">
        <v>0</v>
      </c>
      <c r="CSV21" s="229">
        <v>0</v>
      </c>
      <c r="CSW21" s="229">
        <v>0</v>
      </c>
      <c r="CSX21" s="229">
        <v>0</v>
      </c>
      <c r="CSY21" s="229">
        <v>0</v>
      </c>
      <c r="CSZ21" s="229">
        <v>0</v>
      </c>
      <c r="CTA21" s="229">
        <v>0</v>
      </c>
      <c r="CTB21" s="229">
        <v>0</v>
      </c>
      <c r="CTC21" s="229">
        <v>0</v>
      </c>
      <c r="CTD21" s="229">
        <v>0</v>
      </c>
      <c r="CTE21" s="229">
        <v>0</v>
      </c>
      <c r="CTF21" s="229">
        <v>0</v>
      </c>
      <c r="CTG21" s="229">
        <v>0</v>
      </c>
      <c r="CTH21" s="229">
        <v>0</v>
      </c>
      <c r="CTI21" s="229">
        <v>0</v>
      </c>
      <c r="CTJ21" s="229">
        <v>0</v>
      </c>
      <c r="CTK21" s="229">
        <v>0</v>
      </c>
      <c r="CTL21" s="229">
        <v>0</v>
      </c>
      <c r="CTM21" s="229">
        <v>0</v>
      </c>
      <c r="CTN21" s="229">
        <v>0</v>
      </c>
      <c r="CTO21" s="229">
        <v>0</v>
      </c>
      <c r="CTP21" s="229">
        <v>0</v>
      </c>
      <c r="CTQ21" s="229">
        <v>0</v>
      </c>
      <c r="CTR21" s="229">
        <v>0</v>
      </c>
      <c r="CTS21" s="229">
        <v>0</v>
      </c>
      <c r="CTT21" s="229">
        <v>0</v>
      </c>
      <c r="CTU21" s="229">
        <v>0</v>
      </c>
      <c r="CTV21" s="229">
        <v>0</v>
      </c>
      <c r="CTW21" s="229">
        <v>0</v>
      </c>
      <c r="CTX21" s="229">
        <v>0</v>
      </c>
      <c r="CTY21" s="229">
        <v>0</v>
      </c>
      <c r="CTZ21" s="229">
        <v>0</v>
      </c>
      <c r="CUA21" s="229">
        <v>0</v>
      </c>
      <c r="CUB21" s="229">
        <v>0</v>
      </c>
      <c r="CUC21" s="229">
        <v>0</v>
      </c>
      <c r="CUD21" s="229">
        <v>0</v>
      </c>
      <c r="CUE21" s="229">
        <v>0</v>
      </c>
      <c r="CUF21" s="229">
        <v>0</v>
      </c>
      <c r="CUG21" s="229">
        <v>0</v>
      </c>
      <c r="CUH21" s="229">
        <v>0</v>
      </c>
      <c r="CUI21" s="229">
        <v>0</v>
      </c>
      <c r="CUJ21" s="229">
        <v>0</v>
      </c>
      <c r="CUK21" s="229">
        <v>0</v>
      </c>
      <c r="CUL21" s="229">
        <v>0</v>
      </c>
      <c r="CUM21" s="229">
        <v>0</v>
      </c>
      <c r="CUN21" s="229">
        <v>0</v>
      </c>
      <c r="CUO21" s="229">
        <v>0</v>
      </c>
      <c r="CUP21" s="229">
        <v>0</v>
      </c>
      <c r="CUQ21" s="229">
        <v>0</v>
      </c>
      <c r="CUR21" s="229">
        <v>0</v>
      </c>
      <c r="CUS21" s="229">
        <v>0</v>
      </c>
      <c r="CUT21" s="229">
        <v>0</v>
      </c>
      <c r="CUU21" s="229">
        <v>0</v>
      </c>
      <c r="CUV21" s="229">
        <v>0</v>
      </c>
      <c r="CUW21" s="229">
        <v>0</v>
      </c>
      <c r="CUX21" s="229">
        <v>0</v>
      </c>
      <c r="CUY21" s="229">
        <v>0</v>
      </c>
      <c r="CUZ21" s="229">
        <v>0</v>
      </c>
      <c r="CVA21" s="229">
        <v>0</v>
      </c>
      <c r="CVB21" s="229">
        <v>0</v>
      </c>
      <c r="CVC21" s="229">
        <v>0</v>
      </c>
      <c r="CVD21" s="229">
        <v>0</v>
      </c>
      <c r="CVE21" s="229">
        <v>0</v>
      </c>
      <c r="CVF21" s="229">
        <v>0</v>
      </c>
      <c r="CVG21" s="229">
        <v>0</v>
      </c>
      <c r="CVH21" s="229">
        <v>0</v>
      </c>
      <c r="CVI21" s="229">
        <v>0</v>
      </c>
      <c r="CVJ21" s="229">
        <v>0</v>
      </c>
      <c r="CVK21" s="229">
        <v>0</v>
      </c>
      <c r="CVL21" s="229">
        <v>0</v>
      </c>
      <c r="CVM21" s="229">
        <v>0</v>
      </c>
      <c r="CVN21" s="229">
        <v>0</v>
      </c>
      <c r="CVO21" s="229">
        <v>0</v>
      </c>
      <c r="CVP21" s="229">
        <v>0</v>
      </c>
      <c r="CVQ21" s="229">
        <v>0</v>
      </c>
      <c r="CVR21" s="229">
        <v>0</v>
      </c>
      <c r="CVS21" s="229">
        <v>0</v>
      </c>
      <c r="CVT21" s="229">
        <v>0</v>
      </c>
      <c r="CVU21" s="229">
        <v>0</v>
      </c>
      <c r="CVV21" s="229">
        <v>0</v>
      </c>
      <c r="CVW21" s="229">
        <v>0</v>
      </c>
      <c r="CVX21" s="229">
        <v>0</v>
      </c>
      <c r="CVY21" s="229">
        <v>0</v>
      </c>
      <c r="CVZ21" s="229">
        <v>0</v>
      </c>
      <c r="CWA21" s="229">
        <v>0</v>
      </c>
      <c r="CWB21" s="229">
        <v>0</v>
      </c>
      <c r="CWC21" s="229">
        <v>0</v>
      </c>
      <c r="CWD21" s="229">
        <v>0</v>
      </c>
      <c r="CWE21" s="229">
        <v>0</v>
      </c>
      <c r="CWF21" s="229">
        <v>0</v>
      </c>
      <c r="CWG21" s="229">
        <v>0</v>
      </c>
      <c r="CWH21" s="229">
        <v>0</v>
      </c>
      <c r="CWI21" s="229">
        <v>0</v>
      </c>
      <c r="CWJ21" s="229">
        <v>0</v>
      </c>
      <c r="CWK21" s="229">
        <v>0</v>
      </c>
      <c r="CWL21" s="229">
        <v>0</v>
      </c>
      <c r="CWM21" s="229">
        <v>0</v>
      </c>
      <c r="CWN21" s="229">
        <v>0</v>
      </c>
      <c r="CWO21" s="229">
        <v>0</v>
      </c>
      <c r="CWP21" s="229">
        <v>0</v>
      </c>
      <c r="CWQ21" s="229">
        <v>0</v>
      </c>
      <c r="CWR21" s="229">
        <v>0</v>
      </c>
      <c r="CWS21" s="229">
        <v>0</v>
      </c>
      <c r="CWT21" s="229">
        <v>0</v>
      </c>
      <c r="CWU21" s="229">
        <v>0</v>
      </c>
      <c r="CWV21" s="229">
        <v>0</v>
      </c>
      <c r="CWW21" s="229">
        <v>0</v>
      </c>
      <c r="CWX21" s="229">
        <v>0</v>
      </c>
      <c r="CWY21" s="229">
        <v>0</v>
      </c>
      <c r="CWZ21" s="229">
        <v>0</v>
      </c>
      <c r="CXA21" s="229">
        <v>0</v>
      </c>
      <c r="CXB21" s="229">
        <v>0</v>
      </c>
      <c r="CXC21" s="229">
        <v>0</v>
      </c>
      <c r="CXD21" s="229">
        <v>0</v>
      </c>
      <c r="CXE21" s="229">
        <v>0</v>
      </c>
      <c r="CXF21" s="229">
        <v>0</v>
      </c>
      <c r="CXG21" s="229">
        <v>0</v>
      </c>
      <c r="CXH21" s="229">
        <v>0</v>
      </c>
      <c r="CXI21" s="229">
        <v>0</v>
      </c>
      <c r="CXJ21" s="229">
        <v>0</v>
      </c>
      <c r="CXK21" s="229">
        <v>0</v>
      </c>
      <c r="CXL21" s="229">
        <v>0</v>
      </c>
      <c r="CXM21" s="229">
        <v>0</v>
      </c>
      <c r="CXN21" s="229">
        <v>0</v>
      </c>
      <c r="CXO21" s="229">
        <v>0</v>
      </c>
      <c r="CXP21" s="229">
        <v>0</v>
      </c>
      <c r="CXQ21" s="229">
        <v>0</v>
      </c>
      <c r="CXR21" s="229">
        <v>0</v>
      </c>
      <c r="CXS21" s="229">
        <v>0</v>
      </c>
      <c r="CXT21" s="229">
        <v>0</v>
      </c>
      <c r="CXU21" s="229">
        <v>0</v>
      </c>
      <c r="CXV21" s="229">
        <v>0</v>
      </c>
      <c r="CXW21" s="229">
        <v>0</v>
      </c>
      <c r="CXX21" s="229">
        <v>0</v>
      </c>
      <c r="CXY21" s="229">
        <v>0</v>
      </c>
      <c r="CXZ21" s="229">
        <v>0</v>
      </c>
      <c r="CYA21" s="229">
        <v>0</v>
      </c>
      <c r="CYB21" s="229">
        <v>0</v>
      </c>
      <c r="CYC21" s="229">
        <v>0</v>
      </c>
      <c r="CYD21" s="229">
        <v>0</v>
      </c>
      <c r="CYE21" s="229">
        <v>0</v>
      </c>
      <c r="CYF21" s="229">
        <v>0</v>
      </c>
      <c r="CYG21" s="229">
        <v>0</v>
      </c>
      <c r="CYH21" s="229">
        <v>0</v>
      </c>
      <c r="CYI21" s="229">
        <v>0</v>
      </c>
      <c r="CYJ21" s="229">
        <v>0</v>
      </c>
      <c r="CYK21" s="229">
        <v>0</v>
      </c>
      <c r="CYL21" s="229">
        <v>0</v>
      </c>
      <c r="CYM21" s="229">
        <v>0</v>
      </c>
      <c r="CYN21" s="229">
        <v>0</v>
      </c>
      <c r="CYO21" s="229">
        <v>0</v>
      </c>
      <c r="CYP21" s="229">
        <v>0</v>
      </c>
      <c r="CYQ21" s="229">
        <v>0</v>
      </c>
      <c r="CYR21" s="229">
        <v>0</v>
      </c>
      <c r="CYS21" s="229">
        <v>0</v>
      </c>
      <c r="CYT21" s="229">
        <v>0</v>
      </c>
      <c r="CYU21" s="229">
        <v>0</v>
      </c>
      <c r="CYV21" s="229">
        <v>0</v>
      </c>
      <c r="CYW21" s="229">
        <v>0</v>
      </c>
      <c r="CYX21" s="229">
        <v>0</v>
      </c>
      <c r="CYY21" s="229">
        <v>0</v>
      </c>
      <c r="CYZ21" s="229">
        <v>0</v>
      </c>
      <c r="CZA21" s="229">
        <v>0</v>
      </c>
      <c r="CZB21" s="229">
        <v>0</v>
      </c>
      <c r="CZC21" s="229">
        <v>0</v>
      </c>
      <c r="CZD21" s="229">
        <v>0</v>
      </c>
      <c r="CZE21" s="229">
        <v>0</v>
      </c>
      <c r="CZF21" s="229">
        <v>0</v>
      </c>
      <c r="CZG21" s="229">
        <v>0</v>
      </c>
      <c r="CZH21" s="229">
        <v>0</v>
      </c>
      <c r="CZI21" s="229">
        <v>0</v>
      </c>
      <c r="CZJ21" s="229">
        <v>0</v>
      </c>
      <c r="CZK21" s="229">
        <v>0</v>
      </c>
      <c r="CZL21" s="229">
        <v>0</v>
      </c>
      <c r="CZM21" s="229">
        <v>0</v>
      </c>
      <c r="CZN21" s="229">
        <v>0</v>
      </c>
      <c r="CZO21" s="229">
        <v>0</v>
      </c>
      <c r="CZP21" s="229">
        <v>0</v>
      </c>
      <c r="CZQ21" s="229">
        <v>0</v>
      </c>
      <c r="CZR21" s="229">
        <v>0</v>
      </c>
      <c r="CZS21" s="229">
        <v>0</v>
      </c>
      <c r="CZT21" s="229">
        <v>0</v>
      </c>
      <c r="CZU21" s="229">
        <v>0</v>
      </c>
      <c r="CZV21" s="229">
        <v>0</v>
      </c>
      <c r="CZW21" s="229">
        <v>0</v>
      </c>
      <c r="CZX21" s="229">
        <v>0</v>
      </c>
      <c r="CZY21" s="229">
        <v>0</v>
      </c>
      <c r="CZZ21" s="229">
        <v>0</v>
      </c>
      <c r="DAA21" s="229">
        <v>0</v>
      </c>
      <c r="DAB21" s="229">
        <v>0</v>
      </c>
      <c r="DAC21" s="229">
        <v>0</v>
      </c>
      <c r="DAD21" s="229">
        <v>0</v>
      </c>
      <c r="DAE21" s="229">
        <v>0</v>
      </c>
      <c r="DAF21" s="229">
        <v>0</v>
      </c>
      <c r="DAG21" s="229">
        <v>0</v>
      </c>
      <c r="DAH21" s="229">
        <v>0</v>
      </c>
      <c r="DAI21" s="229">
        <v>0</v>
      </c>
      <c r="DAJ21" s="229">
        <v>0</v>
      </c>
      <c r="DAK21" s="229">
        <v>0</v>
      </c>
      <c r="DAL21" s="229">
        <v>0</v>
      </c>
      <c r="DAM21" s="229">
        <v>0</v>
      </c>
      <c r="DAN21" s="229">
        <v>0</v>
      </c>
      <c r="DAO21" s="229">
        <v>0</v>
      </c>
      <c r="DAP21" s="229">
        <v>0</v>
      </c>
      <c r="DAQ21" s="229">
        <v>0</v>
      </c>
      <c r="DAR21" s="229">
        <v>0</v>
      </c>
      <c r="DAS21" s="229">
        <v>0</v>
      </c>
      <c r="DAT21" s="229">
        <v>0</v>
      </c>
      <c r="DAU21" s="229">
        <v>0</v>
      </c>
      <c r="DAV21" s="229">
        <v>0</v>
      </c>
      <c r="DAW21" s="229">
        <v>0</v>
      </c>
      <c r="DAX21" s="229">
        <v>0</v>
      </c>
      <c r="DAY21" s="229">
        <v>0</v>
      </c>
      <c r="DAZ21" s="229">
        <v>0</v>
      </c>
      <c r="DBA21" s="229">
        <v>0</v>
      </c>
      <c r="DBB21" s="229">
        <v>0</v>
      </c>
      <c r="DBC21" s="229">
        <v>0</v>
      </c>
      <c r="DBD21" s="229">
        <v>0</v>
      </c>
      <c r="DBE21" s="229">
        <v>0</v>
      </c>
      <c r="DBF21" s="229">
        <v>0</v>
      </c>
      <c r="DBG21" s="229">
        <v>0</v>
      </c>
      <c r="DBH21" s="229">
        <v>0</v>
      </c>
      <c r="DBI21" s="229">
        <v>0</v>
      </c>
      <c r="DBJ21" s="229">
        <v>0</v>
      </c>
      <c r="DBK21" s="229">
        <v>0</v>
      </c>
      <c r="DBL21" s="229">
        <v>0</v>
      </c>
      <c r="DBM21" s="229">
        <v>0</v>
      </c>
      <c r="DBN21" s="229">
        <v>0</v>
      </c>
      <c r="DBO21" s="229">
        <v>0</v>
      </c>
      <c r="DBP21" s="229">
        <v>0</v>
      </c>
      <c r="DBQ21" s="229">
        <v>0</v>
      </c>
      <c r="DBR21" s="229">
        <v>0</v>
      </c>
      <c r="DBS21" s="229">
        <v>0</v>
      </c>
      <c r="DBT21" s="229">
        <v>0</v>
      </c>
      <c r="DBU21" s="229">
        <v>0</v>
      </c>
      <c r="DBV21" s="229">
        <v>0</v>
      </c>
      <c r="DBW21" s="229">
        <v>0</v>
      </c>
      <c r="DBX21" s="229">
        <v>0</v>
      </c>
      <c r="DBY21" s="229">
        <v>0</v>
      </c>
      <c r="DBZ21" s="229">
        <v>0</v>
      </c>
      <c r="DCA21" s="229">
        <v>0</v>
      </c>
      <c r="DCB21" s="229">
        <v>0</v>
      </c>
      <c r="DCC21" s="229">
        <v>0</v>
      </c>
      <c r="DCD21" s="229">
        <v>0</v>
      </c>
      <c r="DCE21" s="229">
        <v>0</v>
      </c>
      <c r="DCF21" s="229">
        <v>0</v>
      </c>
      <c r="DCG21" s="229">
        <v>0</v>
      </c>
      <c r="DCH21" s="229">
        <v>0</v>
      </c>
      <c r="DCI21" s="229">
        <v>0</v>
      </c>
      <c r="DCJ21" s="229">
        <v>0</v>
      </c>
      <c r="DCK21" s="229">
        <v>0</v>
      </c>
      <c r="DCL21" s="229">
        <v>0</v>
      </c>
      <c r="DCM21" s="229">
        <v>0</v>
      </c>
      <c r="DCN21" s="229">
        <v>0</v>
      </c>
      <c r="DCO21" s="229">
        <v>0</v>
      </c>
      <c r="DCP21" s="229">
        <v>0</v>
      </c>
      <c r="DCQ21" s="229">
        <v>0</v>
      </c>
      <c r="DCR21" s="229">
        <v>0</v>
      </c>
      <c r="DCS21" s="229">
        <v>0</v>
      </c>
      <c r="DCT21" s="229">
        <v>0</v>
      </c>
      <c r="DCU21" s="229">
        <v>0</v>
      </c>
      <c r="DCV21" s="229">
        <v>0</v>
      </c>
      <c r="DCW21" s="229">
        <v>0</v>
      </c>
      <c r="DCX21" s="229">
        <v>0</v>
      </c>
      <c r="DCY21" s="229">
        <v>0</v>
      </c>
      <c r="DCZ21" s="229">
        <v>0</v>
      </c>
      <c r="DDA21" s="229">
        <v>0</v>
      </c>
      <c r="DDB21" s="229">
        <v>0</v>
      </c>
      <c r="DDC21" s="229">
        <v>0</v>
      </c>
      <c r="DDD21" s="229">
        <v>0</v>
      </c>
      <c r="DDE21" s="229">
        <v>0</v>
      </c>
      <c r="DDF21" s="229">
        <v>0</v>
      </c>
      <c r="DDG21" s="229">
        <v>0</v>
      </c>
      <c r="DDH21" s="229">
        <v>0</v>
      </c>
      <c r="DDI21" s="229">
        <v>0</v>
      </c>
      <c r="DDJ21" s="229">
        <v>0</v>
      </c>
      <c r="DDK21" s="229">
        <v>0</v>
      </c>
      <c r="DDL21" s="229">
        <v>0</v>
      </c>
      <c r="DDM21" s="229">
        <v>0</v>
      </c>
      <c r="DDN21" s="229">
        <v>0</v>
      </c>
      <c r="DDO21" s="229">
        <v>0</v>
      </c>
      <c r="DDP21" s="229">
        <v>0</v>
      </c>
      <c r="DDQ21" s="229">
        <v>0</v>
      </c>
      <c r="DDR21" s="229">
        <v>0</v>
      </c>
      <c r="DDS21" s="229">
        <v>0</v>
      </c>
      <c r="DDT21" s="229">
        <v>0</v>
      </c>
      <c r="DDU21" s="229">
        <v>0</v>
      </c>
      <c r="DDV21" s="229">
        <v>0</v>
      </c>
      <c r="DDW21" s="229">
        <v>0</v>
      </c>
      <c r="DDX21" s="229">
        <v>0</v>
      </c>
      <c r="DDY21" s="229">
        <v>0</v>
      </c>
      <c r="DDZ21" s="229">
        <v>0</v>
      </c>
      <c r="DEA21" s="229">
        <v>0</v>
      </c>
      <c r="DEB21" s="229">
        <v>0</v>
      </c>
      <c r="DEC21" s="229">
        <v>0</v>
      </c>
      <c r="DED21" s="229">
        <v>0</v>
      </c>
      <c r="DEE21" s="229">
        <v>0</v>
      </c>
      <c r="DEF21" s="229">
        <v>0</v>
      </c>
      <c r="DEG21" s="229">
        <v>0</v>
      </c>
      <c r="DEH21" s="229">
        <v>0</v>
      </c>
      <c r="DEI21" s="229">
        <v>0</v>
      </c>
      <c r="DEJ21" s="229">
        <v>0</v>
      </c>
      <c r="DEK21" s="229">
        <v>0</v>
      </c>
      <c r="DEL21" s="229">
        <v>0</v>
      </c>
      <c r="DEM21" s="229">
        <v>0</v>
      </c>
      <c r="DEN21" s="229">
        <v>0</v>
      </c>
      <c r="DEO21" s="229">
        <v>0</v>
      </c>
      <c r="DEP21" s="229">
        <v>0</v>
      </c>
      <c r="DEQ21" s="229">
        <v>0</v>
      </c>
      <c r="DER21" s="229">
        <v>0</v>
      </c>
      <c r="DES21" s="229">
        <v>0</v>
      </c>
      <c r="DET21" s="229">
        <v>0</v>
      </c>
      <c r="DEU21" s="229">
        <v>0</v>
      </c>
      <c r="DEV21" s="229">
        <v>0</v>
      </c>
      <c r="DEW21" s="229">
        <v>0</v>
      </c>
      <c r="DEX21" s="229">
        <v>0</v>
      </c>
      <c r="DEY21" s="229">
        <v>0</v>
      </c>
      <c r="DEZ21" s="229">
        <v>0</v>
      </c>
      <c r="DFA21" s="229">
        <v>0</v>
      </c>
      <c r="DFB21" s="229">
        <v>0</v>
      </c>
      <c r="DFC21" s="229">
        <v>0</v>
      </c>
      <c r="DFD21" s="229">
        <v>0</v>
      </c>
      <c r="DFE21" s="229">
        <v>0</v>
      </c>
      <c r="DFF21" s="229">
        <v>0</v>
      </c>
      <c r="DFG21" s="229">
        <v>0</v>
      </c>
      <c r="DFH21" s="229">
        <v>0</v>
      </c>
      <c r="DFI21" s="229">
        <v>0</v>
      </c>
      <c r="DFJ21" s="229">
        <v>0</v>
      </c>
      <c r="DFK21" s="229">
        <v>0</v>
      </c>
      <c r="DFL21" s="229">
        <v>0</v>
      </c>
      <c r="DFM21" s="229">
        <v>0</v>
      </c>
      <c r="DFN21" s="229">
        <v>0</v>
      </c>
      <c r="DFO21" s="229">
        <v>0</v>
      </c>
      <c r="DFP21" s="229">
        <v>0</v>
      </c>
      <c r="DFQ21" s="229">
        <v>0</v>
      </c>
      <c r="DFR21" s="229">
        <v>0</v>
      </c>
      <c r="DFS21" s="229">
        <v>0</v>
      </c>
      <c r="DFT21" s="229">
        <v>0</v>
      </c>
      <c r="DFU21" s="229">
        <v>0</v>
      </c>
      <c r="DFV21" s="229">
        <v>0</v>
      </c>
      <c r="DFW21" s="229">
        <v>0</v>
      </c>
      <c r="DFX21" s="229">
        <v>0</v>
      </c>
      <c r="DFY21" s="229">
        <v>0</v>
      </c>
      <c r="DFZ21" s="229">
        <v>0</v>
      </c>
      <c r="DGA21" s="229">
        <v>0</v>
      </c>
      <c r="DGB21" s="229">
        <v>0</v>
      </c>
      <c r="DGC21" s="229">
        <v>0</v>
      </c>
      <c r="DGD21" s="229">
        <v>0</v>
      </c>
      <c r="DGE21" s="229">
        <v>0</v>
      </c>
      <c r="DGF21" s="229">
        <v>0</v>
      </c>
      <c r="DGG21" s="229">
        <v>0</v>
      </c>
      <c r="DGH21" s="229">
        <v>0</v>
      </c>
      <c r="DGI21" s="229">
        <v>0</v>
      </c>
      <c r="DGJ21" s="229">
        <v>0</v>
      </c>
      <c r="DGK21" s="229">
        <v>0</v>
      </c>
      <c r="DGL21" s="229">
        <v>0</v>
      </c>
      <c r="DGM21" s="229">
        <v>0</v>
      </c>
      <c r="DGN21" s="229">
        <v>0</v>
      </c>
      <c r="DGO21" s="229">
        <v>0</v>
      </c>
      <c r="DGP21" s="229">
        <v>0</v>
      </c>
      <c r="DGQ21" s="229">
        <v>0</v>
      </c>
      <c r="DGR21" s="229">
        <v>0</v>
      </c>
      <c r="DGS21" s="229">
        <v>0</v>
      </c>
      <c r="DGT21" s="229">
        <v>0</v>
      </c>
      <c r="DGU21" s="229">
        <v>0</v>
      </c>
      <c r="DGV21" s="229">
        <v>0</v>
      </c>
      <c r="DGW21" s="229">
        <v>0</v>
      </c>
      <c r="DGX21" s="229">
        <v>0</v>
      </c>
      <c r="DGY21" s="229">
        <v>0</v>
      </c>
      <c r="DGZ21" s="229">
        <v>0</v>
      </c>
      <c r="DHA21" s="229">
        <v>0</v>
      </c>
      <c r="DHB21" s="229">
        <v>0</v>
      </c>
      <c r="DHC21" s="229">
        <v>0</v>
      </c>
      <c r="DHD21" s="229">
        <v>0</v>
      </c>
      <c r="DHE21" s="229">
        <v>0</v>
      </c>
      <c r="DHF21" s="229">
        <v>0</v>
      </c>
      <c r="DHG21" s="229">
        <v>0</v>
      </c>
      <c r="DHH21" s="229">
        <v>0</v>
      </c>
      <c r="DHI21" s="229">
        <v>0</v>
      </c>
      <c r="DHJ21" s="229">
        <v>0</v>
      </c>
      <c r="DHK21" s="229">
        <v>0</v>
      </c>
      <c r="DHL21" s="229">
        <v>0</v>
      </c>
      <c r="DHM21" s="229">
        <v>0</v>
      </c>
      <c r="DHN21" s="229">
        <v>0</v>
      </c>
      <c r="DHO21" s="229">
        <v>0</v>
      </c>
      <c r="DHP21" s="229">
        <v>0</v>
      </c>
      <c r="DHQ21" s="229">
        <v>0</v>
      </c>
      <c r="DHR21" s="229">
        <v>0</v>
      </c>
      <c r="DHS21" s="229">
        <v>0</v>
      </c>
      <c r="DHT21" s="229">
        <v>0</v>
      </c>
      <c r="DHU21" s="229">
        <v>0</v>
      </c>
      <c r="DHV21" s="229">
        <v>0</v>
      </c>
      <c r="DHW21" s="229">
        <v>0</v>
      </c>
      <c r="DHX21" s="229">
        <v>0</v>
      </c>
      <c r="DHY21" s="229">
        <v>0</v>
      </c>
      <c r="DHZ21" s="229">
        <v>0</v>
      </c>
      <c r="DIA21" s="229">
        <v>0</v>
      </c>
      <c r="DIB21" s="229">
        <v>0</v>
      </c>
      <c r="DIC21" s="229">
        <v>0</v>
      </c>
      <c r="DID21" s="229">
        <v>0</v>
      </c>
      <c r="DIE21" s="229">
        <v>0</v>
      </c>
      <c r="DIF21" s="229">
        <v>0</v>
      </c>
      <c r="DIG21" s="229">
        <v>0</v>
      </c>
      <c r="DIH21" s="229">
        <v>0</v>
      </c>
      <c r="DII21" s="229">
        <v>0</v>
      </c>
      <c r="DIJ21" s="229">
        <v>0</v>
      </c>
      <c r="DIK21" s="229">
        <v>0</v>
      </c>
      <c r="DIL21" s="229">
        <v>0</v>
      </c>
      <c r="DIM21" s="229">
        <v>0</v>
      </c>
      <c r="DIN21" s="229">
        <v>0</v>
      </c>
      <c r="DIO21" s="229">
        <v>0</v>
      </c>
      <c r="DIP21" s="229">
        <v>0</v>
      </c>
      <c r="DIQ21" s="229">
        <v>0</v>
      </c>
      <c r="DIR21" s="229">
        <v>0</v>
      </c>
      <c r="DIS21" s="229">
        <v>0</v>
      </c>
      <c r="DIT21" s="229">
        <v>0</v>
      </c>
      <c r="DIU21" s="229">
        <v>0</v>
      </c>
      <c r="DIV21" s="229">
        <v>0</v>
      </c>
      <c r="DIW21" s="229">
        <v>0</v>
      </c>
      <c r="DIX21" s="229">
        <v>0</v>
      </c>
      <c r="DIY21" s="229">
        <v>0</v>
      </c>
      <c r="DIZ21" s="229">
        <v>0</v>
      </c>
      <c r="DJA21" s="229">
        <v>0</v>
      </c>
      <c r="DJB21" s="229">
        <v>0</v>
      </c>
      <c r="DJC21" s="229">
        <v>0</v>
      </c>
      <c r="DJD21" s="229">
        <v>0</v>
      </c>
      <c r="DJE21" s="229">
        <v>0</v>
      </c>
      <c r="DJF21" s="229">
        <v>0</v>
      </c>
      <c r="DJG21" s="229">
        <v>0</v>
      </c>
      <c r="DJH21" s="229">
        <v>0</v>
      </c>
      <c r="DJI21" s="229">
        <v>0</v>
      </c>
      <c r="DJJ21" s="229">
        <v>0</v>
      </c>
      <c r="DJK21" s="229">
        <v>0</v>
      </c>
      <c r="DJL21" s="229">
        <v>0</v>
      </c>
      <c r="DJM21" s="229">
        <v>0</v>
      </c>
      <c r="DJN21" s="229">
        <v>0</v>
      </c>
      <c r="DJO21" s="229">
        <v>0</v>
      </c>
      <c r="DJP21" s="229">
        <v>0</v>
      </c>
      <c r="DJQ21" s="229">
        <v>0</v>
      </c>
      <c r="DJR21" s="229">
        <v>0</v>
      </c>
      <c r="DJS21" s="229">
        <v>0</v>
      </c>
      <c r="DJT21" s="229">
        <v>0</v>
      </c>
      <c r="DJU21" s="229">
        <v>0</v>
      </c>
      <c r="DJV21" s="229">
        <v>0</v>
      </c>
      <c r="DJW21" s="229">
        <v>0</v>
      </c>
      <c r="DJX21" s="229">
        <v>0</v>
      </c>
      <c r="DJY21" s="229">
        <v>0</v>
      </c>
      <c r="DJZ21" s="229">
        <v>0</v>
      </c>
      <c r="DKA21" s="229">
        <v>0</v>
      </c>
      <c r="DKB21" s="229">
        <v>0</v>
      </c>
      <c r="DKC21" s="229">
        <v>0</v>
      </c>
      <c r="DKD21" s="229">
        <v>0</v>
      </c>
      <c r="DKE21" s="229">
        <v>0</v>
      </c>
      <c r="DKF21" s="229">
        <v>0</v>
      </c>
      <c r="DKG21" s="229">
        <v>0</v>
      </c>
      <c r="DKH21" s="229">
        <v>0</v>
      </c>
      <c r="DKI21" s="229">
        <v>0</v>
      </c>
      <c r="DKJ21" s="229">
        <v>0</v>
      </c>
      <c r="DKK21" s="229">
        <v>0</v>
      </c>
      <c r="DKL21" s="229">
        <v>0</v>
      </c>
      <c r="DKM21" s="229">
        <v>0</v>
      </c>
      <c r="DKN21" s="229">
        <v>0</v>
      </c>
      <c r="DKO21" s="229">
        <v>0</v>
      </c>
      <c r="DKP21" s="229">
        <v>0</v>
      </c>
      <c r="DKQ21" s="229">
        <v>0</v>
      </c>
      <c r="DKR21" s="229">
        <v>0</v>
      </c>
      <c r="DKS21" s="229">
        <v>0</v>
      </c>
      <c r="DKT21" s="229">
        <v>0</v>
      </c>
      <c r="DKU21" s="229">
        <v>0</v>
      </c>
      <c r="DKV21" s="229">
        <v>0</v>
      </c>
      <c r="DKW21" s="229">
        <v>0</v>
      </c>
      <c r="DKX21" s="229">
        <v>0</v>
      </c>
      <c r="DKY21" s="229">
        <v>0</v>
      </c>
      <c r="DKZ21" s="229">
        <v>0</v>
      </c>
      <c r="DLA21" s="229">
        <v>0</v>
      </c>
      <c r="DLB21" s="229">
        <v>0</v>
      </c>
      <c r="DLC21" s="229">
        <v>0</v>
      </c>
      <c r="DLD21" s="229">
        <v>0</v>
      </c>
      <c r="DLE21" s="229">
        <v>0</v>
      </c>
      <c r="DLF21" s="229">
        <v>0</v>
      </c>
      <c r="DLG21" s="229">
        <v>0</v>
      </c>
      <c r="DLH21" s="229">
        <v>0</v>
      </c>
      <c r="DLI21" s="229">
        <v>0</v>
      </c>
      <c r="DLJ21" s="229">
        <v>0</v>
      </c>
      <c r="DLK21" s="229">
        <v>0</v>
      </c>
      <c r="DLL21" s="229">
        <v>0</v>
      </c>
      <c r="DLM21" s="229">
        <v>0</v>
      </c>
      <c r="DLN21" s="229">
        <v>0</v>
      </c>
      <c r="DLO21" s="229">
        <v>0</v>
      </c>
      <c r="DLP21" s="229">
        <v>0</v>
      </c>
      <c r="DLQ21" s="229">
        <v>0</v>
      </c>
      <c r="DLR21" s="229">
        <v>0</v>
      </c>
      <c r="DLS21" s="229">
        <v>0</v>
      </c>
      <c r="DLT21" s="229">
        <v>0</v>
      </c>
      <c r="DLU21" s="229">
        <v>0</v>
      </c>
      <c r="DLV21" s="229">
        <v>0</v>
      </c>
      <c r="DLW21" s="229">
        <v>0</v>
      </c>
      <c r="DLX21" s="229">
        <v>0</v>
      </c>
      <c r="DLY21" s="229">
        <v>0</v>
      </c>
      <c r="DLZ21" s="229">
        <v>0</v>
      </c>
      <c r="DMA21" s="229">
        <v>0</v>
      </c>
      <c r="DMB21" s="229">
        <v>0</v>
      </c>
      <c r="DMC21" s="229">
        <v>0</v>
      </c>
      <c r="DMD21" s="229">
        <v>0</v>
      </c>
      <c r="DME21" s="229">
        <v>0</v>
      </c>
      <c r="DMF21" s="229">
        <v>0</v>
      </c>
      <c r="DMG21" s="229">
        <v>0</v>
      </c>
      <c r="DMH21" s="229">
        <v>0</v>
      </c>
      <c r="DMI21" s="229">
        <v>0</v>
      </c>
      <c r="DMJ21" s="229">
        <v>0</v>
      </c>
      <c r="DMK21" s="229">
        <v>0</v>
      </c>
      <c r="DML21" s="229">
        <v>0</v>
      </c>
      <c r="DMM21" s="229">
        <v>0</v>
      </c>
      <c r="DMN21" s="229">
        <v>0</v>
      </c>
      <c r="DMO21" s="229">
        <v>0</v>
      </c>
      <c r="DMP21" s="229">
        <v>0</v>
      </c>
      <c r="DMQ21" s="229">
        <v>0</v>
      </c>
      <c r="DMR21" s="229">
        <v>0</v>
      </c>
      <c r="DMS21" s="229">
        <v>0</v>
      </c>
      <c r="DMT21" s="229">
        <v>0</v>
      </c>
      <c r="DMU21" s="229">
        <v>0</v>
      </c>
      <c r="DMV21" s="229">
        <v>0</v>
      </c>
      <c r="DMW21" s="229">
        <v>0</v>
      </c>
      <c r="DMX21" s="229">
        <v>0</v>
      </c>
      <c r="DMY21" s="229">
        <v>0</v>
      </c>
      <c r="DMZ21" s="229">
        <v>0</v>
      </c>
      <c r="DNA21" s="229">
        <v>0</v>
      </c>
      <c r="DNB21" s="229">
        <v>0</v>
      </c>
      <c r="DNC21" s="229">
        <v>0</v>
      </c>
      <c r="DND21" s="229">
        <v>0</v>
      </c>
      <c r="DNE21" s="229">
        <v>0</v>
      </c>
      <c r="DNF21" s="229">
        <v>0</v>
      </c>
      <c r="DNG21" s="229">
        <v>0</v>
      </c>
      <c r="DNH21" s="229">
        <v>0</v>
      </c>
      <c r="DNI21" s="229">
        <v>0</v>
      </c>
      <c r="DNJ21" s="229">
        <v>0</v>
      </c>
      <c r="DNK21" s="229">
        <v>0</v>
      </c>
      <c r="DNL21" s="229">
        <v>0</v>
      </c>
      <c r="DNM21" s="229">
        <v>0</v>
      </c>
      <c r="DNN21" s="229">
        <v>0</v>
      </c>
      <c r="DNO21" s="229">
        <v>0</v>
      </c>
      <c r="DNP21" s="229">
        <v>0</v>
      </c>
      <c r="DNQ21" s="229">
        <v>0</v>
      </c>
      <c r="DNR21" s="229">
        <v>0</v>
      </c>
      <c r="DNS21" s="229">
        <v>0</v>
      </c>
      <c r="DNT21" s="229">
        <v>0</v>
      </c>
      <c r="DNU21" s="229">
        <v>0</v>
      </c>
      <c r="DNV21" s="229">
        <v>0</v>
      </c>
      <c r="DNW21" s="229">
        <v>0</v>
      </c>
      <c r="DNX21" s="229">
        <v>0</v>
      </c>
      <c r="DNY21" s="229">
        <v>0</v>
      </c>
      <c r="DNZ21" s="229">
        <v>0</v>
      </c>
      <c r="DOA21" s="229">
        <v>0</v>
      </c>
      <c r="DOB21" s="229">
        <v>0</v>
      </c>
      <c r="DOC21" s="229">
        <v>0</v>
      </c>
      <c r="DOD21" s="229">
        <v>0</v>
      </c>
      <c r="DOE21" s="229">
        <v>0</v>
      </c>
      <c r="DOF21" s="229">
        <v>0</v>
      </c>
      <c r="DOG21" s="229">
        <v>0</v>
      </c>
      <c r="DOH21" s="229">
        <v>0</v>
      </c>
      <c r="DOI21" s="229">
        <v>0</v>
      </c>
      <c r="DOJ21" s="229">
        <v>0</v>
      </c>
      <c r="DOK21" s="229">
        <v>0</v>
      </c>
      <c r="DOL21" s="229">
        <v>0</v>
      </c>
      <c r="DOM21" s="229">
        <v>0</v>
      </c>
      <c r="DON21" s="229">
        <v>0</v>
      </c>
      <c r="DOO21" s="229">
        <v>0</v>
      </c>
      <c r="DOP21" s="229">
        <v>0</v>
      </c>
      <c r="DOQ21" s="229">
        <v>0</v>
      </c>
      <c r="DOR21" s="229">
        <v>0</v>
      </c>
      <c r="DOS21" s="229">
        <v>0</v>
      </c>
      <c r="DOT21" s="229">
        <v>0</v>
      </c>
      <c r="DOU21" s="229">
        <v>0</v>
      </c>
      <c r="DOV21" s="229">
        <v>0</v>
      </c>
      <c r="DOW21" s="229">
        <v>0</v>
      </c>
      <c r="DOX21" s="229">
        <v>0</v>
      </c>
      <c r="DOY21" s="229">
        <v>0</v>
      </c>
      <c r="DOZ21" s="229">
        <v>0</v>
      </c>
      <c r="DPA21" s="229">
        <v>0</v>
      </c>
      <c r="DPB21" s="229">
        <v>0</v>
      </c>
      <c r="DPC21" s="229">
        <v>0</v>
      </c>
      <c r="DPD21" s="229">
        <v>0</v>
      </c>
      <c r="DPE21" s="229">
        <v>0</v>
      </c>
      <c r="DPF21" s="229">
        <v>0</v>
      </c>
      <c r="DPG21" s="229">
        <v>0</v>
      </c>
      <c r="DPH21" s="229">
        <v>0</v>
      </c>
      <c r="DPI21" s="229">
        <v>0</v>
      </c>
      <c r="DPJ21" s="229">
        <v>0</v>
      </c>
      <c r="DPK21" s="229">
        <v>0</v>
      </c>
      <c r="DPL21" s="229">
        <v>0</v>
      </c>
      <c r="DPM21" s="229">
        <v>0</v>
      </c>
      <c r="DPN21" s="229">
        <v>0</v>
      </c>
      <c r="DPO21" s="229">
        <v>0</v>
      </c>
      <c r="DPP21" s="229">
        <v>0</v>
      </c>
      <c r="DPQ21" s="229">
        <v>0</v>
      </c>
      <c r="DPR21" s="229">
        <v>0</v>
      </c>
      <c r="DPS21" s="229">
        <v>0</v>
      </c>
      <c r="DPT21" s="229">
        <v>0</v>
      </c>
      <c r="DPU21" s="229">
        <v>0</v>
      </c>
      <c r="DPV21" s="229">
        <v>0</v>
      </c>
      <c r="DPW21" s="229">
        <v>0</v>
      </c>
      <c r="DPX21" s="229">
        <v>0</v>
      </c>
      <c r="DPY21" s="229">
        <v>0</v>
      </c>
      <c r="DPZ21" s="229">
        <v>0</v>
      </c>
      <c r="DQA21" s="229">
        <v>0</v>
      </c>
      <c r="DQB21" s="229">
        <v>0</v>
      </c>
      <c r="DQC21" s="229">
        <v>0</v>
      </c>
      <c r="DQD21" s="229">
        <v>0</v>
      </c>
      <c r="DQE21" s="229">
        <v>0</v>
      </c>
      <c r="DQF21" s="229">
        <v>0</v>
      </c>
      <c r="DQG21" s="229">
        <v>0</v>
      </c>
      <c r="DQH21" s="229">
        <v>0</v>
      </c>
      <c r="DQI21" s="229">
        <v>0</v>
      </c>
      <c r="DQJ21" s="229">
        <v>0</v>
      </c>
      <c r="DQK21" s="229">
        <v>0</v>
      </c>
      <c r="DQL21" s="229">
        <v>0</v>
      </c>
      <c r="DQM21" s="229">
        <v>0</v>
      </c>
      <c r="DQN21" s="229">
        <v>0</v>
      </c>
      <c r="DQO21" s="229">
        <v>0</v>
      </c>
      <c r="DQP21" s="229">
        <v>0</v>
      </c>
      <c r="DQQ21" s="229">
        <v>0</v>
      </c>
      <c r="DQR21" s="229">
        <v>0</v>
      </c>
      <c r="DQS21" s="229">
        <v>0</v>
      </c>
      <c r="DQT21" s="229">
        <v>0</v>
      </c>
      <c r="DQU21" s="229">
        <v>0</v>
      </c>
      <c r="DQV21" s="229">
        <v>0</v>
      </c>
      <c r="DQW21" s="229">
        <v>0</v>
      </c>
      <c r="DQX21" s="229">
        <v>0</v>
      </c>
      <c r="DQY21" s="229">
        <v>0</v>
      </c>
      <c r="DQZ21" s="229">
        <v>0</v>
      </c>
      <c r="DRA21" s="229">
        <v>0</v>
      </c>
      <c r="DRB21" s="229">
        <v>0</v>
      </c>
      <c r="DRC21" s="229">
        <v>0</v>
      </c>
      <c r="DRD21" s="229">
        <v>0</v>
      </c>
      <c r="DRE21" s="229">
        <v>0</v>
      </c>
      <c r="DRF21" s="229">
        <v>0</v>
      </c>
      <c r="DRG21" s="229">
        <v>0</v>
      </c>
      <c r="DRH21" s="229">
        <v>0</v>
      </c>
      <c r="DRI21" s="229">
        <v>0</v>
      </c>
      <c r="DRJ21" s="229">
        <v>0</v>
      </c>
      <c r="DRK21" s="229">
        <v>0</v>
      </c>
      <c r="DRL21" s="229">
        <v>0</v>
      </c>
      <c r="DRM21" s="229">
        <v>0</v>
      </c>
      <c r="DRN21" s="229">
        <v>0</v>
      </c>
      <c r="DRO21" s="229">
        <v>0</v>
      </c>
      <c r="DRP21" s="229">
        <v>0</v>
      </c>
      <c r="DRQ21" s="229">
        <v>0</v>
      </c>
      <c r="DRR21" s="229">
        <v>0</v>
      </c>
      <c r="DRS21" s="229">
        <v>0</v>
      </c>
      <c r="DRT21" s="229">
        <v>0</v>
      </c>
      <c r="DRU21" s="229">
        <v>0</v>
      </c>
      <c r="DRV21" s="229">
        <v>0</v>
      </c>
      <c r="DRW21" s="229">
        <v>0</v>
      </c>
      <c r="DRX21" s="229">
        <v>0</v>
      </c>
      <c r="DRY21" s="229">
        <v>0</v>
      </c>
      <c r="DRZ21" s="229">
        <v>0</v>
      </c>
      <c r="DSA21" s="229">
        <v>0</v>
      </c>
      <c r="DSB21" s="229">
        <v>0</v>
      </c>
      <c r="DSC21" s="229">
        <v>0</v>
      </c>
      <c r="DSD21" s="229">
        <v>0</v>
      </c>
      <c r="DSE21" s="229">
        <v>0</v>
      </c>
      <c r="DSF21" s="229">
        <v>0</v>
      </c>
      <c r="DSG21" s="229">
        <v>0</v>
      </c>
      <c r="DSH21" s="229">
        <v>0</v>
      </c>
      <c r="DSI21" s="229">
        <v>0</v>
      </c>
      <c r="DSJ21" s="229">
        <v>0</v>
      </c>
      <c r="DSK21" s="229">
        <v>0</v>
      </c>
      <c r="DSL21" s="229">
        <v>0</v>
      </c>
      <c r="DSM21" s="229">
        <v>0</v>
      </c>
      <c r="DSN21" s="229">
        <v>0</v>
      </c>
      <c r="DSO21" s="229">
        <v>0</v>
      </c>
      <c r="DSP21" s="229">
        <v>0</v>
      </c>
      <c r="DSQ21" s="229">
        <v>0</v>
      </c>
      <c r="DSR21" s="229">
        <v>0</v>
      </c>
      <c r="DSS21" s="229">
        <v>0</v>
      </c>
      <c r="DST21" s="229">
        <v>0</v>
      </c>
      <c r="DSU21" s="229">
        <v>0</v>
      </c>
      <c r="DSV21" s="229">
        <v>0</v>
      </c>
      <c r="DSW21" s="229">
        <v>0</v>
      </c>
      <c r="DSX21" s="229">
        <v>0</v>
      </c>
      <c r="DSY21" s="229">
        <v>0</v>
      </c>
      <c r="DSZ21" s="229">
        <v>0</v>
      </c>
      <c r="DTA21" s="229">
        <v>0</v>
      </c>
      <c r="DTB21" s="229">
        <v>0</v>
      </c>
      <c r="DTC21" s="229">
        <v>0</v>
      </c>
      <c r="DTD21" s="229">
        <v>0</v>
      </c>
      <c r="DTE21" s="229">
        <v>0</v>
      </c>
      <c r="DTF21" s="229">
        <v>0</v>
      </c>
      <c r="DTG21" s="229">
        <v>0</v>
      </c>
      <c r="DTH21" s="229">
        <v>0</v>
      </c>
      <c r="DTI21" s="229">
        <v>0</v>
      </c>
      <c r="DTJ21" s="229">
        <v>0</v>
      </c>
      <c r="DTK21" s="229">
        <v>0</v>
      </c>
      <c r="DTL21" s="229">
        <v>0</v>
      </c>
      <c r="DTM21" s="229">
        <v>0</v>
      </c>
      <c r="DTN21" s="229">
        <v>0</v>
      </c>
      <c r="DTO21" s="229">
        <v>0</v>
      </c>
      <c r="DTP21" s="229">
        <v>0</v>
      </c>
      <c r="DTQ21" s="229">
        <v>0</v>
      </c>
      <c r="DTR21" s="229">
        <v>0</v>
      </c>
      <c r="DTS21" s="229">
        <v>0</v>
      </c>
      <c r="DTT21" s="229">
        <v>0</v>
      </c>
      <c r="DTU21" s="229">
        <v>0</v>
      </c>
      <c r="DTV21" s="229">
        <v>0</v>
      </c>
      <c r="DTW21" s="229">
        <v>0</v>
      </c>
      <c r="DTX21" s="229">
        <v>0</v>
      </c>
      <c r="DTY21" s="229">
        <v>0</v>
      </c>
      <c r="DTZ21" s="229">
        <v>0</v>
      </c>
      <c r="DUA21" s="229">
        <v>0</v>
      </c>
      <c r="DUB21" s="229">
        <v>0</v>
      </c>
      <c r="DUC21" s="229">
        <v>0</v>
      </c>
      <c r="DUD21" s="229">
        <v>0</v>
      </c>
      <c r="DUE21" s="229">
        <v>0</v>
      </c>
      <c r="DUF21" s="229">
        <v>0</v>
      </c>
      <c r="DUG21" s="229">
        <v>0</v>
      </c>
      <c r="DUH21" s="229">
        <v>0</v>
      </c>
      <c r="DUI21" s="229">
        <v>0</v>
      </c>
      <c r="DUJ21" s="229">
        <v>0</v>
      </c>
      <c r="DUK21" s="229">
        <v>0</v>
      </c>
      <c r="DUL21" s="229">
        <v>0</v>
      </c>
      <c r="DUM21" s="229">
        <v>0</v>
      </c>
      <c r="DUN21" s="229">
        <v>0</v>
      </c>
      <c r="DUO21" s="229">
        <v>0</v>
      </c>
      <c r="DUP21" s="229">
        <v>0</v>
      </c>
      <c r="DUQ21" s="229">
        <v>0</v>
      </c>
      <c r="DUR21" s="229">
        <v>0</v>
      </c>
      <c r="DUS21" s="229">
        <v>0</v>
      </c>
      <c r="DUT21" s="229">
        <v>0</v>
      </c>
      <c r="DUU21" s="229">
        <v>0</v>
      </c>
      <c r="DUV21" s="229">
        <v>0</v>
      </c>
      <c r="DUW21" s="229">
        <v>0</v>
      </c>
      <c r="DUX21" s="229">
        <v>0</v>
      </c>
      <c r="DUY21" s="229">
        <v>0</v>
      </c>
      <c r="DUZ21" s="229">
        <v>0</v>
      </c>
      <c r="DVA21" s="229">
        <v>0</v>
      </c>
      <c r="DVB21" s="229">
        <v>0</v>
      </c>
      <c r="DVC21" s="229">
        <v>0</v>
      </c>
      <c r="DVD21" s="229">
        <v>0</v>
      </c>
      <c r="DVE21" s="229">
        <v>0</v>
      </c>
      <c r="DVF21" s="229">
        <v>0</v>
      </c>
      <c r="DVG21" s="229">
        <v>0</v>
      </c>
      <c r="DVH21" s="229">
        <v>0</v>
      </c>
      <c r="DVI21" s="229">
        <v>0</v>
      </c>
      <c r="DVJ21" s="229">
        <v>0</v>
      </c>
      <c r="DVK21" s="229">
        <v>0</v>
      </c>
      <c r="DVL21" s="229">
        <v>0</v>
      </c>
      <c r="DVM21" s="229">
        <v>0</v>
      </c>
      <c r="DVN21" s="229">
        <v>0</v>
      </c>
      <c r="DVO21" s="229">
        <v>0</v>
      </c>
      <c r="DVP21" s="229">
        <v>0</v>
      </c>
      <c r="DVQ21" s="229">
        <v>0</v>
      </c>
      <c r="DVR21" s="229">
        <v>0</v>
      </c>
      <c r="DVS21" s="229">
        <v>0</v>
      </c>
      <c r="DVT21" s="229">
        <v>0</v>
      </c>
      <c r="DVU21" s="229">
        <v>0</v>
      </c>
      <c r="DVV21" s="229">
        <v>0</v>
      </c>
      <c r="DVW21" s="229">
        <v>0</v>
      </c>
      <c r="DVX21" s="229">
        <v>0</v>
      </c>
      <c r="DVY21" s="229">
        <v>0</v>
      </c>
      <c r="DVZ21" s="229">
        <v>0</v>
      </c>
      <c r="DWA21" s="229">
        <v>0</v>
      </c>
      <c r="DWB21" s="229">
        <v>0</v>
      </c>
      <c r="DWC21" s="229">
        <v>0</v>
      </c>
      <c r="DWD21" s="229">
        <v>0</v>
      </c>
      <c r="DWE21" s="229">
        <v>0</v>
      </c>
      <c r="DWF21" s="229">
        <v>0</v>
      </c>
      <c r="DWG21" s="229">
        <v>0</v>
      </c>
      <c r="DWH21" s="229">
        <v>0</v>
      </c>
      <c r="DWI21" s="229">
        <v>0</v>
      </c>
      <c r="DWJ21" s="229">
        <v>0</v>
      </c>
      <c r="DWK21" s="229">
        <v>0</v>
      </c>
      <c r="DWL21" s="229">
        <v>0</v>
      </c>
      <c r="DWM21" s="229">
        <v>0</v>
      </c>
      <c r="DWN21" s="229">
        <v>0</v>
      </c>
      <c r="DWO21" s="229">
        <v>0</v>
      </c>
      <c r="DWP21" s="229">
        <v>0</v>
      </c>
      <c r="DWQ21" s="229">
        <v>0</v>
      </c>
      <c r="DWR21" s="229">
        <v>0</v>
      </c>
      <c r="DWS21" s="229">
        <v>0</v>
      </c>
      <c r="DWT21" s="229">
        <v>0</v>
      </c>
      <c r="DWU21" s="229">
        <v>0</v>
      </c>
      <c r="DWV21" s="229">
        <v>0</v>
      </c>
      <c r="DWW21" s="229">
        <v>0</v>
      </c>
      <c r="DWX21" s="229">
        <v>0</v>
      </c>
      <c r="DWY21" s="229">
        <v>0</v>
      </c>
      <c r="DWZ21" s="229">
        <v>0</v>
      </c>
      <c r="DXA21" s="229">
        <v>0</v>
      </c>
      <c r="DXB21" s="229">
        <v>0</v>
      </c>
      <c r="DXC21" s="229">
        <v>0</v>
      </c>
      <c r="DXD21" s="229">
        <v>0</v>
      </c>
      <c r="DXE21" s="229">
        <v>0</v>
      </c>
      <c r="DXF21" s="229">
        <v>0</v>
      </c>
      <c r="DXG21" s="229">
        <v>0</v>
      </c>
      <c r="DXH21" s="229">
        <v>0</v>
      </c>
      <c r="DXI21" s="229">
        <v>0</v>
      </c>
      <c r="DXJ21" s="229">
        <v>0</v>
      </c>
      <c r="DXK21" s="229">
        <v>0</v>
      </c>
      <c r="DXL21" s="229">
        <v>0</v>
      </c>
      <c r="DXM21" s="229">
        <v>0</v>
      </c>
      <c r="DXN21" s="229">
        <v>0</v>
      </c>
      <c r="DXO21" s="229">
        <v>0</v>
      </c>
      <c r="DXP21" s="229">
        <v>0</v>
      </c>
      <c r="DXQ21" s="229">
        <v>0</v>
      </c>
      <c r="DXR21" s="229">
        <v>0</v>
      </c>
      <c r="DXS21" s="229">
        <v>0</v>
      </c>
      <c r="DXT21" s="229">
        <v>0</v>
      </c>
      <c r="DXU21" s="229">
        <v>0</v>
      </c>
      <c r="DXV21" s="229">
        <v>0</v>
      </c>
      <c r="DXW21" s="229">
        <v>0</v>
      </c>
      <c r="DXX21" s="229">
        <v>0</v>
      </c>
      <c r="DXY21" s="229">
        <v>0</v>
      </c>
      <c r="DXZ21" s="229">
        <v>0</v>
      </c>
      <c r="DYA21" s="229">
        <v>0</v>
      </c>
      <c r="DYB21" s="229">
        <v>0</v>
      </c>
      <c r="DYC21" s="229">
        <v>0</v>
      </c>
      <c r="DYD21" s="229">
        <v>0</v>
      </c>
      <c r="DYE21" s="229">
        <v>0</v>
      </c>
      <c r="DYF21" s="229">
        <v>0</v>
      </c>
      <c r="DYG21" s="229">
        <v>0</v>
      </c>
      <c r="DYH21" s="229">
        <v>0</v>
      </c>
      <c r="DYI21" s="229">
        <v>0</v>
      </c>
      <c r="DYJ21" s="229">
        <v>0</v>
      </c>
      <c r="DYK21" s="229">
        <v>0</v>
      </c>
      <c r="DYL21" s="229">
        <v>0</v>
      </c>
      <c r="DYM21" s="229">
        <v>0</v>
      </c>
      <c r="DYN21" s="229">
        <v>0</v>
      </c>
      <c r="DYO21" s="229">
        <v>0</v>
      </c>
      <c r="DYP21" s="229">
        <v>0</v>
      </c>
      <c r="DYQ21" s="229">
        <v>0</v>
      </c>
      <c r="DYR21" s="229">
        <v>0</v>
      </c>
      <c r="DYS21" s="229">
        <v>0</v>
      </c>
      <c r="DYT21" s="229">
        <v>0</v>
      </c>
      <c r="DYU21" s="229">
        <v>0</v>
      </c>
      <c r="DYV21" s="229">
        <v>0</v>
      </c>
      <c r="DYW21" s="229">
        <v>0</v>
      </c>
      <c r="DYX21" s="229">
        <v>0</v>
      </c>
      <c r="DYY21" s="229">
        <v>0</v>
      </c>
      <c r="DYZ21" s="229">
        <v>0</v>
      </c>
      <c r="DZA21" s="229">
        <v>0</v>
      </c>
      <c r="DZB21" s="229">
        <v>0</v>
      </c>
      <c r="DZC21" s="229">
        <v>0</v>
      </c>
      <c r="DZD21" s="229">
        <v>0</v>
      </c>
      <c r="DZE21" s="229">
        <v>0</v>
      </c>
      <c r="DZF21" s="229">
        <v>0</v>
      </c>
      <c r="DZG21" s="229">
        <v>0</v>
      </c>
      <c r="DZH21" s="229">
        <v>0</v>
      </c>
      <c r="DZI21" s="229">
        <v>0</v>
      </c>
      <c r="DZJ21" s="229">
        <v>0</v>
      </c>
      <c r="DZK21" s="229">
        <v>0</v>
      </c>
      <c r="DZL21" s="229">
        <v>0</v>
      </c>
      <c r="DZM21" s="229">
        <v>0</v>
      </c>
      <c r="DZN21" s="229">
        <v>0</v>
      </c>
      <c r="DZO21" s="229">
        <v>0</v>
      </c>
      <c r="DZP21" s="229">
        <v>0</v>
      </c>
      <c r="DZQ21" s="229">
        <v>0</v>
      </c>
      <c r="DZR21" s="229">
        <v>0</v>
      </c>
      <c r="DZS21" s="229">
        <v>0</v>
      </c>
      <c r="DZT21" s="229">
        <v>0</v>
      </c>
      <c r="DZU21" s="229">
        <v>0</v>
      </c>
      <c r="DZV21" s="229">
        <v>0</v>
      </c>
      <c r="DZW21" s="229">
        <v>0</v>
      </c>
      <c r="DZX21" s="229">
        <v>0</v>
      </c>
      <c r="DZY21" s="229">
        <v>0</v>
      </c>
      <c r="DZZ21" s="229">
        <v>0</v>
      </c>
      <c r="EAA21" s="229">
        <v>0</v>
      </c>
      <c r="EAB21" s="229">
        <v>0</v>
      </c>
      <c r="EAC21" s="229">
        <v>0</v>
      </c>
      <c r="EAD21" s="229">
        <v>0</v>
      </c>
      <c r="EAE21" s="229">
        <v>0</v>
      </c>
      <c r="EAF21" s="229">
        <v>0</v>
      </c>
      <c r="EAG21" s="229">
        <v>0</v>
      </c>
      <c r="EAH21" s="229">
        <v>0</v>
      </c>
      <c r="EAI21" s="229">
        <v>0</v>
      </c>
      <c r="EAJ21" s="229">
        <v>0</v>
      </c>
      <c r="EAK21" s="229">
        <v>0</v>
      </c>
      <c r="EAL21" s="229">
        <v>0</v>
      </c>
      <c r="EAM21" s="229">
        <v>0</v>
      </c>
      <c r="EAN21" s="229">
        <v>0</v>
      </c>
      <c r="EAO21" s="229">
        <v>0</v>
      </c>
      <c r="EAP21" s="229">
        <v>0</v>
      </c>
      <c r="EAQ21" s="229">
        <v>0</v>
      </c>
      <c r="EAR21" s="229">
        <v>0</v>
      </c>
      <c r="EAS21" s="229">
        <v>0</v>
      </c>
      <c r="EAT21" s="229">
        <v>0</v>
      </c>
      <c r="EAU21" s="229">
        <v>0</v>
      </c>
      <c r="EAV21" s="229">
        <v>0</v>
      </c>
      <c r="EAW21" s="229">
        <v>0</v>
      </c>
      <c r="EAX21" s="229">
        <v>0</v>
      </c>
      <c r="EAY21" s="229">
        <v>0</v>
      </c>
      <c r="EAZ21" s="229">
        <v>0</v>
      </c>
      <c r="EBA21" s="229">
        <v>0</v>
      </c>
      <c r="EBB21" s="229">
        <v>0</v>
      </c>
      <c r="EBC21" s="229">
        <v>0</v>
      </c>
      <c r="EBD21" s="229">
        <v>0</v>
      </c>
      <c r="EBE21" s="229">
        <v>0</v>
      </c>
      <c r="EBF21" s="229">
        <v>0</v>
      </c>
      <c r="EBG21" s="229">
        <v>0</v>
      </c>
      <c r="EBH21" s="229">
        <v>0</v>
      </c>
      <c r="EBI21" s="229">
        <v>0</v>
      </c>
      <c r="EBJ21" s="229">
        <v>0</v>
      </c>
      <c r="EBK21" s="229">
        <v>0</v>
      </c>
      <c r="EBL21" s="229">
        <v>0</v>
      </c>
      <c r="EBM21" s="229">
        <v>0</v>
      </c>
      <c r="EBN21" s="229">
        <v>0</v>
      </c>
      <c r="EBO21" s="229">
        <v>0</v>
      </c>
      <c r="EBP21" s="229">
        <v>0</v>
      </c>
      <c r="EBQ21" s="229">
        <v>0</v>
      </c>
      <c r="EBR21" s="229">
        <v>0</v>
      </c>
      <c r="EBS21" s="229">
        <v>0</v>
      </c>
      <c r="EBT21" s="229">
        <v>0</v>
      </c>
      <c r="EBU21" s="229">
        <v>0</v>
      </c>
      <c r="EBV21" s="229">
        <v>0</v>
      </c>
      <c r="EBW21" s="229">
        <v>0</v>
      </c>
      <c r="EBX21" s="229">
        <v>0</v>
      </c>
      <c r="EBY21" s="229">
        <v>0</v>
      </c>
      <c r="EBZ21" s="229">
        <v>0</v>
      </c>
      <c r="ECA21" s="229">
        <v>0</v>
      </c>
      <c r="ECB21" s="229">
        <v>0</v>
      </c>
      <c r="ECC21" s="229">
        <v>0</v>
      </c>
      <c r="ECD21" s="229">
        <v>0</v>
      </c>
      <c r="ECE21" s="229">
        <v>0</v>
      </c>
      <c r="ECF21" s="229">
        <v>0</v>
      </c>
      <c r="ECG21" s="229">
        <v>0</v>
      </c>
      <c r="ECH21" s="229">
        <v>0</v>
      </c>
      <c r="ECI21" s="229">
        <v>0</v>
      </c>
      <c r="ECJ21" s="229">
        <v>0</v>
      </c>
      <c r="ECK21" s="229">
        <v>0</v>
      </c>
      <c r="ECL21" s="229">
        <v>0</v>
      </c>
      <c r="ECM21" s="229">
        <v>0</v>
      </c>
      <c r="ECN21" s="229">
        <v>0</v>
      </c>
      <c r="ECO21" s="229">
        <v>0</v>
      </c>
      <c r="ECP21" s="229">
        <v>0</v>
      </c>
      <c r="ECQ21" s="229">
        <v>0</v>
      </c>
      <c r="ECR21" s="229">
        <v>0</v>
      </c>
      <c r="ECS21" s="229">
        <v>0</v>
      </c>
      <c r="ECT21" s="229">
        <v>0</v>
      </c>
      <c r="ECU21" s="229">
        <v>0</v>
      </c>
      <c r="ECV21" s="229">
        <v>0</v>
      </c>
      <c r="ECW21" s="229">
        <v>0</v>
      </c>
      <c r="ECX21" s="229">
        <v>0</v>
      </c>
      <c r="ECY21" s="229">
        <v>0</v>
      </c>
      <c r="ECZ21" s="229">
        <v>0</v>
      </c>
      <c r="EDA21" s="229">
        <v>0</v>
      </c>
      <c r="EDB21" s="229">
        <v>0</v>
      </c>
      <c r="EDC21" s="229">
        <v>0</v>
      </c>
      <c r="EDD21" s="229">
        <v>0</v>
      </c>
      <c r="EDE21" s="229">
        <v>0</v>
      </c>
      <c r="EDF21" s="229">
        <v>0</v>
      </c>
      <c r="EDG21" s="229">
        <v>0</v>
      </c>
      <c r="EDH21" s="229">
        <v>0</v>
      </c>
      <c r="EDI21" s="229">
        <v>0</v>
      </c>
      <c r="EDJ21" s="229">
        <v>0</v>
      </c>
      <c r="EDK21" s="229">
        <v>0</v>
      </c>
      <c r="EDL21" s="229">
        <v>0</v>
      </c>
      <c r="EDM21" s="229">
        <v>0</v>
      </c>
      <c r="EDN21" s="229">
        <v>0</v>
      </c>
      <c r="EDO21" s="229">
        <v>0</v>
      </c>
      <c r="EDP21" s="229">
        <v>0</v>
      </c>
      <c r="EDQ21" s="229">
        <v>0</v>
      </c>
      <c r="EDR21" s="229">
        <v>0</v>
      </c>
      <c r="EDS21" s="229">
        <v>0</v>
      </c>
      <c r="EDT21" s="229">
        <v>0</v>
      </c>
      <c r="EDU21" s="229">
        <v>0</v>
      </c>
      <c r="EDV21" s="229">
        <v>0</v>
      </c>
      <c r="EDW21" s="229">
        <v>0</v>
      </c>
      <c r="EDX21" s="229">
        <v>0</v>
      </c>
      <c r="EDY21" s="229">
        <v>0</v>
      </c>
      <c r="EDZ21" s="229">
        <v>0</v>
      </c>
      <c r="EEA21" s="229">
        <v>0</v>
      </c>
      <c r="EEB21" s="229">
        <v>0</v>
      </c>
      <c r="EEC21" s="229">
        <v>0</v>
      </c>
      <c r="EED21" s="229">
        <v>0</v>
      </c>
      <c r="EEE21" s="229">
        <v>0</v>
      </c>
      <c r="EEF21" s="229">
        <v>0</v>
      </c>
      <c r="EEG21" s="229">
        <v>0</v>
      </c>
      <c r="EEH21" s="229">
        <v>0</v>
      </c>
      <c r="EEI21" s="229">
        <v>0</v>
      </c>
      <c r="EEJ21" s="229">
        <v>0</v>
      </c>
      <c r="EEK21" s="229">
        <v>0</v>
      </c>
      <c r="EEL21" s="229">
        <v>0</v>
      </c>
      <c r="EEM21" s="229">
        <v>0</v>
      </c>
      <c r="EEN21" s="229">
        <v>0</v>
      </c>
      <c r="EEO21" s="229">
        <v>0</v>
      </c>
      <c r="EEP21" s="229">
        <v>0</v>
      </c>
      <c r="EEQ21" s="229">
        <v>0</v>
      </c>
      <c r="EER21" s="229">
        <v>0</v>
      </c>
      <c r="EES21" s="229">
        <v>0</v>
      </c>
      <c r="EET21" s="229">
        <v>0</v>
      </c>
      <c r="EEU21" s="229">
        <v>0</v>
      </c>
      <c r="EEV21" s="229">
        <v>0</v>
      </c>
      <c r="EEW21" s="229">
        <v>0</v>
      </c>
      <c r="EEX21" s="229">
        <v>0</v>
      </c>
      <c r="EEY21" s="229">
        <v>0</v>
      </c>
      <c r="EEZ21" s="229">
        <v>0</v>
      </c>
      <c r="EFA21" s="229">
        <v>0</v>
      </c>
      <c r="EFB21" s="229">
        <v>0</v>
      </c>
      <c r="EFC21" s="229">
        <v>0</v>
      </c>
      <c r="EFD21" s="229">
        <v>0</v>
      </c>
      <c r="EFE21" s="229">
        <v>0</v>
      </c>
      <c r="EFF21" s="229">
        <v>0</v>
      </c>
      <c r="EFG21" s="229">
        <v>0</v>
      </c>
      <c r="EFH21" s="229">
        <v>0</v>
      </c>
      <c r="EFI21" s="229">
        <v>0</v>
      </c>
      <c r="EFJ21" s="229">
        <v>0</v>
      </c>
      <c r="EFK21" s="229">
        <v>0</v>
      </c>
      <c r="EFL21" s="229">
        <v>0</v>
      </c>
      <c r="EFM21" s="229">
        <v>0</v>
      </c>
      <c r="EFN21" s="229">
        <v>0</v>
      </c>
      <c r="EFO21" s="229">
        <v>0</v>
      </c>
      <c r="EFP21" s="229">
        <v>0</v>
      </c>
      <c r="EFQ21" s="229">
        <v>0</v>
      </c>
      <c r="EFR21" s="229">
        <v>0</v>
      </c>
      <c r="EFS21" s="229">
        <v>0</v>
      </c>
      <c r="EFT21" s="229">
        <v>0</v>
      </c>
      <c r="EFU21" s="229">
        <v>0</v>
      </c>
      <c r="EFV21" s="229">
        <v>0</v>
      </c>
      <c r="EFW21" s="229">
        <v>0</v>
      </c>
      <c r="EFX21" s="229">
        <v>0</v>
      </c>
      <c r="EFY21" s="229">
        <v>0</v>
      </c>
      <c r="EFZ21" s="229">
        <v>0</v>
      </c>
      <c r="EGA21" s="229">
        <v>0</v>
      </c>
      <c r="EGB21" s="229">
        <v>0</v>
      </c>
      <c r="EGC21" s="229">
        <v>0</v>
      </c>
      <c r="EGD21" s="229">
        <v>0</v>
      </c>
      <c r="EGE21" s="229">
        <v>0</v>
      </c>
      <c r="EGF21" s="229">
        <v>0</v>
      </c>
      <c r="EGG21" s="229">
        <v>0</v>
      </c>
      <c r="EGH21" s="229">
        <v>0</v>
      </c>
      <c r="EGI21" s="229">
        <v>0</v>
      </c>
      <c r="EGJ21" s="229">
        <v>0</v>
      </c>
      <c r="EGK21" s="229">
        <v>0</v>
      </c>
      <c r="EGL21" s="229">
        <v>0</v>
      </c>
      <c r="EGM21" s="229">
        <v>0</v>
      </c>
      <c r="EGN21" s="229">
        <v>0</v>
      </c>
      <c r="EGO21" s="229">
        <v>0</v>
      </c>
      <c r="EGP21" s="229">
        <v>0</v>
      </c>
      <c r="EGQ21" s="229">
        <v>0</v>
      </c>
      <c r="EGR21" s="229">
        <v>0</v>
      </c>
      <c r="EGS21" s="229">
        <v>0</v>
      </c>
      <c r="EGT21" s="229">
        <v>0</v>
      </c>
      <c r="EGU21" s="229">
        <v>0</v>
      </c>
      <c r="EGV21" s="229">
        <v>0</v>
      </c>
      <c r="EGW21" s="229">
        <v>0</v>
      </c>
      <c r="EGX21" s="229">
        <v>0</v>
      </c>
      <c r="EGY21" s="229">
        <v>0</v>
      </c>
      <c r="EGZ21" s="229">
        <v>0</v>
      </c>
      <c r="EHA21" s="229">
        <v>0</v>
      </c>
      <c r="EHB21" s="229">
        <v>0</v>
      </c>
      <c r="EHC21" s="229">
        <v>0</v>
      </c>
      <c r="EHD21" s="229">
        <v>0</v>
      </c>
      <c r="EHE21" s="229">
        <v>0</v>
      </c>
      <c r="EHF21" s="229">
        <v>0</v>
      </c>
      <c r="EHG21" s="229">
        <v>0</v>
      </c>
      <c r="EHH21" s="229">
        <v>0</v>
      </c>
      <c r="EHI21" s="229">
        <v>0</v>
      </c>
      <c r="EHJ21" s="229">
        <v>0</v>
      </c>
      <c r="EHK21" s="229">
        <v>0</v>
      </c>
      <c r="EHL21" s="229">
        <v>0</v>
      </c>
      <c r="EHM21" s="229">
        <v>0</v>
      </c>
      <c r="EHN21" s="229">
        <v>0</v>
      </c>
      <c r="EHO21" s="229">
        <v>0</v>
      </c>
      <c r="EHP21" s="229">
        <v>0</v>
      </c>
      <c r="EHQ21" s="229">
        <v>0</v>
      </c>
      <c r="EHR21" s="229">
        <v>0</v>
      </c>
      <c r="EHS21" s="229">
        <v>0</v>
      </c>
      <c r="EHT21" s="229">
        <v>0</v>
      </c>
      <c r="EHU21" s="229">
        <v>0</v>
      </c>
      <c r="EHV21" s="229">
        <v>0</v>
      </c>
      <c r="EHW21" s="229">
        <v>0</v>
      </c>
      <c r="EHX21" s="229">
        <v>0</v>
      </c>
      <c r="EHY21" s="229">
        <v>0</v>
      </c>
      <c r="EHZ21" s="229">
        <v>0</v>
      </c>
      <c r="EIA21" s="229">
        <v>0</v>
      </c>
      <c r="EIB21" s="229">
        <v>0</v>
      </c>
      <c r="EIC21" s="229">
        <v>0</v>
      </c>
      <c r="EID21" s="229">
        <v>0</v>
      </c>
      <c r="EIE21" s="229">
        <v>0</v>
      </c>
      <c r="EIF21" s="229">
        <v>0</v>
      </c>
      <c r="EIG21" s="229">
        <v>0</v>
      </c>
      <c r="EIH21" s="229">
        <v>0</v>
      </c>
      <c r="EII21" s="229">
        <v>0</v>
      </c>
      <c r="EIJ21" s="229">
        <v>0</v>
      </c>
      <c r="EIK21" s="229">
        <v>0</v>
      </c>
      <c r="EIL21" s="229">
        <v>0</v>
      </c>
      <c r="EIM21" s="229">
        <v>0</v>
      </c>
      <c r="EIN21" s="229">
        <v>0</v>
      </c>
      <c r="EIO21" s="229">
        <v>0</v>
      </c>
      <c r="EIP21" s="229">
        <v>0</v>
      </c>
      <c r="EIQ21" s="229">
        <v>0</v>
      </c>
      <c r="EIR21" s="229">
        <v>0</v>
      </c>
      <c r="EIS21" s="229">
        <v>0</v>
      </c>
      <c r="EIT21" s="229">
        <v>0</v>
      </c>
      <c r="EIU21" s="229">
        <v>0</v>
      </c>
      <c r="EIV21" s="229">
        <v>0</v>
      </c>
      <c r="EIW21" s="229">
        <v>0</v>
      </c>
      <c r="EIX21" s="229">
        <v>0</v>
      </c>
      <c r="EIY21" s="229">
        <v>0</v>
      </c>
      <c r="EIZ21" s="229">
        <v>0</v>
      </c>
      <c r="EJA21" s="229">
        <v>0</v>
      </c>
      <c r="EJB21" s="229">
        <v>0</v>
      </c>
      <c r="EJC21" s="229">
        <v>0</v>
      </c>
      <c r="EJD21" s="229">
        <v>0</v>
      </c>
      <c r="EJE21" s="229">
        <v>0</v>
      </c>
      <c r="EJF21" s="229">
        <v>0</v>
      </c>
      <c r="EJG21" s="229">
        <v>0</v>
      </c>
      <c r="EJH21" s="229">
        <v>0</v>
      </c>
      <c r="EJI21" s="229">
        <v>0</v>
      </c>
      <c r="EJJ21" s="229">
        <v>0</v>
      </c>
      <c r="EJK21" s="229">
        <v>0</v>
      </c>
      <c r="EJL21" s="229">
        <v>0</v>
      </c>
      <c r="EJM21" s="229">
        <v>0</v>
      </c>
      <c r="EJN21" s="229">
        <v>0</v>
      </c>
      <c r="EJO21" s="229">
        <v>0</v>
      </c>
      <c r="EJP21" s="229">
        <v>0</v>
      </c>
      <c r="EJQ21" s="229">
        <v>0</v>
      </c>
      <c r="EJR21" s="229">
        <v>0</v>
      </c>
      <c r="EJS21" s="229">
        <v>0</v>
      </c>
      <c r="EJT21" s="229">
        <v>0</v>
      </c>
      <c r="EJU21" s="229">
        <v>0</v>
      </c>
      <c r="EJV21" s="229">
        <v>0</v>
      </c>
      <c r="EJW21" s="229">
        <v>0</v>
      </c>
      <c r="EJX21" s="229">
        <v>0</v>
      </c>
      <c r="EJY21" s="229">
        <v>0</v>
      </c>
      <c r="EJZ21" s="229">
        <v>0</v>
      </c>
      <c r="EKA21" s="229">
        <v>0</v>
      </c>
      <c r="EKB21" s="229">
        <v>0</v>
      </c>
      <c r="EKC21" s="229">
        <v>0</v>
      </c>
      <c r="EKD21" s="229">
        <v>0</v>
      </c>
      <c r="EKE21" s="229">
        <v>0</v>
      </c>
      <c r="EKF21" s="229">
        <v>0</v>
      </c>
      <c r="EKG21" s="229">
        <v>0</v>
      </c>
      <c r="EKH21" s="229">
        <v>0</v>
      </c>
      <c r="EKI21" s="229">
        <v>0</v>
      </c>
      <c r="EKJ21" s="229">
        <v>0</v>
      </c>
      <c r="EKK21" s="229">
        <v>0</v>
      </c>
      <c r="EKL21" s="229">
        <v>0</v>
      </c>
      <c r="EKM21" s="229">
        <v>0</v>
      </c>
      <c r="EKN21" s="229">
        <v>0</v>
      </c>
      <c r="EKO21" s="229">
        <v>0</v>
      </c>
      <c r="EKP21" s="229">
        <v>0</v>
      </c>
      <c r="EKQ21" s="229">
        <v>0</v>
      </c>
      <c r="EKR21" s="229">
        <v>0</v>
      </c>
      <c r="EKS21" s="229">
        <v>0</v>
      </c>
      <c r="EKT21" s="229">
        <v>0</v>
      </c>
      <c r="EKU21" s="229">
        <v>0</v>
      </c>
      <c r="EKV21" s="229">
        <v>0</v>
      </c>
      <c r="EKW21" s="229">
        <v>0</v>
      </c>
      <c r="EKX21" s="229">
        <v>0</v>
      </c>
      <c r="EKY21" s="229">
        <v>0</v>
      </c>
      <c r="EKZ21" s="229">
        <v>0</v>
      </c>
      <c r="ELA21" s="229">
        <v>0</v>
      </c>
      <c r="ELB21" s="229">
        <v>0</v>
      </c>
      <c r="ELC21" s="229">
        <v>0</v>
      </c>
      <c r="ELD21" s="229">
        <v>0</v>
      </c>
      <c r="ELE21" s="229">
        <v>0</v>
      </c>
      <c r="ELF21" s="229">
        <v>0</v>
      </c>
      <c r="ELG21" s="229">
        <v>0</v>
      </c>
      <c r="ELH21" s="229">
        <v>0</v>
      </c>
      <c r="ELI21" s="229">
        <v>0</v>
      </c>
      <c r="ELJ21" s="229">
        <v>0</v>
      </c>
      <c r="ELK21" s="229">
        <v>0</v>
      </c>
      <c r="ELL21" s="229">
        <v>0</v>
      </c>
      <c r="ELM21" s="229">
        <v>0</v>
      </c>
      <c r="ELN21" s="229">
        <v>0</v>
      </c>
      <c r="ELO21" s="229">
        <v>0</v>
      </c>
      <c r="ELP21" s="229">
        <v>0</v>
      </c>
      <c r="ELQ21" s="229">
        <v>0</v>
      </c>
      <c r="ELR21" s="229">
        <v>0</v>
      </c>
      <c r="ELS21" s="229">
        <v>0</v>
      </c>
      <c r="ELT21" s="229">
        <v>0</v>
      </c>
      <c r="ELU21" s="229">
        <v>0</v>
      </c>
      <c r="ELV21" s="229">
        <v>0</v>
      </c>
      <c r="ELW21" s="229">
        <v>0</v>
      </c>
      <c r="ELX21" s="229">
        <v>0</v>
      </c>
      <c r="ELY21" s="229">
        <v>0</v>
      </c>
      <c r="ELZ21" s="229">
        <v>0</v>
      </c>
      <c r="EMA21" s="229">
        <v>0</v>
      </c>
      <c r="EMB21" s="229">
        <v>0</v>
      </c>
      <c r="EMC21" s="229">
        <v>0</v>
      </c>
      <c r="EMD21" s="229">
        <v>0</v>
      </c>
      <c r="EME21" s="229">
        <v>0</v>
      </c>
      <c r="EMF21" s="229">
        <v>0</v>
      </c>
      <c r="EMG21" s="229">
        <v>0</v>
      </c>
      <c r="EMH21" s="229">
        <v>0</v>
      </c>
      <c r="EMI21" s="229">
        <v>0</v>
      </c>
      <c r="EMJ21" s="229">
        <v>0</v>
      </c>
      <c r="EMK21" s="229">
        <v>0</v>
      </c>
      <c r="EML21" s="229">
        <v>0</v>
      </c>
      <c r="EMM21" s="229">
        <v>0</v>
      </c>
      <c r="EMN21" s="229">
        <v>0</v>
      </c>
      <c r="EMO21" s="229">
        <v>0</v>
      </c>
      <c r="EMP21" s="229">
        <v>0</v>
      </c>
      <c r="EMQ21" s="229">
        <v>0</v>
      </c>
      <c r="EMR21" s="229">
        <v>0</v>
      </c>
      <c r="EMS21" s="229">
        <v>0</v>
      </c>
      <c r="EMT21" s="229">
        <v>0</v>
      </c>
      <c r="EMU21" s="229">
        <v>0</v>
      </c>
      <c r="EMV21" s="229">
        <v>0</v>
      </c>
      <c r="EMW21" s="229">
        <v>0</v>
      </c>
      <c r="EMX21" s="229">
        <v>0</v>
      </c>
      <c r="EMY21" s="229">
        <v>0</v>
      </c>
      <c r="EMZ21" s="229">
        <v>0</v>
      </c>
      <c r="ENA21" s="229">
        <v>0</v>
      </c>
      <c r="ENB21" s="229">
        <v>0</v>
      </c>
      <c r="ENC21" s="229">
        <v>0</v>
      </c>
      <c r="END21" s="229">
        <v>0</v>
      </c>
      <c r="ENE21" s="229">
        <v>0</v>
      </c>
      <c r="ENF21" s="229">
        <v>0</v>
      </c>
      <c r="ENG21" s="229">
        <v>0</v>
      </c>
      <c r="ENH21" s="229">
        <v>0</v>
      </c>
      <c r="ENI21" s="229">
        <v>0</v>
      </c>
      <c r="ENJ21" s="229">
        <v>0</v>
      </c>
      <c r="ENK21" s="229">
        <v>0</v>
      </c>
      <c r="ENL21" s="229">
        <v>0</v>
      </c>
      <c r="ENM21" s="229">
        <v>0</v>
      </c>
      <c r="ENN21" s="229">
        <v>0</v>
      </c>
      <c r="ENO21" s="229">
        <v>0</v>
      </c>
      <c r="ENP21" s="229">
        <v>0</v>
      </c>
      <c r="ENQ21" s="229">
        <v>0</v>
      </c>
      <c r="ENR21" s="229">
        <v>0</v>
      </c>
      <c r="ENS21" s="229">
        <v>0</v>
      </c>
      <c r="ENT21" s="229">
        <v>0</v>
      </c>
      <c r="ENU21" s="229">
        <v>0</v>
      </c>
      <c r="ENV21" s="229">
        <v>0</v>
      </c>
      <c r="ENW21" s="229">
        <v>0</v>
      </c>
      <c r="ENX21" s="229">
        <v>0</v>
      </c>
      <c r="ENY21" s="229">
        <v>0</v>
      </c>
      <c r="ENZ21" s="229">
        <v>0</v>
      </c>
      <c r="EOA21" s="229">
        <v>0</v>
      </c>
      <c r="EOB21" s="229">
        <v>0</v>
      </c>
      <c r="EOC21" s="229">
        <v>0</v>
      </c>
      <c r="EOD21" s="229">
        <v>0</v>
      </c>
      <c r="EOE21" s="229">
        <v>0</v>
      </c>
      <c r="EOF21" s="229">
        <v>0</v>
      </c>
      <c r="EOG21" s="229">
        <v>0</v>
      </c>
      <c r="EOH21" s="229">
        <v>0</v>
      </c>
      <c r="EOI21" s="229">
        <v>0</v>
      </c>
      <c r="EOJ21" s="229">
        <v>0</v>
      </c>
      <c r="EOK21" s="229">
        <v>0</v>
      </c>
      <c r="EOL21" s="229">
        <v>0</v>
      </c>
      <c r="EOM21" s="229">
        <v>0</v>
      </c>
      <c r="EON21" s="229">
        <v>0</v>
      </c>
      <c r="EOO21" s="229">
        <v>0</v>
      </c>
      <c r="EOP21" s="229">
        <v>0</v>
      </c>
      <c r="EOQ21" s="229">
        <v>0</v>
      </c>
      <c r="EOR21" s="229">
        <v>0</v>
      </c>
      <c r="EOS21" s="229">
        <v>0</v>
      </c>
      <c r="EOT21" s="229">
        <v>0</v>
      </c>
      <c r="EOU21" s="229">
        <v>0</v>
      </c>
      <c r="EOV21" s="229">
        <v>0</v>
      </c>
      <c r="EOW21" s="229">
        <v>0</v>
      </c>
      <c r="EOX21" s="229">
        <v>0</v>
      </c>
      <c r="EOY21" s="229">
        <v>0</v>
      </c>
      <c r="EOZ21" s="229">
        <v>0</v>
      </c>
      <c r="EPA21" s="229">
        <v>0</v>
      </c>
      <c r="EPB21" s="229">
        <v>0</v>
      </c>
      <c r="EPC21" s="229">
        <v>0</v>
      </c>
      <c r="EPD21" s="229">
        <v>0</v>
      </c>
      <c r="EPE21" s="229">
        <v>0</v>
      </c>
      <c r="EPF21" s="229">
        <v>0</v>
      </c>
      <c r="EPG21" s="229">
        <v>0</v>
      </c>
      <c r="EPH21" s="229">
        <v>0</v>
      </c>
      <c r="EPI21" s="229">
        <v>0</v>
      </c>
      <c r="EPJ21" s="229">
        <v>0</v>
      </c>
      <c r="EPK21" s="229">
        <v>0</v>
      </c>
      <c r="EPL21" s="229">
        <v>0</v>
      </c>
      <c r="EPM21" s="229">
        <v>0</v>
      </c>
      <c r="EPN21" s="229">
        <v>0</v>
      </c>
      <c r="EPO21" s="229">
        <v>0</v>
      </c>
      <c r="EPP21" s="229">
        <v>0</v>
      </c>
      <c r="EPQ21" s="229">
        <v>0</v>
      </c>
      <c r="EPR21" s="229">
        <v>0</v>
      </c>
      <c r="EPS21" s="229">
        <v>0</v>
      </c>
      <c r="EPT21" s="229">
        <v>0</v>
      </c>
      <c r="EPU21" s="229">
        <v>0</v>
      </c>
      <c r="EPV21" s="229">
        <v>0</v>
      </c>
      <c r="EPW21" s="229">
        <v>0</v>
      </c>
      <c r="EPX21" s="229">
        <v>0</v>
      </c>
      <c r="EPY21" s="229">
        <v>0</v>
      </c>
      <c r="EPZ21" s="229">
        <v>0</v>
      </c>
      <c r="EQA21" s="229">
        <v>0</v>
      </c>
      <c r="EQB21" s="229">
        <v>0</v>
      </c>
      <c r="EQC21" s="229">
        <v>0</v>
      </c>
      <c r="EQD21" s="229">
        <v>0</v>
      </c>
      <c r="EQE21" s="229">
        <v>0</v>
      </c>
      <c r="EQF21" s="229">
        <v>0</v>
      </c>
      <c r="EQG21" s="229">
        <v>0</v>
      </c>
      <c r="EQH21" s="229">
        <v>0</v>
      </c>
      <c r="EQI21" s="229">
        <v>0</v>
      </c>
      <c r="EQJ21" s="229">
        <v>0</v>
      </c>
      <c r="EQK21" s="229">
        <v>0</v>
      </c>
      <c r="EQL21" s="229">
        <v>0</v>
      </c>
      <c r="EQM21" s="229">
        <v>0</v>
      </c>
      <c r="EQN21" s="229">
        <v>0</v>
      </c>
      <c r="EQO21" s="229">
        <v>0</v>
      </c>
      <c r="EQP21" s="229">
        <v>0</v>
      </c>
      <c r="EQQ21" s="229">
        <v>0</v>
      </c>
      <c r="EQR21" s="229">
        <v>0</v>
      </c>
      <c r="EQS21" s="229">
        <v>0</v>
      </c>
      <c r="EQT21" s="229">
        <v>0</v>
      </c>
      <c r="EQU21" s="229">
        <v>0</v>
      </c>
      <c r="EQV21" s="229">
        <v>0</v>
      </c>
      <c r="EQW21" s="229">
        <v>0</v>
      </c>
      <c r="EQX21" s="229">
        <v>0</v>
      </c>
      <c r="EQY21" s="229">
        <v>0</v>
      </c>
      <c r="EQZ21" s="229">
        <v>0</v>
      </c>
      <c r="ERA21" s="229">
        <v>0</v>
      </c>
      <c r="ERB21" s="229">
        <v>0</v>
      </c>
      <c r="ERC21" s="229">
        <v>0</v>
      </c>
      <c r="ERD21" s="229">
        <v>0</v>
      </c>
      <c r="ERE21" s="229">
        <v>0</v>
      </c>
      <c r="ERF21" s="229">
        <v>0</v>
      </c>
      <c r="ERG21" s="229">
        <v>0</v>
      </c>
      <c r="ERH21" s="229">
        <v>0</v>
      </c>
      <c r="ERI21" s="229">
        <v>0</v>
      </c>
      <c r="ERJ21" s="229">
        <v>0</v>
      </c>
      <c r="ERK21" s="229">
        <v>0</v>
      </c>
      <c r="ERL21" s="229">
        <v>0</v>
      </c>
      <c r="ERM21" s="229">
        <v>0</v>
      </c>
      <c r="ERN21" s="229">
        <v>0</v>
      </c>
      <c r="ERO21" s="229">
        <v>0</v>
      </c>
      <c r="ERP21" s="229">
        <v>0</v>
      </c>
      <c r="ERQ21" s="229">
        <v>0</v>
      </c>
      <c r="ERR21" s="229">
        <v>0</v>
      </c>
      <c r="ERS21" s="229">
        <v>0</v>
      </c>
      <c r="ERT21" s="229">
        <v>0</v>
      </c>
      <c r="ERU21" s="229">
        <v>0</v>
      </c>
      <c r="ERV21" s="229">
        <v>0</v>
      </c>
      <c r="ERW21" s="229">
        <v>0</v>
      </c>
      <c r="ERX21" s="229">
        <v>0</v>
      </c>
      <c r="ERY21" s="229">
        <v>0</v>
      </c>
      <c r="ERZ21" s="229">
        <v>0</v>
      </c>
      <c r="ESA21" s="229">
        <v>0</v>
      </c>
      <c r="ESB21" s="229">
        <v>0</v>
      </c>
      <c r="ESC21" s="229">
        <v>0</v>
      </c>
      <c r="ESD21" s="229">
        <v>0</v>
      </c>
      <c r="ESE21" s="229">
        <v>0</v>
      </c>
      <c r="ESF21" s="229">
        <v>0</v>
      </c>
      <c r="ESG21" s="229">
        <v>0</v>
      </c>
      <c r="ESH21" s="229">
        <v>0</v>
      </c>
      <c r="ESI21" s="229">
        <v>0</v>
      </c>
      <c r="ESJ21" s="229">
        <v>0</v>
      </c>
      <c r="ESK21" s="229">
        <v>0</v>
      </c>
      <c r="ESL21" s="229">
        <v>0</v>
      </c>
      <c r="ESM21" s="229">
        <v>0</v>
      </c>
      <c r="ESN21" s="229">
        <v>0</v>
      </c>
      <c r="ESO21" s="229">
        <v>0</v>
      </c>
      <c r="ESP21" s="229">
        <v>0</v>
      </c>
      <c r="ESQ21" s="229">
        <v>0</v>
      </c>
      <c r="ESR21" s="229">
        <v>0</v>
      </c>
      <c r="ESS21" s="229">
        <v>0</v>
      </c>
      <c r="EST21" s="229">
        <v>0</v>
      </c>
      <c r="ESU21" s="229">
        <v>0</v>
      </c>
      <c r="ESV21" s="229">
        <v>0</v>
      </c>
      <c r="ESW21" s="229">
        <v>0</v>
      </c>
      <c r="ESX21" s="229">
        <v>0</v>
      </c>
      <c r="ESY21" s="229">
        <v>0</v>
      </c>
      <c r="ESZ21" s="229">
        <v>0</v>
      </c>
      <c r="ETA21" s="229">
        <v>0</v>
      </c>
      <c r="ETB21" s="229">
        <v>0</v>
      </c>
      <c r="ETC21" s="229">
        <v>0</v>
      </c>
      <c r="ETD21" s="229">
        <v>0</v>
      </c>
      <c r="ETE21" s="229">
        <v>0</v>
      </c>
      <c r="ETF21" s="229">
        <v>0</v>
      </c>
      <c r="ETG21" s="229">
        <v>0</v>
      </c>
      <c r="ETH21" s="229">
        <v>0</v>
      </c>
      <c r="ETI21" s="229">
        <v>0</v>
      </c>
      <c r="ETJ21" s="229">
        <v>0</v>
      </c>
      <c r="ETK21" s="229">
        <v>0</v>
      </c>
      <c r="ETL21" s="229">
        <v>0</v>
      </c>
      <c r="ETM21" s="229">
        <v>0</v>
      </c>
      <c r="ETN21" s="229">
        <v>0</v>
      </c>
      <c r="ETO21" s="229">
        <v>0</v>
      </c>
      <c r="ETP21" s="229">
        <v>0</v>
      </c>
      <c r="ETQ21" s="229">
        <v>0</v>
      </c>
      <c r="ETR21" s="229">
        <v>0</v>
      </c>
      <c r="ETS21" s="229">
        <v>0</v>
      </c>
      <c r="ETT21" s="229">
        <v>0</v>
      </c>
      <c r="ETU21" s="229">
        <v>0</v>
      </c>
      <c r="ETV21" s="229">
        <v>0</v>
      </c>
      <c r="ETW21" s="229">
        <v>0</v>
      </c>
      <c r="ETX21" s="229">
        <v>0</v>
      </c>
      <c r="ETY21" s="229">
        <v>0</v>
      </c>
      <c r="ETZ21" s="229">
        <v>0</v>
      </c>
      <c r="EUA21" s="229">
        <v>0</v>
      </c>
      <c r="EUB21" s="229">
        <v>0</v>
      </c>
      <c r="EUC21" s="229">
        <v>0</v>
      </c>
      <c r="EUD21" s="229">
        <v>0</v>
      </c>
      <c r="EUE21" s="229">
        <v>0</v>
      </c>
      <c r="EUF21" s="229">
        <v>0</v>
      </c>
      <c r="EUG21" s="229">
        <v>0</v>
      </c>
      <c r="EUH21" s="229">
        <v>0</v>
      </c>
      <c r="EUI21" s="229">
        <v>0</v>
      </c>
      <c r="EUJ21" s="229">
        <v>0</v>
      </c>
      <c r="EUK21" s="229">
        <v>0</v>
      </c>
      <c r="EUL21" s="229">
        <v>0</v>
      </c>
      <c r="EUM21" s="229">
        <v>0</v>
      </c>
      <c r="EUN21" s="229">
        <v>0</v>
      </c>
      <c r="EUO21" s="229">
        <v>0</v>
      </c>
      <c r="EUP21" s="229">
        <v>0</v>
      </c>
      <c r="EUQ21" s="229">
        <v>0</v>
      </c>
      <c r="EUR21" s="229">
        <v>0</v>
      </c>
      <c r="EUS21" s="229">
        <v>0</v>
      </c>
      <c r="EUT21" s="229">
        <v>0</v>
      </c>
      <c r="EUU21" s="229">
        <v>0</v>
      </c>
      <c r="EUV21" s="229">
        <v>0</v>
      </c>
      <c r="EUW21" s="229">
        <v>0</v>
      </c>
      <c r="EUX21" s="229">
        <v>0</v>
      </c>
      <c r="EUY21" s="229">
        <v>0</v>
      </c>
      <c r="EUZ21" s="229">
        <v>0</v>
      </c>
      <c r="EVA21" s="229">
        <v>0</v>
      </c>
      <c r="EVB21" s="229">
        <v>0</v>
      </c>
      <c r="EVC21" s="229">
        <v>0</v>
      </c>
      <c r="EVD21" s="229">
        <v>0</v>
      </c>
      <c r="EVE21" s="229">
        <v>0</v>
      </c>
      <c r="EVF21" s="229">
        <v>0</v>
      </c>
      <c r="EVG21" s="229">
        <v>0</v>
      </c>
      <c r="EVH21" s="229">
        <v>0</v>
      </c>
      <c r="EVI21" s="229">
        <v>0</v>
      </c>
      <c r="EVJ21" s="229">
        <v>0</v>
      </c>
      <c r="EVK21" s="229">
        <v>0</v>
      </c>
      <c r="EVL21" s="229">
        <v>0</v>
      </c>
      <c r="EVM21" s="229">
        <v>0</v>
      </c>
      <c r="EVN21" s="229">
        <v>0</v>
      </c>
      <c r="EVO21" s="229">
        <v>0</v>
      </c>
      <c r="EVP21" s="229">
        <v>0</v>
      </c>
      <c r="EVQ21" s="229">
        <v>0</v>
      </c>
      <c r="EVR21" s="229">
        <v>0</v>
      </c>
      <c r="EVS21" s="229">
        <v>0</v>
      </c>
      <c r="EVT21" s="229">
        <v>0</v>
      </c>
      <c r="EVU21" s="229">
        <v>0</v>
      </c>
      <c r="EVV21" s="229">
        <v>0</v>
      </c>
      <c r="EVW21" s="229">
        <v>0</v>
      </c>
      <c r="EVX21" s="229">
        <v>0</v>
      </c>
      <c r="EVY21" s="229">
        <v>0</v>
      </c>
      <c r="EVZ21" s="229">
        <v>0</v>
      </c>
      <c r="EWA21" s="229">
        <v>0</v>
      </c>
      <c r="EWB21" s="229">
        <v>0</v>
      </c>
      <c r="EWC21" s="229">
        <v>0</v>
      </c>
      <c r="EWD21" s="229">
        <v>0</v>
      </c>
      <c r="EWE21" s="229">
        <v>0</v>
      </c>
      <c r="EWF21" s="229">
        <v>0</v>
      </c>
      <c r="EWG21" s="229">
        <v>0</v>
      </c>
      <c r="EWH21" s="229">
        <v>0</v>
      </c>
      <c r="EWI21" s="229">
        <v>0</v>
      </c>
      <c r="EWJ21" s="229">
        <v>0</v>
      </c>
      <c r="EWK21" s="229">
        <v>0</v>
      </c>
      <c r="EWL21" s="229">
        <v>0</v>
      </c>
      <c r="EWM21" s="229">
        <v>0</v>
      </c>
      <c r="EWN21" s="229">
        <v>0</v>
      </c>
      <c r="EWO21" s="229">
        <v>0</v>
      </c>
      <c r="EWP21" s="229">
        <v>0</v>
      </c>
      <c r="EWQ21" s="229">
        <v>0</v>
      </c>
      <c r="EWR21" s="229">
        <v>0</v>
      </c>
      <c r="EWS21" s="229">
        <v>0</v>
      </c>
      <c r="EWT21" s="229">
        <v>0</v>
      </c>
      <c r="EWU21" s="229">
        <v>0</v>
      </c>
      <c r="EWV21" s="229">
        <v>0</v>
      </c>
      <c r="EWW21" s="229">
        <v>0</v>
      </c>
      <c r="EWX21" s="229">
        <v>0</v>
      </c>
      <c r="EWY21" s="229">
        <v>0</v>
      </c>
      <c r="EWZ21" s="229">
        <v>0</v>
      </c>
      <c r="EXA21" s="229">
        <v>0</v>
      </c>
      <c r="EXB21" s="229">
        <v>0</v>
      </c>
      <c r="EXC21" s="229">
        <v>0</v>
      </c>
      <c r="EXD21" s="229">
        <v>0</v>
      </c>
      <c r="EXE21" s="229">
        <v>0</v>
      </c>
      <c r="EXF21" s="229">
        <v>0</v>
      </c>
      <c r="EXG21" s="229">
        <v>0</v>
      </c>
      <c r="EXH21" s="229">
        <v>0</v>
      </c>
      <c r="EXI21" s="229">
        <v>0</v>
      </c>
      <c r="EXJ21" s="229">
        <v>0</v>
      </c>
      <c r="EXK21" s="229">
        <v>0</v>
      </c>
      <c r="EXL21" s="229">
        <v>0</v>
      </c>
      <c r="EXM21" s="229">
        <v>0</v>
      </c>
      <c r="EXN21" s="229">
        <v>0</v>
      </c>
      <c r="EXO21" s="229">
        <v>0</v>
      </c>
      <c r="EXP21" s="229">
        <v>0</v>
      </c>
      <c r="EXQ21" s="229">
        <v>0</v>
      </c>
      <c r="EXR21" s="229">
        <v>0</v>
      </c>
      <c r="EXS21" s="229">
        <v>0</v>
      </c>
      <c r="EXT21" s="229">
        <v>0</v>
      </c>
      <c r="EXU21" s="229">
        <v>0</v>
      </c>
      <c r="EXV21" s="229">
        <v>0</v>
      </c>
      <c r="EXW21" s="229">
        <v>0</v>
      </c>
      <c r="EXX21" s="229">
        <v>0</v>
      </c>
      <c r="EXY21" s="229">
        <v>0</v>
      </c>
      <c r="EXZ21" s="229">
        <v>0</v>
      </c>
      <c r="EYA21" s="229">
        <v>0</v>
      </c>
      <c r="EYB21" s="229">
        <v>0</v>
      </c>
      <c r="EYC21" s="229">
        <v>0</v>
      </c>
      <c r="EYD21" s="229">
        <v>0</v>
      </c>
      <c r="EYE21" s="229">
        <v>0</v>
      </c>
      <c r="EYF21" s="229">
        <v>0</v>
      </c>
      <c r="EYG21" s="229">
        <v>0</v>
      </c>
      <c r="EYH21" s="229">
        <v>0</v>
      </c>
      <c r="EYI21" s="229">
        <v>0</v>
      </c>
      <c r="EYJ21" s="229">
        <v>0</v>
      </c>
      <c r="EYK21" s="229">
        <v>0</v>
      </c>
      <c r="EYL21" s="229">
        <v>0</v>
      </c>
      <c r="EYM21" s="229">
        <v>0</v>
      </c>
      <c r="EYN21" s="229">
        <v>0</v>
      </c>
      <c r="EYO21" s="229">
        <v>0</v>
      </c>
      <c r="EYP21" s="229">
        <v>0</v>
      </c>
      <c r="EYQ21" s="229">
        <v>0</v>
      </c>
      <c r="EYR21" s="229">
        <v>0</v>
      </c>
      <c r="EYS21" s="229">
        <v>0</v>
      </c>
      <c r="EYT21" s="229">
        <v>0</v>
      </c>
      <c r="EYU21" s="229">
        <v>0</v>
      </c>
      <c r="EYV21" s="229">
        <v>0</v>
      </c>
      <c r="EYW21" s="229">
        <v>0</v>
      </c>
      <c r="EYX21" s="229">
        <v>0</v>
      </c>
      <c r="EYY21" s="229">
        <v>0</v>
      </c>
      <c r="EYZ21" s="229">
        <v>0</v>
      </c>
      <c r="EZA21" s="229">
        <v>0</v>
      </c>
      <c r="EZB21" s="229">
        <v>0</v>
      </c>
      <c r="EZC21" s="229">
        <v>0</v>
      </c>
      <c r="EZD21" s="229">
        <v>0</v>
      </c>
      <c r="EZE21" s="229">
        <v>0</v>
      </c>
      <c r="EZF21" s="229">
        <v>0</v>
      </c>
      <c r="EZG21" s="229">
        <v>0</v>
      </c>
      <c r="EZH21" s="229">
        <v>0</v>
      </c>
      <c r="EZI21" s="229">
        <v>0</v>
      </c>
      <c r="EZJ21" s="229">
        <v>0</v>
      </c>
      <c r="EZK21" s="229">
        <v>0</v>
      </c>
      <c r="EZL21" s="229">
        <v>0</v>
      </c>
      <c r="EZM21" s="229">
        <v>0</v>
      </c>
      <c r="EZN21" s="229">
        <v>0</v>
      </c>
      <c r="EZO21" s="229">
        <v>0</v>
      </c>
      <c r="EZP21" s="229">
        <v>0</v>
      </c>
      <c r="EZQ21" s="229">
        <v>0</v>
      </c>
      <c r="EZR21" s="229">
        <v>0</v>
      </c>
      <c r="EZS21" s="229">
        <v>0</v>
      </c>
      <c r="EZT21" s="229">
        <v>0</v>
      </c>
      <c r="EZU21" s="229">
        <v>0</v>
      </c>
      <c r="EZV21" s="229">
        <v>0</v>
      </c>
      <c r="EZW21" s="229">
        <v>0</v>
      </c>
      <c r="EZX21" s="229">
        <v>0</v>
      </c>
      <c r="EZY21" s="229">
        <v>0</v>
      </c>
      <c r="EZZ21" s="229">
        <v>0</v>
      </c>
      <c r="FAA21" s="229">
        <v>0</v>
      </c>
      <c r="FAB21" s="229">
        <v>0</v>
      </c>
      <c r="FAC21" s="229">
        <v>0</v>
      </c>
      <c r="FAD21" s="229">
        <v>0</v>
      </c>
      <c r="FAE21" s="229">
        <v>0</v>
      </c>
      <c r="FAF21" s="229">
        <v>0</v>
      </c>
      <c r="FAG21" s="229">
        <v>0</v>
      </c>
      <c r="FAH21" s="229">
        <v>0</v>
      </c>
      <c r="FAI21" s="229">
        <v>0</v>
      </c>
      <c r="FAJ21" s="229">
        <v>0</v>
      </c>
      <c r="FAK21" s="229">
        <v>0</v>
      </c>
      <c r="FAL21" s="229">
        <v>0</v>
      </c>
      <c r="FAM21" s="229">
        <v>0</v>
      </c>
      <c r="FAN21" s="229">
        <v>0</v>
      </c>
      <c r="FAO21" s="229">
        <v>0</v>
      </c>
      <c r="FAP21" s="229">
        <v>0</v>
      </c>
      <c r="FAQ21" s="229">
        <v>0</v>
      </c>
      <c r="FAR21" s="229">
        <v>0</v>
      </c>
      <c r="FAS21" s="229">
        <v>0</v>
      </c>
      <c r="FAT21" s="229">
        <v>0</v>
      </c>
      <c r="FAU21" s="229">
        <v>0</v>
      </c>
      <c r="FAV21" s="229">
        <v>0</v>
      </c>
      <c r="FAW21" s="229">
        <v>0</v>
      </c>
      <c r="FAX21" s="229">
        <v>0</v>
      </c>
      <c r="FAY21" s="229">
        <v>0</v>
      </c>
      <c r="FAZ21" s="229">
        <v>0</v>
      </c>
      <c r="FBA21" s="229">
        <v>0</v>
      </c>
      <c r="FBB21" s="229">
        <v>0</v>
      </c>
      <c r="FBC21" s="229">
        <v>0</v>
      </c>
      <c r="FBD21" s="229">
        <v>0</v>
      </c>
      <c r="FBE21" s="229">
        <v>0</v>
      </c>
      <c r="FBF21" s="229">
        <v>0</v>
      </c>
      <c r="FBG21" s="229">
        <v>0</v>
      </c>
      <c r="FBH21" s="229">
        <v>0</v>
      </c>
      <c r="FBI21" s="229">
        <v>0</v>
      </c>
      <c r="FBJ21" s="229">
        <v>0</v>
      </c>
      <c r="FBK21" s="229">
        <v>0</v>
      </c>
      <c r="FBL21" s="229">
        <v>0</v>
      </c>
      <c r="FBM21" s="229">
        <v>0</v>
      </c>
      <c r="FBN21" s="229">
        <v>0</v>
      </c>
      <c r="FBO21" s="229">
        <v>0</v>
      </c>
      <c r="FBP21" s="229">
        <v>0</v>
      </c>
      <c r="FBQ21" s="229">
        <v>0</v>
      </c>
      <c r="FBR21" s="229">
        <v>0</v>
      </c>
      <c r="FBS21" s="229">
        <v>0</v>
      </c>
      <c r="FBT21" s="229">
        <v>0</v>
      </c>
      <c r="FBU21" s="229">
        <v>0</v>
      </c>
      <c r="FBV21" s="229">
        <v>0</v>
      </c>
      <c r="FBW21" s="229">
        <v>0</v>
      </c>
      <c r="FBX21" s="229">
        <v>0</v>
      </c>
      <c r="FBY21" s="229">
        <v>0</v>
      </c>
      <c r="FBZ21" s="229">
        <v>0</v>
      </c>
      <c r="FCA21" s="229">
        <v>0</v>
      </c>
      <c r="FCB21" s="229">
        <v>0</v>
      </c>
      <c r="FCC21" s="229">
        <v>0</v>
      </c>
      <c r="FCD21" s="229">
        <v>0</v>
      </c>
      <c r="FCE21" s="229">
        <v>0</v>
      </c>
      <c r="FCF21" s="229">
        <v>0</v>
      </c>
      <c r="FCG21" s="229">
        <v>0</v>
      </c>
      <c r="FCH21" s="229">
        <v>0</v>
      </c>
      <c r="FCI21" s="229">
        <v>0</v>
      </c>
      <c r="FCJ21" s="229">
        <v>0</v>
      </c>
      <c r="FCK21" s="229">
        <v>0</v>
      </c>
      <c r="FCL21" s="229">
        <v>0</v>
      </c>
      <c r="FCM21" s="229">
        <v>0</v>
      </c>
      <c r="FCN21" s="229">
        <v>0</v>
      </c>
      <c r="FCO21" s="229">
        <v>0</v>
      </c>
      <c r="FCP21" s="229">
        <v>0</v>
      </c>
      <c r="FCQ21" s="229">
        <v>0</v>
      </c>
      <c r="FCR21" s="229">
        <v>0</v>
      </c>
      <c r="FCS21" s="229">
        <v>0</v>
      </c>
      <c r="FCT21" s="229">
        <v>0</v>
      </c>
      <c r="FCU21" s="229">
        <v>0</v>
      </c>
      <c r="FCV21" s="229">
        <v>0</v>
      </c>
      <c r="FCW21" s="229">
        <v>0</v>
      </c>
      <c r="FCX21" s="229">
        <v>0</v>
      </c>
      <c r="FCY21" s="229">
        <v>0</v>
      </c>
      <c r="FCZ21" s="229">
        <v>0</v>
      </c>
      <c r="FDA21" s="229">
        <v>0</v>
      </c>
      <c r="FDB21" s="229">
        <v>0</v>
      </c>
      <c r="FDC21" s="229">
        <v>0</v>
      </c>
      <c r="FDD21" s="229">
        <v>0</v>
      </c>
      <c r="FDE21" s="229">
        <v>0</v>
      </c>
      <c r="FDF21" s="229">
        <v>0</v>
      </c>
      <c r="FDG21" s="229">
        <v>0</v>
      </c>
      <c r="FDH21" s="229">
        <v>0</v>
      </c>
      <c r="FDI21" s="229">
        <v>0</v>
      </c>
      <c r="FDJ21" s="229">
        <v>0</v>
      </c>
      <c r="FDK21" s="229">
        <v>0</v>
      </c>
      <c r="FDL21" s="229">
        <v>0</v>
      </c>
      <c r="FDM21" s="229">
        <v>0</v>
      </c>
      <c r="FDN21" s="229">
        <v>0</v>
      </c>
      <c r="FDO21" s="229">
        <v>0</v>
      </c>
      <c r="FDP21" s="229">
        <v>0</v>
      </c>
      <c r="FDQ21" s="229">
        <v>0</v>
      </c>
      <c r="FDR21" s="229">
        <v>0</v>
      </c>
      <c r="FDS21" s="229">
        <v>0</v>
      </c>
      <c r="FDT21" s="229">
        <v>0</v>
      </c>
      <c r="FDU21" s="229">
        <v>0</v>
      </c>
      <c r="FDV21" s="229">
        <v>0</v>
      </c>
      <c r="FDW21" s="229">
        <v>0</v>
      </c>
      <c r="FDX21" s="229">
        <v>0</v>
      </c>
      <c r="FDY21" s="229">
        <v>0</v>
      </c>
      <c r="FDZ21" s="229">
        <v>0</v>
      </c>
      <c r="FEA21" s="229">
        <v>0</v>
      </c>
      <c r="FEB21" s="229">
        <v>0</v>
      </c>
      <c r="FEC21" s="229">
        <v>0</v>
      </c>
      <c r="FED21" s="229">
        <v>0</v>
      </c>
      <c r="FEE21" s="229">
        <v>0</v>
      </c>
      <c r="FEF21" s="229">
        <v>0</v>
      </c>
      <c r="FEG21" s="229">
        <v>0</v>
      </c>
      <c r="FEH21" s="229">
        <v>0</v>
      </c>
      <c r="FEI21" s="229">
        <v>0</v>
      </c>
      <c r="FEJ21" s="229">
        <v>0</v>
      </c>
      <c r="FEK21" s="229">
        <v>0</v>
      </c>
      <c r="FEL21" s="229">
        <v>0</v>
      </c>
      <c r="FEM21" s="229">
        <v>0</v>
      </c>
      <c r="FEN21" s="229">
        <v>0</v>
      </c>
      <c r="FEO21" s="229">
        <v>0</v>
      </c>
      <c r="FEP21" s="229">
        <v>0</v>
      </c>
      <c r="FEQ21" s="229">
        <v>0</v>
      </c>
      <c r="FER21" s="229">
        <v>0</v>
      </c>
      <c r="FES21" s="229">
        <v>0</v>
      </c>
      <c r="FET21" s="229">
        <v>0</v>
      </c>
      <c r="FEU21" s="229">
        <v>0</v>
      </c>
      <c r="FEV21" s="229">
        <v>0</v>
      </c>
      <c r="FEW21" s="229">
        <v>0</v>
      </c>
      <c r="FEX21" s="229">
        <v>0</v>
      </c>
      <c r="FEY21" s="229">
        <v>0</v>
      </c>
      <c r="FEZ21" s="229">
        <v>0</v>
      </c>
      <c r="FFA21" s="229">
        <v>0</v>
      </c>
      <c r="FFB21" s="229">
        <v>0</v>
      </c>
      <c r="FFC21" s="229">
        <v>0</v>
      </c>
      <c r="FFD21" s="229">
        <v>0</v>
      </c>
      <c r="FFE21" s="229">
        <v>0</v>
      </c>
      <c r="FFF21" s="229">
        <v>0</v>
      </c>
      <c r="FFG21" s="229">
        <v>0</v>
      </c>
      <c r="FFH21" s="229">
        <v>0</v>
      </c>
      <c r="FFI21" s="229">
        <v>0</v>
      </c>
      <c r="FFJ21" s="229">
        <v>0</v>
      </c>
      <c r="FFK21" s="229">
        <v>0</v>
      </c>
      <c r="FFL21" s="229">
        <v>0</v>
      </c>
      <c r="FFM21" s="229">
        <v>0</v>
      </c>
      <c r="FFN21" s="229">
        <v>0</v>
      </c>
      <c r="FFO21" s="229">
        <v>0</v>
      </c>
      <c r="FFP21" s="229">
        <v>0</v>
      </c>
      <c r="FFQ21" s="229">
        <v>0</v>
      </c>
      <c r="FFR21" s="229">
        <v>0</v>
      </c>
      <c r="FFS21" s="229">
        <v>0</v>
      </c>
      <c r="FFT21" s="229">
        <v>0</v>
      </c>
      <c r="FFU21" s="229">
        <v>0</v>
      </c>
      <c r="FFV21" s="229">
        <v>0</v>
      </c>
      <c r="FFW21" s="229">
        <v>0</v>
      </c>
      <c r="FFX21" s="229">
        <v>0</v>
      </c>
      <c r="FFY21" s="229">
        <v>0</v>
      </c>
      <c r="FFZ21" s="229">
        <v>0</v>
      </c>
      <c r="FGA21" s="229">
        <v>0</v>
      </c>
      <c r="FGB21" s="229">
        <v>0</v>
      </c>
      <c r="FGC21" s="229">
        <v>0</v>
      </c>
      <c r="FGD21" s="229">
        <v>0</v>
      </c>
      <c r="FGE21" s="229">
        <v>0</v>
      </c>
      <c r="FGF21" s="229">
        <v>0</v>
      </c>
      <c r="FGG21" s="229">
        <v>0</v>
      </c>
      <c r="FGH21" s="229">
        <v>0</v>
      </c>
      <c r="FGI21" s="229">
        <v>0</v>
      </c>
      <c r="FGJ21" s="229">
        <v>0</v>
      </c>
      <c r="FGK21" s="229">
        <v>0</v>
      </c>
      <c r="FGL21" s="229">
        <v>0</v>
      </c>
      <c r="FGM21" s="229">
        <v>0</v>
      </c>
      <c r="FGN21" s="229">
        <v>0</v>
      </c>
      <c r="FGO21" s="229">
        <v>0</v>
      </c>
      <c r="FGP21" s="229">
        <v>0</v>
      </c>
      <c r="FGQ21" s="229">
        <v>0</v>
      </c>
      <c r="FGR21" s="229">
        <v>0</v>
      </c>
      <c r="FGS21" s="229">
        <v>0</v>
      </c>
      <c r="FGT21" s="229">
        <v>0</v>
      </c>
      <c r="FGU21" s="229">
        <v>0</v>
      </c>
      <c r="FGV21" s="229">
        <v>0</v>
      </c>
      <c r="FGW21" s="229">
        <v>0</v>
      </c>
      <c r="FGX21" s="229">
        <v>0</v>
      </c>
      <c r="FGY21" s="229">
        <v>0</v>
      </c>
      <c r="FGZ21" s="229">
        <v>0</v>
      </c>
      <c r="FHA21" s="229">
        <v>0</v>
      </c>
      <c r="FHB21" s="229">
        <v>0</v>
      </c>
      <c r="FHC21" s="229">
        <v>0</v>
      </c>
      <c r="FHD21" s="229">
        <v>0</v>
      </c>
      <c r="FHE21" s="229">
        <v>0</v>
      </c>
      <c r="FHF21" s="229">
        <v>0</v>
      </c>
      <c r="FHG21" s="229">
        <v>0</v>
      </c>
      <c r="FHH21" s="229">
        <v>0</v>
      </c>
      <c r="FHI21" s="229">
        <v>0</v>
      </c>
      <c r="FHJ21" s="229">
        <v>0</v>
      </c>
      <c r="FHK21" s="229">
        <v>0</v>
      </c>
      <c r="FHL21" s="229">
        <v>0</v>
      </c>
      <c r="FHM21" s="229">
        <v>0</v>
      </c>
      <c r="FHN21" s="229">
        <v>0</v>
      </c>
      <c r="FHO21" s="229">
        <v>0</v>
      </c>
      <c r="FHP21" s="229">
        <v>0</v>
      </c>
      <c r="FHQ21" s="229">
        <v>0</v>
      </c>
      <c r="FHR21" s="229">
        <v>0</v>
      </c>
      <c r="FHS21" s="229">
        <v>0</v>
      </c>
      <c r="FHT21" s="229">
        <v>0</v>
      </c>
      <c r="FHU21" s="229">
        <v>0</v>
      </c>
      <c r="FHV21" s="229">
        <v>0</v>
      </c>
      <c r="FHW21" s="229">
        <v>0</v>
      </c>
      <c r="FHX21" s="229">
        <v>0</v>
      </c>
      <c r="FHY21" s="229">
        <v>0</v>
      </c>
      <c r="FHZ21" s="229">
        <v>0</v>
      </c>
      <c r="FIA21" s="229">
        <v>0</v>
      </c>
      <c r="FIB21" s="229">
        <v>0</v>
      </c>
      <c r="FIC21" s="229">
        <v>0</v>
      </c>
      <c r="FID21" s="229">
        <v>0</v>
      </c>
      <c r="FIE21" s="229">
        <v>0</v>
      </c>
      <c r="FIF21" s="229">
        <v>0</v>
      </c>
      <c r="FIG21" s="229">
        <v>0</v>
      </c>
      <c r="FIH21" s="229">
        <v>0</v>
      </c>
      <c r="FII21" s="229">
        <v>0</v>
      </c>
      <c r="FIJ21" s="229">
        <v>0</v>
      </c>
      <c r="FIK21" s="229">
        <v>0</v>
      </c>
      <c r="FIL21" s="229">
        <v>0</v>
      </c>
      <c r="FIM21" s="229">
        <v>0</v>
      </c>
      <c r="FIN21" s="229">
        <v>0</v>
      </c>
      <c r="FIO21" s="229">
        <v>0</v>
      </c>
      <c r="FIP21" s="229">
        <v>0</v>
      </c>
      <c r="FIQ21" s="229">
        <v>0</v>
      </c>
      <c r="FIR21" s="229">
        <v>0</v>
      </c>
      <c r="FIS21" s="229">
        <v>0</v>
      </c>
      <c r="FIT21" s="229">
        <v>0</v>
      </c>
      <c r="FIU21" s="229">
        <v>0</v>
      </c>
      <c r="FIV21" s="229">
        <v>0</v>
      </c>
      <c r="FIW21" s="229">
        <v>0</v>
      </c>
      <c r="FIX21" s="229">
        <v>0</v>
      </c>
      <c r="FIY21" s="229">
        <v>0</v>
      </c>
      <c r="FIZ21" s="229">
        <v>0</v>
      </c>
      <c r="FJA21" s="229">
        <v>0</v>
      </c>
      <c r="FJB21" s="229">
        <v>0</v>
      </c>
      <c r="FJC21" s="229">
        <v>0</v>
      </c>
      <c r="FJD21" s="229">
        <v>0</v>
      </c>
      <c r="FJE21" s="229">
        <v>0</v>
      </c>
      <c r="FJF21" s="229">
        <v>0</v>
      </c>
      <c r="FJG21" s="229">
        <v>0</v>
      </c>
      <c r="FJH21" s="229">
        <v>0</v>
      </c>
      <c r="FJI21" s="229">
        <v>0</v>
      </c>
      <c r="FJJ21" s="229">
        <v>0</v>
      </c>
      <c r="FJK21" s="229">
        <v>0</v>
      </c>
      <c r="FJL21" s="229">
        <v>0</v>
      </c>
      <c r="FJM21" s="229">
        <v>0</v>
      </c>
      <c r="FJN21" s="229">
        <v>0</v>
      </c>
      <c r="FJO21" s="229">
        <v>0</v>
      </c>
      <c r="FJP21" s="229">
        <v>0</v>
      </c>
      <c r="FJQ21" s="229">
        <v>0</v>
      </c>
      <c r="FJR21" s="229">
        <v>0</v>
      </c>
      <c r="FJS21" s="229">
        <v>0</v>
      </c>
      <c r="FJT21" s="229">
        <v>0</v>
      </c>
      <c r="FJU21" s="229">
        <v>0</v>
      </c>
      <c r="FJV21" s="229">
        <v>0</v>
      </c>
      <c r="FJW21" s="229">
        <v>0</v>
      </c>
      <c r="FJX21" s="229">
        <v>0</v>
      </c>
      <c r="FJY21" s="229">
        <v>0</v>
      </c>
      <c r="FJZ21" s="229">
        <v>0</v>
      </c>
      <c r="FKA21" s="229">
        <v>0</v>
      </c>
      <c r="FKB21" s="229">
        <v>0</v>
      </c>
      <c r="FKC21" s="229">
        <v>0</v>
      </c>
      <c r="FKD21" s="229">
        <v>0</v>
      </c>
      <c r="FKE21" s="229">
        <v>0</v>
      </c>
      <c r="FKF21" s="229">
        <v>0</v>
      </c>
      <c r="FKG21" s="229">
        <v>0</v>
      </c>
      <c r="FKH21" s="229">
        <v>0</v>
      </c>
      <c r="FKI21" s="229">
        <v>0</v>
      </c>
      <c r="FKJ21" s="229">
        <v>0</v>
      </c>
      <c r="FKK21" s="229">
        <v>0</v>
      </c>
      <c r="FKL21" s="229">
        <v>0</v>
      </c>
      <c r="FKM21" s="229">
        <v>0</v>
      </c>
      <c r="FKN21" s="229">
        <v>0</v>
      </c>
      <c r="FKO21" s="229">
        <v>0</v>
      </c>
      <c r="FKP21" s="229">
        <v>0</v>
      </c>
      <c r="FKQ21" s="229">
        <v>0</v>
      </c>
      <c r="FKR21" s="229">
        <v>0</v>
      </c>
      <c r="FKS21" s="229">
        <v>0</v>
      </c>
      <c r="FKT21" s="229">
        <v>0</v>
      </c>
      <c r="FKU21" s="229">
        <v>0</v>
      </c>
      <c r="FKV21" s="229">
        <v>0</v>
      </c>
      <c r="FKW21" s="229">
        <v>0</v>
      </c>
      <c r="FKX21" s="229">
        <v>0</v>
      </c>
      <c r="FKY21" s="229">
        <v>0</v>
      </c>
      <c r="FKZ21" s="229">
        <v>0</v>
      </c>
      <c r="FLA21" s="229">
        <v>0</v>
      </c>
      <c r="FLB21" s="229">
        <v>0</v>
      </c>
      <c r="FLC21" s="229">
        <v>0</v>
      </c>
      <c r="FLD21" s="229">
        <v>0</v>
      </c>
      <c r="FLE21" s="229">
        <v>0</v>
      </c>
      <c r="FLF21" s="229">
        <v>0</v>
      </c>
      <c r="FLG21" s="229">
        <v>0</v>
      </c>
      <c r="FLH21" s="229">
        <v>0</v>
      </c>
      <c r="FLI21" s="229">
        <v>0</v>
      </c>
      <c r="FLJ21" s="229">
        <v>0</v>
      </c>
      <c r="FLK21" s="229">
        <v>0</v>
      </c>
      <c r="FLL21" s="229">
        <v>0</v>
      </c>
      <c r="FLM21" s="229">
        <v>0</v>
      </c>
      <c r="FLN21" s="229">
        <v>0</v>
      </c>
      <c r="FLO21" s="229">
        <v>0</v>
      </c>
      <c r="FLP21" s="229">
        <v>0</v>
      </c>
      <c r="FLQ21" s="229">
        <v>0</v>
      </c>
      <c r="FLR21" s="229">
        <v>0</v>
      </c>
      <c r="FLS21" s="229">
        <v>0</v>
      </c>
      <c r="FLT21" s="229">
        <v>0</v>
      </c>
      <c r="FLU21" s="229">
        <v>0</v>
      </c>
      <c r="FLV21" s="229">
        <v>0</v>
      </c>
      <c r="FLW21" s="229">
        <v>0</v>
      </c>
      <c r="FLX21" s="229">
        <v>0</v>
      </c>
      <c r="FLY21" s="229">
        <v>0</v>
      </c>
      <c r="FLZ21" s="229">
        <v>0</v>
      </c>
      <c r="FMA21" s="229">
        <v>0</v>
      </c>
      <c r="FMB21" s="229">
        <v>0</v>
      </c>
      <c r="FMC21" s="229">
        <v>0</v>
      </c>
      <c r="FMD21" s="229">
        <v>0</v>
      </c>
      <c r="FME21" s="229">
        <v>0</v>
      </c>
      <c r="FMF21" s="229">
        <v>0</v>
      </c>
      <c r="FMG21" s="229">
        <v>0</v>
      </c>
      <c r="FMH21" s="229">
        <v>0</v>
      </c>
      <c r="FMI21" s="229">
        <v>0</v>
      </c>
      <c r="FMJ21" s="229">
        <v>0</v>
      </c>
      <c r="FMK21" s="229">
        <v>0</v>
      </c>
      <c r="FML21" s="229">
        <v>0</v>
      </c>
      <c r="FMM21" s="229">
        <v>0</v>
      </c>
      <c r="FMN21" s="229">
        <v>0</v>
      </c>
      <c r="FMO21" s="229">
        <v>0</v>
      </c>
      <c r="FMP21" s="229">
        <v>0</v>
      </c>
      <c r="FMQ21" s="229">
        <v>0</v>
      </c>
      <c r="FMR21" s="229">
        <v>0</v>
      </c>
      <c r="FMS21" s="229">
        <v>0</v>
      </c>
      <c r="FMT21" s="229">
        <v>0</v>
      </c>
      <c r="FMU21" s="229">
        <v>0</v>
      </c>
      <c r="FMV21" s="229">
        <v>0</v>
      </c>
      <c r="FMW21" s="229">
        <v>0</v>
      </c>
      <c r="FMX21" s="229">
        <v>0</v>
      </c>
      <c r="FMY21" s="229">
        <v>0</v>
      </c>
      <c r="FMZ21" s="229">
        <v>0</v>
      </c>
      <c r="FNA21" s="229">
        <v>0</v>
      </c>
      <c r="FNB21" s="229">
        <v>0</v>
      </c>
      <c r="FNC21" s="229">
        <v>0</v>
      </c>
      <c r="FND21" s="229">
        <v>0</v>
      </c>
      <c r="FNE21" s="229">
        <v>0</v>
      </c>
      <c r="FNF21" s="229">
        <v>0</v>
      </c>
      <c r="FNG21" s="229">
        <v>0</v>
      </c>
      <c r="FNH21" s="229">
        <v>0</v>
      </c>
      <c r="FNI21" s="229">
        <v>0</v>
      </c>
      <c r="FNJ21" s="229">
        <v>0</v>
      </c>
      <c r="FNK21" s="229">
        <v>0</v>
      </c>
      <c r="FNL21" s="229">
        <v>0</v>
      </c>
      <c r="FNM21" s="229">
        <v>0</v>
      </c>
      <c r="FNN21" s="229">
        <v>0</v>
      </c>
      <c r="FNO21" s="229">
        <v>0</v>
      </c>
      <c r="FNP21" s="229">
        <v>0</v>
      </c>
      <c r="FNQ21" s="229">
        <v>0</v>
      </c>
      <c r="FNR21" s="229">
        <v>0</v>
      </c>
      <c r="FNS21" s="229">
        <v>0</v>
      </c>
      <c r="FNT21" s="229">
        <v>0</v>
      </c>
      <c r="FNU21" s="229">
        <v>0</v>
      </c>
      <c r="FNV21" s="229">
        <v>0</v>
      </c>
      <c r="FNW21" s="229">
        <v>0</v>
      </c>
      <c r="FNX21" s="229">
        <v>0</v>
      </c>
      <c r="FNY21" s="229">
        <v>0</v>
      </c>
      <c r="FNZ21" s="229">
        <v>0</v>
      </c>
      <c r="FOA21" s="229">
        <v>0</v>
      </c>
      <c r="FOB21" s="229">
        <v>0</v>
      </c>
      <c r="FOC21" s="229">
        <v>0</v>
      </c>
      <c r="FOD21" s="229">
        <v>0</v>
      </c>
      <c r="FOE21" s="229">
        <v>0</v>
      </c>
      <c r="FOF21" s="229">
        <v>0</v>
      </c>
      <c r="FOG21" s="229">
        <v>0</v>
      </c>
      <c r="FOH21" s="229">
        <v>0</v>
      </c>
      <c r="FOI21" s="229">
        <v>0</v>
      </c>
      <c r="FOJ21" s="229">
        <v>0</v>
      </c>
      <c r="FOK21" s="229">
        <v>0</v>
      </c>
      <c r="FOL21" s="229">
        <v>0</v>
      </c>
      <c r="FOM21" s="229">
        <v>0</v>
      </c>
      <c r="FON21" s="229">
        <v>0</v>
      </c>
      <c r="FOO21" s="229">
        <v>0</v>
      </c>
      <c r="FOP21" s="229">
        <v>0</v>
      </c>
      <c r="FOQ21" s="229">
        <v>0</v>
      </c>
      <c r="FOR21" s="229">
        <v>0</v>
      </c>
      <c r="FOS21" s="229">
        <v>0</v>
      </c>
      <c r="FOT21" s="229">
        <v>0</v>
      </c>
      <c r="FOU21" s="229">
        <v>0</v>
      </c>
      <c r="FOV21" s="229">
        <v>0</v>
      </c>
      <c r="FOW21" s="229">
        <v>0</v>
      </c>
      <c r="FOX21" s="229">
        <v>0</v>
      </c>
      <c r="FOY21" s="229">
        <v>0</v>
      </c>
      <c r="FOZ21" s="229">
        <v>0</v>
      </c>
      <c r="FPA21" s="229">
        <v>0</v>
      </c>
      <c r="FPB21" s="229">
        <v>0</v>
      </c>
      <c r="FPC21" s="229">
        <v>0</v>
      </c>
      <c r="FPD21" s="229">
        <v>0</v>
      </c>
      <c r="FPE21" s="229">
        <v>0</v>
      </c>
      <c r="FPF21" s="229">
        <v>0</v>
      </c>
      <c r="FPG21" s="229">
        <v>0</v>
      </c>
      <c r="FPH21" s="229">
        <v>0</v>
      </c>
      <c r="FPI21" s="229">
        <v>0</v>
      </c>
      <c r="FPJ21" s="229">
        <v>0</v>
      </c>
      <c r="FPK21" s="229">
        <v>0</v>
      </c>
      <c r="FPL21" s="229">
        <v>0</v>
      </c>
      <c r="FPM21" s="229">
        <v>0</v>
      </c>
      <c r="FPN21" s="229">
        <v>0</v>
      </c>
      <c r="FPO21" s="229">
        <v>0</v>
      </c>
      <c r="FPP21" s="229">
        <v>0</v>
      </c>
      <c r="FPQ21" s="229">
        <v>0</v>
      </c>
      <c r="FPR21" s="229">
        <v>0</v>
      </c>
      <c r="FPS21" s="229">
        <v>0</v>
      </c>
      <c r="FPT21" s="229">
        <v>0</v>
      </c>
      <c r="FPU21" s="229">
        <v>0</v>
      </c>
      <c r="FPV21" s="229">
        <v>0</v>
      </c>
      <c r="FPW21" s="229">
        <v>0</v>
      </c>
      <c r="FPX21" s="229">
        <v>0</v>
      </c>
      <c r="FPY21" s="229">
        <v>0</v>
      </c>
      <c r="FPZ21" s="229">
        <v>0</v>
      </c>
      <c r="FQA21" s="229">
        <v>0</v>
      </c>
      <c r="FQB21" s="229">
        <v>0</v>
      </c>
      <c r="FQC21" s="229">
        <v>0</v>
      </c>
      <c r="FQD21" s="229">
        <v>0</v>
      </c>
      <c r="FQE21" s="229">
        <v>0</v>
      </c>
      <c r="FQF21" s="229">
        <v>0</v>
      </c>
      <c r="FQG21" s="229">
        <v>0</v>
      </c>
      <c r="FQH21" s="229">
        <v>0</v>
      </c>
      <c r="FQI21" s="229">
        <v>0</v>
      </c>
      <c r="FQJ21" s="229">
        <v>0</v>
      </c>
      <c r="FQK21" s="229">
        <v>0</v>
      </c>
      <c r="FQL21" s="229">
        <v>0</v>
      </c>
      <c r="FQM21" s="229">
        <v>0</v>
      </c>
      <c r="FQN21" s="229">
        <v>0</v>
      </c>
      <c r="FQO21" s="229">
        <v>0</v>
      </c>
      <c r="FQP21" s="229">
        <v>0</v>
      </c>
      <c r="FQQ21" s="229">
        <v>0</v>
      </c>
      <c r="FQR21" s="229">
        <v>0</v>
      </c>
      <c r="FQS21" s="229">
        <v>0</v>
      </c>
      <c r="FQT21" s="229">
        <v>0</v>
      </c>
      <c r="FQU21" s="229">
        <v>0</v>
      </c>
      <c r="FQV21" s="229">
        <v>0</v>
      </c>
      <c r="FQW21" s="229">
        <v>0</v>
      </c>
      <c r="FQX21" s="229">
        <v>0</v>
      </c>
      <c r="FQY21" s="229">
        <v>0</v>
      </c>
      <c r="FQZ21" s="229">
        <v>0</v>
      </c>
      <c r="FRA21" s="229">
        <v>0</v>
      </c>
      <c r="FRB21" s="229">
        <v>0</v>
      </c>
      <c r="FRC21" s="229">
        <v>0</v>
      </c>
      <c r="FRD21" s="229">
        <v>0</v>
      </c>
      <c r="FRE21" s="229">
        <v>0</v>
      </c>
      <c r="FRF21" s="229">
        <v>0</v>
      </c>
      <c r="FRG21" s="229">
        <v>0</v>
      </c>
      <c r="FRH21" s="229">
        <v>0</v>
      </c>
      <c r="FRI21" s="229">
        <v>0</v>
      </c>
      <c r="FRJ21" s="229">
        <v>0</v>
      </c>
      <c r="FRK21" s="229">
        <v>0</v>
      </c>
      <c r="FRL21" s="229">
        <v>0</v>
      </c>
      <c r="FRM21" s="229">
        <v>0</v>
      </c>
      <c r="FRN21" s="229">
        <v>0</v>
      </c>
      <c r="FRO21" s="229">
        <v>0</v>
      </c>
      <c r="FRP21" s="229">
        <v>0</v>
      </c>
      <c r="FRQ21" s="229">
        <v>0</v>
      </c>
      <c r="FRR21" s="229">
        <v>0</v>
      </c>
      <c r="FRS21" s="229">
        <v>0</v>
      </c>
      <c r="FRT21" s="229">
        <v>0</v>
      </c>
      <c r="FRU21" s="229">
        <v>0</v>
      </c>
      <c r="FRV21" s="229">
        <v>0</v>
      </c>
      <c r="FRW21" s="229">
        <v>0</v>
      </c>
      <c r="FRX21" s="229">
        <v>0</v>
      </c>
      <c r="FRY21" s="229">
        <v>0</v>
      </c>
      <c r="FRZ21" s="229">
        <v>0</v>
      </c>
      <c r="FSA21" s="229">
        <v>0</v>
      </c>
      <c r="FSB21" s="229">
        <v>0</v>
      </c>
      <c r="FSC21" s="229">
        <v>0</v>
      </c>
      <c r="FSD21" s="229">
        <v>0</v>
      </c>
      <c r="FSE21" s="229">
        <v>0</v>
      </c>
      <c r="FSF21" s="229">
        <v>0</v>
      </c>
      <c r="FSG21" s="229">
        <v>0</v>
      </c>
      <c r="FSH21" s="229">
        <v>0</v>
      </c>
      <c r="FSI21" s="229">
        <v>0</v>
      </c>
      <c r="FSJ21" s="229">
        <v>0</v>
      </c>
      <c r="FSK21" s="229">
        <v>0</v>
      </c>
      <c r="FSL21" s="229">
        <v>0</v>
      </c>
      <c r="FSM21" s="229">
        <v>0</v>
      </c>
      <c r="FSN21" s="229">
        <v>0</v>
      </c>
      <c r="FSO21" s="229">
        <v>0</v>
      </c>
      <c r="FSP21" s="229">
        <v>0</v>
      </c>
      <c r="FSQ21" s="229">
        <v>0</v>
      </c>
      <c r="FSR21" s="229">
        <v>0</v>
      </c>
      <c r="FSS21" s="229">
        <v>0</v>
      </c>
      <c r="FST21" s="229">
        <v>0</v>
      </c>
      <c r="FSU21" s="229">
        <v>0</v>
      </c>
      <c r="FSV21" s="229">
        <v>0</v>
      </c>
      <c r="FSW21" s="229">
        <v>0</v>
      </c>
      <c r="FSX21" s="229">
        <v>0</v>
      </c>
      <c r="FSY21" s="229">
        <v>0</v>
      </c>
      <c r="FSZ21" s="229">
        <v>0</v>
      </c>
      <c r="FTA21" s="229">
        <v>0</v>
      </c>
      <c r="FTB21" s="229">
        <v>0</v>
      </c>
      <c r="FTC21" s="229">
        <v>0</v>
      </c>
      <c r="FTD21" s="229">
        <v>0</v>
      </c>
      <c r="FTE21" s="229">
        <v>0</v>
      </c>
      <c r="FTF21" s="229">
        <v>0</v>
      </c>
      <c r="FTG21" s="229">
        <v>0</v>
      </c>
      <c r="FTH21" s="229">
        <v>0</v>
      </c>
      <c r="FTI21" s="229">
        <v>0</v>
      </c>
      <c r="FTJ21" s="229">
        <v>0</v>
      </c>
      <c r="FTK21" s="229">
        <v>0</v>
      </c>
      <c r="FTL21" s="229">
        <v>0</v>
      </c>
      <c r="FTM21" s="229">
        <v>0</v>
      </c>
      <c r="FTN21" s="229">
        <v>0</v>
      </c>
      <c r="FTO21" s="229">
        <v>0</v>
      </c>
      <c r="FTP21" s="229">
        <v>0</v>
      </c>
      <c r="FTQ21" s="229">
        <v>0</v>
      </c>
      <c r="FTR21" s="229">
        <v>0</v>
      </c>
      <c r="FTS21" s="229">
        <v>0</v>
      </c>
      <c r="FTT21" s="229">
        <v>0</v>
      </c>
      <c r="FTU21" s="229">
        <v>0</v>
      </c>
      <c r="FTV21" s="229">
        <v>0</v>
      </c>
      <c r="FTW21" s="229">
        <v>0</v>
      </c>
      <c r="FTX21" s="229">
        <v>0</v>
      </c>
      <c r="FTY21" s="229">
        <v>0</v>
      </c>
      <c r="FTZ21" s="229">
        <v>0</v>
      </c>
      <c r="FUA21" s="229">
        <v>0</v>
      </c>
      <c r="FUB21" s="229">
        <v>0</v>
      </c>
      <c r="FUC21" s="229">
        <v>0</v>
      </c>
      <c r="FUD21" s="229">
        <v>0</v>
      </c>
      <c r="FUE21" s="229">
        <v>0</v>
      </c>
      <c r="FUF21" s="229">
        <v>0</v>
      </c>
      <c r="FUG21" s="229">
        <v>0</v>
      </c>
      <c r="FUH21" s="229">
        <v>0</v>
      </c>
      <c r="FUI21" s="229">
        <v>0</v>
      </c>
      <c r="FUJ21" s="229">
        <v>0</v>
      </c>
      <c r="FUK21" s="229">
        <v>0</v>
      </c>
      <c r="FUL21" s="229">
        <v>0</v>
      </c>
      <c r="FUM21" s="229">
        <v>0</v>
      </c>
      <c r="FUN21" s="229">
        <v>0</v>
      </c>
      <c r="FUO21" s="229">
        <v>0</v>
      </c>
      <c r="FUP21" s="229">
        <v>0</v>
      </c>
      <c r="FUQ21" s="229">
        <v>0</v>
      </c>
      <c r="FUR21" s="229">
        <v>0</v>
      </c>
      <c r="FUS21" s="229">
        <v>0</v>
      </c>
      <c r="FUT21" s="229">
        <v>0</v>
      </c>
      <c r="FUU21" s="229">
        <v>0</v>
      </c>
      <c r="FUV21" s="229">
        <v>0</v>
      </c>
      <c r="FUW21" s="229">
        <v>0</v>
      </c>
      <c r="FUX21" s="229">
        <v>0</v>
      </c>
      <c r="FUY21" s="229">
        <v>0</v>
      </c>
      <c r="FUZ21" s="229">
        <v>0</v>
      </c>
      <c r="FVA21" s="229">
        <v>0</v>
      </c>
      <c r="FVB21" s="229">
        <v>0</v>
      </c>
      <c r="FVC21" s="229">
        <v>0</v>
      </c>
      <c r="FVD21" s="229">
        <v>0</v>
      </c>
      <c r="FVE21" s="229">
        <v>0</v>
      </c>
      <c r="FVF21" s="229">
        <v>0</v>
      </c>
      <c r="FVG21" s="229">
        <v>0</v>
      </c>
      <c r="FVH21" s="229">
        <v>0</v>
      </c>
      <c r="FVI21" s="229">
        <v>0</v>
      </c>
      <c r="FVJ21" s="229">
        <v>0</v>
      </c>
      <c r="FVK21" s="229">
        <v>0</v>
      </c>
      <c r="FVL21" s="229">
        <v>0</v>
      </c>
      <c r="FVM21" s="229">
        <v>0</v>
      </c>
      <c r="FVN21" s="229">
        <v>0</v>
      </c>
      <c r="FVO21" s="229">
        <v>0</v>
      </c>
      <c r="FVP21" s="229">
        <v>0</v>
      </c>
      <c r="FVQ21" s="229">
        <v>0</v>
      </c>
      <c r="FVR21" s="229">
        <v>0</v>
      </c>
      <c r="FVS21" s="229">
        <v>0</v>
      </c>
      <c r="FVT21" s="229">
        <v>0</v>
      </c>
      <c r="FVU21" s="229">
        <v>0</v>
      </c>
      <c r="FVV21" s="229">
        <v>0</v>
      </c>
      <c r="FVW21" s="229">
        <v>0</v>
      </c>
      <c r="FVX21" s="229">
        <v>0</v>
      </c>
      <c r="FVY21" s="229">
        <v>0</v>
      </c>
      <c r="FVZ21" s="229">
        <v>0</v>
      </c>
      <c r="FWA21" s="229">
        <v>0</v>
      </c>
      <c r="FWB21" s="229">
        <v>0</v>
      </c>
      <c r="FWC21" s="229">
        <v>0</v>
      </c>
      <c r="FWD21" s="229">
        <v>0</v>
      </c>
      <c r="FWE21" s="229">
        <v>0</v>
      </c>
      <c r="FWF21" s="229">
        <v>0</v>
      </c>
      <c r="FWG21" s="229">
        <v>0</v>
      </c>
      <c r="FWH21" s="229">
        <v>0</v>
      </c>
      <c r="FWI21" s="229">
        <v>0</v>
      </c>
      <c r="FWJ21" s="229">
        <v>0</v>
      </c>
      <c r="FWK21" s="229">
        <v>0</v>
      </c>
      <c r="FWL21" s="229">
        <v>0</v>
      </c>
      <c r="FWM21" s="229">
        <v>0</v>
      </c>
      <c r="FWN21" s="229">
        <v>0</v>
      </c>
      <c r="FWO21" s="229">
        <v>0</v>
      </c>
      <c r="FWP21" s="229">
        <v>0</v>
      </c>
      <c r="FWQ21" s="229">
        <v>0</v>
      </c>
      <c r="FWR21" s="229">
        <v>0</v>
      </c>
      <c r="FWS21" s="229">
        <v>0</v>
      </c>
      <c r="FWT21" s="229">
        <v>0</v>
      </c>
      <c r="FWU21" s="229">
        <v>0</v>
      </c>
      <c r="FWV21" s="229">
        <v>0</v>
      </c>
      <c r="FWW21" s="229">
        <v>0</v>
      </c>
      <c r="FWX21" s="229">
        <v>0</v>
      </c>
      <c r="FWY21" s="229">
        <v>0</v>
      </c>
      <c r="FWZ21" s="229">
        <v>0</v>
      </c>
      <c r="FXA21" s="229">
        <v>0</v>
      </c>
      <c r="FXB21" s="229">
        <v>0</v>
      </c>
      <c r="FXC21" s="229">
        <v>0</v>
      </c>
      <c r="FXD21" s="229">
        <v>0</v>
      </c>
      <c r="FXE21" s="229">
        <v>0</v>
      </c>
      <c r="FXF21" s="229">
        <v>0</v>
      </c>
      <c r="FXG21" s="229">
        <v>0</v>
      </c>
      <c r="FXH21" s="229">
        <v>0</v>
      </c>
      <c r="FXI21" s="229">
        <v>0</v>
      </c>
      <c r="FXJ21" s="229">
        <v>0</v>
      </c>
      <c r="FXK21" s="229">
        <v>0</v>
      </c>
      <c r="FXL21" s="229">
        <v>0</v>
      </c>
      <c r="FXM21" s="229">
        <v>0</v>
      </c>
      <c r="FXN21" s="229">
        <v>0</v>
      </c>
      <c r="FXO21" s="229">
        <v>0</v>
      </c>
      <c r="FXP21" s="229">
        <v>0</v>
      </c>
      <c r="FXQ21" s="229">
        <v>0</v>
      </c>
      <c r="FXR21" s="229">
        <v>0</v>
      </c>
      <c r="FXS21" s="229">
        <v>0</v>
      </c>
      <c r="FXT21" s="229">
        <v>0</v>
      </c>
      <c r="FXU21" s="229">
        <v>0</v>
      </c>
      <c r="FXV21" s="229">
        <v>0</v>
      </c>
      <c r="FXW21" s="229">
        <v>0</v>
      </c>
      <c r="FXX21" s="229">
        <v>0</v>
      </c>
      <c r="FXY21" s="229">
        <v>0</v>
      </c>
      <c r="FXZ21" s="229">
        <v>0</v>
      </c>
      <c r="FYA21" s="229">
        <v>0</v>
      </c>
      <c r="FYB21" s="229">
        <v>0</v>
      </c>
      <c r="FYC21" s="229">
        <v>0</v>
      </c>
      <c r="FYD21" s="229">
        <v>0</v>
      </c>
      <c r="FYE21" s="229">
        <v>0</v>
      </c>
      <c r="FYF21" s="229">
        <v>0</v>
      </c>
      <c r="FYG21" s="229">
        <v>0</v>
      </c>
      <c r="FYH21" s="229">
        <v>0</v>
      </c>
      <c r="FYI21" s="229">
        <v>0</v>
      </c>
      <c r="FYJ21" s="229">
        <v>0</v>
      </c>
      <c r="FYK21" s="229">
        <v>0</v>
      </c>
      <c r="FYL21" s="229">
        <v>0</v>
      </c>
      <c r="FYM21" s="229">
        <v>0</v>
      </c>
      <c r="FYN21" s="229">
        <v>0</v>
      </c>
      <c r="FYO21" s="229">
        <v>0</v>
      </c>
      <c r="FYP21" s="229">
        <v>0</v>
      </c>
      <c r="FYQ21" s="229">
        <v>0</v>
      </c>
      <c r="FYR21" s="229">
        <v>0</v>
      </c>
      <c r="FYS21" s="229">
        <v>0</v>
      </c>
      <c r="FYT21" s="229">
        <v>0</v>
      </c>
      <c r="FYU21" s="229">
        <v>0</v>
      </c>
      <c r="FYV21" s="229">
        <v>0</v>
      </c>
      <c r="FYW21" s="229">
        <v>0</v>
      </c>
      <c r="FYX21" s="229">
        <v>0</v>
      </c>
      <c r="FYY21" s="229">
        <v>0</v>
      </c>
      <c r="FYZ21" s="229">
        <v>0</v>
      </c>
      <c r="FZA21" s="229">
        <v>0</v>
      </c>
      <c r="FZB21" s="229">
        <v>0</v>
      </c>
      <c r="FZC21" s="229">
        <v>0</v>
      </c>
      <c r="FZD21" s="229">
        <v>0</v>
      </c>
      <c r="FZE21" s="229">
        <v>0</v>
      </c>
      <c r="FZF21" s="229">
        <v>0</v>
      </c>
      <c r="FZG21" s="229">
        <v>0</v>
      </c>
      <c r="FZH21" s="229">
        <v>0</v>
      </c>
      <c r="FZI21" s="229">
        <v>0</v>
      </c>
      <c r="FZJ21" s="229">
        <v>0</v>
      </c>
      <c r="FZK21" s="229">
        <v>0</v>
      </c>
      <c r="FZL21" s="229">
        <v>0</v>
      </c>
      <c r="FZM21" s="229">
        <v>0</v>
      </c>
      <c r="FZN21" s="229">
        <v>0</v>
      </c>
      <c r="FZO21" s="229">
        <v>0</v>
      </c>
      <c r="FZP21" s="229">
        <v>0</v>
      </c>
      <c r="FZQ21" s="229">
        <v>0</v>
      </c>
      <c r="FZR21" s="229">
        <v>0</v>
      </c>
      <c r="FZS21" s="229">
        <v>0</v>
      </c>
      <c r="FZT21" s="229">
        <v>0</v>
      </c>
      <c r="FZU21" s="229">
        <v>0</v>
      </c>
      <c r="FZV21" s="229">
        <v>0</v>
      </c>
      <c r="FZW21" s="229">
        <v>0</v>
      </c>
      <c r="FZX21" s="229">
        <v>0</v>
      </c>
      <c r="FZY21" s="229">
        <v>0</v>
      </c>
      <c r="FZZ21" s="229">
        <v>0</v>
      </c>
      <c r="GAA21" s="229">
        <v>0</v>
      </c>
      <c r="GAB21" s="229">
        <v>0</v>
      </c>
      <c r="GAC21" s="229">
        <v>0</v>
      </c>
      <c r="GAD21" s="229">
        <v>0</v>
      </c>
      <c r="GAE21" s="229">
        <v>0</v>
      </c>
      <c r="GAF21" s="229">
        <v>0</v>
      </c>
      <c r="GAG21" s="229">
        <v>0</v>
      </c>
      <c r="GAH21" s="229">
        <v>0</v>
      </c>
      <c r="GAI21" s="229">
        <v>0</v>
      </c>
      <c r="GAJ21" s="229">
        <v>0</v>
      </c>
      <c r="GAK21" s="229">
        <v>0</v>
      </c>
      <c r="GAL21" s="229">
        <v>0</v>
      </c>
      <c r="GAM21" s="229">
        <v>0</v>
      </c>
      <c r="GAN21" s="229">
        <v>0</v>
      </c>
      <c r="GAO21" s="229">
        <v>0</v>
      </c>
      <c r="GAP21" s="229">
        <v>0</v>
      </c>
      <c r="GAQ21" s="229">
        <v>0</v>
      </c>
      <c r="GAR21" s="229">
        <v>0</v>
      </c>
      <c r="GAS21" s="229">
        <v>0</v>
      </c>
      <c r="GAT21" s="229">
        <v>0</v>
      </c>
      <c r="GAU21" s="229">
        <v>0</v>
      </c>
      <c r="GAV21" s="229">
        <v>0</v>
      </c>
      <c r="GAW21" s="229">
        <v>0</v>
      </c>
      <c r="GAX21" s="229">
        <v>0</v>
      </c>
      <c r="GAY21" s="229">
        <v>0</v>
      </c>
      <c r="GAZ21" s="229">
        <v>0</v>
      </c>
      <c r="GBA21" s="229">
        <v>0</v>
      </c>
      <c r="GBB21" s="229">
        <v>0</v>
      </c>
      <c r="GBC21" s="229">
        <v>0</v>
      </c>
      <c r="GBD21" s="229">
        <v>0</v>
      </c>
      <c r="GBE21" s="229">
        <v>0</v>
      </c>
      <c r="GBF21" s="229">
        <v>0</v>
      </c>
      <c r="GBG21" s="229">
        <v>0</v>
      </c>
      <c r="GBH21" s="229">
        <v>0</v>
      </c>
      <c r="GBI21" s="229">
        <v>0</v>
      </c>
      <c r="GBJ21" s="229">
        <v>0</v>
      </c>
      <c r="GBK21" s="229">
        <v>0</v>
      </c>
      <c r="GBL21" s="229">
        <v>0</v>
      </c>
      <c r="GBM21" s="229">
        <v>0</v>
      </c>
      <c r="GBN21" s="229">
        <v>0</v>
      </c>
      <c r="GBO21" s="229">
        <v>0</v>
      </c>
      <c r="GBP21" s="229">
        <v>0</v>
      </c>
      <c r="GBQ21" s="229">
        <v>0</v>
      </c>
      <c r="GBR21" s="229">
        <v>0</v>
      </c>
      <c r="GBS21" s="229">
        <v>0</v>
      </c>
      <c r="GBT21" s="229">
        <v>0</v>
      </c>
      <c r="GBU21" s="229">
        <v>0</v>
      </c>
      <c r="GBV21" s="229">
        <v>0</v>
      </c>
      <c r="GBW21" s="229">
        <v>0</v>
      </c>
      <c r="GBX21" s="229">
        <v>0</v>
      </c>
      <c r="GBY21" s="229">
        <v>0</v>
      </c>
      <c r="GBZ21" s="229">
        <v>0</v>
      </c>
      <c r="GCA21" s="229">
        <v>0</v>
      </c>
      <c r="GCB21" s="229">
        <v>0</v>
      </c>
      <c r="GCC21" s="229">
        <v>0</v>
      </c>
      <c r="GCD21" s="229">
        <v>0</v>
      </c>
      <c r="GCE21" s="229">
        <v>0</v>
      </c>
      <c r="GCF21" s="229">
        <v>0</v>
      </c>
      <c r="GCG21" s="229">
        <v>0</v>
      </c>
      <c r="GCH21" s="229">
        <v>0</v>
      </c>
      <c r="GCI21" s="229">
        <v>0</v>
      </c>
      <c r="GCJ21" s="229">
        <v>0</v>
      </c>
      <c r="GCK21" s="229">
        <v>0</v>
      </c>
      <c r="GCL21" s="229">
        <v>0</v>
      </c>
      <c r="GCM21" s="229">
        <v>0</v>
      </c>
      <c r="GCN21" s="229">
        <v>0</v>
      </c>
      <c r="GCO21" s="229">
        <v>0</v>
      </c>
      <c r="GCP21" s="229">
        <v>0</v>
      </c>
      <c r="GCQ21" s="229">
        <v>0</v>
      </c>
      <c r="GCR21" s="229">
        <v>0</v>
      </c>
      <c r="GCS21" s="229">
        <v>0</v>
      </c>
      <c r="GCT21" s="229">
        <v>0</v>
      </c>
      <c r="GCU21" s="229">
        <v>0</v>
      </c>
      <c r="GCV21" s="229">
        <v>0</v>
      </c>
      <c r="GCW21" s="229">
        <v>0</v>
      </c>
      <c r="GCX21" s="229">
        <v>0</v>
      </c>
      <c r="GCY21" s="229">
        <v>0</v>
      </c>
      <c r="GCZ21" s="229">
        <v>0</v>
      </c>
      <c r="GDA21" s="229">
        <v>0</v>
      </c>
      <c r="GDB21" s="229">
        <v>0</v>
      </c>
      <c r="GDC21" s="229">
        <v>0</v>
      </c>
      <c r="GDD21" s="229">
        <v>0</v>
      </c>
      <c r="GDE21" s="229">
        <v>0</v>
      </c>
      <c r="GDF21" s="229">
        <v>0</v>
      </c>
      <c r="GDG21" s="229">
        <v>0</v>
      </c>
      <c r="GDH21" s="229">
        <v>0</v>
      </c>
      <c r="GDI21" s="229">
        <v>0</v>
      </c>
      <c r="GDJ21" s="229">
        <v>0</v>
      </c>
      <c r="GDK21" s="229">
        <v>0</v>
      </c>
      <c r="GDL21" s="229">
        <v>0</v>
      </c>
      <c r="GDM21" s="229">
        <v>0</v>
      </c>
      <c r="GDN21" s="229">
        <v>0</v>
      </c>
      <c r="GDO21" s="229">
        <v>0</v>
      </c>
      <c r="GDP21" s="229">
        <v>0</v>
      </c>
      <c r="GDQ21" s="229">
        <v>0</v>
      </c>
      <c r="GDR21" s="229">
        <v>0</v>
      </c>
      <c r="GDS21" s="229">
        <v>0</v>
      </c>
      <c r="GDT21" s="229">
        <v>0</v>
      </c>
      <c r="GDU21" s="229">
        <v>0</v>
      </c>
      <c r="GDV21" s="229">
        <v>0</v>
      </c>
      <c r="GDW21" s="229">
        <v>0</v>
      </c>
      <c r="GDX21" s="229">
        <v>0</v>
      </c>
      <c r="GDY21" s="229">
        <v>0</v>
      </c>
      <c r="GDZ21" s="229">
        <v>0</v>
      </c>
      <c r="GEA21" s="229">
        <v>0</v>
      </c>
      <c r="GEB21" s="229">
        <v>0</v>
      </c>
      <c r="GEC21" s="229">
        <v>0</v>
      </c>
      <c r="GED21" s="229">
        <v>0</v>
      </c>
      <c r="GEE21" s="229">
        <v>0</v>
      </c>
      <c r="GEF21" s="229">
        <v>0</v>
      </c>
      <c r="GEG21" s="229">
        <v>0</v>
      </c>
      <c r="GEH21" s="229">
        <v>0</v>
      </c>
      <c r="GEI21" s="229">
        <v>0</v>
      </c>
      <c r="GEJ21" s="229">
        <v>0</v>
      </c>
      <c r="GEK21" s="229">
        <v>0</v>
      </c>
      <c r="GEL21" s="229">
        <v>0</v>
      </c>
      <c r="GEM21" s="229">
        <v>0</v>
      </c>
      <c r="GEN21" s="229">
        <v>0</v>
      </c>
      <c r="GEO21" s="229">
        <v>0</v>
      </c>
      <c r="GEP21" s="229">
        <v>0</v>
      </c>
      <c r="GEQ21" s="229">
        <v>0</v>
      </c>
      <c r="GER21" s="229">
        <v>0</v>
      </c>
      <c r="GES21" s="229">
        <v>0</v>
      </c>
      <c r="GET21" s="229">
        <v>0</v>
      </c>
      <c r="GEU21" s="229">
        <v>0</v>
      </c>
      <c r="GEV21" s="229">
        <v>0</v>
      </c>
      <c r="GEW21" s="229">
        <v>0</v>
      </c>
      <c r="GEX21" s="229">
        <v>0</v>
      </c>
      <c r="GEY21" s="229">
        <v>0</v>
      </c>
      <c r="GEZ21" s="229">
        <v>0</v>
      </c>
      <c r="GFA21" s="229">
        <v>0</v>
      </c>
      <c r="GFB21" s="229">
        <v>0</v>
      </c>
      <c r="GFC21" s="229">
        <v>0</v>
      </c>
      <c r="GFD21" s="229">
        <v>0</v>
      </c>
      <c r="GFE21" s="229">
        <v>0</v>
      </c>
      <c r="GFF21" s="229">
        <v>0</v>
      </c>
      <c r="GFG21" s="229">
        <v>0</v>
      </c>
      <c r="GFH21" s="229">
        <v>0</v>
      </c>
      <c r="GFI21" s="229">
        <v>0</v>
      </c>
      <c r="GFJ21" s="229">
        <v>0</v>
      </c>
      <c r="GFK21" s="229">
        <v>0</v>
      </c>
      <c r="GFL21" s="229">
        <v>0</v>
      </c>
      <c r="GFM21" s="229">
        <v>0</v>
      </c>
      <c r="GFN21" s="229">
        <v>0</v>
      </c>
      <c r="GFO21" s="229">
        <v>0</v>
      </c>
      <c r="GFP21" s="229">
        <v>0</v>
      </c>
      <c r="GFQ21" s="229">
        <v>0</v>
      </c>
      <c r="GFR21" s="229">
        <v>0</v>
      </c>
      <c r="GFS21" s="229">
        <v>0</v>
      </c>
      <c r="GFT21" s="229">
        <v>0</v>
      </c>
      <c r="GFU21" s="229">
        <v>0</v>
      </c>
      <c r="GFV21" s="229">
        <v>0</v>
      </c>
      <c r="GFW21" s="229">
        <v>0</v>
      </c>
      <c r="GFX21" s="229">
        <v>0</v>
      </c>
      <c r="GFY21" s="229">
        <v>0</v>
      </c>
      <c r="GFZ21" s="229">
        <v>0</v>
      </c>
      <c r="GGA21" s="229">
        <v>0</v>
      </c>
      <c r="GGB21" s="229">
        <v>0</v>
      </c>
      <c r="GGC21" s="229">
        <v>0</v>
      </c>
      <c r="GGD21" s="229">
        <v>0</v>
      </c>
      <c r="GGE21" s="229">
        <v>0</v>
      </c>
      <c r="GGF21" s="229">
        <v>0</v>
      </c>
      <c r="GGG21" s="229">
        <v>0</v>
      </c>
      <c r="GGH21" s="229">
        <v>0</v>
      </c>
      <c r="GGI21" s="229">
        <v>0</v>
      </c>
      <c r="GGJ21" s="229">
        <v>0</v>
      </c>
      <c r="GGK21" s="229">
        <v>0</v>
      </c>
      <c r="GGL21" s="229">
        <v>0</v>
      </c>
      <c r="GGM21" s="229">
        <v>0</v>
      </c>
      <c r="GGN21" s="229">
        <v>0</v>
      </c>
      <c r="GGO21" s="229">
        <v>0</v>
      </c>
      <c r="GGP21" s="229">
        <v>0</v>
      </c>
      <c r="GGQ21" s="229">
        <v>0</v>
      </c>
      <c r="GGR21" s="229">
        <v>0</v>
      </c>
      <c r="GGS21" s="229">
        <v>0</v>
      </c>
      <c r="GGT21" s="229">
        <v>0</v>
      </c>
      <c r="GGU21" s="229">
        <v>0</v>
      </c>
      <c r="GGV21" s="229">
        <v>0</v>
      </c>
      <c r="GGW21" s="229">
        <v>0</v>
      </c>
      <c r="GGX21" s="229">
        <v>0</v>
      </c>
      <c r="GGY21" s="229">
        <v>0</v>
      </c>
      <c r="GGZ21" s="229">
        <v>0</v>
      </c>
      <c r="GHA21" s="229">
        <v>0</v>
      </c>
      <c r="GHB21" s="229">
        <v>0</v>
      </c>
      <c r="GHC21" s="229">
        <v>0</v>
      </c>
      <c r="GHD21" s="229">
        <v>0</v>
      </c>
      <c r="GHE21" s="229">
        <v>0</v>
      </c>
      <c r="GHF21" s="229">
        <v>0</v>
      </c>
      <c r="GHG21" s="229">
        <v>0</v>
      </c>
      <c r="GHH21" s="229">
        <v>0</v>
      </c>
      <c r="GHI21" s="229">
        <v>0</v>
      </c>
      <c r="GHJ21" s="229">
        <v>0</v>
      </c>
      <c r="GHK21" s="229">
        <v>0</v>
      </c>
      <c r="GHL21" s="229">
        <v>0</v>
      </c>
      <c r="GHM21" s="229">
        <v>0</v>
      </c>
      <c r="GHN21" s="229">
        <v>0</v>
      </c>
      <c r="GHO21" s="229">
        <v>0</v>
      </c>
      <c r="GHP21" s="229">
        <v>0</v>
      </c>
      <c r="GHQ21" s="229">
        <v>0</v>
      </c>
      <c r="GHR21" s="229">
        <v>0</v>
      </c>
      <c r="GHS21" s="229">
        <v>0</v>
      </c>
      <c r="GHT21" s="229">
        <v>0</v>
      </c>
      <c r="GHU21" s="229">
        <v>0</v>
      </c>
      <c r="GHV21" s="229">
        <v>0</v>
      </c>
      <c r="GHW21" s="229">
        <v>0</v>
      </c>
      <c r="GHX21" s="229">
        <v>0</v>
      </c>
      <c r="GHY21" s="229">
        <v>0</v>
      </c>
      <c r="GHZ21" s="229">
        <v>0</v>
      </c>
      <c r="GIA21" s="229">
        <v>0</v>
      </c>
      <c r="GIB21" s="229">
        <v>0</v>
      </c>
      <c r="GIC21" s="229">
        <v>0</v>
      </c>
      <c r="GID21" s="229">
        <v>0</v>
      </c>
      <c r="GIE21" s="229">
        <v>0</v>
      </c>
      <c r="GIF21" s="229">
        <v>0</v>
      </c>
      <c r="GIG21" s="229">
        <v>0</v>
      </c>
      <c r="GIH21" s="229">
        <v>0</v>
      </c>
      <c r="GII21" s="229">
        <v>0</v>
      </c>
      <c r="GIJ21" s="229">
        <v>0</v>
      </c>
      <c r="GIK21" s="229">
        <v>0</v>
      </c>
      <c r="GIL21" s="229">
        <v>0</v>
      </c>
      <c r="GIM21" s="229">
        <v>0</v>
      </c>
      <c r="GIN21" s="229">
        <v>0</v>
      </c>
      <c r="GIO21" s="229">
        <v>0</v>
      </c>
      <c r="GIP21" s="229">
        <v>0</v>
      </c>
      <c r="GIQ21" s="229">
        <v>0</v>
      </c>
      <c r="GIR21" s="229">
        <v>0</v>
      </c>
      <c r="GIS21" s="229">
        <v>0</v>
      </c>
      <c r="GIT21" s="229">
        <v>0</v>
      </c>
      <c r="GIU21" s="229">
        <v>0</v>
      </c>
      <c r="GIV21" s="229">
        <v>0</v>
      </c>
      <c r="GIW21" s="229">
        <v>0</v>
      </c>
      <c r="GIX21" s="229">
        <v>0</v>
      </c>
      <c r="GIY21" s="229">
        <v>0</v>
      </c>
      <c r="GIZ21" s="229">
        <v>0</v>
      </c>
      <c r="GJA21" s="229">
        <v>0</v>
      </c>
      <c r="GJB21" s="229">
        <v>0</v>
      </c>
      <c r="GJC21" s="229">
        <v>0</v>
      </c>
      <c r="GJD21" s="229">
        <v>0</v>
      </c>
      <c r="GJE21" s="229">
        <v>0</v>
      </c>
      <c r="GJF21" s="229">
        <v>0</v>
      </c>
      <c r="GJG21" s="229">
        <v>0</v>
      </c>
      <c r="GJH21" s="229">
        <v>0</v>
      </c>
      <c r="GJI21" s="229">
        <v>0</v>
      </c>
      <c r="GJJ21" s="229">
        <v>0</v>
      </c>
      <c r="GJK21" s="229">
        <v>0</v>
      </c>
      <c r="GJL21" s="229">
        <v>0</v>
      </c>
      <c r="GJM21" s="229">
        <v>0</v>
      </c>
      <c r="GJN21" s="229">
        <v>0</v>
      </c>
      <c r="GJO21" s="229">
        <v>0</v>
      </c>
      <c r="GJP21" s="229">
        <v>0</v>
      </c>
      <c r="GJQ21" s="229">
        <v>0</v>
      </c>
      <c r="GJR21" s="229">
        <v>0</v>
      </c>
      <c r="GJS21" s="229">
        <v>0</v>
      </c>
      <c r="GJT21" s="229">
        <v>0</v>
      </c>
      <c r="GJU21" s="229">
        <v>0</v>
      </c>
      <c r="GJV21" s="229">
        <v>0</v>
      </c>
      <c r="GJW21" s="229">
        <v>0</v>
      </c>
      <c r="GJX21" s="229">
        <v>0</v>
      </c>
      <c r="GJY21" s="229">
        <v>0</v>
      </c>
      <c r="GJZ21" s="229">
        <v>0</v>
      </c>
      <c r="GKA21" s="229">
        <v>0</v>
      </c>
      <c r="GKB21" s="229">
        <v>0</v>
      </c>
      <c r="GKC21" s="229">
        <v>0</v>
      </c>
      <c r="GKD21" s="229">
        <v>0</v>
      </c>
      <c r="GKE21" s="229">
        <v>0</v>
      </c>
      <c r="GKF21" s="229">
        <v>0</v>
      </c>
      <c r="GKG21" s="229">
        <v>0</v>
      </c>
      <c r="GKH21" s="229">
        <v>0</v>
      </c>
      <c r="GKI21" s="229">
        <v>0</v>
      </c>
      <c r="GKJ21" s="229">
        <v>0</v>
      </c>
      <c r="GKK21" s="229">
        <v>0</v>
      </c>
      <c r="GKL21" s="229">
        <v>0</v>
      </c>
      <c r="GKM21" s="229">
        <v>0</v>
      </c>
      <c r="GKN21" s="229">
        <v>0</v>
      </c>
      <c r="GKO21" s="229">
        <v>0</v>
      </c>
      <c r="GKP21" s="229">
        <v>0</v>
      </c>
      <c r="GKQ21" s="229">
        <v>0</v>
      </c>
      <c r="GKR21" s="229">
        <v>0</v>
      </c>
      <c r="GKS21" s="229">
        <v>0</v>
      </c>
      <c r="GKT21" s="229">
        <v>0</v>
      </c>
      <c r="GKU21" s="229">
        <v>0</v>
      </c>
      <c r="GKV21" s="229">
        <v>0</v>
      </c>
      <c r="GKW21" s="229">
        <v>0</v>
      </c>
      <c r="GKX21" s="229">
        <v>0</v>
      </c>
      <c r="GKY21" s="229">
        <v>0</v>
      </c>
      <c r="GKZ21" s="229">
        <v>0</v>
      </c>
      <c r="GLA21" s="229">
        <v>0</v>
      </c>
      <c r="GLB21" s="229">
        <v>0</v>
      </c>
      <c r="GLC21" s="229">
        <v>0</v>
      </c>
      <c r="GLD21" s="229">
        <v>0</v>
      </c>
      <c r="GLE21" s="229">
        <v>0</v>
      </c>
      <c r="GLF21" s="229">
        <v>0</v>
      </c>
      <c r="GLG21" s="229">
        <v>0</v>
      </c>
      <c r="GLH21" s="229">
        <v>0</v>
      </c>
      <c r="GLI21" s="229">
        <v>0</v>
      </c>
      <c r="GLJ21" s="229">
        <v>0</v>
      </c>
      <c r="GLK21" s="229">
        <v>0</v>
      </c>
      <c r="GLL21" s="229">
        <v>0</v>
      </c>
      <c r="GLM21" s="229">
        <v>0</v>
      </c>
      <c r="GLN21" s="229">
        <v>0</v>
      </c>
      <c r="GLO21" s="229">
        <v>0</v>
      </c>
      <c r="GLP21" s="229">
        <v>0</v>
      </c>
      <c r="GLQ21" s="229">
        <v>0</v>
      </c>
      <c r="GLR21" s="229">
        <v>0</v>
      </c>
      <c r="GLS21" s="229">
        <v>0</v>
      </c>
      <c r="GLT21" s="229">
        <v>0</v>
      </c>
      <c r="GLU21" s="229">
        <v>0</v>
      </c>
      <c r="GLV21" s="229">
        <v>0</v>
      </c>
      <c r="GLW21" s="229">
        <v>0</v>
      </c>
      <c r="GLX21" s="229">
        <v>0</v>
      </c>
      <c r="GLY21" s="229">
        <v>0</v>
      </c>
      <c r="GLZ21" s="229">
        <v>0</v>
      </c>
      <c r="GMA21" s="229">
        <v>0</v>
      </c>
      <c r="GMB21" s="229">
        <v>0</v>
      </c>
      <c r="GMC21" s="229">
        <v>0</v>
      </c>
      <c r="GMD21" s="229">
        <v>0</v>
      </c>
      <c r="GME21" s="229">
        <v>0</v>
      </c>
      <c r="GMF21" s="229">
        <v>0</v>
      </c>
      <c r="GMG21" s="229">
        <v>0</v>
      </c>
      <c r="GMH21" s="229">
        <v>0</v>
      </c>
      <c r="GMI21" s="229">
        <v>0</v>
      </c>
      <c r="GMJ21" s="229">
        <v>0</v>
      </c>
      <c r="GMK21" s="229">
        <v>0</v>
      </c>
      <c r="GML21" s="229">
        <v>0</v>
      </c>
      <c r="GMM21" s="229">
        <v>0</v>
      </c>
      <c r="GMN21" s="229">
        <v>0</v>
      </c>
      <c r="GMO21" s="229">
        <v>0</v>
      </c>
      <c r="GMP21" s="229">
        <v>0</v>
      </c>
      <c r="GMQ21" s="229">
        <v>0</v>
      </c>
      <c r="GMR21" s="229">
        <v>0</v>
      </c>
      <c r="GMS21" s="229">
        <v>0</v>
      </c>
      <c r="GMT21" s="229">
        <v>0</v>
      </c>
      <c r="GMU21" s="229">
        <v>0</v>
      </c>
      <c r="GMV21" s="229">
        <v>0</v>
      </c>
      <c r="GMW21" s="229">
        <v>0</v>
      </c>
      <c r="GMX21" s="229">
        <v>0</v>
      </c>
      <c r="GMY21" s="229">
        <v>0</v>
      </c>
      <c r="GMZ21" s="229">
        <v>0</v>
      </c>
      <c r="GNA21" s="229">
        <v>0</v>
      </c>
      <c r="GNB21" s="229">
        <v>0</v>
      </c>
      <c r="GNC21" s="229">
        <v>0</v>
      </c>
      <c r="GND21" s="229">
        <v>0</v>
      </c>
      <c r="GNE21" s="229">
        <v>0</v>
      </c>
      <c r="GNF21" s="229">
        <v>0</v>
      </c>
      <c r="GNG21" s="229">
        <v>0</v>
      </c>
      <c r="GNH21" s="229">
        <v>0</v>
      </c>
      <c r="GNI21" s="229">
        <v>0</v>
      </c>
      <c r="GNJ21" s="229">
        <v>0</v>
      </c>
      <c r="GNK21" s="229">
        <v>0</v>
      </c>
      <c r="GNL21" s="229">
        <v>0</v>
      </c>
      <c r="GNM21" s="229">
        <v>0</v>
      </c>
      <c r="GNN21" s="229">
        <v>0</v>
      </c>
      <c r="GNO21" s="229">
        <v>0</v>
      </c>
      <c r="GNP21" s="229">
        <v>0</v>
      </c>
      <c r="GNQ21" s="229">
        <v>0</v>
      </c>
      <c r="GNR21" s="229">
        <v>0</v>
      </c>
      <c r="GNS21" s="229">
        <v>0</v>
      </c>
      <c r="GNT21" s="229">
        <v>0</v>
      </c>
      <c r="GNU21" s="229">
        <v>0</v>
      </c>
      <c r="GNV21" s="229">
        <v>0</v>
      </c>
      <c r="GNW21" s="229">
        <v>0</v>
      </c>
      <c r="GNX21" s="229">
        <v>0</v>
      </c>
      <c r="GNY21" s="229">
        <v>0</v>
      </c>
      <c r="GNZ21" s="229">
        <v>0</v>
      </c>
      <c r="GOA21" s="229">
        <v>0</v>
      </c>
      <c r="GOB21" s="229">
        <v>0</v>
      </c>
      <c r="GOC21" s="229">
        <v>0</v>
      </c>
      <c r="GOD21" s="229">
        <v>0</v>
      </c>
      <c r="GOE21" s="229">
        <v>0</v>
      </c>
      <c r="GOF21" s="229">
        <v>0</v>
      </c>
      <c r="GOG21" s="229">
        <v>0</v>
      </c>
      <c r="GOH21" s="229">
        <v>0</v>
      </c>
      <c r="GOI21" s="229">
        <v>0</v>
      </c>
      <c r="GOJ21" s="229">
        <v>0</v>
      </c>
      <c r="GOK21" s="229">
        <v>0</v>
      </c>
      <c r="GOL21" s="229">
        <v>0</v>
      </c>
      <c r="GOM21" s="229">
        <v>0</v>
      </c>
      <c r="GON21" s="229">
        <v>0</v>
      </c>
      <c r="GOO21" s="229">
        <v>0</v>
      </c>
      <c r="GOP21" s="229">
        <v>0</v>
      </c>
      <c r="GOQ21" s="229">
        <v>0</v>
      </c>
      <c r="GOR21" s="229">
        <v>0</v>
      </c>
      <c r="GOS21" s="229">
        <v>0</v>
      </c>
      <c r="GOT21" s="229">
        <v>0</v>
      </c>
      <c r="GOU21" s="229">
        <v>0</v>
      </c>
      <c r="GOV21" s="229">
        <v>0</v>
      </c>
      <c r="GOW21" s="229">
        <v>0</v>
      </c>
      <c r="GOX21" s="229">
        <v>0</v>
      </c>
      <c r="GOY21" s="229">
        <v>0</v>
      </c>
      <c r="GOZ21" s="229">
        <v>0</v>
      </c>
      <c r="GPA21" s="229">
        <v>0</v>
      </c>
      <c r="GPB21" s="229">
        <v>0</v>
      </c>
      <c r="GPC21" s="229">
        <v>0</v>
      </c>
      <c r="GPD21" s="229">
        <v>0</v>
      </c>
      <c r="GPE21" s="229">
        <v>0</v>
      </c>
      <c r="GPF21" s="229">
        <v>0</v>
      </c>
      <c r="GPG21" s="229">
        <v>0</v>
      </c>
      <c r="GPH21" s="229">
        <v>0</v>
      </c>
      <c r="GPI21" s="229">
        <v>0</v>
      </c>
      <c r="GPJ21" s="229">
        <v>0</v>
      </c>
      <c r="GPK21" s="229">
        <v>0</v>
      </c>
      <c r="GPL21" s="229">
        <v>0</v>
      </c>
      <c r="GPM21" s="229">
        <v>0</v>
      </c>
      <c r="GPN21" s="229">
        <v>0</v>
      </c>
      <c r="GPO21" s="229">
        <v>0</v>
      </c>
      <c r="GPP21" s="229">
        <v>0</v>
      </c>
      <c r="GPQ21" s="229">
        <v>0</v>
      </c>
      <c r="GPR21" s="229">
        <v>0</v>
      </c>
      <c r="GPS21" s="229">
        <v>0</v>
      </c>
      <c r="GPT21" s="229">
        <v>0</v>
      </c>
      <c r="GPU21" s="229">
        <v>0</v>
      </c>
      <c r="GPV21" s="229">
        <v>0</v>
      </c>
      <c r="GPW21" s="229">
        <v>0</v>
      </c>
      <c r="GPX21" s="229">
        <v>0</v>
      </c>
      <c r="GPY21" s="229">
        <v>0</v>
      </c>
      <c r="GPZ21" s="229">
        <v>0</v>
      </c>
      <c r="GQA21" s="229">
        <v>0</v>
      </c>
      <c r="GQB21" s="229">
        <v>0</v>
      </c>
      <c r="GQC21" s="229">
        <v>0</v>
      </c>
      <c r="GQD21" s="229">
        <v>0</v>
      </c>
      <c r="GQE21" s="229">
        <v>0</v>
      </c>
      <c r="GQF21" s="229">
        <v>0</v>
      </c>
      <c r="GQG21" s="229">
        <v>0</v>
      </c>
      <c r="GQH21" s="229">
        <v>0</v>
      </c>
      <c r="GQI21" s="229">
        <v>0</v>
      </c>
      <c r="GQJ21" s="229">
        <v>0</v>
      </c>
      <c r="GQK21" s="229">
        <v>0</v>
      </c>
      <c r="GQL21" s="229">
        <v>0</v>
      </c>
      <c r="GQM21" s="229">
        <v>0</v>
      </c>
      <c r="GQN21" s="229">
        <v>0</v>
      </c>
      <c r="GQO21" s="229">
        <v>0</v>
      </c>
      <c r="GQP21" s="229">
        <v>0</v>
      </c>
      <c r="GQQ21" s="229">
        <v>0</v>
      </c>
      <c r="GQR21" s="229">
        <v>0</v>
      </c>
      <c r="GQS21" s="229">
        <v>0</v>
      </c>
      <c r="GQT21" s="229">
        <v>0</v>
      </c>
      <c r="GQU21" s="229">
        <v>0</v>
      </c>
      <c r="GQV21" s="229">
        <v>0</v>
      </c>
      <c r="GQW21" s="229">
        <v>0</v>
      </c>
      <c r="GQX21" s="229">
        <v>0</v>
      </c>
      <c r="GQY21" s="229">
        <v>0</v>
      </c>
      <c r="GQZ21" s="229">
        <v>0</v>
      </c>
      <c r="GRA21" s="229">
        <v>0</v>
      </c>
      <c r="GRB21" s="229">
        <v>0</v>
      </c>
      <c r="GRC21" s="229">
        <v>0</v>
      </c>
      <c r="GRD21" s="229">
        <v>0</v>
      </c>
      <c r="GRE21" s="229">
        <v>0</v>
      </c>
      <c r="GRF21" s="229">
        <v>0</v>
      </c>
      <c r="GRG21" s="229">
        <v>0</v>
      </c>
      <c r="GRH21" s="229">
        <v>0</v>
      </c>
      <c r="GRI21" s="229">
        <v>0</v>
      </c>
      <c r="GRJ21" s="229">
        <v>0</v>
      </c>
      <c r="GRK21" s="229">
        <v>0</v>
      </c>
      <c r="GRL21" s="229">
        <v>0</v>
      </c>
      <c r="GRM21" s="229">
        <v>0</v>
      </c>
      <c r="GRN21" s="229">
        <v>0</v>
      </c>
      <c r="GRO21" s="229">
        <v>0</v>
      </c>
      <c r="GRP21" s="229">
        <v>0</v>
      </c>
      <c r="GRQ21" s="229">
        <v>0</v>
      </c>
      <c r="GRR21" s="229">
        <v>0</v>
      </c>
      <c r="GRS21" s="229">
        <v>0</v>
      </c>
      <c r="GRT21" s="229">
        <v>0</v>
      </c>
      <c r="GRU21" s="229">
        <v>0</v>
      </c>
      <c r="GRV21" s="229">
        <v>0</v>
      </c>
      <c r="GRW21" s="229">
        <v>0</v>
      </c>
      <c r="GRX21" s="229">
        <v>0</v>
      </c>
      <c r="GRY21" s="229">
        <v>0</v>
      </c>
      <c r="GRZ21" s="229">
        <v>0</v>
      </c>
      <c r="GSA21" s="229">
        <v>0</v>
      </c>
      <c r="GSB21" s="229">
        <v>0</v>
      </c>
      <c r="GSC21" s="229">
        <v>0</v>
      </c>
      <c r="GSD21" s="229">
        <v>0</v>
      </c>
      <c r="GSE21" s="229">
        <v>0</v>
      </c>
      <c r="GSF21" s="229">
        <v>0</v>
      </c>
      <c r="GSG21" s="229">
        <v>0</v>
      </c>
      <c r="GSH21" s="229">
        <v>0</v>
      </c>
      <c r="GSI21" s="229">
        <v>0</v>
      </c>
      <c r="GSJ21" s="229">
        <v>0</v>
      </c>
      <c r="GSK21" s="229">
        <v>0</v>
      </c>
      <c r="GSL21" s="229">
        <v>0</v>
      </c>
      <c r="GSM21" s="229">
        <v>0</v>
      </c>
      <c r="GSN21" s="229">
        <v>0</v>
      </c>
      <c r="GSO21" s="229">
        <v>0</v>
      </c>
      <c r="GSP21" s="229">
        <v>0</v>
      </c>
      <c r="GSQ21" s="229">
        <v>0</v>
      </c>
      <c r="GSR21" s="229">
        <v>0</v>
      </c>
      <c r="GSS21" s="229">
        <v>0</v>
      </c>
      <c r="GST21" s="229">
        <v>0</v>
      </c>
      <c r="GSU21" s="229">
        <v>0</v>
      </c>
      <c r="GSV21" s="229">
        <v>0</v>
      </c>
      <c r="GSW21" s="229">
        <v>0</v>
      </c>
      <c r="GSX21" s="229">
        <v>0</v>
      </c>
      <c r="GSY21" s="229">
        <v>0</v>
      </c>
      <c r="GSZ21" s="229">
        <v>0</v>
      </c>
      <c r="GTA21" s="229">
        <v>0</v>
      </c>
      <c r="GTB21" s="229">
        <v>0</v>
      </c>
      <c r="GTC21" s="229">
        <v>0</v>
      </c>
      <c r="GTD21" s="229">
        <v>0</v>
      </c>
      <c r="GTE21" s="229">
        <v>0</v>
      </c>
      <c r="GTF21" s="229">
        <v>0</v>
      </c>
      <c r="GTG21" s="229">
        <v>0</v>
      </c>
      <c r="GTH21" s="229">
        <v>0</v>
      </c>
      <c r="GTI21" s="229">
        <v>0</v>
      </c>
      <c r="GTJ21" s="229">
        <v>0</v>
      </c>
      <c r="GTK21" s="229">
        <v>0</v>
      </c>
      <c r="GTL21" s="229">
        <v>0</v>
      </c>
      <c r="GTM21" s="229">
        <v>0</v>
      </c>
      <c r="GTN21" s="229">
        <v>0</v>
      </c>
      <c r="GTO21" s="229">
        <v>0</v>
      </c>
      <c r="GTP21" s="229">
        <v>0</v>
      </c>
      <c r="GTQ21" s="229">
        <v>0</v>
      </c>
      <c r="GTR21" s="229">
        <v>0</v>
      </c>
      <c r="GTS21" s="229">
        <v>0</v>
      </c>
      <c r="GTT21" s="229">
        <v>0</v>
      </c>
      <c r="GTU21" s="229">
        <v>0</v>
      </c>
      <c r="GTV21" s="229">
        <v>0</v>
      </c>
      <c r="GTW21" s="229">
        <v>0</v>
      </c>
      <c r="GTX21" s="229">
        <v>0</v>
      </c>
      <c r="GTY21" s="229">
        <v>0</v>
      </c>
      <c r="GTZ21" s="229">
        <v>0</v>
      </c>
      <c r="GUA21" s="229">
        <v>0</v>
      </c>
      <c r="GUB21" s="229">
        <v>0</v>
      </c>
      <c r="GUC21" s="229">
        <v>0</v>
      </c>
      <c r="GUD21" s="229">
        <v>0</v>
      </c>
      <c r="GUE21" s="229">
        <v>0</v>
      </c>
      <c r="GUF21" s="229">
        <v>0</v>
      </c>
      <c r="GUG21" s="229">
        <v>0</v>
      </c>
      <c r="GUH21" s="229">
        <v>0</v>
      </c>
      <c r="GUI21" s="229">
        <v>0</v>
      </c>
      <c r="GUJ21" s="229">
        <v>0</v>
      </c>
      <c r="GUK21" s="229">
        <v>0</v>
      </c>
      <c r="GUL21" s="229">
        <v>0</v>
      </c>
      <c r="GUM21" s="229">
        <v>0</v>
      </c>
      <c r="GUN21" s="229">
        <v>0</v>
      </c>
      <c r="GUO21" s="229">
        <v>0</v>
      </c>
      <c r="GUP21" s="229">
        <v>0</v>
      </c>
      <c r="GUQ21" s="229">
        <v>0</v>
      </c>
      <c r="GUR21" s="229">
        <v>0</v>
      </c>
      <c r="GUS21" s="229">
        <v>0</v>
      </c>
      <c r="GUT21" s="229">
        <v>0</v>
      </c>
      <c r="GUU21" s="229">
        <v>0</v>
      </c>
      <c r="GUV21" s="229">
        <v>0</v>
      </c>
      <c r="GUW21" s="229">
        <v>0</v>
      </c>
      <c r="GUX21" s="229">
        <v>0</v>
      </c>
      <c r="GUY21" s="229">
        <v>0</v>
      </c>
      <c r="GUZ21" s="229">
        <v>0</v>
      </c>
      <c r="GVA21" s="229">
        <v>0</v>
      </c>
      <c r="GVB21" s="229">
        <v>0</v>
      </c>
      <c r="GVC21" s="229">
        <v>0</v>
      </c>
      <c r="GVD21" s="229">
        <v>0</v>
      </c>
      <c r="GVE21" s="229">
        <v>0</v>
      </c>
      <c r="GVF21" s="229">
        <v>0</v>
      </c>
      <c r="GVG21" s="229">
        <v>0</v>
      </c>
      <c r="GVH21" s="229">
        <v>0</v>
      </c>
      <c r="GVI21" s="229">
        <v>0</v>
      </c>
      <c r="GVJ21" s="229">
        <v>0</v>
      </c>
      <c r="GVK21" s="229">
        <v>0</v>
      </c>
      <c r="GVL21" s="229">
        <v>0</v>
      </c>
      <c r="GVM21" s="229">
        <v>0</v>
      </c>
      <c r="GVN21" s="229">
        <v>0</v>
      </c>
      <c r="GVO21" s="229">
        <v>0</v>
      </c>
      <c r="GVP21" s="229">
        <v>0</v>
      </c>
      <c r="GVQ21" s="229">
        <v>0</v>
      </c>
      <c r="GVR21" s="229">
        <v>0</v>
      </c>
      <c r="GVS21" s="229">
        <v>0</v>
      </c>
      <c r="GVT21" s="229">
        <v>0</v>
      </c>
      <c r="GVU21" s="229">
        <v>0</v>
      </c>
      <c r="GVV21" s="229">
        <v>0</v>
      </c>
      <c r="GVW21" s="229">
        <v>0</v>
      </c>
      <c r="GVX21" s="229">
        <v>0</v>
      </c>
      <c r="GVY21" s="229">
        <v>0</v>
      </c>
      <c r="GVZ21" s="229">
        <v>0</v>
      </c>
      <c r="GWA21" s="229">
        <v>0</v>
      </c>
      <c r="GWB21" s="229">
        <v>0</v>
      </c>
      <c r="GWC21" s="229">
        <v>0</v>
      </c>
      <c r="GWD21" s="229">
        <v>0</v>
      </c>
      <c r="GWE21" s="229">
        <v>0</v>
      </c>
      <c r="GWF21" s="229">
        <v>0</v>
      </c>
      <c r="GWG21" s="229">
        <v>0</v>
      </c>
      <c r="GWH21" s="229">
        <v>0</v>
      </c>
      <c r="GWI21" s="229">
        <v>0</v>
      </c>
      <c r="GWJ21" s="229">
        <v>0</v>
      </c>
      <c r="GWK21" s="229">
        <v>0</v>
      </c>
      <c r="GWL21" s="229">
        <v>0</v>
      </c>
      <c r="GWM21" s="229">
        <v>0</v>
      </c>
      <c r="GWN21" s="229">
        <v>0</v>
      </c>
      <c r="GWO21" s="229">
        <v>0</v>
      </c>
      <c r="GWP21" s="229">
        <v>0</v>
      </c>
      <c r="GWQ21" s="229">
        <v>0</v>
      </c>
      <c r="GWR21" s="229">
        <v>0</v>
      </c>
      <c r="GWS21" s="229">
        <v>0</v>
      </c>
      <c r="GWT21" s="229">
        <v>0</v>
      </c>
      <c r="GWU21" s="229">
        <v>0</v>
      </c>
      <c r="GWV21" s="229">
        <v>0</v>
      </c>
      <c r="GWW21" s="229">
        <v>0</v>
      </c>
      <c r="GWX21" s="229">
        <v>0</v>
      </c>
      <c r="GWY21" s="229">
        <v>0</v>
      </c>
      <c r="GWZ21" s="229">
        <v>0</v>
      </c>
      <c r="GXA21" s="229">
        <v>0</v>
      </c>
      <c r="GXB21" s="229">
        <v>0</v>
      </c>
      <c r="GXC21" s="229">
        <v>0</v>
      </c>
      <c r="GXD21" s="229">
        <v>0</v>
      </c>
      <c r="GXE21" s="229">
        <v>0</v>
      </c>
      <c r="GXF21" s="229">
        <v>0</v>
      </c>
      <c r="GXG21" s="229">
        <v>0</v>
      </c>
      <c r="GXH21" s="229">
        <v>0</v>
      </c>
      <c r="GXI21" s="229">
        <v>0</v>
      </c>
      <c r="GXJ21" s="229">
        <v>0</v>
      </c>
      <c r="GXK21" s="229">
        <v>0</v>
      </c>
      <c r="GXL21" s="229">
        <v>0</v>
      </c>
      <c r="GXM21" s="229">
        <v>0</v>
      </c>
      <c r="GXN21" s="229">
        <v>0</v>
      </c>
      <c r="GXO21" s="229">
        <v>0</v>
      </c>
      <c r="GXP21" s="229">
        <v>0</v>
      </c>
      <c r="GXQ21" s="229">
        <v>0</v>
      </c>
      <c r="GXR21" s="229">
        <v>0</v>
      </c>
      <c r="GXS21" s="229">
        <v>0</v>
      </c>
      <c r="GXT21" s="229">
        <v>0</v>
      </c>
      <c r="GXU21" s="229">
        <v>0</v>
      </c>
      <c r="GXV21" s="229">
        <v>0</v>
      </c>
      <c r="GXW21" s="229">
        <v>0</v>
      </c>
      <c r="GXX21" s="229">
        <v>0</v>
      </c>
      <c r="GXY21" s="229">
        <v>0</v>
      </c>
      <c r="GXZ21" s="229">
        <v>0</v>
      </c>
      <c r="GYA21" s="229">
        <v>0</v>
      </c>
      <c r="GYB21" s="229">
        <v>0</v>
      </c>
      <c r="GYC21" s="229">
        <v>0</v>
      </c>
      <c r="GYD21" s="229">
        <v>0</v>
      </c>
      <c r="GYE21" s="229">
        <v>0</v>
      </c>
      <c r="GYF21" s="229">
        <v>0</v>
      </c>
      <c r="GYG21" s="229">
        <v>0</v>
      </c>
      <c r="GYH21" s="229">
        <v>0</v>
      </c>
      <c r="GYI21" s="229">
        <v>0</v>
      </c>
      <c r="GYJ21" s="229">
        <v>0</v>
      </c>
      <c r="GYK21" s="229">
        <v>0</v>
      </c>
      <c r="GYL21" s="229">
        <v>0</v>
      </c>
      <c r="GYM21" s="229">
        <v>0</v>
      </c>
      <c r="GYN21" s="229">
        <v>0</v>
      </c>
      <c r="GYO21" s="229">
        <v>0</v>
      </c>
      <c r="GYP21" s="229">
        <v>0</v>
      </c>
      <c r="GYQ21" s="229">
        <v>0</v>
      </c>
      <c r="GYR21" s="229">
        <v>0</v>
      </c>
      <c r="GYS21" s="229">
        <v>0</v>
      </c>
      <c r="GYT21" s="229">
        <v>0</v>
      </c>
      <c r="GYU21" s="229">
        <v>0</v>
      </c>
      <c r="GYV21" s="229">
        <v>0</v>
      </c>
      <c r="GYW21" s="229">
        <v>0</v>
      </c>
      <c r="GYX21" s="229">
        <v>0</v>
      </c>
      <c r="GYY21" s="229">
        <v>0</v>
      </c>
      <c r="GYZ21" s="229">
        <v>0</v>
      </c>
      <c r="GZA21" s="229">
        <v>0</v>
      </c>
      <c r="GZB21" s="229">
        <v>0</v>
      </c>
      <c r="GZC21" s="229">
        <v>0</v>
      </c>
      <c r="GZD21" s="229">
        <v>0</v>
      </c>
      <c r="GZE21" s="229">
        <v>0</v>
      </c>
      <c r="GZF21" s="229">
        <v>0</v>
      </c>
      <c r="GZG21" s="229">
        <v>0</v>
      </c>
      <c r="GZH21" s="229">
        <v>0</v>
      </c>
      <c r="GZI21" s="229">
        <v>0</v>
      </c>
      <c r="GZJ21" s="229">
        <v>0</v>
      </c>
      <c r="GZK21" s="229">
        <v>0</v>
      </c>
      <c r="GZL21" s="229">
        <v>0</v>
      </c>
      <c r="GZM21" s="229">
        <v>0</v>
      </c>
      <c r="GZN21" s="229">
        <v>0</v>
      </c>
      <c r="GZO21" s="229">
        <v>0</v>
      </c>
      <c r="GZP21" s="229">
        <v>0</v>
      </c>
      <c r="GZQ21" s="229">
        <v>0</v>
      </c>
      <c r="GZR21" s="229">
        <v>0</v>
      </c>
      <c r="GZS21" s="229">
        <v>0</v>
      </c>
      <c r="GZT21" s="229">
        <v>0</v>
      </c>
      <c r="GZU21" s="229">
        <v>0</v>
      </c>
      <c r="GZV21" s="229">
        <v>0</v>
      </c>
      <c r="GZW21" s="229">
        <v>0</v>
      </c>
      <c r="GZX21" s="229">
        <v>0</v>
      </c>
      <c r="GZY21" s="229">
        <v>0</v>
      </c>
      <c r="GZZ21" s="229">
        <v>0</v>
      </c>
      <c r="HAA21" s="229">
        <v>0</v>
      </c>
      <c r="HAB21" s="229">
        <v>0</v>
      </c>
      <c r="HAC21" s="229">
        <v>0</v>
      </c>
      <c r="HAD21" s="229">
        <v>0</v>
      </c>
      <c r="HAE21" s="229">
        <v>0</v>
      </c>
      <c r="HAF21" s="229">
        <v>0</v>
      </c>
      <c r="HAG21" s="229">
        <v>0</v>
      </c>
      <c r="HAH21" s="229">
        <v>0</v>
      </c>
      <c r="HAI21" s="229">
        <v>0</v>
      </c>
      <c r="HAJ21" s="229">
        <v>0</v>
      </c>
      <c r="HAK21" s="229">
        <v>0</v>
      </c>
      <c r="HAL21" s="229">
        <v>0</v>
      </c>
      <c r="HAM21" s="229">
        <v>0</v>
      </c>
      <c r="HAN21" s="229">
        <v>0</v>
      </c>
      <c r="HAO21" s="229">
        <v>0</v>
      </c>
      <c r="HAP21" s="229">
        <v>0</v>
      </c>
      <c r="HAQ21" s="229">
        <v>0</v>
      </c>
      <c r="HAR21" s="229">
        <v>0</v>
      </c>
      <c r="HAS21" s="229">
        <v>0</v>
      </c>
      <c r="HAT21" s="229">
        <v>0</v>
      </c>
      <c r="HAU21" s="229">
        <v>0</v>
      </c>
      <c r="HAV21" s="229">
        <v>0</v>
      </c>
      <c r="HAW21" s="229">
        <v>0</v>
      </c>
      <c r="HAX21" s="229">
        <v>0</v>
      </c>
      <c r="HAY21" s="229">
        <v>0</v>
      </c>
      <c r="HAZ21" s="229">
        <v>0</v>
      </c>
      <c r="HBA21" s="229">
        <v>0</v>
      </c>
      <c r="HBB21" s="229">
        <v>0</v>
      </c>
      <c r="HBC21" s="229">
        <v>0</v>
      </c>
      <c r="HBD21" s="229">
        <v>0</v>
      </c>
      <c r="HBE21" s="229">
        <v>0</v>
      </c>
      <c r="HBF21" s="229">
        <v>0</v>
      </c>
      <c r="HBG21" s="229">
        <v>0</v>
      </c>
      <c r="HBH21" s="229">
        <v>0</v>
      </c>
      <c r="HBI21" s="229">
        <v>0</v>
      </c>
      <c r="HBJ21" s="229">
        <v>0</v>
      </c>
      <c r="HBK21" s="229">
        <v>0</v>
      </c>
      <c r="HBL21" s="229">
        <v>0</v>
      </c>
      <c r="HBM21" s="229">
        <v>0</v>
      </c>
      <c r="HBN21" s="229">
        <v>0</v>
      </c>
      <c r="HBO21" s="229">
        <v>0</v>
      </c>
      <c r="HBP21" s="229">
        <v>0</v>
      </c>
      <c r="HBQ21" s="229">
        <v>0</v>
      </c>
      <c r="HBR21" s="229">
        <v>0</v>
      </c>
      <c r="HBS21" s="229">
        <v>0</v>
      </c>
      <c r="HBT21" s="229">
        <v>0</v>
      </c>
      <c r="HBU21" s="229">
        <v>0</v>
      </c>
      <c r="HBV21" s="229">
        <v>0</v>
      </c>
      <c r="HBW21" s="229">
        <v>0</v>
      </c>
      <c r="HBX21" s="229">
        <v>0</v>
      </c>
      <c r="HBY21" s="229">
        <v>0</v>
      </c>
      <c r="HBZ21" s="229">
        <v>0</v>
      </c>
      <c r="HCA21" s="229">
        <v>0</v>
      </c>
      <c r="HCB21" s="229">
        <v>0</v>
      </c>
      <c r="HCC21" s="229">
        <v>0</v>
      </c>
      <c r="HCD21" s="229">
        <v>0</v>
      </c>
      <c r="HCE21" s="229">
        <v>0</v>
      </c>
      <c r="HCF21" s="229">
        <v>0</v>
      </c>
      <c r="HCG21" s="229">
        <v>0</v>
      </c>
      <c r="HCH21" s="229">
        <v>0</v>
      </c>
      <c r="HCI21" s="229">
        <v>0</v>
      </c>
      <c r="HCJ21" s="229">
        <v>0</v>
      </c>
      <c r="HCK21" s="229">
        <v>0</v>
      </c>
      <c r="HCL21" s="229">
        <v>0</v>
      </c>
      <c r="HCM21" s="229">
        <v>0</v>
      </c>
      <c r="HCN21" s="229">
        <v>0</v>
      </c>
      <c r="HCO21" s="229">
        <v>0</v>
      </c>
      <c r="HCP21" s="229">
        <v>0</v>
      </c>
      <c r="HCQ21" s="229">
        <v>0</v>
      </c>
      <c r="HCR21" s="229">
        <v>0</v>
      </c>
      <c r="HCS21" s="229">
        <v>0</v>
      </c>
      <c r="HCT21" s="229">
        <v>0</v>
      </c>
      <c r="HCU21" s="229">
        <v>0</v>
      </c>
      <c r="HCV21" s="229">
        <v>0</v>
      </c>
      <c r="HCW21" s="229">
        <v>0</v>
      </c>
      <c r="HCX21" s="229">
        <v>0</v>
      </c>
      <c r="HCY21" s="229">
        <v>0</v>
      </c>
      <c r="HCZ21" s="229">
        <v>0</v>
      </c>
      <c r="HDA21" s="229">
        <v>0</v>
      </c>
      <c r="HDB21" s="229">
        <v>0</v>
      </c>
      <c r="HDC21" s="229">
        <v>0</v>
      </c>
      <c r="HDD21" s="229">
        <v>0</v>
      </c>
      <c r="HDE21" s="229">
        <v>0</v>
      </c>
      <c r="HDF21" s="229">
        <v>0</v>
      </c>
      <c r="HDG21" s="229">
        <v>0</v>
      </c>
      <c r="HDH21" s="229">
        <v>0</v>
      </c>
      <c r="HDI21" s="229">
        <v>0</v>
      </c>
      <c r="HDJ21" s="229">
        <v>0</v>
      </c>
      <c r="HDK21" s="229">
        <v>0</v>
      </c>
      <c r="HDL21" s="229">
        <v>0</v>
      </c>
      <c r="HDM21" s="229">
        <v>0</v>
      </c>
      <c r="HDN21" s="229">
        <v>0</v>
      </c>
      <c r="HDO21" s="229">
        <v>0</v>
      </c>
      <c r="HDP21" s="229">
        <v>0</v>
      </c>
      <c r="HDQ21" s="229">
        <v>0</v>
      </c>
      <c r="HDR21" s="229">
        <v>0</v>
      </c>
      <c r="HDS21" s="229">
        <v>0</v>
      </c>
      <c r="HDT21" s="229">
        <v>0</v>
      </c>
      <c r="HDU21" s="229">
        <v>0</v>
      </c>
      <c r="HDV21" s="229">
        <v>0</v>
      </c>
      <c r="HDW21" s="229">
        <v>0</v>
      </c>
      <c r="HDX21" s="229">
        <v>0</v>
      </c>
      <c r="HDY21" s="229">
        <v>0</v>
      </c>
      <c r="HDZ21" s="229">
        <v>0</v>
      </c>
      <c r="HEA21" s="229">
        <v>0</v>
      </c>
      <c r="HEB21" s="229">
        <v>0</v>
      </c>
      <c r="HEC21" s="229">
        <v>0</v>
      </c>
      <c r="HED21" s="229">
        <v>0</v>
      </c>
      <c r="HEE21" s="229">
        <v>0</v>
      </c>
      <c r="HEF21" s="229">
        <v>0</v>
      </c>
      <c r="HEG21" s="229">
        <v>0</v>
      </c>
      <c r="HEH21" s="229">
        <v>0</v>
      </c>
      <c r="HEI21" s="229">
        <v>0</v>
      </c>
      <c r="HEJ21" s="229">
        <v>0</v>
      </c>
      <c r="HEK21" s="229">
        <v>0</v>
      </c>
      <c r="HEL21" s="229">
        <v>0</v>
      </c>
      <c r="HEM21" s="229">
        <v>0</v>
      </c>
      <c r="HEN21" s="229">
        <v>0</v>
      </c>
      <c r="HEO21" s="229">
        <v>0</v>
      </c>
      <c r="HEP21" s="229">
        <v>0</v>
      </c>
      <c r="HEQ21" s="229">
        <v>0</v>
      </c>
      <c r="HER21" s="229">
        <v>0</v>
      </c>
      <c r="HES21" s="229">
        <v>0</v>
      </c>
      <c r="HET21" s="229">
        <v>0</v>
      </c>
      <c r="HEU21" s="229">
        <v>0</v>
      </c>
      <c r="HEV21" s="229">
        <v>0</v>
      </c>
      <c r="HEW21" s="229">
        <v>0</v>
      </c>
      <c r="HEX21" s="229">
        <v>0</v>
      </c>
      <c r="HEY21" s="229">
        <v>0</v>
      </c>
      <c r="HEZ21" s="229">
        <v>0</v>
      </c>
      <c r="HFA21" s="229">
        <v>0</v>
      </c>
      <c r="HFB21" s="229">
        <v>0</v>
      </c>
      <c r="HFC21" s="229">
        <v>0</v>
      </c>
      <c r="HFD21" s="229">
        <v>0</v>
      </c>
      <c r="HFE21" s="229">
        <v>0</v>
      </c>
      <c r="HFF21" s="229">
        <v>0</v>
      </c>
      <c r="HFG21" s="229">
        <v>0</v>
      </c>
      <c r="HFH21" s="229">
        <v>0</v>
      </c>
      <c r="HFI21" s="229">
        <v>0</v>
      </c>
      <c r="HFJ21" s="229">
        <v>0</v>
      </c>
      <c r="HFK21" s="229">
        <v>0</v>
      </c>
      <c r="HFL21" s="229">
        <v>0</v>
      </c>
      <c r="HFM21" s="229">
        <v>0</v>
      </c>
      <c r="HFN21" s="229">
        <v>0</v>
      </c>
      <c r="HFO21" s="229">
        <v>0</v>
      </c>
      <c r="HFP21" s="229">
        <v>0</v>
      </c>
      <c r="HFQ21" s="229">
        <v>0</v>
      </c>
      <c r="HFR21" s="229">
        <v>0</v>
      </c>
      <c r="HFS21" s="229">
        <v>0</v>
      </c>
      <c r="HFT21" s="229">
        <v>0</v>
      </c>
      <c r="HFU21" s="229">
        <v>0</v>
      </c>
      <c r="HFV21" s="229">
        <v>0</v>
      </c>
      <c r="HFW21" s="229">
        <v>0</v>
      </c>
      <c r="HFX21" s="229">
        <v>0</v>
      </c>
      <c r="HFY21" s="229">
        <v>0</v>
      </c>
      <c r="HFZ21" s="229">
        <v>0</v>
      </c>
      <c r="HGA21" s="229">
        <v>0</v>
      </c>
      <c r="HGB21" s="229">
        <v>0</v>
      </c>
      <c r="HGC21" s="229">
        <v>0</v>
      </c>
      <c r="HGD21" s="229">
        <v>0</v>
      </c>
      <c r="HGE21" s="229">
        <v>0</v>
      </c>
      <c r="HGF21" s="229">
        <v>0</v>
      </c>
      <c r="HGG21" s="229">
        <v>0</v>
      </c>
      <c r="HGH21" s="229">
        <v>0</v>
      </c>
      <c r="HGI21" s="229">
        <v>0</v>
      </c>
      <c r="HGJ21" s="229">
        <v>0</v>
      </c>
      <c r="HGK21" s="229">
        <v>0</v>
      </c>
      <c r="HGL21" s="229">
        <v>0</v>
      </c>
      <c r="HGM21" s="229">
        <v>0</v>
      </c>
      <c r="HGN21" s="229">
        <v>0</v>
      </c>
      <c r="HGO21" s="229">
        <v>0</v>
      </c>
      <c r="HGP21" s="229">
        <v>0</v>
      </c>
      <c r="HGQ21" s="229">
        <v>0</v>
      </c>
      <c r="HGR21" s="229">
        <v>0</v>
      </c>
      <c r="HGS21" s="229">
        <v>0</v>
      </c>
      <c r="HGT21" s="229">
        <v>0</v>
      </c>
      <c r="HGU21" s="229">
        <v>0</v>
      </c>
      <c r="HGV21" s="229">
        <v>0</v>
      </c>
      <c r="HGW21" s="229">
        <v>0</v>
      </c>
      <c r="HGX21" s="229">
        <v>0</v>
      </c>
      <c r="HGY21" s="229">
        <v>0</v>
      </c>
      <c r="HGZ21" s="229">
        <v>0</v>
      </c>
      <c r="HHA21" s="229">
        <v>0</v>
      </c>
      <c r="HHB21" s="229">
        <v>0</v>
      </c>
      <c r="HHC21" s="229">
        <v>0</v>
      </c>
      <c r="HHD21" s="229">
        <v>0</v>
      </c>
      <c r="HHE21" s="229">
        <v>0</v>
      </c>
      <c r="HHF21" s="229">
        <v>0</v>
      </c>
      <c r="HHG21" s="229">
        <v>0</v>
      </c>
      <c r="HHH21" s="229">
        <v>0</v>
      </c>
      <c r="HHI21" s="229">
        <v>0</v>
      </c>
      <c r="HHJ21" s="229">
        <v>0</v>
      </c>
      <c r="HHK21" s="229">
        <v>0</v>
      </c>
      <c r="HHL21" s="229">
        <v>0</v>
      </c>
      <c r="HHM21" s="229">
        <v>0</v>
      </c>
      <c r="HHN21" s="229">
        <v>0</v>
      </c>
      <c r="HHO21" s="229">
        <v>0</v>
      </c>
      <c r="HHP21" s="229">
        <v>0</v>
      </c>
      <c r="HHQ21" s="229">
        <v>0</v>
      </c>
      <c r="HHR21" s="229">
        <v>0</v>
      </c>
      <c r="HHS21" s="229">
        <v>0</v>
      </c>
      <c r="HHT21" s="229">
        <v>0</v>
      </c>
      <c r="HHU21" s="229">
        <v>0</v>
      </c>
      <c r="HHV21" s="229">
        <v>0</v>
      </c>
      <c r="HHW21" s="229">
        <v>0</v>
      </c>
      <c r="HHX21" s="229">
        <v>0</v>
      </c>
      <c r="HHY21" s="229">
        <v>0</v>
      </c>
      <c r="HHZ21" s="229">
        <v>0</v>
      </c>
      <c r="HIA21" s="229">
        <v>0</v>
      </c>
      <c r="HIB21" s="229">
        <v>0</v>
      </c>
      <c r="HIC21" s="229">
        <v>0</v>
      </c>
      <c r="HID21" s="229">
        <v>0</v>
      </c>
      <c r="HIE21" s="229">
        <v>0</v>
      </c>
      <c r="HIF21" s="229">
        <v>0</v>
      </c>
      <c r="HIG21" s="229">
        <v>0</v>
      </c>
      <c r="HIH21" s="229">
        <v>0</v>
      </c>
      <c r="HII21" s="229">
        <v>0</v>
      </c>
      <c r="HIJ21" s="229">
        <v>0</v>
      </c>
      <c r="HIK21" s="229">
        <v>0</v>
      </c>
      <c r="HIL21" s="229">
        <v>0</v>
      </c>
      <c r="HIM21" s="229">
        <v>0</v>
      </c>
      <c r="HIN21" s="229">
        <v>0</v>
      </c>
      <c r="HIO21" s="229">
        <v>0</v>
      </c>
      <c r="HIP21" s="229">
        <v>0</v>
      </c>
      <c r="HIQ21" s="229">
        <v>0</v>
      </c>
      <c r="HIR21" s="229">
        <v>0</v>
      </c>
      <c r="HIS21" s="229">
        <v>0</v>
      </c>
      <c r="HIT21" s="229">
        <v>0</v>
      </c>
      <c r="HIU21" s="229">
        <v>0</v>
      </c>
      <c r="HIV21" s="229">
        <v>0</v>
      </c>
      <c r="HIW21" s="229">
        <v>0</v>
      </c>
      <c r="HIX21" s="229">
        <v>0</v>
      </c>
      <c r="HIY21" s="229">
        <v>0</v>
      </c>
      <c r="HIZ21" s="229">
        <v>0</v>
      </c>
      <c r="HJA21" s="229">
        <v>0</v>
      </c>
      <c r="HJB21" s="229">
        <v>0</v>
      </c>
      <c r="HJC21" s="229">
        <v>0</v>
      </c>
      <c r="HJD21" s="229">
        <v>0</v>
      </c>
      <c r="HJE21" s="229">
        <v>0</v>
      </c>
      <c r="HJF21" s="229">
        <v>0</v>
      </c>
      <c r="HJG21" s="229">
        <v>0</v>
      </c>
      <c r="HJH21" s="229">
        <v>0</v>
      </c>
      <c r="HJI21" s="229">
        <v>0</v>
      </c>
      <c r="HJJ21" s="229">
        <v>0</v>
      </c>
      <c r="HJK21" s="229">
        <v>0</v>
      </c>
      <c r="HJL21" s="229">
        <v>0</v>
      </c>
      <c r="HJM21" s="229">
        <v>0</v>
      </c>
      <c r="HJN21" s="229">
        <v>0</v>
      </c>
      <c r="HJO21" s="229">
        <v>0</v>
      </c>
      <c r="HJP21" s="229">
        <v>0</v>
      </c>
      <c r="HJQ21" s="229">
        <v>0</v>
      </c>
      <c r="HJR21" s="229">
        <v>0</v>
      </c>
      <c r="HJS21" s="229">
        <v>0</v>
      </c>
      <c r="HJT21" s="229">
        <v>0</v>
      </c>
      <c r="HJU21" s="229">
        <v>0</v>
      </c>
      <c r="HJV21" s="229">
        <v>0</v>
      </c>
      <c r="HJW21" s="229">
        <v>0</v>
      </c>
      <c r="HJX21" s="229">
        <v>0</v>
      </c>
      <c r="HJY21" s="229">
        <v>0</v>
      </c>
      <c r="HJZ21" s="229">
        <v>0</v>
      </c>
      <c r="HKA21" s="229">
        <v>0</v>
      </c>
      <c r="HKB21" s="229">
        <v>0</v>
      </c>
      <c r="HKC21" s="229">
        <v>0</v>
      </c>
      <c r="HKD21" s="229">
        <v>0</v>
      </c>
      <c r="HKE21" s="229">
        <v>0</v>
      </c>
      <c r="HKF21" s="229">
        <v>0</v>
      </c>
      <c r="HKG21" s="229">
        <v>0</v>
      </c>
      <c r="HKH21" s="229">
        <v>0</v>
      </c>
      <c r="HKI21" s="229">
        <v>0</v>
      </c>
      <c r="HKJ21" s="229">
        <v>0</v>
      </c>
      <c r="HKK21" s="229">
        <v>0</v>
      </c>
      <c r="HKL21" s="229">
        <v>0</v>
      </c>
      <c r="HKM21" s="229">
        <v>0</v>
      </c>
      <c r="HKN21" s="229">
        <v>0</v>
      </c>
      <c r="HKO21" s="229">
        <v>0</v>
      </c>
      <c r="HKP21" s="229">
        <v>0</v>
      </c>
      <c r="HKQ21" s="229">
        <v>0</v>
      </c>
      <c r="HKR21" s="229">
        <v>0</v>
      </c>
      <c r="HKS21" s="229">
        <v>0</v>
      </c>
      <c r="HKT21" s="229">
        <v>0</v>
      </c>
      <c r="HKU21" s="229">
        <v>0</v>
      </c>
      <c r="HKV21" s="229">
        <v>0</v>
      </c>
      <c r="HKW21" s="229">
        <v>0</v>
      </c>
      <c r="HKX21" s="229">
        <v>0</v>
      </c>
      <c r="HKY21" s="229">
        <v>0</v>
      </c>
      <c r="HKZ21" s="229">
        <v>0</v>
      </c>
      <c r="HLA21" s="229">
        <v>0</v>
      </c>
      <c r="HLB21" s="229">
        <v>0</v>
      </c>
      <c r="HLC21" s="229">
        <v>0</v>
      </c>
      <c r="HLD21" s="229">
        <v>0</v>
      </c>
      <c r="HLE21" s="229">
        <v>0</v>
      </c>
      <c r="HLF21" s="229">
        <v>0</v>
      </c>
      <c r="HLG21" s="229">
        <v>0</v>
      </c>
      <c r="HLH21" s="229">
        <v>0</v>
      </c>
      <c r="HLI21" s="229">
        <v>0</v>
      </c>
      <c r="HLJ21" s="229">
        <v>0</v>
      </c>
      <c r="HLK21" s="229">
        <v>0</v>
      </c>
      <c r="HLL21" s="229">
        <v>0</v>
      </c>
      <c r="HLM21" s="229">
        <v>0</v>
      </c>
      <c r="HLN21" s="229">
        <v>0</v>
      </c>
      <c r="HLO21" s="229">
        <v>0</v>
      </c>
      <c r="HLP21" s="229">
        <v>0</v>
      </c>
      <c r="HLQ21" s="229">
        <v>0</v>
      </c>
      <c r="HLR21" s="229">
        <v>0</v>
      </c>
      <c r="HLS21" s="229">
        <v>0</v>
      </c>
      <c r="HLT21" s="229">
        <v>0</v>
      </c>
      <c r="HLU21" s="229">
        <v>0</v>
      </c>
      <c r="HLV21" s="229">
        <v>0</v>
      </c>
      <c r="HLW21" s="229">
        <v>0</v>
      </c>
      <c r="HLX21" s="229">
        <v>0</v>
      </c>
      <c r="HLY21" s="229">
        <v>0</v>
      </c>
      <c r="HLZ21" s="229">
        <v>0</v>
      </c>
      <c r="HMA21" s="229">
        <v>0</v>
      </c>
      <c r="HMB21" s="229">
        <v>0</v>
      </c>
      <c r="HMC21" s="229">
        <v>0</v>
      </c>
      <c r="HMD21" s="229">
        <v>0</v>
      </c>
      <c r="HME21" s="229">
        <v>0</v>
      </c>
      <c r="HMF21" s="229">
        <v>0</v>
      </c>
      <c r="HMG21" s="229">
        <v>0</v>
      </c>
      <c r="HMH21" s="229">
        <v>0</v>
      </c>
      <c r="HMI21" s="229">
        <v>0</v>
      </c>
      <c r="HMJ21" s="229">
        <v>0</v>
      </c>
      <c r="HMK21" s="229">
        <v>0</v>
      </c>
      <c r="HML21" s="229">
        <v>0</v>
      </c>
      <c r="HMM21" s="229">
        <v>0</v>
      </c>
      <c r="HMN21" s="229">
        <v>0</v>
      </c>
      <c r="HMO21" s="229">
        <v>0</v>
      </c>
      <c r="HMP21" s="229">
        <v>0</v>
      </c>
      <c r="HMQ21" s="229">
        <v>0</v>
      </c>
      <c r="HMR21" s="229">
        <v>0</v>
      </c>
      <c r="HMS21" s="229">
        <v>0</v>
      </c>
      <c r="HMT21" s="229">
        <v>0</v>
      </c>
      <c r="HMU21" s="229">
        <v>0</v>
      </c>
      <c r="HMV21" s="229">
        <v>0</v>
      </c>
      <c r="HMW21" s="229">
        <v>0</v>
      </c>
      <c r="HMX21" s="229">
        <v>0</v>
      </c>
      <c r="HMY21" s="229">
        <v>0</v>
      </c>
      <c r="HMZ21" s="229">
        <v>0</v>
      </c>
      <c r="HNA21" s="229">
        <v>0</v>
      </c>
      <c r="HNB21" s="229">
        <v>0</v>
      </c>
      <c r="HNC21" s="229">
        <v>0</v>
      </c>
      <c r="HND21" s="229">
        <v>0</v>
      </c>
      <c r="HNE21" s="229">
        <v>0</v>
      </c>
      <c r="HNF21" s="229">
        <v>0</v>
      </c>
      <c r="HNG21" s="229">
        <v>0</v>
      </c>
      <c r="HNH21" s="229">
        <v>0</v>
      </c>
      <c r="HNI21" s="229">
        <v>0</v>
      </c>
      <c r="HNJ21" s="229">
        <v>0</v>
      </c>
      <c r="HNK21" s="229">
        <v>0</v>
      </c>
      <c r="HNL21" s="229">
        <v>0</v>
      </c>
      <c r="HNM21" s="229">
        <v>0</v>
      </c>
      <c r="HNN21" s="229">
        <v>0</v>
      </c>
      <c r="HNO21" s="229">
        <v>0</v>
      </c>
      <c r="HNP21" s="229">
        <v>0</v>
      </c>
      <c r="HNQ21" s="229">
        <v>0</v>
      </c>
      <c r="HNR21" s="229">
        <v>0</v>
      </c>
      <c r="HNS21" s="229">
        <v>0</v>
      </c>
      <c r="HNT21" s="229">
        <v>0</v>
      </c>
      <c r="HNU21" s="229">
        <v>0</v>
      </c>
      <c r="HNV21" s="229">
        <v>0</v>
      </c>
      <c r="HNW21" s="229">
        <v>0</v>
      </c>
      <c r="HNX21" s="229">
        <v>0</v>
      </c>
      <c r="HNY21" s="229">
        <v>0</v>
      </c>
      <c r="HNZ21" s="229">
        <v>0</v>
      </c>
      <c r="HOA21" s="229">
        <v>0</v>
      </c>
      <c r="HOB21" s="229">
        <v>0</v>
      </c>
      <c r="HOC21" s="229">
        <v>0</v>
      </c>
      <c r="HOD21" s="229">
        <v>0</v>
      </c>
      <c r="HOE21" s="229">
        <v>0</v>
      </c>
      <c r="HOF21" s="229">
        <v>0</v>
      </c>
      <c r="HOG21" s="229">
        <v>0</v>
      </c>
      <c r="HOH21" s="229">
        <v>0</v>
      </c>
      <c r="HOI21" s="229">
        <v>0</v>
      </c>
      <c r="HOJ21" s="229">
        <v>0</v>
      </c>
      <c r="HOK21" s="229">
        <v>0</v>
      </c>
      <c r="HOL21" s="229">
        <v>0</v>
      </c>
      <c r="HOM21" s="229">
        <v>0</v>
      </c>
      <c r="HON21" s="229">
        <v>0</v>
      </c>
      <c r="HOO21" s="229">
        <v>0</v>
      </c>
      <c r="HOP21" s="229">
        <v>0</v>
      </c>
      <c r="HOQ21" s="229">
        <v>0</v>
      </c>
      <c r="HOR21" s="229">
        <v>0</v>
      </c>
      <c r="HOS21" s="229">
        <v>0</v>
      </c>
      <c r="HOT21" s="229">
        <v>0</v>
      </c>
      <c r="HOU21" s="229">
        <v>0</v>
      </c>
      <c r="HOV21" s="229">
        <v>0</v>
      </c>
      <c r="HOW21" s="229">
        <v>0</v>
      </c>
      <c r="HOX21" s="229">
        <v>0</v>
      </c>
      <c r="HOY21" s="229">
        <v>0</v>
      </c>
      <c r="HOZ21" s="229">
        <v>0</v>
      </c>
      <c r="HPA21" s="229">
        <v>0</v>
      </c>
      <c r="HPB21" s="229">
        <v>0</v>
      </c>
      <c r="HPC21" s="229">
        <v>0</v>
      </c>
      <c r="HPD21" s="229">
        <v>0</v>
      </c>
      <c r="HPE21" s="229">
        <v>0</v>
      </c>
      <c r="HPF21" s="229">
        <v>0</v>
      </c>
      <c r="HPG21" s="229">
        <v>0</v>
      </c>
      <c r="HPH21" s="229">
        <v>0</v>
      </c>
      <c r="HPI21" s="229">
        <v>0</v>
      </c>
      <c r="HPJ21" s="229">
        <v>0</v>
      </c>
      <c r="HPK21" s="229">
        <v>0</v>
      </c>
      <c r="HPL21" s="229">
        <v>0</v>
      </c>
      <c r="HPM21" s="229">
        <v>0</v>
      </c>
      <c r="HPN21" s="229">
        <v>0</v>
      </c>
      <c r="HPO21" s="229">
        <v>0</v>
      </c>
      <c r="HPP21" s="229">
        <v>0</v>
      </c>
      <c r="HPQ21" s="229">
        <v>0</v>
      </c>
      <c r="HPR21" s="229">
        <v>0</v>
      </c>
      <c r="HPS21" s="229">
        <v>0</v>
      </c>
      <c r="HPT21" s="229">
        <v>0</v>
      </c>
      <c r="HPU21" s="229">
        <v>0</v>
      </c>
      <c r="HPV21" s="229">
        <v>0</v>
      </c>
      <c r="HPW21" s="229">
        <v>0</v>
      </c>
      <c r="HPX21" s="229">
        <v>0</v>
      </c>
      <c r="HPY21" s="229">
        <v>0</v>
      </c>
      <c r="HPZ21" s="229">
        <v>0</v>
      </c>
      <c r="HQA21" s="229">
        <v>0</v>
      </c>
      <c r="HQB21" s="229">
        <v>0</v>
      </c>
      <c r="HQC21" s="229">
        <v>0</v>
      </c>
      <c r="HQD21" s="229">
        <v>0</v>
      </c>
      <c r="HQE21" s="229">
        <v>0</v>
      </c>
      <c r="HQF21" s="229">
        <v>0</v>
      </c>
      <c r="HQG21" s="229">
        <v>0</v>
      </c>
      <c r="HQH21" s="229">
        <v>0</v>
      </c>
      <c r="HQI21" s="229">
        <v>0</v>
      </c>
      <c r="HQJ21" s="229">
        <v>0</v>
      </c>
      <c r="HQK21" s="229">
        <v>0</v>
      </c>
      <c r="HQL21" s="229">
        <v>0</v>
      </c>
      <c r="HQM21" s="229">
        <v>0</v>
      </c>
      <c r="HQN21" s="229">
        <v>0</v>
      </c>
      <c r="HQO21" s="229">
        <v>0</v>
      </c>
      <c r="HQP21" s="229">
        <v>0</v>
      </c>
      <c r="HQQ21" s="229">
        <v>0</v>
      </c>
      <c r="HQR21" s="229">
        <v>0</v>
      </c>
      <c r="HQS21" s="229">
        <v>0</v>
      </c>
      <c r="HQT21" s="229">
        <v>0</v>
      </c>
      <c r="HQU21" s="229">
        <v>0</v>
      </c>
      <c r="HQV21" s="229">
        <v>0</v>
      </c>
      <c r="HQW21" s="229">
        <v>0</v>
      </c>
      <c r="HQX21" s="229">
        <v>0</v>
      </c>
      <c r="HQY21" s="229">
        <v>0</v>
      </c>
      <c r="HQZ21" s="229">
        <v>0</v>
      </c>
      <c r="HRA21" s="229">
        <v>0</v>
      </c>
      <c r="HRB21" s="229">
        <v>0</v>
      </c>
      <c r="HRC21" s="229">
        <v>0</v>
      </c>
      <c r="HRD21" s="229">
        <v>0</v>
      </c>
      <c r="HRE21" s="229">
        <v>0</v>
      </c>
      <c r="HRF21" s="229">
        <v>0</v>
      </c>
      <c r="HRG21" s="229">
        <v>0</v>
      </c>
      <c r="HRH21" s="229">
        <v>0</v>
      </c>
      <c r="HRI21" s="229">
        <v>0</v>
      </c>
      <c r="HRJ21" s="229">
        <v>0</v>
      </c>
      <c r="HRK21" s="229">
        <v>0</v>
      </c>
      <c r="HRL21" s="229">
        <v>0</v>
      </c>
      <c r="HRM21" s="229">
        <v>0</v>
      </c>
      <c r="HRN21" s="229">
        <v>0</v>
      </c>
      <c r="HRO21" s="229">
        <v>0</v>
      </c>
      <c r="HRP21" s="229">
        <v>0</v>
      </c>
      <c r="HRQ21" s="229">
        <v>0</v>
      </c>
      <c r="HRR21" s="229">
        <v>0</v>
      </c>
      <c r="HRS21" s="229">
        <v>0</v>
      </c>
      <c r="HRT21" s="229">
        <v>0</v>
      </c>
      <c r="HRU21" s="229">
        <v>0</v>
      </c>
      <c r="HRV21" s="229">
        <v>0</v>
      </c>
      <c r="HRW21" s="229">
        <v>0</v>
      </c>
      <c r="HRX21" s="229">
        <v>0</v>
      </c>
      <c r="HRY21" s="229">
        <v>0</v>
      </c>
      <c r="HRZ21" s="229">
        <v>0</v>
      </c>
      <c r="HSA21" s="229">
        <v>0</v>
      </c>
      <c r="HSB21" s="229">
        <v>0</v>
      </c>
      <c r="HSC21" s="229">
        <v>0</v>
      </c>
      <c r="HSD21" s="229">
        <v>0</v>
      </c>
      <c r="HSE21" s="229">
        <v>0</v>
      </c>
      <c r="HSF21" s="229">
        <v>0</v>
      </c>
      <c r="HSG21" s="229">
        <v>0</v>
      </c>
      <c r="HSH21" s="229">
        <v>0</v>
      </c>
      <c r="HSI21" s="229">
        <v>0</v>
      </c>
      <c r="HSJ21" s="229">
        <v>0</v>
      </c>
      <c r="HSK21" s="229">
        <v>0</v>
      </c>
      <c r="HSL21" s="229">
        <v>0</v>
      </c>
      <c r="HSM21" s="229">
        <v>0</v>
      </c>
      <c r="HSN21" s="229">
        <v>0</v>
      </c>
      <c r="HSO21" s="229">
        <v>0</v>
      </c>
      <c r="HSP21" s="229">
        <v>0</v>
      </c>
      <c r="HSQ21" s="229">
        <v>0</v>
      </c>
      <c r="HSR21" s="229">
        <v>0</v>
      </c>
      <c r="HSS21" s="229">
        <v>0</v>
      </c>
      <c r="HST21" s="229">
        <v>0</v>
      </c>
      <c r="HSU21" s="229">
        <v>0</v>
      </c>
      <c r="HSV21" s="229">
        <v>0</v>
      </c>
      <c r="HSW21" s="229">
        <v>0</v>
      </c>
      <c r="HSX21" s="229">
        <v>0</v>
      </c>
      <c r="HSY21" s="229">
        <v>0</v>
      </c>
      <c r="HSZ21" s="229">
        <v>0</v>
      </c>
      <c r="HTA21" s="229">
        <v>0</v>
      </c>
      <c r="HTB21" s="229">
        <v>0</v>
      </c>
      <c r="HTC21" s="229">
        <v>0</v>
      </c>
      <c r="HTD21" s="229">
        <v>0</v>
      </c>
      <c r="HTE21" s="229">
        <v>0</v>
      </c>
      <c r="HTF21" s="229">
        <v>0</v>
      </c>
      <c r="HTG21" s="229">
        <v>0</v>
      </c>
      <c r="HTH21" s="229">
        <v>0</v>
      </c>
      <c r="HTI21" s="229">
        <v>0</v>
      </c>
      <c r="HTJ21" s="229">
        <v>0</v>
      </c>
      <c r="HTK21" s="229">
        <v>0</v>
      </c>
      <c r="HTL21" s="229">
        <v>0</v>
      </c>
      <c r="HTM21" s="229">
        <v>0</v>
      </c>
      <c r="HTN21" s="229">
        <v>0</v>
      </c>
      <c r="HTO21" s="229">
        <v>0</v>
      </c>
      <c r="HTP21" s="229">
        <v>0</v>
      </c>
      <c r="HTQ21" s="229">
        <v>0</v>
      </c>
      <c r="HTR21" s="229">
        <v>0</v>
      </c>
      <c r="HTS21" s="229">
        <v>0</v>
      </c>
      <c r="HTT21" s="229">
        <v>0</v>
      </c>
      <c r="HTU21" s="229">
        <v>0</v>
      </c>
      <c r="HTV21" s="229">
        <v>0</v>
      </c>
      <c r="HTW21" s="229">
        <v>0</v>
      </c>
      <c r="HTX21" s="229">
        <v>0</v>
      </c>
      <c r="HTY21" s="229">
        <v>0</v>
      </c>
      <c r="HTZ21" s="229">
        <v>0</v>
      </c>
      <c r="HUA21" s="229">
        <v>0</v>
      </c>
      <c r="HUB21" s="229">
        <v>0</v>
      </c>
      <c r="HUC21" s="229">
        <v>0</v>
      </c>
      <c r="HUD21" s="229">
        <v>0</v>
      </c>
      <c r="HUE21" s="229">
        <v>0</v>
      </c>
      <c r="HUF21" s="229">
        <v>0</v>
      </c>
      <c r="HUG21" s="229">
        <v>0</v>
      </c>
      <c r="HUH21" s="229">
        <v>0</v>
      </c>
      <c r="HUI21" s="229">
        <v>0</v>
      </c>
      <c r="HUJ21" s="229">
        <v>0</v>
      </c>
      <c r="HUK21" s="229">
        <v>0</v>
      </c>
      <c r="HUL21" s="229">
        <v>0</v>
      </c>
      <c r="HUM21" s="229">
        <v>0</v>
      </c>
      <c r="HUN21" s="229">
        <v>0</v>
      </c>
      <c r="HUO21" s="229">
        <v>0</v>
      </c>
      <c r="HUP21" s="229">
        <v>0</v>
      </c>
      <c r="HUQ21" s="229">
        <v>0</v>
      </c>
      <c r="HUR21" s="229">
        <v>0</v>
      </c>
      <c r="HUS21" s="229">
        <v>0</v>
      </c>
      <c r="HUT21" s="229">
        <v>0</v>
      </c>
      <c r="HUU21" s="229">
        <v>0</v>
      </c>
      <c r="HUV21" s="229">
        <v>0</v>
      </c>
      <c r="HUW21" s="229">
        <v>0</v>
      </c>
      <c r="HUX21" s="229">
        <v>0</v>
      </c>
      <c r="HUY21" s="229">
        <v>0</v>
      </c>
      <c r="HUZ21" s="229">
        <v>0</v>
      </c>
      <c r="HVA21" s="229">
        <v>0</v>
      </c>
      <c r="HVB21" s="229">
        <v>0</v>
      </c>
      <c r="HVC21" s="229">
        <v>0</v>
      </c>
      <c r="HVD21" s="229">
        <v>0</v>
      </c>
      <c r="HVE21" s="229">
        <v>0</v>
      </c>
      <c r="HVF21" s="229">
        <v>0</v>
      </c>
      <c r="HVG21" s="229">
        <v>0</v>
      </c>
      <c r="HVH21" s="229">
        <v>0</v>
      </c>
      <c r="HVI21" s="229">
        <v>0</v>
      </c>
      <c r="HVJ21" s="229">
        <v>0</v>
      </c>
      <c r="HVK21" s="229">
        <v>0</v>
      </c>
      <c r="HVL21" s="229">
        <v>0</v>
      </c>
      <c r="HVM21" s="229">
        <v>0</v>
      </c>
      <c r="HVN21" s="229">
        <v>0</v>
      </c>
      <c r="HVO21" s="229">
        <v>0</v>
      </c>
      <c r="HVP21" s="229">
        <v>0</v>
      </c>
      <c r="HVQ21" s="229">
        <v>0</v>
      </c>
      <c r="HVR21" s="229">
        <v>0</v>
      </c>
      <c r="HVS21" s="229">
        <v>0</v>
      </c>
      <c r="HVT21" s="229">
        <v>0</v>
      </c>
      <c r="HVU21" s="229">
        <v>0</v>
      </c>
      <c r="HVV21" s="229">
        <v>0</v>
      </c>
      <c r="HVW21" s="229">
        <v>0</v>
      </c>
      <c r="HVX21" s="229">
        <v>0</v>
      </c>
      <c r="HVY21" s="229">
        <v>0</v>
      </c>
      <c r="HVZ21" s="229">
        <v>0</v>
      </c>
      <c r="HWA21" s="229">
        <v>0</v>
      </c>
      <c r="HWB21" s="229">
        <v>0</v>
      </c>
      <c r="HWC21" s="229">
        <v>0</v>
      </c>
      <c r="HWD21" s="229">
        <v>0</v>
      </c>
      <c r="HWE21" s="229">
        <v>0</v>
      </c>
      <c r="HWF21" s="229">
        <v>0</v>
      </c>
      <c r="HWG21" s="229">
        <v>0</v>
      </c>
      <c r="HWH21" s="229">
        <v>0</v>
      </c>
      <c r="HWI21" s="229">
        <v>0</v>
      </c>
      <c r="HWJ21" s="229">
        <v>0</v>
      </c>
      <c r="HWK21" s="229">
        <v>0</v>
      </c>
      <c r="HWL21" s="229">
        <v>0</v>
      </c>
      <c r="HWM21" s="229">
        <v>0</v>
      </c>
      <c r="HWN21" s="229">
        <v>0</v>
      </c>
      <c r="HWO21" s="229">
        <v>0</v>
      </c>
      <c r="HWP21" s="229">
        <v>0</v>
      </c>
      <c r="HWQ21" s="229">
        <v>0</v>
      </c>
      <c r="HWR21" s="229">
        <v>0</v>
      </c>
      <c r="HWS21" s="229">
        <v>0</v>
      </c>
      <c r="HWT21" s="229">
        <v>0</v>
      </c>
      <c r="HWU21" s="229">
        <v>0</v>
      </c>
      <c r="HWV21" s="229">
        <v>0</v>
      </c>
      <c r="HWW21" s="229">
        <v>0</v>
      </c>
      <c r="HWX21" s="229">
        <v>0</v>
      </c>
      <c r="HWY21" s="229">
        <v>0</v>
      </c>
      <c r="HWZ21" s="229">
        <v>0</v>
      </c>
      <c r="HXA21" s="229">
        <v>0</v>
      </c>
      <c r="HXB21" s="229">
        <v>0</v>
      </c>
      <c r="HXC21" s="229">
        <v>0</v>
      </c>
      <c r="HXD21" s="229">
        <v>0</v>
      </c>
      <c r="HXE21" s="229">
        <v>0</v>
      </c>
      <c r="HXF21" s="229">
        <v>0</v>
      </c>
      <c r="HXG21" s="229">
        <v>0</v>
      </c>
      <c r="HXH21" s="229">
        <v>0</v>
      </c>
      <c r="HXI21" s="229">
        <v>0</v>
      </c>
      <c r="HXJ21" s="229">
        <v>0</v>
      </c>
      <c r="HXK21" s="229">
        <v>0</v>
      </c>
      <c r="HXL21" s="229">
        <v>0</v>
      </c>
      <c r="HXM21" s="229">
        <v>0</v>
      </c>
      <c r="HXN21" s="229">
        <v>0</v>
      </c>
      <c r="HXO21" s="229">
        <v>0</v>
      </c>
      <c r="HXP21" s="229">
        <v>0</v>
      </c>
      <c r="HXQ21" s="229">
        <v>0</v>
      </c>
      <c r="HXR21" s="229">
        <v>0</v>
      </c>
      <c r="HXS21" s="229">
        <v>0</v>
      </c>
      <c r="HXT21" s="229">
        <v>0</v>
      </c>
      <c r="HXU21" s="229">
        <v>0</v>
      </c>
      <c r="HXV21" s="229">
        <v>0</v>
      </c>
      <c r="HXW21" s="229">
        <v>0</v>
      </c>
      <c r="HXX21" s="229">
        <v>0</v>
      </c>
      <c r="HXY21" s="229">
        <v>0</v>
      </c>
      <c r="HXZ21" s="229">
        <v>0</v>
      </c>
      <c r="HYA21" s="229">
        <v>0</v>
      </c>
      <c r="HYB21" s="229">
        <v>0</v>
      </c>
      <c r="HYC21" s="229">
        <v>0</v>
      </c>
      <c r="HYD21" s="229">
        <v>0</v>
      </c>
      <c r="HYE21" s="229">
        <v>0</v>
      </c>
      <c r="HYF21" s="229">
        <v>0</v>
      </c>
      <c r="HYG21" s="229">
        <v>0</v>
      </c>
      <c r="HYH21" s="229">
        <v>0</v>
      </c>
      <c r="HYI21" s="229">
        <v>0</v>
      </c>
      <c r="HYJ21" s="229">
        <v>0</v>
      </c>
      <c r="HYK21" s="229">
        <v>0</v>
      </c>
      <c r="HYL21" s="229">
        <v>0</v>
      </c>
      <c r="HYM21" s="229">
        <v>0</v>
      </c>
      <c r="HYN21" s="229">
        <v>0</v>
      </c>
      <c r="HYO21" s="229">
        <v>0</v>
      </c>
      <c r="HYP21" s="229">
        <v>0</v>
      </c>
      <c r="HYQ21" s="229">
        <v>0</v>
      </c>
      <c r="HYR21" s="229">
        <v>0</v>
      </c>
      <c r="HYS21" s="229">
        <v>0</v>
      </c>
      <c r="HYT21" s="229">
        <v>0</v>
      </c>
      <c r="HYU21" s="229">
        <v>0</v>
      </c>
      <c r="HYV21" s="229">
        <v>0</v>
      </c>
      <c r="HYW21" s="229">
        <v>0</v>
      </c>
      <c r="HYX21" s="229">
        <v>0</v>
      </c>
      <c r="HYY21" s="229">
        <v>0</v>
      </c>
      <c r="HYZ21" s="229">
        <v>0</v>
      </c>
      <c r="HZA21" s="229">
        <v>0</v>
      </c>
      <c r="HZB21" s="229">
        <v>0</v>
      </c>
      <c r="HZC21" s="229">
        <v>0</v>
      </c>
      <c r="HZD21" s="229">
        <v>0</v>
      </c>
      <c r="HZE21" s="229">
        <v>0</v>
      </c>
      <c r="HZF21" s="229">
        <v>0</v>
      </c>
      <c r="HZG21" s="229">
        <v>0</v>
      </c>
      <c r="HZH21" s="229">
        <v>0</v>
      </c>
      <c r="HZI21" s="229">
        <v>0</v>
      </c>
      <c r="HZJ21" s="229">
        <v>0</v>
      </c>
      <c r="HZK21" s="229">
        <v>0</v>
      </c>
      <c r="HZL21" s="229">
        <v>0</v>
      </c>
      <c r="HZM21" s="229">
        <v>0</v>
      </c>
      <c r="HZN21" s="229">
        <v>0</v>
      </c>
      <c r="HZO21" s="229">
        <v>0</v>
      </c>
      <c r="HZP21" s="229">
        <v>0</v>
      </c>
      <c r="HZQ21" s="229">
        <v>0</v>
      </c>
      <c r="HZR21" s="229">
        <v>0</v>
      </c>
      <c r="HZS21" s="229">
        <v>0</v>
      </c>
      <c r="HZT21" s="229">
        <v>0</v>
      </c>
      <c r="HZU21" s="229">
        <v>0</v>
      </c>
      <c r="HZV21" s="229">
        <v>0</v>
      </c>
      <c r="HZW21" s="229">
        <v>0</v>
      </c>
      <c r="HZX21" s="229">
        <v>0</v>
      </c>
      <c r="HZY21" s="229">
        <v>0</v>
      </c>
      <c r="HZZ21" s="229">
        <v>0</v>
      </c>
      <c r="IAA21" s="229">
        <v>0</v>
      </c>
      <c r="IAB21" s="229">
        <v>0</v>
      </c>
      <c r="IAC21" s="229">
        <v>0</v>
      </c>
      <c r="IAD21" s="229">
        <v>0</v>
      </c>
      <c r="IAE21" s="229">
        <v>0</v>
      </c>
      <c r="IAF21" s="229">
        <v>0</v>
      </c>
      <c r="IAG21" s="229">
        <v>0</v>
      </c>
      <c r="IAH21" s="229">
        <v>0</v>
      </c>
      <c r="IAI21" s="229">
        <v>0</v>
      </c>
      <c r="IAJ21" s="229">
        <v>0</v>
      </c>
      <c r="IAK21" s="229">
        <v>0</v>
      </c>
      <c r="IAL21" s="229">
        <v>0</v>
      </c>
      <c r="IAM21" s="229">
        <v>0</v>
      </c>
      <c r="IAN21" s="229">
        <v>0</v>
      </c>
      <c r="IAO21" s="229">
        <v>0</v>
      </c>
      <c r="IAP21" s="229">
        <v>0</v>
      </c>
      <c r="IAQ21" s="229">
        <v>0</v>
      </c>
      <c r="IAR21" s="229">
        <v>0</v>
      </c>
      <c r="IAS21" s="229">
        <v>0</v>
      </c>
      <c r="IAT21" s="229">
        <v>0</v>
      </c>
      <c r="IAU21" s="229">
        <v>0</v>
      </c>
      <c r="IAV21" s="229">
        <v>0</v>
      </c>
      <c r="IAW21" s="229">
        <v>0</v>
      </c>
      <c r="IAX21" s="229">
        <v>0</v>
      </c>
      <c r="IAY21" s="229">
        <v>0</v>
      </c>
      <c r="IAZ21" s="229">
        <v>0</v>
      </c>
      <c r="IBA21" s="229">
        <v>0</v>
      </c>
      <c r="IBB21" s="229">
        <v>0</v>
      </c>
      <c r="IBC21" s="229">
        <v>0</v>
      </c>
      <c r="IBD21" s="229">
        <v>0</v>
      </c>
      <c r="IBE21" s="229">
        <v>0</v>
      </c>
      <c r="IBF21" s="229">
        <v>0</v>
      </c>
      <c r="IBG21" s="229">
        <v>0</v>
      </c>
      <c r="IBH21" s="229">
        <v>0</v>
      </c>
      <c r="IBI21" s="229">
        <v>0</v>
      </c>
      <c r="IBJ21" s="229">
        <v>0</v>
      </c>
      <c r="IBK21" s="229">
        <v>0</v>
      </c>
      <c r="IBL21" s="229">
        <v>0</v>
      </c>
      <c r="IBM21" s="229">
        <v>0</v>
      </c>
      <c r="IBN21" s="229">
        <v>0</v>
      </c>
      <c r="IBO21" s="229">
        <v>0</v>
      </c>
      <c r="IBP21" s="229">
        <v>0</v>
      </c>
      <c r="IBQ21" s="229">
        <v>0</v>
      </c>
      <c r="IBR21" s="229">
        <v>0</v>
      </c>
      <c r="IBS21" s="229">
        <v>0</v>
      </c>
      <c r="IBT21" s="229">
        <v>0</v>
      </c>
      <c r="IBU21" s="229">
        <v>0</v>
      </c>
      <c r="IBV21" s="229">
        <v>0</v>
      </c>
      <c r="IBW21" s="229">
        <v>0</v>
      </c>
      <c r="IBX21" s="229">
        <v>0</v>
      </c>
      <c r="IBY21" s="229">
        <v>0</v>
      </c>
      <c r="IBZ21" s="229">
        <v>0</v>
      </c>
      <c r="ICA21" s="229">
        <v>0</v>
      </c>
      <c r="ICB21" s="229">
        <v>0</v>
      </c>
      <c r="ICC21" s="229">
        <v>0</v>
      </c>
      <c r="ICD21" s="229">
        <v>0</v>
      </c>
      <c r="ICE21" s="229">
        <v>0</v>
      </c>
      <c r="ICF21" s="229">
        <v>0</v>
      </c>
      <c r="ICG21" s="229">
        <v>0</v>
      </c>
      <c r="ICH21" s="229">
        <v>0</v>
      </c>
      <c r="ICI21" s="229">
        <v>0</v>
      </c>
      <c r="ICJ21" s="229">
        <v>0</v>
      </c>
      <c r="ICK21" s="229">
        <v>0</v>
      </c>
      <c r="ICL21" s="229">
        <v>0</v>
      </c>
      <c r="ICM21" s="229">
        <v>0</v>
      </c>
      <c r="ICN21" s="229">
        <v>0</v>
      </c>
      <c r="ICO21" s="229">
        <v>0</v>
      </c>
      <c r="ICP21" s="229">
        <v>0</v>
      </c>
      <c r="ICQ21" s="229">
        <v>0</v>
      </c>
      <c r="ICR21" s="229">
        <v>0</v>
      </c>
      <c r="ICS21" s="229">
        <v>0</v>
      </c>
      <c r="ICT21" s="229">
        <v>0</v>
      </c>
      <c r="ICU21" s="229">
        <v>0</v>
      </c>
      <c r="ICV21" s="229">
        <v>0</v>
      </c>
      <c r="ICW21" s="229">
        <v>0</v>
      </c>
      <c r="ICX21" s="229">
        <v>0</v>
      </c>
      <c r="ICY21" s="229">
        <v>0</v>
      </c>
      <c r="ICZ21" s="229">
        <v>0</v>
      </c>
      <c r="IDA21" s="229">
        <v>0</v>
      </c>
      <c r="IDB21" s="229">
        <v>0</v>
      </c>
      <c r="IDC21" s="229">
        <v>0</v>
      </c>
      <c r="IDD21" s="229">
        <v>0</v>
      </c>
      <c r="IDE21" s="229">
        <v>0</v>
      </c>
      <c r="IDF21" s="229">
        <v>0</v>
      </c>
      <c r="IDG21" s="229">
        <v>0</v>
      </c>
      <c r="IDH21" s="229">
        <v>0</v>
      </c>
      <c r="IDI21" s="229">
        <v>0</v>
      </c>
      <c r="IDJ21" s="229">
        <v>0</v>
      </c>
      <c r="IDK21" s="229">
        <v>0</v>
      </c>
      <c r="IDL21" s="229">
        <v>0</v>
      </c>
      <c r="IDM21" s="229">
        <v>0</v>
      </c>
      <c r="IDN21" s="229">
        <v>0</v>
      </c>
      <c r="IDO21" s="229">
        <v>0</v>
      </c>
      <c r="IDP21" s="229">
        <v>0</v>
      </c>
      <c r="IDQ21" s="229">
        <v>0</v>
      </c>
      <c r="IDR21" s="229">
        <v>0</v>
      </c>
      <c r="IDS21" s="229">
        <v>0</v>
      </c>
      <c r="IDT21" s="229">
        <v>0</v>
      </c>
      <c r="IDU21" s="229">
        <v>0</v>
      </c>
      <c r="IDV21" s="229">
        <v>0</v>
      </c>
      <c r="IDW21" s="229">
        <v>0</v>
      </c>
      <c r="IDX21" s="229">
        <v>0</v>
      </c>
      <c r="IDY21" s="229">
        <v>0</v>
      </c>
      <c r="IDZ21" s="229">
        <v>0</v>
      </c>
      <c r="IEA21" s="229">
        <v>0</v>
      </c>
      <c r="IEB21" s="229">
        <v>0</v>
      </c>
      <c r="IEC21" s="229">
        <v>0</v>
      </c>
      <c r="IED21" s="229">
        <v>0</v>
      </c>
      <c r="IEE21" s="229">
        <v>0</v>
      </c>
      <c r="IEF21" s="229">
        <v>0</v>
      </c>
      <c r="IEG21" s="229">
        <v>0</v>
      </c>
      <c r="IEH21" s="229">
        <v>0</v>
      </c>
      <c r="IEI21" s="229">
        <v>0</v>
      </c>
      <c r="IEJ21" s="229">
        <v>0</v>
      </c>
      <c r="IEK21" s="229">
        <v>0</v>
      </c>
      <c r="IEL21" s="229">
        <v>0</v>
      </c>
      <c r="IEM21" s="229">
        <v>0</v>
      </c>
      <c r="IEN21" s="229">
        <v>0</v>
      </c>
      <c r="IEO21" s="229">
        <v>0</v>
      </c>
      <c r="IEP21" s="229">
        <v>0</v>
      </c>
      <c r="IEQ21" s="229">
        <v>0</v>
      </c>
      <c r="IER21" s="229">
        <v>0</v>
      </c>
      <c r="IES21" s="229">
        <v>0</v>
      </c>
      <c r="IET21" s="229">
        <v>0</v>
      </c>
      <c r="IEU21" s="229">
        <v>0</v>
      </c>
      <c r="IEV21" s="229">
        <v>0</v>
      </c>
      <c r="IEW21" s="229">
        <v>0</v>
      </c>
      <c r="IEX21" s="229">
        <v>0</v>
      </c>
      <c r="IEY21" s="229">
        <v>0</v>
      </c>
      <c r="IEZ21" s="229">
        <v>0</v>
      </c>
      <c r="IFA21" s="229">
        <v>0</v>
      </c>
      <c r="IFB21" s="229">
        <v>0</v>
      </c>
      <c r="IFC21" s="229">
        <v>0</v>
      </c>
      <c r="IFD21" s="229">
        <v>0</v>
      </c>
      <c r="IFE21" s="229">
        <v>0</v>
      </c>
      <c r="IFF21" s="229">
        <v>0</v>
      </c>
      <c r="IFG21" s="229">
        <v>0</v>
      </c>
      <c r="IFH21" s="229">
        <v>0</v>
      </c>
      <c r="IFI21" s="229">
        <v>0</v>
      </c>
      <c r="IFJ21" s="229">
        <v>0</v>
      </c>
      <c r="IFK21" s="229">
        <v>0</v>
      </c>
      <c r="IFL21" s="229">
        <v>0</v>
      </c>
      <c r="IFM21" s="229">
        <v>0</v>
      </c>
      <c r="IFN21" s="229">
        <v>0</v>
      </c>
      <c r="IFO21" s="229">
        <v>0</v>
      </c>
      <c r="IFP21" s="229">
        <v>0</v>
      </c>
      <c r="IFQ21" s="229">
        <v>0</v>
      </c>
      <c r="IFR21" s="229">
        <v>0</v>
      </c>
      <c r="IFS21" s="229">
        <v>0</v>
      </c>
      <c r="IFT21" s="229">
        <v>0</v>
      </c>
      <c r="IFU21" s="229">
        <v>0</v>
      </c>
      <c r="IFV21" s="229">
        <v>0</v>
      </c>
      <c r="IFW21" s="229">
        <v>0</v>
      </c>
      <c r="IFX21" s="229">
        <v>0</v>
      </c>
      <c r="IFY21" s="229">
        <v>0</v>
      </c>
      <c r="IFZ21" s="229">
        <v>0</v>
      </c>
      <c r="IGA21" s="229">
        <v>0</v>
      </c>
      <c r="IGB21" s="229">
        <v>0</v>
      </c>
      <c r="IGC21" s="229">
        <v>0</v>
      </c>
      <c r="IGD21" s="229">
        <v>0</v>
      </c>
      <c r="IGE21" s="229">
        <v>0</v>
      </c>
      <c r="IGF21" s="229">
        <v>0</v>
      </c>
      <c r="IGG21" s="229">
        <v>0</v>
      </c>
      <c r="IGH21" s="229">
        <v>0</v>
      </c>
      <c r="IGI21" s="229">
        <v>0</v>
      </c>
      <c r="IGJ21" s="229">
        <v>0</v>
      </c>
      <c r="IGK21" s="229">
        <v>0</v>
      </c>
      <c r="IGL21" s="229">
        <v>0</v>
      </c>
      <c r="IGM21" s="229">
        <v>0</v>
      </c>
      <c r="IGN21" s="229">
        <v>0</v>
      </c>
      <c r="IGO21" s="229">
        <v>0</v>
      </c>
      <c r="IGP21" s="229">
        <v>0</v>
      </c>
      <c r="IGQ21" s="229">
        <v>0</v>
      </c>
      <c r="IGR21" s="229">
        <v>0</v>
      </c>
      <c r="IGS21" s="229">
        <v>0</v>
      </c>
      <c r="IGT21" s="229">
        <v>0</v>
      </c>
      <c r="IGU21" s="229">
        <v>0</v>
      </c>
      <c r="IGV21" s="229">
        <v>0</v>
      </c>
      <c r="IGW21" s="229">
        <v>0</v>
      </c>
      <c r="IGX21" s="229">
        <v>0</v>
      </c>
      <c r="IGY21" s="229">
        <v>0</v>
      </c>
      <c r="IGZ21" s="229">
        <v>0</v>
      </c>
      <c r="IHA21" s="229">
        <v>0</v>
      </c>
      <c r="IHB21" s="229">
        <v>0</v>
      </c>
      <c r="IHC21" s="229">
        <v>0</v>
      </c>
      <c r="IHD21" s="229">
        <v>0</v>
      </c>
      <c r="IHE21" s="229">
        <v>0</v>
      </c>
      <c r="IHF21" s="229">
        <v>0</v>
      </c>
      <c r="IHG21" s="229">
        <v>0</v>
      </c>
      <c r="IHH21" s="229">
        <v>0</v>
      </c>
      <c r="IHI21" s="229">
        <v>0</v>
      </c>
      <c r="IHJ21" s="229">
        <v>0</v>
      </c>
      <c r="IHK21" s="229">
        <v>0</v>
      </c>
      <c r="IHL21" s="229">
        <v>0</v>
      </c>
      <c r="IHM21" s="229">
        <v>0</v>
      </c>
      <c r="IHN21" s="229">
        <v>0</v>
      </c>
      <c r="IHO21" s="229">
        <v>0</v>
      </c>
      <c r="IHP21" s="229">
        <v>0</v>
      </c>
      <c r="IHQ21" s="229">
        <v>0</v>
      </c>
      <c r="IHR21" s="229">
        <v>0</v>
      </c>
      <c r="IHS21" s="229">
        <v>0</v>
      </c>
      <c r="IHT21" s="229">
        <v>0</v>
      </c>
      <c r="IHU21" s="229">
        <v>0</v>
      </c>
      <c r="IHV21" s="229">
        <v>0</v>
      </c>
      <c r="IHW21" s="229">
        <v>0</v>
      </c>
      <c r="IHX21" s="229">
        <v>0</v>
      </c>
      <c r="IHY21" s="229">
        <v>0</v>
      </c>
      <c r="IHZ21" s="229">
        <v>0</v>
      </c>
      <c r="IIA21" s="229">
        <v>0</v>
      </c>
      <c r="IIB21" s="229">
        <v>0</v>
      </c>
      <c r="IIC21" s="229">
        <v>0</v>
      </c>
      <c r="IID21" s="229">
        <v>0</v>
      </c>
      <c r="IIE21" s="229">
        <v>0</v>
      </c>
      <c r="IIF21" s="229">
        <v>0</v>
      </c>
      <c r="IIG21" s="229">
        <v>0</v>
      </c>
      <c r="IIH21" s="229">
        <v>0</v>
      </c>
      <c r="III21" s="229">
        <v>0</v>
      </c>
      <c r="IIJ21" s="229">
        <v>0</v>
      </c>
      <c r="IIK21" s="229">
        <v>0</v>
      </c>
      <c r="IIL21" s="229">
        <v>0</v>
      </c>
      <c r="IIM21" s="229">
        <v>0</v>
      </c>
      <c r="IIN21" s="229">
        <v>0</v>
      </c>
      <c r="IIO21" s="229">
        <v>0</v>
      </c>
      <c r="IIP21" s="229">
        <v>0</v>
      </c>
      <c r="IIQ21" s="229">
        <v>0</v>
      </c>
      <c r="IIR21" s="229">
        <v>0</v>
      </c>
      <c r="IIS21" s="229">
        <v>0</v>
      </c>
      <c r="IIT21" s="229">
        <v>0</v>
      </c>
      <c r="IIU21" s="229">
        <v>0</v>
      </c>
      <c r="IIV21" s="229">
        <v>0</v>
      </c>
      <c r="IIW21" s="229">
        <v>0</v>
      </c>
      <c r="IIX21" s="229">
        <v>0</v>
      </c>
      <c r="IIY21" s="229">
        <v>0</v>
      </c>
      <c r="IIZ21" s="229">
        <v>0</v>
      </c>
      <c r="IJA21" s="229">
        <v>0</v>
      </c>
      <c r="IJB21" s="229">
        <v>0</v>
      </c>
      <c r="IJC21" s="229">
        <v>0</v>
      </c>
      <c r="IJD21" s="229">
        <v>0</v>
      </c>
      <c r="IJE21" s="229">
        <v>0</v>
      </c>
      <c r="IJF21" s="229">
        <v>0</v>
      </c>
      <c r="IJG21" s="229">
        <v>0</v>
      </c>
      <c r="IJH21" s="229">
        <v>0</v>
      </c>
      <c r="IJI21" s="229">
        <v>0</v>
      </c>
      <c r="IJJ21" s="229">
        <v>0</v>
      </c>
      <c r="IJK21" s="229">
        <v>0</v>
      </c>
      <c r="IJL21" s="229">
        <v>0</v>
      </c>
      <c r="IJM21" s="229">
        <v>0</v>
      </c>
      <c r="IJN21" s="229">
        <v>0</v>
      </c>
      <c r="IJO21" s="229">
        <v>0</v>
      </c>
      <c r="IJP21" s="229">
        <v>0</v>
      </c>
      <c r="IJQ21" s="229">
        <v>0</v>
      </c>
      <c r="IJR21" s="229">
        <v>0</v>
      </c>
      <c r="IJS21" s="229">
        <v>0</v>
      </c>
      <c r="IJT21" s="229">
        <v>0</v>
      </c>
      <c r="IJU21" s="229">
        <v>0</v>
      </c>
      <c r="IJV21" s="229">
        <v>0</v>
      </c>
      <c r="IJW21" s="229">
        <v>0</v>
      </c>
      <c r="IJX21" s="229">
        <v>0</v>
      </c>
      <c r="IJY21" s="229">
        <v>0</v>
      </c>
      <c r="IJZ21" s="229">
        <v>0</v>
      </c>
      <c r="IKA21" s="229">
        <v>0</v>
      </c>
      <c r="IKB21" s="229">
        <v>0</v>
      </c>
      <c r="IKC21" s="229">
        <v>0</v>
      </c>
      <c r="IKD21" s="229">
        <v>0</v>
      </c>
      <c r="IKE21" s="229">
        <v>0</v>
      </c>
      <c r="IKF21" s="229">
        <v>0</v>
      </c>
      <c r="IKG21" s="229">
        <v>0</v>
      </c>
      <c r="IKH21" s="229">
        <v>0</v>
      </c>
      <c r="IKI21" s="229">
        <v>0</v>
      </c>
      <c r="IKJ21" s="229">
        <v>0</v>
      </c>
      <c r="IKK21" s="229">
        <v>0</v>
      </c>
      <c r="IKL21" s="229">
        <v>0</v>
      </c>
      <c r="IKM21" s="229">
        <v>0</v>
      </c>
      <c r="IKN21" s="229">
        <v>0</v>
      </c>
      <c r="IKO21" s="229">
        <v>0</v>
      </c>
      <c r="IKP21" s="229">
        <v>0</v>
      </c>
      <c r="IKQ21" s="229">
        <v>0</v>
      </c>
      <c r="IKR21" s="229">
        <v>0</v>
      </c>
      <c r="IKS21" s="229">
        <v>0</v>
      </c>
      <c r="IKT21" s="229">
        <v>0</v>
      </c>
      <c r="IKU21" s="229">
        <v>0</v>
      </c>
      <c r="IKV21" s="229">
        <v>0</v>
      </c>
      <c r="IKW21" s="229">
        <v>0</v>
      </c>
      <c r="IKX21" s="229">
        <v>0</v>
      </c>
      <c r="IKY21" s="229">
        <v>0</v>
      </c>
      <c r="IKZ21" s="229">
        <v>0</v>
      </c>
      <c r="ILA21" s="229">
        <v>0</v>
      </c>
      <c r="ILB21" s="229">
        <v>0</v>
      </c>
      <c r="ILC21" s="229">
        <v>0</v>
      </c>
      <c r="ILD21" s="229">
        <v>0</v>
      </c>
      <c r="ILE21" s="229">
        <v>0</v>
      </c>
      <c r="ILF21" s="229">
        <v>0</v>
      </c>
      <c r="ILG21" s="229">
        <v>0</v>
      </c>
      <c r="ILH21" s="229">
        <v>0</v>
      </c>
      <c r="ILI21" s="229">
        <v>0</v>
      </c>
      <c r="ILJ21" s="229">
        <v>0</v>
      </c>
      <c r="ILK21" s="229">
        <v>0</v>
      </c>
      <c r="ILL21" s="229">
        <v>0</v>
      </c>
      <c r="ILM21" s="229">
        <v>0</v>
      </c>
      <c r="ILN21" s="229">
        <v>0</v>
      </c>
      <c r="ILO21" s="229">
        <v>0</v>
      </c>
      <c r="ILP21" s="229">
        <v>0</v>
      </c>
      <c r="ILQ21" s="229">
        <v>0</v>
      </c>
      <c r="ILR21" s="229">
        <v>0</v>
      </c>
      <c r="ILS21" s="229">
        <v>0</v>
      </c>
      <c r="ILT21" s="229">
        <v>0</v>
      </c>
      <c r="ILU21" s="229">
        <v>0</v>
      </c>
      <c r="ILV21" s="229">
        <v>0</v>
      </c>
      <c r="ILW21" s="229">
        <v>0</v>
      </c>
      <c r="ILX21" s="229">
        <v>0</v>
      </c>
      <c r="ILY21" s="229">
        <v>0</v>
      </c>
      <c r="ILZ21" s="229">
        <v>0</v>
      </c>
      <c r="IMA21" s="229">
        <v>0</v>
      </c>
      <c r="IMB21" s="229">
        <v>0</v>
      </c>
      <c r="IMC21" s="229">
        <v>0</v>
      </c>
      <c r="IMD21" s="229">
        <v>0</v>
      </c>
      <c r="IME21" s="229">
        <v>0</v>
      </c>
      <c r="IMF21" s="229">
        <v>0</v>
      </c>
      <c r="IMG21" s="229">
        <v>0</v>
      </c>
      <c r="IMH21" s="229">
        <v>0</v>
      </c>
      <c r="IMI21" s="229">
        <v>0</v>
      </c>
      <c r="IMJ21" s="229">
        <v>0</v>
      </c>
      <c r="IMK21" s="229">
        <v>0</v>
      </c>
      <c r="IML21" s="229">
        <v>0</v>
      </c>
      <c r="IMM21" s="229">
        <v>0</v>
      </c>
      <c r="IMN21" s="229">
        <v>0</v>
      </c>
      <c r="IMO21" s="229">
        <v>0</v>
      </c>
      <c r="IMP21" s="229">
        <v>0</v>
      </c>
      <c r="IMQ21" s="229">
        <v>0</v>
      </c>
      <c r="IMR21" s="229">
        <v>0</v>
      </c>
      <c r="IMS21" s="229">
        <v>0</v>
      </c>
      <c r="IMT21" s="229">
        <v>0</v>
      </c>
      <c r="IMU21" s="229">
        <v>0</v>
      </c>
      <c r="IMV21" s="229">
        <v>0</v>
      </c>
      <c r="IMW21" s="229">
        <v>0</v>
      </c>
      <c r="IMX21" s="229">
        <v>0</v>
      </c>
      <c r="IMY21" s="229">
        <v>0</v>
      </c>
      <c r="IMZ21" s="229">
        <v>0</v>
      </c>
      <c r="INA21" s="229">
        <v>0</v>
      </c>
      <c r="INB21" s="229">
        <v>0</v>
      </c>
      <c r="INC21" s="229">
        <v>0</v>
      </c>
      <c r="IND21" s="229">
        <v>0</v>
      </c>
      <c r="INE21" s="229">
        <v>0</v>
      </c>
      <c r="INF21" s="229">
        <v>0</v>
      </c>
      <c r="ING21" s="229">
        <v>0</v>
      </c>
      <c r="INH21" s="229">
        <v>0</v>
      </c>
      <c r="INI21" s="229">
        <v>0</v>
      </c>
      <c r="INJ21" s="229">
        <v>0</v>
      </c>
      <c r="INK21" s="229">
        <v>0</v>
      </c>
      <c r="INL21" s="229">
        <v>0</v>
      </c>
      <c r="INM21" s="229">
        <v>0</v>
      </c>
      <c r="INN21" s="229">
        <v>0</v>
      </c>
      <c r="INO21" s="229">
        <v>0</v>
      </c>
      <c r="INP21" s="229">
        <v>0</v>
      </c>
      <c r="INQ21" s="229">
        <v>0</v>
      </c>
      <c r="INR21" s="229">
        <v>0</v>
      </c>
      <c r="INS21" s="229">
        <v>0</v>
      </c>
      <c r="INT21" s="229">
        <v>0</v>
      </c>
      <c r="INU21" s="229">
        <v>0</v>
      </c>
      <c r="INV21" s="229">
        <v>0</v>
      </c>
      <c r="INW21" s="229">
        <v>0</v>
      </c>
      <c r="INX21" s="229">
        <v>0</v>
      </c>
      <c r="INY21" s="229">
        <v>0</v>
      </c>
      <c r="INZ21" s="229">
        <v>0</v>
      </c>
      <c r="IOA21" s="229">
        <v>0</v>
      </c>
      <c r="IOB21" s="229">
        <v>0</v>
      </c>
      <c r="IOC21" s="229">
        <v>0</v>
      </c>
      <c r="IOD21" s="229">
        <v>0</v>
      </c>
      <c r="IOE21" s="229">
        <v>0</v>
      </c>
      <c r="IOF21" s="229">
        <v>0</v>
      </c>
      <c r="IOG21" s="229">
        <v>0</v>
      </c>
      <c r="IOH21" s="229">
        <v>0</v>
      </c>
      <c r="IOI21" s="229">
        <v>0</v>
      </c>
      <c r="IOJ21" s="229">
        <v>0</v>
      </c>
      <c r="IOK21" s="229">
        <v>0</v>
      </c>
      <c r="IOL21" s="229">
        <v>0</v>
      </c>
      <c r="IOM21" s="229">
        <v>0</v>
      </c>
      <c r="ION21" s="229">
        <v>0</v>
      </c>
      <c r="IOO21" s="229">
        <v>0</v>
      </c>
      <c r="IOP21" s="229">
        <v>0</v>
      </c>
      <c r="IOQ21" s="229">
        <v>0</v>
      </c>
      <c r="IOR21" s="229">
        <v>0</v>
      </c>
      <c r="IOS21" s="229">
        <v>0</v>
      </c>
      <c r="IOT21" s="229">
        <v>0</v>
      </c>
      <c r="IOU21" s="229">
        <v>0</v>
      </c>
      <c r="IOV21" s="229">
        <v>0</v>
      </c>
      <c r="IOW21" s="229">
        <v>0</v>
      </c>
      <c r="IOX21" s="229">
        <v>0</v>
      </c>
      <c r="IOY21" s="229">
        <v>0</v>
      </c>
      <c r="IOZ21" s="229">
        <v>0</v>
      </c>
      <c r="IPA21" s="229">
        <v>0</v>
      </c>
      <c r="IPB21" s="229">
        <v>0</v>
      </c>
      <c r="IPC21" s="229">
        <v>0</v>
      </c>
      <c r="IPD21" s="229">
        <v>0</v>
      </c>
      <c r="IPE21" s="229">
        <v>0</v>
      </c>
      <c r="IPF21" s="229">
        <v>0</v>
      </c>
      <c r="IPG21" s="229">
        <v>0</v>
      </c>
      <c r="IPH21" s="229">
        <v>0</v>
      </c>
      <c r="IPI21" s="229">
        <v>0</v>
      </c>
      <c r="IPJ21" s="229">
        <v>0</v>
      </c>
      <c r="IPK21" s="229">
        <v>0</v>
      </c>
      <c r="IPL21" s="229">
        <v>0</v>
      </c>
      <c r="IPM21" s="229">
        <v>0</v>
      </c>
      <c r="IPN21" s="229">
        <v>0</v>
      </c>
      <c r="IPO21" s="229">
        <v>0</v>
      </c>
      <c r="IPP21" s="229">
        <v>0</v>
      </c>
      <c r="IPQ21" s="229">
        <v>0</v>
      </c>
      <c r="IPR21" s="229">
        <v>0</v>
      </c>
      <c r="IPS21" s="229">
        <v>0</v>
      </c>
      <c r="IPT21" s="229">
        <v>0</v>
      </c>
      <c r="IPU21" s="229">
        <v>0</v>
      </c>
      <c r="IPV21" s="229">
        <v>0</v>
      </c>
      <c r="IPW21" s="229">
        <v>0</v>
      </c>
      <c r="IPX21" s="229">
        <v>0</v>
      </c>
      <c r="IPY21" s="229">
        <v>0</v>
      </c>
      <c r="IPZ21" s="229">
        <v>0</v>
      </c>
      <c r="IQA21" s="229">
        <v>0</v>
      </c>
      <c r="IQB21" s="229">
        <v>0</v>
      </c>
      <c r="IQC21" s="229">
        <v>0</v>
      </c>
      <c r="IQD21" s="229">
        <v>0</v>
      </c>
      <c r="IQE21" s="229">
        <v>0</v>
      </c>
      <c r="IQF21" s="229">
        <v>0</v>
      </c>
      <c r="IQG21" s="229">
        <v>0</v>
      </c>
      <c r="IQH21" s="229">
        <v>0</v>
      </c>
      <c r="IQI21" s="229">
        <v>0</v>
      </c>
      <c r="IQJ21" s="229">
        <v>0</v>
      </c>
      <c r="IQK21" s="229">
        <v>0</v>
      </c>
      <c r="IQL21" s="229">
        <v>0</v>
      </c>
      <c r="IQM21" s="229">
        <v>0</v>
      </c>
      <c r="IQN21" s="229">
        <v>0</v>
      </c>
      <c r="IQO21" s="229">
        <v>0</v>
      </c>
      <c r="IQP21" s="229">
        <v>0</v>
      </c>
      <c r="IQQ21" s="229">
        <v>0</v>
      </c>
      <c r="IQR21" s="229">
        <v>0</v>
      </c>
      <c r="IQS21" s="229">
        <v>0</v>
      </c>
      <c r="IQT21" s="229">
        <v>0</v>
      </c>
      <c r="IQU21" s="229">
        <v>0</v>
      </c>
      <c r="IQV21" s="229">
        <v>0</v>
      </c>
      <c r="IQW21" s="229">
        <v>0</v>
      </c>
      <c r="IQX21" s="229">
        <v>0</v>
      </c>
      <c r="IQY21" s="229">
        <v>0</v>
      </c>
      <c r="IQZ21" s="229">
        <v>0</v>
      </c>
      <c r="IRA21" s="229">
        <v>0</v>
      </c>
      <c r="IRB21" s="229">
        <v>0</v>
      </c>
      <c r="IRC21" s="229">
        <v>0</v>
      </c>
      <c r="IRD21" s="229">
        <v>0</v>
      </c>
      <c r="IRE21" s="229">
        <v>0</v>
      </c>
      <c r="IRF21" s="229">
        <v>0</v>
      </c>
      <c r="IRG21" s="229">
        <v>0</v>
      </c>
      <c r="IRH21" s="229">
        <v>0</v>
      </c>
      <c r="IRI21" s="229">
        <v>0</v>
      </c>
      <c r="IRJ21" s="229">
        <v>0</v>
      </c>
      <c r="IRK21" s="229">
        <v>0</v>
      </c>
      <c r="IRL21" s="229">
        <v>0</v>
      </c>
      <c r="IRM21" s="229">
        <v>0</v>
      </c>
      <c r="IRN21" s="229">
        <v>0</v>
      </c>
      <c r="IRO21" s="229">
        <v>0</v>
      </c>
      <c r="IRP21" s="229">
        <v>0</v>
      </c>
      <c r="IRQ21" s="229">
        <v>0</v>
      </c>
      <c r="IRR21" s="229">
        <v>0</v>
      </c>
      <c r="IRS21" s="229">
        <v>0</v>
      </c>
      <c r="IRT21" s="229">
        <v>0</v>
      </c>
      <c r="IRU21" s="229">
        <v>0</v>
      </c>
      <c r="IRV21" s="229">
        <v>0</v>
      </c>
      <c r="IRW21" s="229">
        <v>0</v>
      </c>
      <c r="IRX21" s="229">
        <v>0</v>
      </c>
      <c r="IRY21" s="229">
        <v>0</v>
      </c>
      <c r="IRZ21" s="229">
        <v>0</v>
      </c>
      <c r="ISA21" s="229">
        <v>0</v>
      </c>
      <c r="ISB21" s="229">
        <v>0</v>
      </c>
      <c r="ISC21" s="229">
        <v>0</v>
      </c>
      <c r="ISD21" s="229">
        <v>0</v>
      </c>
      <c r="ISE21" s="229">
        <v>0</v>
      </c>
      <c r="ISF21" s="229">
        <v>0</v>
      </c>
      <c r="ISG21" s="229">
        <v>0</v>
      </c>
      <c r="ISH21" s="229">
        <v>0</v>
      </c>
      <c r="ISI21" s="229">
        <v>0</v>
      </c>
      <c r="ISJ21" s="229">
        <v>0</v>
      </c>
      <c r="ISK21" s="229">
        <v>0</v>
      </c>
      <c r="ISL21" s="229">
        <v>0</v>
      </c>
      <c r="ISM21" s="229">
        <v>0</v>
      </c>
      <c r="ISN21" s="229">
        <v>0</v>
      </c>
      <c r="ISO21" s="229">
        <v>0</v>
      </c>
      <c r="ISP21" s="229">
        <v>0</v>
      </c>
      <c r="ISQ21" s="229">
        <v>0</v>
      </c>
      <c r="ISR21" s="229">
        <v>0</v>
      </c>
      <c r="ISS21" s="229">
        <v>0</v>
      </c>
      <c r="IST21" s="229">
        <v>0</v>
      </c>
      <c r="ISU21" s="229">
        <v>0</v>
      </c>
      <c r="ISV21" s="229">
        <v>0</v>
      </c>
      <c r="ISW21" s="229">
        <v>0</v>
      </c>
      <c r="ISX21" s="229">
        <v>0</v>
      </c>
      <c r="ISY21" s="229">
        <v>0</v>
      </c>
      <c r="ISZ21" s="229">
        <v>0</v>
      </c>
      <c r="ITA21" s="229">
        <v>0</v>
      </c>
      <c r="ITB21" s="229">
        <v>0</v>
      </c>
      <c r="ITC21" s="229">
        <v>0</v>
      </c>
      <c r="ITD21" s="229">
        <v>0</v>
      </c>
      <c r="ITE21" s="229">
        <v>0</v>
      </c>
      <c r="ITF21" s="229">
        <v>0</v>
      </c>
      <c r="ITG21" s="229">
        <v>0</v>
      </c>
      <c r="ITH21" s="229">
        <v>0</v>
      </c>
      <c r="ITI21" s="229">
        <v>0</v>
      </c>
      <c r="ITJ21" s="229">
        <v>0</v>
      </c>
      <c r="ITK21" s="229">
        <v>0</v>
      </c>
      <c r="ITL21" s="229">
        <v>0</v>
      </c>
      <c r="ITM21" s="229">
        <v>0</v>
      </c>
      <c r="ITN21" s="229">
        <v>0</v>
      </c>
      <c r="ITO21" s="229">
        <v>0</v>
      </c>
      <c r="ITP21" s="229">
        <v>0</v>
      </c>
      <c r="ITQ21" s="229">
        <v>0</v>
      </c>
      <c r="ITR21" s="229">
        <v>0</v>
      </c>
      <c r="ITS21" s="229">
        <v>0</v>
      </c>
      <c r="ITT21" s="229">
        <v>0</v>
      </c>
      <c r="ITU21" s="229">
        <v>0</v>
      </c>
      <c r="ITV21" s="229">
        <v>0</v>
      </c>
      <c r="ITW21" s="229">
        <v>0</v>
      </c>
      <c r="ITX21" s="229">
        <v>0</v>
      </c>
      <c r="ITY21" s="229">
        <v>0</v>
      </c>
      <c r="ITZ21" s="229">
        <v>0</v>
      </c>
      <c r="IUA21" s="229">
        <v>0</v>
      </c>
      <c r="IUB21" s="229">
        <v>0</v>
      </c>
      <c r="IUC21" s="229">
        <v>0</v>
      </c>
      <c r="IUD21" s="229">
        <v>0</v>
      </c>
      <c r="IUE21" s="229">
        <v>0</v>
      </c>
      <c r="IUF21" s="229">
        <v>0</v>
      </c>
      <c r="IUG21" s="229">
        <v>0</v>
      </c>
      <c r="IUH21" s="229">
        <v>0</v>
      </c>
      <c r="IUI21" s="229">
        <v>0</v>
      </c>
      <c r="IUJ21" s="229">
        <v>0</v>
      </c>
      <c r="IUK21" s="229">
        <v>0</v>
      </c>
      <c r="IUL21" s="229">
        <v>0</v>
      </c>
      <c r="IUM21" s="229">
        <v>0</v>
      </c>
      <c r="IUN21" s="229">
        <v>0</v>
      </c>
      <c r="IUO21" s="229">
        <v>0</v>
      </c>
      <c r="IUP21" s="229">
        <v>0</v>
      </c>
      <c r="IUQ21" s="229">
        <v>0</v>
      </c>
      <c r="IUR21" s="229">
        <v>0</v>
      </c>
      <c r="IUS21" s="229">
        <v>0</v>
      </c>
      <c r="IUT21" s="229">
        <v>0</v>
      </c>
      <c r="IUU21" s="229">
        <v>0</v>
      </c>
      <c r="IUV21" s="229">
        <v>0</v>
      </c>
      <c r="IUW21" s="229">
        <v>0</v>
      </c>
      <c r="IUX21" s="229">
        <v>0</v>
      </c>
      <c r="IUY21" s="229">
        <v>0</v>
      </c>
      <c r="IUZ21" s="229">
        <v>0</v>
      </c>
      <c r="IVA21" s="229">
        <v>0</v>
      </c>
      <c r="IVB21" s="229">
        <v>0</v>
      </c>
      <c r="IVC21" s="229">
        <v>0</v>
      </c>
      <c r="IVD21" s="229">
        <v>0</v>
      </c>
      <c r="IVE21" s="229">
        <v>0</v>
      </c>
      <c r="IVF21" s="229">
        <v>0</v>
      </c>
      <c r="IVG21" s="229">
        <v>0</v>
      </c>
      <c r="IVH21" s="229">
        <v>0</v>
      </c>
      <c r="IVI21" s="229">
        <v>0</v>
      </c>
      <c r="IVJ21" s="229">
        <v>0</v>
      </c>
      <c r="IVK21" s="229">
        <v>0</v>
      </c>
      <c r="IVL21" s="229">
        <v>0</v>
      </c>
      <c r="IVM21" s="229">
        <v>0</v>
      </c>
      <c r="IVN21" s="229">
        <v>0</v>
      </c>
      <c r="IVO21" s="229">
        <v>0</v>
      </c>
      <c r="IVP21" s="229">
        <v>0</v>
      </c>
      <c r="IVQ21" s="229">
        <v>0</v>
      </c>
      <c r="IVR21" s="229">
        <v>0</v>
      </c>
      <c r="IVS21" s="229">
        <v>0</v>
      </c>
      <c r="IVT21" s="229">
        <v>0</v>
      </c>
      <c r="IVU21" s="229">
        <v>0</v>
      </c>
      <c r="IVV21" s="229">
        <v>0</v>
      </c>
      <c r="IVW21" s="229">
        <v>0</v>
      </c>
      <c r="IVX21" s="229">
        <v>0</v>
      </c>
      <c r="IVY21" s="229">
        <v>0</v>
      </c>
      <c r="IVZ21" s="229">
        <v>0</v>
      </c>
      <c r="IWA21" s="229">
        <v>0</v>
      </c>
      <c r="IWB21" s="229">
        <v>0</v>
      </c>
      <c r="IWC21" s="229">
        <v>0</v>
      </c>
      <c r="IWD21" s="229">
        <v>0</v>
      </c>
      <c r="IWE21" s="229">
        <v>0</v>
      </c>
      <c r="IWF21" s="229">
        <v>0</v>
      </c>
      <c r="IWG21" s="229">
        <v>0</v>
      </c>
      <c r="IWH21" s="229">
        <v>0</v>
      </c>
      <c r="IWI21" s="229">
        <v>0</v>
      </c>
      <c r="IWJ21" s="229">
        <v>0</v>
      </c>
      <c r="IWK21" s="229">
        <v>0</v>
      </c>
      <c r="IWL21" s="229">
        <v>0</v>
      </c>
      <c r="IWM21" s="229">
        <v>0</v>
      </c>
      <c r="IWN21" s="229">
        <v>0</v>
      </c>
      <c r="IWO21" s="229">
        <v>0</v>
      </c>
      <c r="IWP21" s="229">
        <v>0</v>
      </c>
      <c r="IWQ21" s="229">
        <v>0</v>
      </c>
      <c r="IWR21" s="229">
        <v>0</v>
      </c>
      <c r="IWS21" s="229">
        <v>0</v>
      </c>
      <c r="IWT21" s="229">
        <v>0</v>
      </c>
      <c r="IWU21" s="229">
        <v>0</v>
      </c>
      <c r="IWV21" s="229">
        <v>0</v>
      </c>
      <c r="IWW21" s="229">
        <v>0</v>
      </c>
      <c r="IWX21" s="229">
        <v>0</v>
      </c>
      <c r="IWY21" s="229">
        <v>0</v>
      </c>
      <c r="IWZ21" s="229">
        <v>0</v>
      </c>
      <c r="IXA21" s="229">
        <v>0</v>
      </c>
      <c r="IXB21" s="229">
        <v>0</v>
      </c>
      <c r="IXC21" s="229">
        <v>0</v>
      </c>
      <c r="IXD21" s="229">
        <v>0</v>
      </c>
      <c r="IXE21" s="229">
        <v>0</v>
      </c>
      <c r="IXF21" s="229">
        <v>0</v>
      </c>
      <c r="IXG21" s="229">
        <v>0</v>
      </c>
      <c r="IXH21" s="229">
        <v>0</v>
      </c>
      <c r="IXI21" s="229">
        <v>0</v>
      </c>
      <c r="IXJ21" s="229">
        <v>0</v>
      </c>
      <c r="IXK21" s="229">
        <v>0</v>
      </c>
      <c r="IXL21" s="229">
        <v>0</v>
      </c>
      <c r="IXM21" s="229">
        <v>0</v>
      </c>
      <c r="IXN21" s="229">
        <v>0</v>
      </c>
      <c r="IXO21" s="229">
        <v>0</v>
      </c>
      <c r="IXP21" s="229">
        <v>0</v>
      </c>
      <c r="IXQ21" s="229">
        <v>0</v>
      </c>
      <c r="IXR21" s="229">
        <v>0</v>
      </c>
      <c r="IXS21" s="229">
        <v>0</v>
      </c>
      <c r="IXT21" s="229">
        <v>0</v>
      </c>
      <c r="IXU21" s="229">
        <v>0</v>
      </c>
      <c r="IXV21" s="229">
        <v>0</v>
      </c>
      <c r="IXW21" s="229">
        <v>0</v>
      </c>
      <c r="IXX21" s="229">
        <v>0</v>
      </c>
      <c r="IXY21" s="229">
        <v>0</v>
      </c>
      <c r="IXZ21" s="229">
        <v>0</v>
      </c>
      <c r="IYA21" s="229">
        <v>0</v>
      </c>
      <c r="IYB21" s="229">
        <v>0</v>
      </c>
      <c r="IYC21" s="229">
        <v>0</v>
      </c>
      <c r="IYD21" s="229">
        <v>0</v>
      </c>
      <c r="IYE21" s="229">
        <v>0</v>
      </c>
      <c r="IYF21" s="229">
        <v>0</v>
      </c>
      <c r="IYG21" s="229">
        <v>0</v>
      </c>
      <c r="IYH21" s="229">
        <v>0</v>
      </c>
      <c r="IYI21" s="229">
        <v>0</v>
      </c>
      <c r="IYJ21" s="229">
        <v>0</v>
      </c>
      <c r="IYK21" s="229">
        <v>0</v>
      </c>
      <c r="IYL21" s="229">
        <v>0</v>
      </c>
      <c r="IYM21" s="229">
        <v>0</v>
      </c>
      <c r="IYN21" s="229">
        <v>0</v>
      </c>
      <c r="IYO21" s="229">
        <v>0</v>
      </c>
      <c r="IYP21" s="229">
        <v>0</v>
      </c>
      <c r="IYQ21" s="229">
        <v>0</v>
      </c>
      <c r="IYR21" s="229">
        <v>0</v>
      </c>
      <c r="IYS21" s="229">
        <v>0</v>
      </c>
      <c r="IYT21" s="229">
        <v>0</v>
      </c>
      <c r="IYU21" s="229">
        <v>0</v>
      </c>
      <c r="IYV21" s="229">
        <v>0</v>
      </c>
      <c r="IYW21" s="229">
        <v>0</v>
      </c>
      <c r="IYX21" s="229">
        <v>0</v>
      </c>
      <c r="IYY21" s="229">
        <v>0</v>
      </c>
      <c r="IYZ21" s="229">
        <v>0</v>
      </c>
      <c r="IZA21" s="229">
        <v>0</v>
      </c>
      <c r="IZB21" s="229">
        <v>0</v>
      </c>
      <c r="IZC21" s="229">
        <v>0</v>
      </c>
      <c r="IZD21" s="229">
        <v>0</v>
      </c>
      <c r="IZE21" s="229">
        <v>0</v>
      </c>
      <c r="IZF21" s="229">
        <v>0</v>
      </c>
      <c r="IZG21" s="229">
        <v>0</v>
      </c>
      <c r="IZH21" s="229">
        <v>0</v>
      </c>
      <c r="IZI21" s="229">
        <v>0</v>
      </c>
      <c r="IZJ21" s="229">
        <v>0</v>
      </c>
      <c r="IZK21" s="229">
        <v>0</v>
      </c>
      <c r="IZL21" s="229">
        <v>0</v>
      </c>
      <c r="IZM21" s="229">
        <v>0</v>
      </c>
      <c r="IZN21" s="229">
        <v>0</v>
      </c>
      <c r="IZO21" s="229">
        <v>0</v>
      </c>
      <c r="IZP21" s="229">
        <v>0</v>
      </c>
      <c r="IZQ21" s="229">
        <v>0</v>
      </c>
      <c r="IZR21" s="229">
        <v>0</v>
      </c>
      <c r="IZS21" s="229">
        <v>0</v>
      </c>
      <c r="IZT21" s="229">
        <v>0</v>
      </c>
      <c r="IZU21" s="229">
        <v>0</v>
      </c>
      <c r="IZV21" s="229">
        <v>0</v>
      </c>
      <c r="IZW21" s="229">
        <v>0</v>
      </c>
      <c r="IZX21" s="229">
        <v>0</v>
      </c>
      <c r="IZY21" s="229">
        <v>0</v>
      </c>
      <c r="IZZ21" s="229">
        <v>0</v>
      </c>
      <c r="JAA21" s="229">
        <v>0</v>
      </c>
      <c r="JAB21" s="229">
        <v>0</v>
      </c>
      <c r="JAC21" s="229">
        <v>0</v>
      </c>
      <c r="JAD21" s="229">
        <v>0</v>
      </c>
      <c r="JAE21" s="229">
        <v>0</v>
      </c>
      <c r="JAF21" s="229">
        <v>0</v>
      </c>
      <c r="JAG21" s="229">
        <v>0</v>
      </c>
      <c r="JAH21" s="229">
        <v>0</v>
      </c>
      <c r="JAI21" s="229">
        <v>0</v>
      </c>
      <c r="JAJ21" s="229">
        <v>0</v>
      </c>
      <c r="JAK21" s="229">
        <v>0</v>
      </c>
      <c r="JAL21" s="229">
        <v>0</v>
      </c>
      <c r="JAM21" s="229">
        <v>0</v>
      </c>
      <c r="JAN21" s="229">
        <v>0</v>
      </c>
      <c r="JAO21" s="229">
        <v>0</v>
      </c>
      <c r="JAP21" s="229">
        <v>0</v>
      </c>
      <c r="JAQ21" s="229">
        <v>0</v>
      </c>
      <c r="JAR21" s="229">
        <v>0</v>
      </c>
      <c r="JAS21" s="229">
        <v>0</v>
      </c>
      <c r="JAT21" s="229">
        <v>0</v>
      </c>
      <c r="JAU21" s="229">
        <v>0</v>
      </c>
      <c r="JAV21" s="229">
        <v>0</v>
      </c>
      <c r="JAW21" s="229">
        <v>0</v>
      </c>
      <c r="JAX21" s="229">
        <v>0</v>
      </c>
      <c r="JAY21" s="229">
        <v>0</v>
      </c>
      <c r="JAZ21" s="229">
        <v>0</v>
      </c>
      <c r="JBA21" s="229">
        <v>0</v>
      </c>
      <c r="JBB21" s="229">
        <v>0</v>
      </c>
      <c r="JBC21" s="229">
        <v>0</v>
      </c>
      <c r="JBD21" s="229">
        <v>0</v>
      </c>
      <c r="JBE21" s="229">
        <v>0</v>
      </c>
      <c r="JBF21" s="229">
        <v>0</v>
      </c>
      <c r="JBG21" s="229">
        <v>0</v>
      </c>
      <c r="JBH21" s="229">
        <v>0</v>
      </c>
      <c r="JBI21" s="229">
        <v>0</v>
      </c>
      <c r="JBJ21" s="229">
        <v>0</v>
      </c>
      <c r="JBK21" s="229">
        <v>0</v>
      </c>
      <c r="JBL21" s="229">
        <v>0</v>
      </c>
      <c r="JBM21" s="229">
        <v>0</v>
      </c>
      <c r="JBN21" s="229">
        <v>0</v>
      </c>
      <c r="JBO21" s="229">
        <v>0</v>
      </c>
      <c r="JBP21" s="229">
        <v>0</v>
      </c>
      <c r="JBQ21" s="229">
        <v>0</v>
      </c>
      <c r="JBR21" s="229">
        <v>0</v>
      </c>
      <c r="JBS21" s="229">
        <v>0</v>
      </c>
      <c r="JBT21" s="229">
        <v>0</v>
      </c>
      <c r="JBU21" s="229">
        <v>0</v>
      </c>
      <c r="JBV21" s="229">
        <v>0</v>
      </c>
      <c r="JBW21" s="229">
        <v>0</v>
      </c>
      <c r="JBX21" s="229">
        <v>0</v>
      </c>
      <c r="JBY21" s="229">
        <v>0</v>
      </c>
      <c r="JBZ21" s="229">
        <v>0</v>
      </c>
      <c r="JCA21" s="229">
        <v>0</v>
      </c>
      <c r="JCB21" s="229">
        <v>0</v>
      </c>
      <c r="JCC21" s="229">
        <v>0</v>
      </c>
      <c r="JCD21" s="229">
        <v>0</v>
      </c>
      <c r="JCE21" s="229">
        <v>0</v>
      </c>
      <c r="JCF21" s="229">
        <v>0</v>
      </c>
      <c r="JCG21" s="229">
        <v>0</v>
      </c>
      <c r="JCH21" s="229">
        <v>0</v>
      </c>
      <c r="JCI21" s="229">
        <v>0</v>
      </c>
      <c r="JCJ21" s="229">
        <v>0</v>
      </c>
      <c r="JCK21" s="229">
        <v>0</v>
      </c>
      <c r="JCL21" s="229">
        <v>0</v>
      </c>
      <c r="JCM21" s="229">
        <v>0</v>
      </c>
      <c r="JCN21" s="229">
        <v>0</v>
      </c>
      <c r="JCO21" s="229">
        <v>0</v>
      </c>
      <c r="JCP21" s="229">
        <v>0</v>
      </c>
      <c r="JCQ21" s="229">
        <v>0</v>
      </c>
      <c r="JCR21" s="229">
        <v>0</v>
      </c>
      <c r="JCS21" s="229">
        <v>0</v>
      </c>
      <c r="JCT21" s="229">
        <v>0</v>
      </c>
      <c r="JCU21" s="229">
        <v>0</v>
      </c>
      <c r="JCV21" s="229">
        <v>0</v>
      </c>
      <c r="JCW21" s="229">
        <v>0</v>
      </c>
      <c r="JCX21" s="229">
        <v>0</v>
      </c>
      <c r="JCY21" s="229">
        <v>0</v>
      </c>
      <c r="JCZ21" s="229">
        <v>0</v>
      </c>
      <c r="JDA21" s="229">
        <v>0</v>
      </c>
      <c r="JDB21" s="229">
        <v>0</v>
      </c>
      <c r="JDC21" s="229">
        <v>0</v>
      </c>
      <c r="JDD21" s="229">
        <v>0</v>
      </c>
      <c r="JDE21" s="229">
        <v>0</v>
      </c>
      <c r="JDF21" s="229">
        <v>0</v>
      </c>
      <c r="JDG21" s="229">
        <v>0</v>
      </c>
      <c r="JDH21" s="229">
        <v>0</v>
      </c>
      <c r="JDI21" s="229">
        <v>0</v>
      </c>
      <c r="JDJ21" s="229">
        <v>0</v>
      </c>
      <c r="JDK21" s="229">
        <v>0</v>
      </c>
      <c r="JDL21" s="229">
        <v>0</v>
      </c>
      <c r="JDM21" s="229">
        <v>0</v>
      </c>
      <c r="JDN21" s="229">
        <v>0</v>
      </c>
      <c r="JDO21" s="229">
        <v>0</v>
      </c>
      <c r="JDP21" s="229">
        <v>0</v>
      </c>
      <c r="JDQ21" s="229">
        <v>0</v>
      </c>
      <c r="JDR21" s="229">
        <v>0</v>
      </c>
      <c r="JDS21" s="229">
        <v>0</v>
      </c>
      <c r="JDT21" s="229">
        <v>0</v>
      </c>
      <c r="JDU21" s="229">
        <v>0</v>
      </c>
      <c r="JDV21" s="229">
        <v>0</v>
      </c>
      <c r="JDW21" s="229">
        <v>0</v>
      </c>
      <c r="JDX21" s="229">
        <v>0</v>
      </c>
      <c r="JDY21" s="229">
        <v>0</v>
      </c>
      <c r="JDZ21" s="229">
        <v>0</v>
      </c>
      <c r="JEA21" s="229">
        <v>0</v>
      </c>
      <c r="JEB21" s="229">
        <v>0</v>
      </c>
      <c r="JEC21" s="229">
        <v>0</v>
      </c>
      <c r="JED21" s="229">
        <v>0</v>
      </c>
      <c r="JEE21" s="229">
        <v>0</v>
      </c>
      <c r="JEF21" s="229">
        <v>0</v>
      </c>
      <c r="JEG21" s="229">
        <v>0</v>
      </c>
      <c r="JEH21" s="229">
        <v>0</v>
      </c>
      <c r="JEI21" s="229">
        <v>0</v>
      </c>
      <c r="JEJ21" s="229">
        <v>0</v>
      </c>
      <c r="JEK21" s="229">
        <v>0</v>
      </c>
      <c r="JEL21" s="229">
        <v>0</v>
      </c>
      <c r="JEM21" s="229">
        <v>0</v>
      </c>
      <c r="JEN21" s="229">
        <v>0</v>
      </c>
      <c r="JEO21" s="229">
        <v>0</v>
      </c>
      <c r="JEP21" s="229">
        <v>0</v>
      </c>
      <c r="JEQ21" s="229">
        <v>0</v>
      </c>
      <c r="JER21" s="229">
        <v>0</v>
      </c>
      <c r="JES21" s="229">
        <v>0</v>
      </c>
      <c r="JET21" s="229">
        <v>0</v>
      </c>
      <c r="JEU21" s="229">
        <v>0</v>
      </c>
      <c r="JEV21" s="229">
        <v>0</v>
      </c>
      <c r="JEW21" s="229">
        <v>0</v>
      </c>
      <c r="JEX21" s="229">
        <v>0</v>
      </c>
      <c r="JEY21" s="229">
        <v>0</v>
      </c>
      <c r="JEZ21" s="229">
        <v>0</v>
      </c>
      <c r="JFA21" s="229">
        <v>0</v>
      </c>
      <c r="JFB21" s="229">
        <v>0</v>
      </c>
      <c r="JFC21" s="229">
        <v>0</v>
      </c>
      <c r="JFD21" s="229">
        <v>0</v>
      </c>
      <c r="JFE21" s="229">
        <v>0</v>
      </c>
      <c r="JFF21" s="229">
        <v>0</v>
      </c>
      <c r="JFG21" s="229">
        <v>0</v>
      </c>
      <c r="JFH21" s="229">
        <v>0</v>
      </c>
      <c r="JFI21" s="229">
        <v>0</v>
      </c>
      <c r="JFJ21" s="229">
        <v>0</v>
      </c>
      <c r="JFK21" s="229">
        <v>0</v>
      </c>
      <c r="JFL21" s="229">
        <v>0</v>
      </c>
      <c r="JFM21" s="229">
        <v>0</v>
      </c>
      <c r="JFN21" s="229">
        <v>0</v>
      </c>
      <c r="JFO21" s="229">
        <v>0</v>
      </c>
      <c r="JFP21" s="229">
        <v>0</v>
      </c>
      <c r="JFQ21" s="229">
        <v>0</v>
      </c>
      <c r="JFR21" s="229">
        <v>0</v>
      </c>
      <c r="JFS21" s="229">
        <v>0</v>
      </c>
      <c r="JFT21" s="229">
        <v>0</v>
      </c>
      <c r="JFU21" s="229">
        <v>0</v>
      </c>
      <c r="JFV21" s="229">
        <v>0</v>
      </c>
      <c r="JFW21" s="229">
        <v>0</v>
      </c>
      <c r="JFX21" s="229">
        <v>0</v>
      </c>
      <c r="JFY21" s="229">
        <v>0</v>
      </c>
      <c r="JFZ21" s="229">
        <v>0</v>
      </c>
      <c r="JGA21" s="229">
        <v>0</v>
      </c>
      <c r="JGB21" s="229">
        <v>0</v>
      </c>
      <c r="JGC21" s="229">
        <v>0</v>
      </c>
      <c r="JGD21" s="229">
        <v>0</v>
      </c>
      <c r="JGE21" s="229">
        <v>0</v>
      </c>
      <c r="JGF21" s="229">
        <v>0</v>
      </c>
      <c r="JGG21" s="229">
        <v>0</v>
      </c>
      <c r="JGH21" s="229">
        <v>0</v>
      </c>
      <c r="JGI21" s="229">
        <v>0</v>
      </c>
      <c r="JGJ21" s="229">
        <v>0</v>
      </c>
      <c r="JGK21" s="229">
        <v>0</v>
      </c>
      <c r="JGL21" s="229">
        <v>0</v>
      </c>
      <c r="JGM21" s="229">
        <v>0</v>
      </c>
      <c r="JGN21" s="229">
        <v>0</v>
      </c>
      <c r="JGO21" s="229">
        <v>0</v>
      </c>
      <c r="JGP21" s="229">
        <v>0</v>
      </c>
      <c r="JGQ21" s="229">
        <v>0</v>
      </c>
      <c r="JGR21" s="229">
        <v>0</v>
      </c>
      <c r="JGS21" s="229">
        <v>0</v>
      </c>
      <c r="JGT21" s="229">
        <v>0</v>
      </c>
      <c r="JGU21" s="229">
        <v>0</v>
      </c>
      <c r="JGV21" s="229">
        <v>0</v>
      </c>
      <c r="JGW21" s="229">
        <v>0</v>
      </c>
      <c r="JGX21" s="229">
        <v>0</v>
      </c>
      <c r="JGY21" s="229">
        <v>0</v>
      </c>
      <c r="JGZ21" s="229">
        <v>0</v>
      </c>
      <c r="JHA21" s="229">
        <v>0</v>
      </c>
      <c r="JHB21" s="229">
        <v>0</v>
      </c>
      <c r="JHC21" s="229">
        <v>0</v>
      </c>
      <c r="JHD21" s="229">
        <v>0</v>
      </c>
      <c r="JHE21" s="229">
        <v>0</v>
      </c>
      <c r="JHF21" s="229">
        <v>0</v>
      </c>
      <c r="JHG21" s="229">
        <v>0</v>
      </c>
      <c r="JHH21" s="229">
        <v>0</v>
      </c>
      <c r="JHI21" s="229">
        <v>0</v>
      </c>
      <c r="JHJ21" s="229">
        <v>0</v>
      </c>
      <c r="JHK21" s="229">
        <v>0</v>
      </c>
      <c r="JHL21" s="229">
        <v>0</v>
      </c>
      <c r="JHM21" s="229">
        <v>0</v>
      </c>
      <c r="JHN21" s="229">
        <v>0</v>
      </c>
      <c r="JHO21" s="229">
        <v>0</v>
      </c>
      <c r="JHP21" s="229">
        <v>0</v>
      </c>
      <c r="JHQ21" s="229">
        <v>0</v>
      </c>
      <c r="JHR21" s="229">
        <v>0</v>
      </c>
      <c r="JHS21" s="229">
        <v>0</v>
      </c>
      <c r="JHT21" s="229">
        <v>0</v>
      </c>
      <c r="JHU21" s="229">
        <v>0</v>
      </c>
      <c r="JHV21" s="229">
        <v>0</v>
      </c>
      <c r="JHW21" s="229">
        <v>0</v>
      </c>
      <c r="JHX21" s="229">
        <v>0</v>
      </c>
      <c r="JHY21" s="229">
        <v>0</v>
      </c>
      <c r="JHZ21" s="229">
        <v>0</v>
      </c>
      <c r="JIA21" s="229">
        <v>0</v>
      </c>
      <c r="JIB21" s="229">
        <v>0</v>
      </c>
      <c r="JIC21" s="229">
        <v>0</v>
      </c>
      <c r="JID21" s="229">
        <v>0</v>
      </c>
      <c r="JIE21" s="229">
        <v>0</v>
      </c>
      <c r="JIF21" s="229">
        <v>0</v>
      </c>
      <c r="JIG21" s="229">
        <v>0</v>
      </c>
      <c r="JIH21" s="229">
        <v>0</v>
      </c>
      <c r="JII21" s="229">
        <v>0</v>
      </c>
      <c r="JIJ21" s="229">
        <v>0</v>
      </c>
      <c r="JIK21" s="229">
        <v>0</v>
      </c>
      <c r="JIL21" s="229">
        <v>0</v>
      </c>
      <c r="JIM21" s="229">
        <v>0</v>
      </c>
      <c r="JIN21" s="229">
        <v>0</v>
      </c>
      <c r="JIO21" s="229">
        <v>0</v>
      </c>
      <c r="JIP21" s="229">
        <v>0</v>
      </c>
      <c r="JIQ21" s="229">
        <v>0</v>
      </c>
      <c r="JIR21" s="229">
        <v>0</v>
      </c>
      <c r="JIS21" s="229">
        <v>0</v>
      </c>
      <c r="JIT21" s="229">
        <v>0</v>
      </c>
      <c r="JIU21" s="229">
        <v>0</v>
      </c>
      <c r="JIV21" s="229">
        <v>0</v>
      </c>
      <c r="JIW21" s="229">
        <v>0</v>
      </c>
      <c r="JIX21" s="229">
        <v>0</v>
      </c>
      <c r="JIY21" s="229">
        <v>0</v>
      </c>
      <c r="JIZ21" s="229">
        <v>0</v>
      </c>
      <c r="JJA21" s="229">
        <v>0</v>
      </c>
      <c r="JJB21" s="229">
        <v>0</v>
      </c>
      <c r="JJC21" s="229">
        <v>0</v>
      </c>
      <c r="JJD21" s="229">
        <v>0</v>
      </c>
      <c r="JJE21" s="229">
        <v>0</v>
      </c>
      <c r="JJF21" s="229">
        <v>0</v>
      </c>
      <c r="JJG21" s="229">
        <v>0</v>
      </c>
      <c r="JJH21" s="229">
        <v>0</v>
      </c>
      <c r="JJI21" s="229">
        <v>0</v>
      </c>
      <c r="JJJ21" s="229">
        <v>0</v>
      </c>
      <c r="JJK21" s="229">
        <v>0</v>
      </c>
      <c r="JJL21" s="229">
        <v>0</v>
      </c>
      <c r="JJM21" s="229">
        <v>0</v>
      </c>
      <c r="JJN21" s="229">
        <v>0</v>
      </c>
      <c r="JJO21" s="229">
        <v>0</v>
      </c>
      <c r="JJP21" s="229">
        <v>0</v>
      </c>
      <c r="JJQ21" s="229">
        <v>0</v>
      </c>
      <c r="JJR21" s="229">
        <v>0</v>
      </c>
      <c r="JJS21" s="229">
        <v>0</v>
      </c>
      <c r="JJT21" s="229">
        <v>0</v>
      </c>
      <c r="JJU21" s="229">
        <v>0</v>
      </c>
      <c r="JJV21" s="229">
        <v>0</v>
      </c>
      <c r="JJW21" s="229">
        <v>0</v>
      </c>
      <c r="JJX21" s="229">
        <v>0</v>
      </c>
      <c r="JJY21" s="229">
        <v>0</v>
      </c>
      <c r="JJZ21" s="229">
        <v>0</v>
      </c>
      <c r="JKA21" s="229">
        <v>0</v>
      </c>
      <c r="JKB21" s="229">
        <v>0</v>
      </c>
      <c r="JKC21" s="229">
        <v>0</v>
      </c>
      <c r="JKD21" s="229">
        <v>0</v>
      </c>
      <c r="JKE21" s="229">
        <v>0</v>
      </c>
      <c r="JKF21" s="229">
        <v>0</v>
      </c>
      <c r="JKG21" s="229">
        <v>0</v>
      </c>
      <c r="JKH21" s="229">
        <v>0</v>
      </c>
      <c r="JKI21" s="229">
        <v>0</v>
      </c>
      <c r="JKJ21" s="229">
        <v>0</v>
      </c>
      <c r="JKK21" s="229">
        <v>0</v>
      </c>
      <c r="JKL21" s="229">
        <v>0</v>
      </c>
      <c r="JKM21" s="229">
        <v>0</v>
      </c>
      <c r="JKN21" s="229">
        <v>0</v>
      </c>
      <c r="JKO21" s="229">
        <v>0</v>
      </c>
      <c r="JKP21" s="229">
        <v>0</v>
      </c>
      <c r="JKQ21" s="229">
        <v>0</v>
      </c>
      <c r="JKR21" s="229">
        <v>0</v>
      </c>
      <c r="JKS21" s="229">
        <v>0</v>
      </c>
      <c r="JKT21" s="229">
        <v>0</v>
      </c>
      <c r="JKU21" s="229">
        <v>0</v>
      </c>
      <c r="JKV21" s="229">
        <v>0</v>
      </c>
      <c r="JKW21" s="229">
        <v>0</v>
      </c>
      <c r="JKX21" s="229">
        <v>0</v>
      </c>
      <c r="JKY21" s="229">
        <v>0</v>
      </c>
      <c r="JKZ21" s="229">
        <v>0</v>
      </c>
      <c r="JLA21" s="229">
        <v>0</v>
      </c>
      <c r="JLB21" s="229">
        <v>0</v>
      </c>
      <c r="JLC21" s="229">
        <v>0</v>
      </c>
      <c r="JLD21" s="229">
        <v>0</v>
      </c>
      <c r="JLE21" s="229">
        <v>0</v>
      </c>
      <c r="JLF21" s="229">
        <v>0</v>
      </c>
      <c r="JLG21" s="229">
        <v>0</v>
      </c>
      <c r="JLH21" s="229">
        <v>0</v>
      </c>
      <c r="JLI21" s="229">
        <v>0</v>
      </c>
      <c r="JLJ21" s="229">
        <v>0</v>
      </c>
      <c r="JLK21" s="229">
        <v>0</v>
      </c>
      <c r="JLL21" s="229">
        <v>0</v>
      </c>
      <c r="JLM21" s="229">
        <v>0</v>
      </c>
      <c r="JLN21" s="229">
        <v>0</v>
      </c>
      <c r="JLO21" s="229">
        <v>0</v>
      </c>
      <c r="JLP21" s="229">
        <v>0</v>
      </c>
      <c r="JLQ21" s="229">
        <v>0</v>
      </c>
      <c r="JLR21" s="229">
        <v>0</v>
      </c>
      <c r="JLS21" s="229">
        <v>0</v>
      </c>
      <c r="JLT21" s="229">
        <v>0</v>
      </c>
      <c r="JLU21" s="229">
        <v>0</v>
      </c>
      <c r="JLV21" s="229">
        <v>0</v>
      </c>
      <c r="JLW21" s="229">
        <v>0</v>
      </c>
      <c r="JLX21" s="229">
        <v>0</v>
      </c>
      <c r="JLY21" s="229">
        <v>0</v>
      </c>
      <c r="JLZ21" s="229">
        <v>0</v>
      </c>
      <c r="JMA21" s="229">
        <v>0</v>
      </c>
      <c r="JMB21" s="229">
        <v>0</v>
      </c>
      <c r="JMC21" s="229">
        <v>0</v>
      </c>
      <c r="JMD21" s="229">
        <v>0</v>
      </c>
      <c r="JME21" s="229">
        <v>0</v>
      </c>
      <c r="JMF21" s="229">
        <v>0</v>
      </c>
      <c r="JMG21" s="229">
        <v>0</v>
      </c>
      <c r="JMH21" s="229">
        <v>0</v>
      </c>
      <c r="JMI21" s="229">
        <v>0</v>
      </c>
      <c r="JMJ21" s="229">
        <v>0</v>
      </c>
      <c r="JMK21" s="229">
        <v>0</v>
      </c>
      <c r="JML21" s="229">
        <v>0</v>
      </c>
      <c r="JMM21" s="229">
        <v>0</v>
      </c>
      <c r="JMN21" s="229">
        <v>0</v>
      </c>
      <c r="JMO21" s="229">
        <v>0</v>
      </c>
      <c r="JMP21" s="229">
        <v>0</v>
      </c>
      <c r="JMQ21" s="229">
        <v>0</v>
      </c>
      <c r="JMR21" s="229">
        <v>0</v>
      </c>
      <c r="JMS21" s="229">
        <v>0</v>
      </c>
      <c r="JMT21" s="229">
        <v>0</v>
      </c>
      <c r="JMU21" s="229">
        <v>0</v>
      </c>
      <c r="JMV21" s="229">
        <v>0</v>
      </c>
      <c r="JMW21" s="229">
        <v>0</v>
      </c>
      <c r="JMX21" s="229">
        <v>0</v>
      </c>
      <c r="JMY21" s="229">
        <v>0</v>
      </c>
      <c r="JMZ21" s="229">
        <v>0</v>
      </c>
      <c r="JNA21" s="229">
        <v>0</v>
      </c>
      <c r="JNB21" s="229">
        <v>0</v>
      </c>
      <c r="JNC21" s="229">
        <v>0</v>
      </c>
      <c r="JND21" s="229">
        <v>0</v>
      </c>
      <c r="JNE21" s="229">
        <v>0</v>
      </c>
      <c r="JNF21" s="229">
        <v>0</v>
      </c>
      <c r="JNG21" s="229">
        <v>0</v>
      </c>
      <c r="JNH21" s="229">
        <v>0</v>
      </c>
      <c r="JNI21" s="229">
        <v>0</v>
      </c>
      <c r="JNJ21" s="229">
        <v>0</v>
      </c>
      <c r="JNK21" s="229">
        <v>0</v>
      </c>
      <c r="JNL21" s="229">
        <v>0</v>
      </c>
      <c r="JNM21" s="229">
        <v>0</v>
      </c>
      <c r="JNN21" s="229">
        <v>0</v>
      </c>
      <c r="JNO21" s="229">
        <v>0</v>
      </c>
      <c r="JNP21" s="229">
        <v>0</v>
      </c>
      <c r="JNQ21" s="229">
        <v>0</v>
      </c>
      <c r="JNR21" s="229">
        <v>0</v>
      </c>
      <c r="JNS21" s="229">
        <v>0</v>
      </c>
      <c r="JNT21" s="229">
        <v>0</v>
      </c>
      <c r="JNU21" s="229">
        <v>0</v>
      </c>
      <c r="JNV21" s="229">
        <v>0</v>
      </c>
      <c r="JNW21" s="229">
        <v>0</v>
      </c>
      <c r="JNX21" s="229">
        <v>0</v>
      </c>
      <c r="JNY21" s="229">
        <v>0</v>
      </c>
      <c r="JNZ21" s="229">
        <v>0</v>
      </c>
      <c r="JOA21" s="229">
        <v>0</v>
      </c>
      <c r="JOB21" s="229">
        <v>0</v>
      </c>
      <c r="JOC21" s="229">
        <v>0</v>
      </c>
      <c r="JOD21" s="229">
        <v>0</v>
      </c>
      <c r="JOE21" s="229">
        <v>0</v>
      </c>
      <c r="JOF21" s="229">
        <v>0</v>
      </c>
      <c r="JOG21" s="229">
        <v>0</v>
      </c>
      <c r="JOH21" s="229">
        <v>0</v>
      </c>
      <c r="JOI21" s="229">
        <v>0</v>
      </c>
      <c r="JOJ21" s="229">
        <v>0</v>
      </c>
      <c r="JOK21" s="229">
        <v>0</v>
      </c>
      <c r="JOL21" s="229">
        <v>0</v>
      </c>
      <c r="JOM21" s="229">
        <v>0</v>
      </c>
      <c r="JON21" s="229">
        <v>0</v>
      </c>
      <c r="JOO21" s="229">
        <v>0</v>
      </c>
      <c r="JOP21" s="229">
        <v>0</v>
      </c>
      <c r="JOQ21" s="229">
        <v>0</v>
      </c>
      <c r="JOR21" s="229">
        <v>0</v>
      </c>
      <c r="JOS21" s="229">
        <v>0</v>
      </c>
      <c r="JOT21" s="229">
        <v>0</v>
      </c>
      <c r="JOU21" s="229">
        <v>0</v>
      </c>
      <c r="JOV21" s="229">
        <v>0</v>
      </c>
      <c r="JOW21" s="229">
        <v>0</v>
      </c>
      <c r="JOX21" s="229">
        <v>0</v>
      </c>
      <c r="JOY21" s="229">
        <v>0</v>
      </c>
      <c r="JOZ21" s="229">
        <v>0</v>
      </c>
      <c r="JPA21" s="229">
        <v>0</v>
      </c>
      <c r="JPB21" s="229">
        <v>0</v>
      </c>
      <c r="JPC21" s="229">
        <v>0</v>
      </c>
      <c r="JPD21" s="229">
        <v>0</v>
      </c>
      <c r="JPE21" s="229">
        <v>0</v>
      </c>
      <c r="JPF21" s="229">
        <v>0</v>
      </c>
      <c r="JPG21" s="229">
        <v>0</v>
      </c>
      <c r="JPH21" s="229">
        <v>0</v>
      </c>
      <c r="JPI21" s="229">
        <v>0</v>
      </c>
      <c r="JPJ21" s="229">
        <v>0</v>
      </c>
      <c r="JPK21" s="229">
        <v>0</v>
      </c>
      <c r="JPL21" s="229">
        <v>0</v>
      </c>
      <c r="JPM21" s="229">
        <v>0</v>
      </c>
      <c r="JPN21" s="229">
        <v>0</v>
      </c>
      <c r="JPO21" s="229">
        <v>0</v>
      </c>
      <c r="JPP21" s="229">
        <v>0</v>
      </c>
      <c r="JPQ21" s="229">
        <v>0</v>
      </c>
      <c r="JPR21" s="229">
        <v>0</v>
      </c>
      <c r="JPS21" s="229">
        <v>0</v>
      </c>
      <c r="JPT21" s="229">
        <v>0</v>
      </c>
      <c r="JPU21" s="229">
        <v>0</v>
      </c>
      <c r="JPV21" s="229">
        <v>0</v>
      </c>
      <c r="JPW21" s="229">
        <v>0</v>
      </c>
      <c r="JPX21" s="229">
        <v>0</v>
      </c>
      <c r="JPY21" s="229">
        <v>0</v>
      </c>
      <c r="JPZ21" s="229">
        <v>0</v>
      </c>
      <c r="JQA21" s="229">
        <v>0</v>
      </c>
      <c r="JQB21" s="229">
        <v>0</v>
      </c>
      <c r="JQC21" s="229">
        <v>0</v>
      </c>
      <c r="JQD21" s="229">
        <v>0</v>
      </c>
      <c r="JQE21" s="229">
        <v>0</v>
      </c>
      <c r="JQF21" s="229">
        <v>0</v>
      </c>
      <c r="JQG21" s="229">
        <v>0</v>
      </c>
      <c r="JQH21" s="229">
        <v>0</v>
      </c>
      <c r="JQI21" s="229">
        <v>0</v>
      </c>
      <c r="JQJ21" s="229">
        <v>0</v>
      </c>
      <c r="JQK21" s="229">
        <v>0</v>
      </c>
      <c r="JQL21" s="229">
        <v>0</v>
      </c>
      <c r="JQM21" s="229">
        <v>0</v>
      </c>
      <c r="JQN21" s="229">
        <v>0</v>
      </c>
      <c r="JQO21" s="229">
        <v>0</v>
      </c>
      <c r="JQP21" s="229">
        <v>0</v>
      </c>
      <c r="JQQ21" s="229">
        <v>0</v>
      </c>
      <c r="JQR21" s="229">
        <v>0</v>
      </c>
      <c r="JQS21" s="229">
        <v>0</v>
      </c>
      <c r="JQT21" s="229">
        <v>0</v>
      </c>
      <c r="JQU21" s="229">
        <v>0</v>
      </c>
      <c r="JQV21" s="229">
        <v>0</v>
      </c>
      <c r="JQW21" s="229">
        <v>0</v>
      </c>
      <c r="JQX21" s="229">
        <v>0</v>
      </c>
      <c r="JQY21" s="229">
        <v>0</v>
      </c>
      <c r="JQZ21" s="229">
        <v>0</v>
      </c>
      <c r="JRA21" s="229">
        <v>0</v>
      </c>
      <c r="JRB21" s="229">
        <v>0</v>
      </c>
      <c r="JRC21" s="229">
        <v>0</v>
      </c>
      <c r="JRD21" s="229">
        <v>0</v>
      </c>
      <c r="JRE21" s="229">
        <v>0</v>
      </c>
      <c r="JRF21" s="229">
        <v>0</v>
      </c>
      <c r="JRG21" s="229">
        <v>0</v>
      </c>
      <c r="JRH21" s="229">
        <v>0</v>
      </c>
      <c r="JRI21" s="229">
        <v>0</v>
      </c>
      <c r="JRJ21" s="229">
        <v>0</v>
      </c>
      <c r="JRK21" s="229">
        <v>0</v>
      </c>
      <c r="JRL21" s="229">
        <v>0</v>
      </c>
      <c r="JRM21" s="229">
        <v>0</v>
      </c>
      <c r="JRN21" s="229">
        <v>0</v>
      </c>
      <c r="JRO21" s="229">
        <v>0</v>
      </c>
      <c r="JRP21" s="229">
        <v>0</v>
      </c>
      <c r="JRQ21" s="229">
        <v>0</v>
      </c>
      <c r="JRR21" s="229">
        <v>0</v>
      </c>
      <c r="JRS21" s="229">
        <v>0</v>
      </c>
      <c r="JRT21" s="229">
        <v>0</v>
      </c>
      <c r="JRU21" s="229">
        <v>0</v>
      </c>
      <c r="JRV21" s="229">
        <v>0</v>
      </c>
      <c r="JRW21" s="229">
        <v>0</v>
      </c>
      <c r="JRX21" s="229">
        <v>0</v>
      </c>
      <c r="JRY21" s="229">
        <v>0</v>
      </c>
      <c r="JRZ21" s="229">
        <v>0</v>
      </c>
      <c r="JSA21" s="229">
        <v>0</v>
      </c>
      <c r="JSB21" s="229">
        <v>0</v>
      </c>
      <c r="JSC21" s="229">
        <v>0</v>
      </c>
      <c r="JSD21" s="229">
        <v>0</v>
      </c>
      <c r="JSE21" s="229">
        <v>0</v>
      </c>
      <c r="JSF21" s="229">
        <v>0</v>
      </c>
      <c r="JSG21" s="229">
        <v>0</v>
      </c>
      <c r="JSH21" s="229">
        <v>0</v>
      </c>
      <c r="JSI21" s="229">
        <v>0</v>
      </c>
      <c r="JSJ21" s="229">
        <v>0</v>
      </c>
      <c r="JSK21" s="229">
        <v>0</v>
      </c>
      <c r="JSL21" s="229">
        <v>0</v>
      </c>
      <c r="JSM21" s="229">
        <v>0</v>
      </c>
      <c r="JSN21" s="229">
        <v>0</v>
      </c>
      <c r="JSO21" s="229">
        <v>0</v>
      </c>
      <c r="JSP21" s="229">
        <v>0</v>
      </c>
      <c r="JSQ21" s="229">
        <v>0</v>
      </c>
      <c r="JSR21" s="229">
        <v>0</v>
      </c>
      <c r="JSS21" s="229">
        <v>0</v>
      </c>
      <c r="JST21" s="229">
        <v>0</v>
      </c>
      <c r="JSU21" s="229">
        <v>0</v>
      </c>
      <c r="JSV21" s="229">
        <v>0</v>
      </c>
      <c r="JSW21" s="229">
        <v>0</v>
      </c>
      <c r="JSX21" s="229">
        <v>0</v>
      </c>
      <c r="JSY21" s="229">
        <v>0</v>
      </c>
      <c r="JSZ21" s="229">
        <v>0</v>
      </c>
      <c r="JTA21" s="229">
        <v>0</v>
      </c>
      <c r="JTB21" s="229">
        <v>0</v>
      </c>
      <c r="JTC21" s="229">
        <v>0</v>
      </c>
      <c r="JTD21" s="229">
        <v>0</v>
      </c>
      <c r="JTE21" s="229">
        <v>0</v>
      </c>
      <c r="JTF21" s="229">
        <v>0</v>
      </c>
      <c r="JTG21" s="229">
        <v>0</v>
      </c>
      <c r="JTH21" s="229">
        <v>0</v>
      </c>
      <c r="JTI21" s="229">
        <v>0</v>
      </c>
      <c r="JTJ21" s="229">
        <v>0</v>
      </c>
      <c r="JTK21" s="229">
        <v>0</v>
      </c>
      <c r="JTL21" s="229">
        <v>0</v>
      </c>
      <c r="JTM21" s="229">
        <v>0</v>
      </c>
      <c r="JTN21" s="229">
        <v>0</v>
      </c>
      <c r="JTO21" s="229">
        <v>0</v>
      </c>
      <c r="JTP21" s="229">
        <v>0</v>
      </c>
      <c r="JTQ21" s="229">
        <v>0</v>
      </c>
      <c r="JTR21" s="229">
        <v>0</v>
      </c>
      <c r="JTS21" s="229">
        <v>0</v>
      </c>
      <c r="JTT21" s="229">
        <v>0</v>
      </c>
      <c r="JTU21" s="229">
        <v>0</v>
      </c>
      <c r="JTV21" s="229">
        <v>0</v>
      </c>
      <c r="JTW21" s="229">
        <v>0</v>
      </c>
      <c r="JTX21" s="229">
        <v>0</v>
      </c>
      <c r="JTY21" s="229">
        <v>0</v>
      </c>
      <c r="JTZ21" s="229">
        <v>0</v>
      </c>
      <c r="JUA21" s="229">
        <v>0</v>
      </c>
      <c r="JUB21" s="229">
        <v>0</v>
      </c>
      <c r="JUC21" s="229">
        <v>0</v>
      </c>
      <c r="JUD21" s="229">
        <v>0</v>
      </c>
      <c r="JUE21" s="229">
        <v>0</v>
      </c>
      <c r="JUF21" s="229">
        <v>0</v>
      </c>
      <c r="JUG21" s="229">
        <v>0</v>
      </c>
      <c r="JUH21" s="229">
        <v>0</v>
      </c>
      <c r="JUI21" s="229">
        <v>0</v>
      </c>
      <c r="JUJ21" s="229">
        <v>0</v>
      </c>
      <c r="JUK21" s="229">
        <v>0</v>
      </c>
      <c r="JUL21" s="229">
        <v>0</v>
      </c>
      <c r="JUM21" s="229">
        <v>0</v>
      </c>
      <c r="JUN21" s="229">
        <v>0</v>
      </c>
      <c r="JUO21" s="229">
        <v>0</v>
      </c>
      <c r="JUP21" s="229">
        <v>0</v>
      </c>
      <c r="JUQ21" s="229">
        <v>0</v>
      </c>
      <c r="JUR21" s="229">
        <v>0</v>
      </c>
      <c r="JUS21" s="229">
        <v>0</v>
      </c>
      <c r="JUT21" s="229">
        <v>0</v>
      </c>
      <c r="JUU21" s="229">
        <v>0</v>
      </c>
      <c r="JUV21" s="229">
        <v>0</v>
      </c>
      <c r="JUW21" s="229">
        <v>0</v>
      </c>
      <c r="JUX21" s="229">
        <v>0</v>
      </c>
      <c r="JUY21" s="229">
        <v>0</v>
      </c>
      <c r="JUZ21" s="229">
        <v>0</v>
      </c>
      <c r="JVA21" s="229">
        <v>0</v>
      </c>
      <c r="JVB21" s="229">
        <v>0</v>
      </c>
      <c r="JVC21" s="229">
        <v>0</v>
      </c>
      <c r="JVD21" s="229">
        <v>0</v>
      </c>
      <c r="JVE21" s="229">
        <v>0</v>
      </c>
      <c r="JVF21" s="229">
        <v>0</v>
      </c>
      <c r="JVG21" s="229">
        <v>0</v>
      </c>
      <c r="JVH21" s="229">
        <v>0</v>
      </c>
      <c r="JVI21" s="229">
        <v>0</v>
      </c>
      <c r="JVJ21" s="229">
        <v>0</v>
      </c>
      <c r="JVK21" s="229">
        <v>0</v>
      </c>
      <c r="JVL21" s="229">
        <v>0</v>
      </c>
      <c r="JVM21" s="229">
        <v>0</v>
      </c>
      <c r="JVN21" s="229">
        <v>0</v>
      </c>
      <c r="JVO21" s="229">
        <v>0</v>
      </c>
      <c r="JVP21" s="229">
        <v>0</v>
      </c>
      <c r="JVQ21" s="229">
        <v>0</v>
      </c>
      <c r="JVR21" s="229">
        <v>0</v>
      </c>
      <c r="JVS21" s="229">
        <v>0</v>
      </c>
      <c r="JVT21" s="229">
        <v>0</v>
      </c>
      <c r="JVU21" s="229">
        <v>0</v>
      </c>
      <c r="JVV21" s="229">
        <v>0</v>
      </c>
      <c r="JVW21" s="229">
        <v>0</v>
      </c>
      <c r="JVX21" s="229">
        <v>0</v>
      </c>
      <c r="JVY21" s="229">
        <v>0</v>
      </c>
      <c r="JVZ21" s="229">
        <v>0</v>
      </c>
      <c r="JWA21" s="229">
        <v>0</v>
      </c>
      <c r="JWB21" s="229">
        <v>0</v>
      </c>
      <c r="JWC21" s="229">
        <v>0</v>
      </c>
      <c r="JWD21" s="229">
        <v>0</v>
      </c>
      <c r="JWE21" s="229">
        <v>0</v>
      </c>
      <c r="JWF21" s="229">
        <v>0</v>
      </c>
      <c r="JWG21" s="229">
        <v>0</v>
      </c>
      <c r="JWH21" s="229">
        <v>0</v>
      </c>
      <c r="JWI21" s="229">
        <v>0</v>
      </c>
      <c r="JWJ21" s="229">
        <v>0</v>
      </c>
      <c r="JWK21" s="229">
        <v>0</v>
      </c>
      <c r="JWL21" s="229">
        <v>0</v>
      </c>
      <c r="JWM21" s="229">
        <v>0</v>
      </c>
      <c r="JWN21" s="229">
        <v>0</v>
      </c>
      <c r="JWO21" s="229">
        <v>0</v>
      </c>
      <c r="JWP21" s="229">
        <v>0</v>
      </c>
      <c r="JWQ21" s="229">
        <v>0</v>
      </c>
      <c r="JWR21" s="229">
        <v>0</v>
      </c>
      <c r="JWS21" s="229">
        <v>0</v>
      </c>
      <c r="JWT21" s="229">
        <v>0</v>
      </c>
      <c r="JWU21" s="229">
        <v>0</v>
      </c>
      <c r="JWV21" s="229">
        <v>0</v>
      </c>
      <c r="JWW21" s="229">
        <v>0</v>
      </c>
      <c r="JWX21" s="229">
        <v>0</v>
      </c>
      <c r="JWY21" s="229">
        <v>0</v>
      </c>
      <c r="JWZ21" s="229">
        <v>0</v>
      </c>
      <c r="JXA21" s="229">
        <v>0</v>
      </c>
      <c r="JXB21" s="229">
        <v>0</v>
      </c>
      <c r="JXC21" s="229">
        <v>0</v>
      </c>
      <c r="JXD21" s="229">
        <v>0</v>
      </c>
      <c r="JXE21" s="229">
        <v>0</v>
      </c>
      <c r="JXF21" s="229">
        <v>0</v>
      </c>
      <c r="JXG21" s="229">
        <v>0</v>
      </c>
      <c r="JXH21" s="229">
        <v>0</v>
      </c>
      <c r="JXI21" s="229">
        <v>0</v>
      </c>
      <c r="JXJ21" s="229">
        <v>0</v>
      </c>
      <c r="JXK21" s="229">
        <v>0</v>
      </c>
      <c r="JXL21" s="229">
        <v>0</v>
      </c>
      <c r="JXM21" s="229">
        <v>0</v>
      </c>
      <c r="JXN21" s="229">
        <v>0</v>
      </c>
      <c r="JXO21" s="229">
        <v>0</v>
      </c>
      <c r="JXP21" s="229">
        <v>0</v>
      </c>
      <c r="JXQ21" s="229">
        <v>0</v>
      </c>
      <c r="JXR21" s="229">
        <v>0</v>
      </c>
      <c r="JXS21" s="229">
        <v>0</v>
      </c>
      <c r="JXT21" s="229">
        <v>0</v>
      </c>
      <c r="JXU21" s="229">
        <v>0</v>
      </c>
      <c r="JXV21" s="229">
        <v>0</v>
      </c>
      <c r="JXW21" s="229">
        <v>0</v>
      </c>
      <c r="JXX21" s="229">
        <v>0</v>
      </c>
      <c r="JXY21" s="229">
        <v>0</v>
      </c>
      <c r="JXZ21" s="229">
        <v>0</v>
      </c>
      <c r="JYA21" s="229">
        <v>0</v>
      </c>
      <c r="JYB21" s="229">
        <v>0</v>
      </c>
      <c r="JYC21" s="229">
        <v>0</v>
      </c>
      <c r="JYD21" s="229">
        <v>0</v>
      </c>
      <c r="JYE21" s="229">
        <v>0</v>
      </c>
      <c r="JYF21" s="229">
        <v>0</v>
      </c>
      <c r="JYG21" s="229">
        <v>0</v>
      </c>
      <c r="JYH21" s="229">
        <v>0</v>
      </c>
      <c r="JYI21" s="229">
        <v>0</v>
      </c>
      <c r="JYJ21" s="229">
        <v>0</v>
      </c>
      <c r="JYK21" s="229">
        <v>0</v>
      </c>
      <c r="JYL21" s="229">
        <v>0</v>
      </c>
      <c r="JYM21" s="229">
        <v>0</v>
      </c>
      <c r="JYN21" s="229">
        <v>0</v>
      </c>
      <c r="JYO21" s="229">
        <v>0</v>
      </c>
      <c r="JYP21" s="229">
        <v>0</v>
      </c>
      <c r="JYQ21" s="229">
        <v>0</v>
      </c>
      <c r="JYR21" s="229">
        <v>0</v>
      </c>
      <c r="JYS21" s="229">
        <v>0</v>
      </c>
      <c r="JYT21" s="229">
        <v>0</v>
      </c>
      <c r="JYU21" s="229">
        <v>0</v>
      </c>
      <c r="JYV21" s="229">
        <v>0</v>
      </c>
      <c r="JYW21" s="229">
        <v>0</v>
      </c>
      <c r="JYX21" s="229">
        <v>0</v>
      </c>
      <c r="JYY21" s="229">
        <v>0</v>
      </c>
      <c r="JYZ21" s="229">
        <v>0</v>
      </c>
      <c r="JZA21" s="229">
        <v>0</v>
      </c>
      <c r="JZB21" s="229">
        <v>0</v>
      </c>
      <c r="JZC21" s="229">
        <v>0</v>
      </c>
      <c r="JZD21" s="229">
        <v>0</v>
      </c>
      <c r="JZE21" s="229">
        <v>0</v>
      </c>
      <c r="JZF21" s="229">
        <v>0</v>
      </c>
      <c r="JZG21" s="229">
        <v>0</v>
      </c>
      <c r="JZH21" s="229">
        <v>0</v>
      </c>
      <c r="JZI21" s="229">
        <v>0</v>
      </c>
      <c r="JZJ21" s="229">
        <v>0</v>
      </c>
      <c r="JZK21" s="229">
        <v>0</v>
      </c>
      <c r="JZL21" s="229">
        <v>0</v>
      </c>
      <c r="JZM21" s="229">
        <v>0</v>
      </c>
      <c r="JZN21" s="229">
        <v>0</v>
      </c>
      <c r="JZO21" s="229">
        <v>0</v>
      </c>
      <c r="JZP21" s="229">
        <v>0</v>
      </c>
      <c r="JZQ21" s="229">
        <v>0</v>
      </c>
      <c r="JZR21" s="229">
        <v>0</v>
      </c>
      <c r="JZS21" s="229">
        <v>0</v>
      </c>
      <c r="JZT21" s="229">
        <v>0</v>
      </c>
      <c r="JZU21" s="229">
        <v>0</v>
      </c>
      <c r="JZV21" s="229">
        <v>0</v>
      </c>
      <c r="JZW21" s="229">
        <v>0</v>
      </c>
      <c r="JZX21" s="229">
        <v>0</v>
      </c>
      <c r="JZY21" s="229">
        <v>0</v>
      </c>
      <c r="JZZ21" s="229">
        <v>0</v>
      </c>
      <c r="KAA21" s="229">
        <v>0</v>
      </c>
      <c r="KAB21" s="229">
        <v>0</v>
      </c>
      <c r="KAC21" s="229">
        <v>0</v>
      </c>
      <c r="KAD21" s="229">
        <v>0</v>
      </c>
      <c r="KAE21" s="229">
        <v>0</v>
      </c>
      <c r="KAF21" s="229">
        <v>0</v>
      </c>
      <c r="KAG21" s="229">
        <v>0</v>
      </c>
      <c r="KAH21" s="229">
        <v>0</v>
      </c>
      <c r="KAI21" s="229">
        <v>0</v>
      </c>
      <c r="KAJ21" s="229">
        <v>0</v>
      </c>
      <c r="KAK21" s="229">
        <v>0</v>
      </c>
      <c r="KAL21" s="229">
        <v>0</v>
      </c>
      <c r="KAM21" s="229">
        <v>0</v>
      </c>
      <c r="KAN21" s="229">
        <v>0</v>
      </c>
      <c r="KAO21" s="229">
        <v>0</v>
      </c>
      <c r="KAP21" s="229">
        <v>0</v>
      </c>
      <c r="KAQ21" s="229">
        <v>0</v>
      </c>
      <c r="KAR21" s="229">
        <v>0</v>
      </c>
      <c r="KAS21" s="229">
        <v>0</v>
      </c>
      <c r="KAT21" s="229">
        <v>0</v>
      </c>
      <c r="KAU21" s="229">
        <v>0</v>
      </c>
      <c r="KAV21" s="229">
        <v>0</v>
      </c>
      <c r="KAW21" s="229">
        <v>0</v>
      </c>
      <c r="KAX21" s="229">
        <v>0</v>
      </c>
      <c r="KAY21" s="229">
        <v>0</v>
      </c>
      <c r="KAZ21" s="229">
        <v>0</v>
      </c>
      <c r="KBA21" s="229">
        <v>0</v>
      </c>
      <c r="KBB21" s="229">
        <v>0</v>
      </c>
      <c r="KBC21" s="229">
        <v>0</v>
      </c>
      <c r="KBD21" s="229">
        <v>0</v>
      </c>
      <c r="KBE21" s="229">
        <v>0</v>
      </c>
      <c r="KBF21" s="229">
        <v>0</v>
      </c>
      <c r="KBG21" s="229">
        <v>0</v>
      </c>
      <c r="KBH21" s="229">
        <v>0</v>
      </c>
      <c r="KBI21" s="229">
        <v>0</v>
      </c>
      <c r="KBJ21" s="229">
        <v>0</v>
      </c>
      <c r="KBK21" s="229">
        <v>0</v>
      </c>
      <c r="KBL21" s="229">
        <v>0</v>
      </c>
      <c r="KBM21" s="229">
        <v>0</v>
      </c>
      <c r="KBN21" s="229">
        <v>0</v>
      </c>
      <c r="KBO21" s="229">
        <v>0</v>
      </c>
      <c r="KBP21" s="229">
        <v>0</v>
      </c>
      <c r="KBQ21" s="229">
        <v>0</v>
      </c>
      <c r="KBR21" s="229">
        <v>0</v>
      </c>
      <c r="KBS21" s="229">
        <v>0</v>
      </c>
      <c r="KBT21" s="229">
        <v>0</v>
      </c>
      <c r="KBU21" s="229">
        <v>0</v>
      </c>
      <c r="KBV21" s="229">
        <v>0</v>
      </c>
      <c r="KBW21" s="229">
        <v>0</v>
      </c>
      <c r="KBX21" s="229">
        <v>0</v>
      </c>
      <c r="KBY21" s="229">
        <v>0</v>
      </c>
      <c r="KBZ21" s="229">
        <v>0</v>
      </c>
      <c r="KCA21" s="229">
        <v>0</v>
      </c>
      <c r="KCB21" s="229">
        <v>0</v>
      </c>
      <c r="KCC21" s="229">
        <v>0</v>
      </c>
      <c r="KCD21" s="229">
        <v>0</v>
      </c>
      <c r="KCE21" s="229">
        <v>0</v>
      </c>
      <c r="KCF21" s="229">
        <v>0</v>
      </c>
      <c r="KCG21" s="229">
        <v>0</v>
      </c>
      <c r="KCH21" s="229">
        <v>0</v>
      </c>
      <c r="KCI21" s="229">
        <v>0</v>
      </c>
      <c r="KCJ21" s="229">
        <v>0</v>
      </c>
      <c r="KCK21" s="229">
        <v>0</v>
      </c>
      <c r="KCL21" s="229">
        <v>0</v>
      </c>
      <c r="KCM21" s="229">
        <v>0</v>
      </c>
      <c r="KCN21" s="229">
        <v>0</v>
      </c>
      <c r="KCO21" s="229">
        <v>0</v>
      </c>
      <c r="KCP21" s="229">
        <v>0</v>
      </c>
      <c r="KCQ21" s="229">
        <v>0</v>
      </c>
      <c r="KCR21" s="229">
        <v>0</v>
      </c>
      <c r="KCS21" s="229">
        <v>0</v>
      </c>
      <c r="KCT21" s="229">
        <v>0</v>
      </c>
      <c r="KCU21" s="229">
        <v>0</v>
      </c>
      <c r="KCV21" s="229">
        <v>0</v>
      </c>
      <c r="KCW21" s="229">
        <v>0</v>
      </c>
      <c r="KCX21" s="229">
        <v>0</v>
      </c>
      <c r="KCY21" s="229">
        <v>0</v>
      </c>
      <c r="KCZ21" s="229">
        <v>0</v>
      </c>
      <c r="KDA21" s="229">
        <v>0</v>
      </c>
      <c r="KDB21" s="229">
        <v>0</v>
      </c>
      <c r="KDC21" s="229">
        <v>0</v>
      </c>
      <c r="KDD21" s="229">
        <v>0</v>
      </c>
      <c r="KDE21" s="229">
        <v>0</v>
      </c>
      <c r="KDF21" s="229">
        <v>0</v>
      </c>
      <c r="KDG21" s="229">
        <v>0</v>
      </c>
      <c r="KDH21" s="229">
        <v>0</v>
      </c>
      <c r="KDI21" s="229">
        <v>0</v>
      </c>
      <c r="KDJ21" s="229">
        <v>0</v>
      </c>
      <c r="KDK21" s="229">
        <v>0</v>
      </c>
      <c r="KDL21" s="229">
        <v>0</v>
      </c>
      <c r="KDM21" s="229">
        <v>0</v>
      </c>
      <c r="KDN21" s="229">
        <v>0</v>
      </c>
      <c r="KDO21" s="229">
        <v>0</v>
      </c>
      <c r="KDP21" s="229">
        <v>0</v>
      </c>
      <c r="KDQ21" s="229">
        <v>0</v>
      </c>
      <c r="KDR21" s="229">
        <v>0</v>
      </c>
      <c r="KDS21" s="229">
        <v>0</v>
      </c>
      <c r="KDT21" s="229">
        <v>0</v>
      </c>
      <c r="KDU21" s="229">
        <v>0</v>
      </c>
      <c r="KDV21" s="229">
        <v>0</v>
      </c>
      <c r="KDW21" s="229">
        <v>0</v>
      </c>
      <c r="KDX21" s="229">
        <v>0</v>
      </c>
      <c r="KDY21" s="229">
        <v>0</v>
      </c>
      <c r="KDZ21" s="229">
        <v>0</v>
      </c>
      <c r="KEA21" s="229">
        <v>0</v>
      </c>
      <c r="KEB21" s="229">
        <v>0</v>
      </c>
      <c r="KEC21" s="229">
        <v>0</v>
      </c>
      <c r="KED21" s="229">
        <v>0</v>
      </c>
      <c r="KEE21" s="229">
        <v>0</v>
      </c>
      <c r="KEF21" s="229">
        <v>0</v>
      </c>
      <c r="KEG21" s="229">
        <v>0</v>
      </c>
      <c r="KEH21" s="229">
        <v>0</v>
      </c>
      <c r="KEI21" s="229">
        <v>0</v>
      </c>
      <c r="KEJ21" s="229">
        <v>0</v>
      </c>
      <c r="KEK21" s="229">
        <v>0</v>
      </c>
      <c r="KEL21" s="229">
        <v>0</v>
      </c>
      <c r="KEM21" s="229">
        <v>0</v>
      </c>
      <c r="KEN21" s="229">
        <v>0</v>
      </c>
      <c r="KEO21" s="229">
        <v>0</v>
      </c>
      <c r="KEP21" s="229">
        <v>0</v>
      </c>
      <c r="KEQ21" s="229">
        <v>0</v>
      </c>
      <c r="KER21" s="229">
        <v>0</v>
      </c>
      <c r="KES21" s="229">
        <v>0</v>
      </c>
      <c r="KET21" s="229">
        <v>0</v>
      </c>
      <c r="KEU21" s="229">
        <v>0</v>
      </c>
      <c r="KEV21" s="229">
        <v>0</v>
      </c>
      <c r="KEW21" s="229">
        <v>0</v>
      </c>
      <c r="KEX21" s="229">
        <v>0</v>
      </c>
      <c r="KEY21" s="229">
        <v>0</v>
      </c>
      <c r="KEZ21" s="229">
        <v>0</v>
      </c>
      <c r="KFA21" s="229">
        <v>0</v>
      </c>
      <c r="KFB21" s="229">
        <v>0</v>
      </c>
      <c r="KFC21" s="229">
        <v>0</v>
      </c>
      <c r="KFD21" s="229">
        <v>0</v>
      </c>
      <c r="KFE21" s="229">
        <v>0</v>
      </c>
      <c r="KFF21" s="229">
        <v>0</v>
      </c>
      <c r="KFG21" s="229">
        <v>0</v>
      </c>
      <c r="KFH21" s="229">
        <v>0</v>
      </c>
      <c r="KFI21" s="229">
        <v>0</v>
      </c>
      <c r="KFJ21" s="229">
        <v>0</v>
      </c>
      <c r="KFK21" s="229">
        <v>0</v>
      </c>
      <c r="KFL21" s="229">
        <v>0</v>
      </c>
      <c r="KFM21" s="229">
        <v>0</v>
      </c>
      <c r="KFN21" s="229">
        <v>0</v>
      </c>
      <c r="KFO21" s="229">
        <v>0</v>
      </c>
      <c r="KFP21" s="229">
        <v>0</v>
      </c>
      <c r="KFQ21" s="229">
        <v>0</v>
      </c>
      <c r="KFR21" s="229">
        <v>0</v>
      </c>
      <c r="KFS21" s="229">
        <v>0</v>
      </c>
      <c r="KFT21" s="229">
        <v>0</v>
      </c>
      <c r="KFU21" s="229">
        <v>0</v>
      </c>
      <c r="KFV21" s="229">
        <v>0</v>
      </c>
      <c r="KFW21" s="229">
        <v>0</v>
      </c>
      <c r="KFX21" s="229">
        <v>0</v>
      </c>
      <c r="KFY21" s="229">
        <v>0</v>
      </c>
      <c r="KFZ21" s="229">
        <v>0</v>
      </c>
      <c r="KGA21" s="229">
        <v>0</v>
      </c>
      <c r="KGB21" s="229">
        <v>0</v>
      </c>
      <c r="KGC21" s="229">
        <v>0</v>
      </c>
      <c r="KGD21" s="229">
        <v>0</v>
      </c>
      <c r="KGE21" s="229">
        <v>0</v>
      </c>
      <c r="KGF21" s="229">
        <v>0</v>
      </c>
      <c r="KGG21" s="229">
        <v>0</v>
      </c>
      <c r="KGH21" s="229">
        <v>0</v>
      </c>
      <c r="KGI21" s="229">
        <v>0</v>
      </c>
      <c r="KGJ21" s="229">
        <v>0</v>
      </c>
      <c r="KGK21" s="229">
        <v>0</v>
      </c>
      <c r="KGL21" s="229">
        <v>0</v>
      </c>
      <c r="KGM21" s="229">
        <v>0</v>
      </c>
      <c r="KGN21" s="229">
        <v>0</v>
      </c>
      <c r="KGO21" s="229">
        <v>0</v>
      </c>
      <c r="KGP21" s="229">
        <v>0</v>
      </c>
      <c r="KGQ21" s="229">
        <v>0</v>
      </c>
      <c r="KGR21" s="229">
        <v>0</v>
      </c>
      <c r="KGS21" s="229">
        <v>0</v>
      </c>
      <c r="KGT21" s="229">
        <v>0</v>
      </c>
      <c r="KGU21" s="229">
        <v>0</v>
      </c>
      <c r="KGV21" s="229">
        <v>0</v>
      </c>
      <c r="KGW21" s="229">
        <v>0</v>
      </c>
      <c r="KGX21" s="229">
        <v>0</v>
      </c>
      <c r="KGY21" s="229">
        <v>0</v>
      </c>
      <c r="KGZ21" s="229">
        <v>0</v>
      </c>
      <c r="KHA21" s="229">
        <v>0</v>
      </c>
      <c r="KHB21" s="229">
        <v>0</v>
      </c>
      <c r="KHC21" s="229">
        <v>0</v>
      </c>
      <c r="KHD21" s="229">
        <v>0</v>
      </c>
      <c r="KHE21" s="229">
        <v>0</v>
      </c>
      <c r="KHF21" s="229">
        <v>0</v>
      </c>
      <c r="KHG21" s="229">
        <v>0</v>
      </c>
      <c r="KHH21" s="229">
        <v>0</v>
      </c>
      <c r="KHI21" s="229">
        <v>0</v>
      </c>
      <c r="KHJ21" s="229">
        <v>0</v>
      </c>
      <c r="KHK21" s="229">
        <v>0</v>
      </c>
      <c r="KHL21" s="229">
        <v>0</v>
      </c>
      <c r="KHM21" s="229">
        <v>0</v>
      </c>
      <c r="KHN21" s="229">
        <v>0</v>
      </c>
      <c r="KHO21" s="229">
        <v>0</v>
      </c>
      <c r="KHP21" s="229">
        <v>0</v>
      </c>
      <c r="KHQ21" s="229">
        <v>0</v>
      </c>
      <c r="KHR21" s="229">
        <v>0</v>
      </c>
      <c r="KHS21" s="229">
        <v>0</v>
      </c>
      <c r="KHT21" s="229">
        <v>0</v>
      </c>
      <c r="KHU21" s="229">
        <v>0</v>
      </c>
      <c r="KHV21" s="229">
        <v>0</v>
      </c>
      <c r="KHW21" s="229">
        <v>0</v>
      </c>
      <c r="KHX21" s="229">
        <v>0</v>
      </c>
      <c r="KHY21" s="229">
        <v>0</v>
      </c>
      <c r="KHZ21" s="229">
        <v>0</v>
      </c>
      <c r="KIA21" s="229">
        <v>0</v>
      </c>
      <c r="KIB21" s="229">
        <v>0</v>
      </c>
      <c r="KIC21" s="229">
        <v>0</v>
      </c>
      <c r="KID21" s="229">
        <v>0</v>
      </c>
      <c r="KIE21" s="229">
        <v>0</v>
      </c>
      <c r="KIF21" s="229">
        <v>0</v>
      </c>
      <c r="KIG21" s="229">
        <v>0</v>
      </c>
      <c r="KIH21" s="229">
        <v>0</v>
      </c>
      <c r="KII21" s="229">
        <v>0</v>
      </c>
      <c r="KIJ21" s="229">
        <v>0</v>
      </c>
      <c r="KIK21" s="229">
        <v>0</v>
      </c>
      <c r="KIL21" s="229">
        <v>0</v>
      </c>
      <c r="KIM21" s="229">
        <v>0</v>
      </c>
      <c r="KIN21" s="229">
        <v>0</v>
      </c>
      <c r="KIO21" s="229">
        <v>0</v>
      </c>
      <c r="KIP21" s="229">
        <v>0</v>
      </c>
      <c r="KIQ21" s="229">
        <v>0</v>
      </c>
      <c r="KIR21" s="229">
        <v>0</v>
      </c>
      <c r="KIS21" s="229">
        <v>0</v>
      </c>
      <c r="KIT21" s="229">
        <v>0</v>
      </c>
      <c r="KIU21" s="229">
        <v>0</v>
      </c>
      <c r="KIV21" s="229">
        <v>0</v>
      </c>
      <c r="KIW21" s="229">
        <v>0</v>
      </c>
      <c r="KIX21" s="229">
        <v>0</v>
      </c>
      <c r="KIY21" s="229">
        <v>0</v>
      </c>
      <c r="KIZ21" s="229">
        <v>0</v>
      </c>
      <c r="KJA21" s="229">
        <v>0</v>
      </c>
      <c r="KJB21" s="229">
        <v>0</v>
      </c>
      <c r="KJC21" s="229">
        <v>0</v>
      </c>
      <c r="KJD21" s="229">
        <v>0</v>
      </c>
      <c r="KJE21" s="229">
        <v>0</v>
      </c>
      <c r="KJF21" s="229">
        <v>0</v>
      </c>
      <c r="KJG21" s="229">
        <v>0</v>
      </c>
      <c r="KJH21" s="229">
        <v>0</v>
      </c>
      <c r="KJI21" s="229">
        <v>0</v>
      </c>
      <c r="KJJ21" s="229">
        <v>0</v>
      </c>
      <c r="KJK21" s="229">
        <v>0</v>
      </c>
      <c r="KJL21" s="229">
        <v>0</v>
      </c>
      <c r="KJM21" s="229">
        <v>0</v>
      </c>
      <c r="KJN21" s="229">
        <v>0</v>
      </c>
      <c r="KJO21" s="229">
        <v>0</v>
      </c>
      <c r="KJP21" s="229">
        <v>0</v>
      </c>
      <c r="KJQ21" s="229">
        <v>0</v>
      </c>
      <c r="KJR21" s="229">
        <v>0</v>
      </c>
      <c r="KJS21" s="229">
        <v>0</v>
      </c>
      <c r="KJT21" s="229">
        <v>0</v>
      </c>
      <c r="KJU21" s="229">
        <v>0</v>
      </c>
      <c r="KJV21" s="229">
        <v>0</v>
      </c>
      <c r="KJW21" s="229">
        <v>0</v>
      </c>
      <c r="KJX21" s="229">
        <v>0</v>
      </c>
      <c r="KJY21" s="229">
        <v>0</v>
      </c>
      <c r="KJZ21" s="229">
        <v>0</v>
      </c>
      <c r="KKA21" s="229">
        <v>0</v>
      </c>
      <c r="KKB21" s="229">
        <v>0</v>
      </c>
      <c r="KKC21" s="229">
        <v>0</v>
      </c>
      <c r="KKD21" s="229">
        <v>0</v>
      </c>
      <c r="KKE21" s="229">
        <v>0</v>
      </c>
      <c r="KKF21" s="229">
        <v>0</v>
      </c>
      <c r="KKG21" s="229">
        <v>0</v>
      </c>
      <c r="KKH21" s="229">
        <v>0</v>
      </c>
      <c r="KKI21" s="229">
        <v>0</v>
      </c>
      <c r="KKJ21" s="229">
        <v>0</v>
      </c>
      <c r="KKK21" s="229">
        <v>0</v>
      </c>
      <c r="KKL21" s="229">
        <v>0</v>
      </c>
      <c r="KKM21" s="229">
        <v>0</v>
      </c>
      <c r="KKN21" s="229">
        <v>0</v>
      </c>
      <c r="KKO21" s="229">
        <v>0</v>
      </c>
      <c r="KKP21" s="229">
        <v>0</v>
      </c>
      <c r="KKQ21" s="229">
        <v>0</v>
      </c>
      <c r="KKR21" s="229">
        <v>0</v>
      </c>
      <c r="KKS21" s="229">
        <v>0</v>
      </c>
      <c r="KKT21" s="229">
        <v>0</v>
      </c>
      <c r="KKU21" s="229">
        <v>0</v>
      </c>
      <c r="KKV21" s="229">
        <v>0</v>
      </c>
      <c r="KKW21" s="229">
        <v>0</v>
      </c>
      <c r="KKX21" s="229">
        <v>0</v>
      </c>
      <c r="KKY21" s="229">
        <v>0</v>
      </c>
      <c r="KKZ21" s="229">
        <v>0</v>
      </c>
      <c r="KLA21" s="229">
        <v>0</v>
      </c>
      <c r="KLB21" s="229">
        <v>0</v>
      </c>
      <c r="KLC21" s="229">
        <v>0</v>
      </c>
      <c r="KLD21" s="229">
        <v>0</v>
      </c>
      <c r="KLE21" s="229">
        <v>0</v>
      </c>
      <c r="KLF21" s="229">
        <v>0</v>
      </c>
      <c r="KLG21" s="229">
        <v>0</v>
      </c>
      <c r="KLH21" s="229">
        <v>0</v>
      </c>
      <c r="KLI21" s="229">
        <v>0</v>
      </c>
      <c r="KLJ21" s="229">
        <v>0</v>
      </c>
      <c r="KLK21" s="229">
        <v>0</v>
      </c>
      <c r="KLL21" s="229">
        <v>0</v>
      </c>
      <c r="KLM21" s="229">
        <v>0</v>
      </c>
      <c r="KLN21" s="229">
        <v>0</v>
      </c>
      <c r="KLO21" s="229">
        <v>0</v>
      </c>
      <c r="KLP21" s="229">
        <v>0</v>
      </c>
      <c r="KLQ21" s="229">
        <v>0</v>
      </c>
      <c r="KLR21" s="229">
        <v>0</v>
      </c>
      <c r="KLS21" s="229">
        <v>0</v>
      </c>
      <c r="KLT21" s="229">
        <v>0</v>
      </c>
      <c r="KLU21" s="229">
        <v>0</v>
      </c>
      <c r="KLV21" s="229">
        <v>0</v>
      </c>
      <c r="KLW21" s="229">
        <v>0</v>
      </c>
      <c r="KLX21" s="229">
        <v>0</v>
      </c>
      <c r="KLY21" s="229">
        <v>0</v>
      </c>
      <c r="KLZ21" s="229">
        <v>0</v>
      </c>
      <c r="KMA21" s="229">
        <v>0</v>
      </c>
      <c r="KMB21" s="229">
        <v>0</v>
      </c>
      <c r="KMC21" s="229">
        <v>0</v>
      </c>
      <c r="KMD21" s="229">
        <v>0</v>
      </c>
      <c r="KME21" s="229">
        <v>0</v>
      </c>
      <c r="KMF21" s="229">
        <v>0</v>
      </c>
      <c r="KMG21" s="229">
        <v>0</v>
      </c>
      <c r="KMH21" s="229">
        <v>0</v>
      </c>
      <c r="KMI21" s="229">
        <v>0</v>
      </c>
      <c r="KMJ21" s="229">
        <v>0</v>
      </c>
      <c r="KMK21" s="229">
        <v>0</v>
      </c>
      <c r="KML21" s="229">
        <v>0</v>
      </c>
      <c r="KMM21" s="229">
        <v>0</v>
      </c>
      <c r="KMN21" s="229">
        <v>0</v>
      </c>
      <c r="KMO21" s="229">
        <v>0</v>
      </c>
      <c r="KMP21" s="229">
        <v>0</v>
      </c>
      <c r="KMQ21" s="229">
        <v>0</v>
      </c>
      <c r="KMR21" s="229">
        <v>0</v>
      </c>
      <c r="KMS21" s="229">
        <v>0</v>
      </c>
      <c r="KMT21" s="229">
        <v>0</v>
      </c>
      <c r="KMU21" s="229">
        <v>0</v>
      </c>
      <c r="KMV21" s="229">
        <v>0</v>
      </c>
      <c r="KMW21" s="229">
        <v>0</v>
      </c>
      <c r="KMX21" s="229">
        <v>0</v>
      </c>
      <c r="KMY21" s="229">
        <v>0</v>
      </c>
      <c r="KMZ21" s="229">
        <v>0</v>
      </c>
      <c r="KNA21" s="229">
        <v>0</v>
      </c>
      <c r="KNB21" s="229">
        <v>0</v>
      </c>
      <c r="KNC21" s="229">
        <v>0</v>
      </c>
      <c r="KND21" s="229">
        <v>0</v>
      </c>
      <c r="KNE21" s="229">
        <v>0</v>
      </c>
      <c r="KNF21" s="229">
        <v>0</v>
      </c>
      <c r="KNG21" s="229">
        <v>0</v>
      </c>
      <c r="KNH21" s="229">
        <v>0</v>
      </c>
      <c r="KNI21" s="229">
        <v>0</v>
      </c>
      <c r="KNJ21" s="229">
        <v>0</v>
      </c>
      <c r="KNK21" s="229">
        <v>0</v>
      </c>
      <c r="KNL21" s="229">
        <v>0</v>
      </c>
      <c r="KNM21" s="229">
        <v>0</v>
      </c>
      <c r="KNN21" s="229">
        <v>0</v>
      </c>
      <c r="KNO21" s="229">
        <v>0</v>
      </c>
      <c r="KNP21" s="229">
        <v>0</v>
      </c>
      <c r="KNQ21" s="229">
        <v>0</v>
      </c>
      <c r="KNR21" s="229">
        <v>0</v>
      </c>
      <c r="KNS21" s="229">
        <v>0</v>
      </c>
      <c r="KNT21" s="229">
        <v>0</v>
      </c>
      <c r="KNU21" s="229">
        <v>0</v>
      </c>
      <c r="KNV21" s="229">
        <v>0</v>
      </c>
      <c r="KNW21" s="229">
        <v>0</v>
      </c>
      <c r="KNX21" s="229">
        <v>0</v>
      </c>
      <c r="KNY21" s="229">
        <v>0</v>
      </c>
      <c r="KNZ21" s="229">
        <v>0</v>
      </c>
      <c r="KOA21" s="229">
        <v>0</v>
      </c>
      <c r="KOB21" s="229">
        <v>0</v>
      </c>
      <c r="KOC21" s="229">
        <v>0</v>
      </c>
      <c r="KOD21" s="229">
        <v>0</v>
      </c>
      <c r="KOE21" s="229">
        <v>0</v>
      </c>
      <c r="KOF21" s="229">
        <v>0</v>
      </c>
      <c r="KOG21" s="229">
        <v>0</v>
      </c>
      <c r="KOH21" s="229">
        <v>0</v>
      </c>
      <c r="KOI21" s="229">
        <v>0</v>
      </c>
      <c r="KOJ21" s="229">
        <v>0</v>
      </c>
      <c r="KOK21" s="229">
        <v>0</v>
      </c>
      <c r="KOL21" s="229">
        <v>0</v>
      </c>
      <c r="KOM21" s="229">
        <v>0</v>
      </c>
      <c r="KON21" s="229">
        <v>0</v>
      </c>
      <c r="KOO21" s="229">
        <v>0</v>
      </c>
      <c r="KOP21" s="229">
        <v>0</v>
      </c>
      <c r="KOQ21" s="229">
        <v>0</v>
      </c>
      <c r="KOR21" s="229">
        <v>0</v>
      </c>
      <c r="KOS21" s="229">
        <v>0</v>
      </c>
      <c r="KOT21" s="229">
        <v>0</v>
      </c>
      <c r="KOU21" s="229">
        <v>0</v>
      </c>
      <c r="KOV21" s="229">
        <v>0</v>
      </c>
      <c r="KOW21" s="229">
        <v>0</v>
      </c>
      <c r="KOX21" s="229">
        <v>0</v>
      </c>
      <c r="KOY21" s="229">
        <v>0</v>
      </c>
      <c r="KOZ21" s="229">
        <v>0</v>
      </c>
      <c r="KPA21" s="229">
        <v>0</v>
      </c>
      <c r="KPB21" s="229">
        <v>0</v>
      </c>
      <c r="KPC21" s="229">
        <v>0</v>
      </c>
      <c r="KPD21" s="229">
        <v>0</v>
      </c>
      <c r="KPE21" s="229">
        <v>0</v>
      </c>
      <c r="KPF21" s="229">
        <v>0</v>
      </c>
      <c r="KPG21" s="229">
        <v>0</v>
      </c>
      <c r="KPH21" s="229">
        <v>0</v>
      </c>
      <c r="KPI21" s="229">
        <v>0</v>
      </c>
      <c r="KPJ21" s="229">
        <v>0</v>
      </c>
      <c r="KPK21" s="229">
        <v>0</v>
      </c>
      <c r="KPL21" s="229">
        <v>0</v>
      </c>
      <c r="KPM21" s="229">
        <v>0</v>
      </c>
      <c r="KPN21" s="229">
        <v>0</v>
      </c>
      <c r="KPO21" s="229">
        <v>0</v>
      </c>
      <c r="KPP21" s="229">
        <v>0</v>
      </c>
      <c r="KPQ21" s="229">
        <v>0</v>
      </c>
      <c r="KPR21" s="229">
        <v>0</v>
      </c>
      <c r="KPS21" s="229">
        <v>0</v>
      </c>
      <c r="KPT21" s="229">
        <v>0</v>
      </c>
      <c r="KPU21" s="229">
        <v>0</v>
      </c>
      <c r="KPV21" s="229">
        <v>0</v>
      </c>
      <c r="KPW21" s="229">
        <v>0</v>
      </c>
      <c r="KPX21" s="229">
        <v>0</v>
      </c>
      <c r="KPY21" s="229">
        <v>0</v>
      </c>
      <c r="KPZ21" s="229">
        <v>0</v>
      </c>
      <c r="KQA21" s="229">
        <v>0</v>
      </c>
      <c r="KQB21" s="229">
        <v>0</v>
      </c>
      <c r="KQC21" s="229">
        <v>0</v>
      </c>
      <c r="KQD21" s="229">
        <v>0</v>
      </c>
      <c r="KQE21" s="229">
        <v>0</v>
      </c>
      <c r="KQF21" s="229">
        <v>0</v>
      </c>
      <c r="KQG21" s="229">
        <v>0</v>
      </c>
      <c r="KQH21" s="229">
        <v>0</v>
      </c>
      <c r="KQI21" s="229">
        <v>0</v>
      </c>
      <c r="KQJ21" s="229">
        <v>0</v>
      </c>
      <c r="KQK21" s="229">
        <v>0</v>
      </c>
      <c r="KQL21" s="229">
        <v>0</v>
      </c>
      <c r="KQM21" s="229">
        <v>0</v>
      </c>
      <c r="KQN21" s="229">
        <v>0</v>
      </c>
      <c r="KQO21" s="229">
        <v>0</v>
      </c>
      <c r="KQP21" s="229">
        <v>0</v>
      </c>
      <c r="KQQ21" s="229">
        <v>0</v>
      </c>
      <c r="KQR21" s="229">
        <v>0</v>
      </c>
      <c r="KQS21" s="229">
        <v>0</v>
      </c>
      <c r="KQT21" s="229">
        <v>0</v>
      </c>
      <c r="KQU21" s="229">
        <v>0</v>
      </c>
      <c r="KQV21" s="229">
        <v>0</v>
      </c>
      <c r="KQW21" s="229">
        <v>0</v>
      </c>
      <c r="KQX21" s="229">
        <v>0</v>
      </c>
      <c r="KQY21" s="229">
        <v>0</v>
      </c>
      <c r="KQZ21" s="229">
        <v>0</v>
      </c>
      <c r="KRA21" s="229">
        <v>0</v>
      </c>
      <c r="KRB21" s="229">
        <v>0</v>
      </c>
      <c r="KRC21" s="229">
        <v>0</v>
      </c>
      <c r="KRD21" s="229">
        <v>0</v>
      </c>
      <c r="KRE21" s="229">
        <v>0</v>
      </c>
      <c r="KRF21" s="229">
        <v>0</v>
      </c>
      <c r="KRG21" s="229">
        <v>0</v>
      </c>
      <c r="KRH21" s="229">
        <v>0</v>
      </c>
      <c r="KRI21" s="229">
        <v>0</v>
      </c>
      <c r="KRJ21" s="229">
        <v>0</v>
      </c>
      <c r="KRK21" s="229">
        <v>0</v>
      </c>
      <c r="KRL21" s="229">
        <v>0</v>
      </c>
      <c r="KRM21" s="229">
        <v>0</v>
      </c>
      <c r="KRN21" s="229">
        <v>0</v>
      </c>
      <c r="KRO21" s="229">
        <v>0</v>
      </c>
      <c r="KRP21" s="229">
        <v>0</v>
      </c>
      <c r="KRQ21" s="229">
        <v>0</v>
      </c>
      <c r="KRR21" s="229">
        <v>0</v>
      </c>
      <c r="KRS21" s="229">
        <v>0</v>
      </c>
      <c r="KRT21" s="229">
        <v>0</v>
      </c>
      <c r="KRU21" s="229">
        <v>0</v>
      </c>
      <c r="KRV21" s="229">
        <v>0</v>
      </c>
      <c r="KRW21" s="229">
        <v>0</v>
      </c>
      <c r="KRX21" s="229">
        <v>0</v>
      </c>
      <c r="KRY21" s="229">
        <v>0</v>
      </c>
      <c r="KRZ21" s="229">
        <v>0</v>
      </c>
      <c r="KSA21" s="229">
        <v>0</v>
      </c>
      <c r="KSB21" s="229">
        <v>0</v>
      </c>
      <c r="KSC21" s="229">
        <v>0</v>
      </c>
      <c r="KSD21" s="229">
        <v>0</v>
      </c>
      <c r="KSE21" s="229">
        <v>0</v>
      </c>
      <c r="KSF21" s="229">
        <v>0</v>
      </c>
      <c r="KSG21" s="229">
        <v>0</v>
      </c>
      <c r="KSH21" s="229">
        <v>0</v>
      </c>
      <c r="KSI21" s="229">
        <v>0</v>
      </c>
      <c r="KSJ21" s="229">
        <v>0</v>
      </c>
      <c r="KSK21" s="229">
        <v>0</v>
      </c>
      <c r="KSL21" s="229">
        <v>0</v>
      </c>
      <c r="KSM21" s="229">
        <v>0</v>
      </c>
      <c r="KSN21" s="229">
        <v>0</v>
      </c>
      <c r="KSO21" s="229">
        <v>0</v>
      </c>
      <c r="KSP21" s="229">
        <v>0</v>
      </c>
      <c r="KSQ21" s="229">
        <v>0</v>
      </c>
      <c r="KSR21" s="229">
        <v>0</v>
      </c>
      <c r="KSS21" s="229">
        <v>0</v>
      </c>
      <c r="KST21" s="229">
        <v>0</v>
      </c>
      <c r="KSU21" s="229">
        <v>0</v>
      </c>
      <c r="KSV21" s="229">
        <v>0</v>
      </c>
      <c r="KSW21" s="229">
        <v>0</v>
      </c>
      <c r="KSX21" s="229">
        <v>0</v>
      </c>
      <c r="KSY21" s="229">
        <v>0</v>
      </c>
      <c r="KSZ21" s="229">
        <v>0</v>
      </c>
      <c r="KTA21" s="229">
        <v>0</v>
      </c>
      <c r="KTB21" s="229">
        <v>0</v>
      </c>
      <c r="KTC21" s="229">
        <v>0</v>
      </c>
      <c r="KTD21" s="229">
        <v>0</v>
      </c>
      <c r="KTE21" s="229">
        <v>0</v>
      </c>
      <c r="KTF21" s="229">
        <v>0</v>
      </c>
      <c r="KTG21" s="229">
        <v>0</v>
      </c>
      <c r="KTH21" s="229">
        <v>0</v>
      </c>
      <c r="KTI21" s="229">
        <v>0</v>
      </c>
      <c r="KTJ21" s="229">
        <v>0</v>
      </c>
      <c r="KTK21" s="229">
        <v>0</v>
      </c>
      <c r="KTL21" s="229">
        <v>0</v>
      </c>
      <c r="KTM21" s="229">
        <v>0</v>
      </c>
      <c r="KTN21" s="229">
        <v>0</v>
      </c>
      <c r="KTO21" s="229">
        <v>0</v>
      </c>
      <c r="KTP21" s="229">
        <v>0</v>
      </c>
      <c r="KTQ21" s="229">
        <v>0</v>
      </c>
      <c r="KTR21" s="229">
        <v>0</v>
      </c>
      <c r="KTS21" s="229">
        <v>0</v>
      </c>
      <c r="KTT21" s="229">
        <v>0</v>
      </c>
      <c r="KTU21" s="229">
        <v>0</v>
      </c>
      <c r="KTV21" s="229">
        <v>0</v>
      </c>
      <c r="KTW21" s="229">
        <v>0</v>
      </c>
      <c r="KTX21" s="229">
        <v>0</v>
      </c>
      <c r="KTY21" s="229">
        <v>0</v>
      </c>
      <c r="KTZ21" s="229">
        <v>0</v>
      </c>
      <c r="KUA21" s="229">
        <v>0</v>
      </c>
      <c r="KUB21" s="229">
        <v>0</v>
      </c>
      <c r="KUC21" s="229">
        <v>0</v>
      </c>
      <c r="KUD21" s="229">
        <v>0</v>
      </c>
      <c r="KUE21" s="229">
        <v>0</v>
      </c>
      <c r="KUF21" s="229">
        <v>0</v>
      </c>
      <c r="KUG21" s="229">
        <v>0</v>
      </c>
      <c r="KUH21" s="229">
        <v>0</v>
      </c>
      <c r="KUI21" s="229">
        <v>0</v>
      </c>
      <c r="KUJ21" s="229">
        <v>0</v>
      </c>
      <c r="KUK21" s="229">
        <v>0</v>
      </c>
      <c r="KUL21" s="229">
        <v>0</v>
      </c>
      <c r="KUM21" s="229">
        <v>0</v>
      </c>
      <c r="KUN21" s="229">
        <v>0</v>
      </c>
      <c r="KUO21" s="229">
        <v>0</v>
      </c>
      <c r="KUP21" s="229">
        <v>0</v>
      </c>
      <c r="KUQ21" s="229">
        <v>0</v>
      </c>
      <c r="KUR21" s="229">
        <v>0</v>
      </c>
      <c r="KUS21" s="229">
        <v>0</v>
      </c>
      <c r="KUT21" s="229">
        <v>0</v>
      </c>
      <c r="KUU21" s="229">
        <v>0</v>
      </c>
      <c r="KUV21" s="229">
        <v>0</v>
      </c>
      <c r="KUW21" s="229">
        <v>0</v>
      </c>
      <c r="KUX21" s="229">
        <v>0</v>
      </c>
      <c r="KUY21" s="229">
        <v>0</v>
      </c>
      <c r="KUZ21" s="229">
        <v>0</v>
      </c>
      <c r="KVA21" s="229">
        <v>0</v>
      </c>
      <c r="KVB21" s="229">
        <v>0</v>
      </c>
      <c r="KVC21" s="229">
        <v>0</v>
      </c>
      <c r="KVD21" s="229">
        <v>0</v>
      </c>
      <c r="KVE21" s="229">
        <v>0</v>
      </c>
      <c r="KVF21" s="229">
        <v>0</v>
      </c>
      <c r="KVG21" s="229">
        <v>0</v>
      </c>
      <c r="KVH21" s="229">
        <v>0</v>
      </c>
      <c r="KVI21" s="229">
        <v>0</v>
      </c>
      <c r="KVJ21" s="229">
        <v>0</v>
      </c>
      <c r="KVK21" s="229">
        <v>0</v>
      </c>
      <c r="KVL21" s="229">
        <v>0</v>
      </c>
      <c r="KVM21" s="229">
        <v>0</v>
      </c>
      <c r="KVN21" s="229">
        <v>0</v>
      </c>
      <c r="KVO21" s="229">
        <v>0</v>
      </c>
      <c r="KVP21" s="229">
        <v>0</v>
      </c>
      <c r="KVQ21" s="229">
        <v>0</v>
      </c>
      <c r="KVR21" s="229">
        <v>0</v>
      </c>
      <c r="KVS21" s="229">
        <v>0</v>
      </c>
      <c r="KVT21" s="229">
        <v>0</v>
      </c>
      <c r="KVU21" s="229">
        <v>0</v>
      </c>
      <c r="KVV21" s="229">
        <v>0</v>
      </c>
      <c r="KVW21" s="229">
        <v>0</v>
      </c>
      <c r="KVX21" s="229">
        <v>0</v>
      </c>
      <c r="KVY21" s="229">
        <v>0</v>
      </c>
      <c r="KVZ21" s="229">
        <v>0</v>
      </c>
      <c r="KWA21" s="229">
        <v>0</v>
      </c>
      <c r="KWB21" s="229">
        <v>0</v>
      </c>
      <c r="KWC21" s="229">
        <v>0</v>
      </c>
      <c r="KWD21" s="229">
        <v>0</v>
      </c>
      <c r="KWE21" s="229">
        <v>0</v>
      </c>
      <c r="KWF21" s="229">
        <v>0</v>
      </c>
      <c r="KWG21" s="229">
        <v>0</v>
      </c>
      <c r="KWH21" s="229">
        <v>0</v>
      </c>
      <c r="KWI21" s="229">
        <v>0</v>
      </c>
      <c r="KWJ21" s="229">
        <v>0</v>
      </c>
      <c r="KWK21" s="229">
        <v>0</v>
      </c>
      <c r="KWL21" s="229">
        <v>0</v>
      </c>
      <c r="KWM21" s="229">
        <v>0</v>
      </c>
      <c r="KWN21" s="229">
        <v>0</v>
      </c>
      <c r="KWO21" s="229">
        <v>0</v>
      </c>
      <c r="KWP21" s="229">
        <v>0</v>
      </c>
      <c r="KWQ21" s="229">
        <v>0</v>
      </c>
      <c r="KWR21" s="229">
        <v>0</v>
      </c>
      <c r="KWS21" s="229">
        <v>0</v>
      </c>
      <c r="KWT21" s="229">
        <v>0</v>
      </c>
      <c r="KWU21" s="229">
        <v>0</v>
      </c>
      <c r="KWV21" s="229">
        <v>0</v>
      </c>
      <c r="KWW21" s="229">
        <v>0</v>
      </c>
      <c r="KWX21" s="229">
        <v>0</v>
      </c>
      <c r="KWY21" s="229">
        <v>0</v>
      </c>
      <c r="KWZ21" s="229">
        <v>0</v>
      </c>
      <c r="KXA21" s="229">
        <v>0</v>
      </c>
      <c r="KXB21" s="229">
        <v>0</v>
      </c>
      <c r="KXC21" s="229">
        <v>0</v>
      </c>
      <c r="KXD21" s="229">
        <v>0</v>
      </c>
      <c r="KXE21" s="229">
        <v>0</v>
      </c>
      <c r="KXF21" s="229">
        <v>0</v>
      </c>
      <c r="KXG21" s="229">
        <v>0</v>
      </c>
      <c r="KXH21" s="229">
        <v>0</v>
      </c>
      <c r="KXI21" s="229">
        <v>0</v>
      </c>
      <c r="KXJ21" s="229">
        <v>0</v>
      </c>
      <c r="KXK21" s="229">
        <v>0</v>
      </c>
      <c r="KXL21" s="229">
        <v>0</v>
      </c>
      <c r="KXM21" s="229">
        <v>0</v>
      </c>
      <c r="KXN21" s="229">
        <v>0</v>
      </c>
      <c r="KXO21" s="229">
        <v>0</v>
      </c>
      <c r="KXP21" s="229">
        <v>0</v>
      </c>
      <c r="KXQ21" s="229">
        <v>0</v>
      </c>
      <c r="KXR21" s="229">
        <v>0</v>
      </c>
      <c r="KXS21" s="229">
        <v>0</v>
      </c>
      <c r="KXT21" s="229">
        <v>0</v>
      </c>
      <c r="KXU21" s="229">
        <v>0</v>
      </c>
      <c r="KXV21" s="229">
        <v>0</v>
      </c>
      <c r="KXW21" s="229">
        <v>0</v>
      </c>
      <c r="KXX21" s="229">
        <v>0</v>
      </c>
      <c r="KXY21" s="229">
        <v>0</v>
      </c>
      <c r="KXZ21" s="229">
        <v>0</v>
      </c>
      <c r="KYA21" s="229">
        <v>0</v>
      </c>
      <c r="KYB21" s="229">
        <v>0</v>
      </c>
      <c r="KYC21" s="229">
        <v>0</v>
      </c>
      <c r="KYD21" s="229">
        <v>0</v>
      </c>
      <c r="KYE21" s="229">
        <v>0</v>
      </c>
      <c r="KYF21" s="229">
        <v>0</v>
      </c>
      <c r="KYG21" s="229">
        <v>0</v>
      </c>
      <c r="KYH21" s="229">
        <v>0</v>
      </c>
      <c r="KYI21" s="229">
        <v>0</v>
      </c>
      <c r="KYJ21" s="229">
        <v>0</v>
      </c>
      <c r="KYK21" s="229">
        <v>0</v>
      </c>
      <c r="KYL21" s="229">
        <v>0</v>
      </c>
      <c r="KYM21" s="229">
        <v>0</v>
      </c>
      <c r="KYN21" s="229">
        <v>0</v>
      </c>
      <c r="KYO21" s="229">
        <v>0</v>
      </c>
      <c r="KYP21" s="229">
        <v>0</v>
      </c>
      <c r="KYQ21" s="229">
        <v>0</v>
      </c>
      <c r="KYR21" s="229">
        <v>0</v>
      </c>
      <c r="KYS21" s="229">
        <v>0</v>
      </c>
      <c r="KYT21" s="229">
        <v>0</v>
      </c>
      <c r="KYU21" s="229">
        <v>0</v>
      </c>
      <c r="KYV21" s="229">
        <v>0</v>
      </c>
      <c r="KYW21" s="229">
        <v>0</v>
      </c>
      <c r="KYX21" s="229">
        <v>0</v>
      </c>
      <c r="KYY21" s="229">
        <v>0</v>
      </c>
      <c r="KYZ21" s="229">
        <v>0</v>
      </c>
      <c r="KZA21" s="229">
        <v>0</v>
      </c>
      <c r="KZB21" s="229">
        <v>0</v>
      </c>
      <c r="KZC21" s="229">
        <v>0</v>
      </c>
      <c r="KZD21" s="229">
        <v>0</v>
      </c>
      <c r="KZE21" s="229">
        <v>0</v>
      </c>
      <c r="KZF21" s="229">
        <v>0</v>
      </c>
      <c r="KZG21" s="229">
        <v>0</v>
      </c>
      <c r="KZH21" s="229">
        <v>0</v>
      </c>
      <c r="KZI21" s="229">
        <v>0</v>
      </c>
      <c r="KZJ21" s="229">
        <v>0</v>
      </c>
      <c r="KZK21" s="229">
        <v>0</v>
      </c>
      <c r="KZL21" s="229">
        <v>0</v>
      </c>
      <c r="KZM21" s="229">
        <v>0</v>
      </c>
      <c r="KZN21" s="229">
        <v>0</v>
      </c>
      <c r="KZO21" s="229">
        <v>0</v>
      </c>
      <c r="KZP21" s="229">
        <v>0</v>
      </c>
      <c r="KZQ21" s="229">
        <v>0</v>
      </c>
      <c r="KZR21" s="229">
        <v>0</v>
      </c>
      <c r="KZS21" s="229">
        <v>0</v>
      </c>
      <c r="KZT21" s="229">
        <v>0</v>
      </c>
      <c r="KZU21" s="229">
        <v>0</v>
      </c>
      <c r="KZV21" s="229">
        <v>0</v>
      </c>
      <c r="KZW21" s="229">
        <v>0</v>
      </c>
      <c r="KZX21" s="229">
        <v>0</v>
      </c>
      <c r="KZY21" s="229">
        <v>0</v>
      </c>
      <c r="KZZ21" s="229">
        <v>0</v>
      </c>
      <c r="LAA21" s="229">
        <v>0</v>
      </c>
      <c r="LAB21" s="229">
        <v>0</v>
      </c>
      <c r="LAC21" s="229">
        <v>0</v>
      </c>
      <c r="LAD21" s="229">
        <v>0</v>
      </c>
      <c r="LAE21" s="229">
        <v>0</v>
      </c>
      <c r="LAF21" s="229">
        <v>0</v>
      </c>
      <c r="LAG21" s="229">
        <v>0</v>
      </c>
      <c r="LAH21" s="229">
        <v>0</v>
      </c>
      <c r="LAI21" s="229">
        <v>0</v>
      </c>
      <c r="LAJ21" s="229">
        <v>0</v>
      </c>
      <c r="LAK21" s="229">
        <v>0</v>
      </c>
      <c r="LAL21" s="229">
        <v>0</v>
      </c>
      <c r="LAM21" s="229">
        <v>0</v>
      </c>
      <c r="LAN21" s="229">
        <v>0</v>
      </c>
      <c r="LAO21" s="229">
        <v>0</v>
      </c>
      <c r="LAP21" s="229">
        <v>0</v>
      </c>
      <c r="LAQ21" s="229">
        <v>0</v>
      </c>
      <c r="LAR21" s="229">
        <v>0</v>
      </c>
      <c r="LAS21" s="229">
        <v>0</v>
      </c>
      <c r="LAT21" s="229">
        <v>0</v>
      </c>
      <c r="LAU21" s="229">
        <v>0</v>
      </c>
      <c r="LAV21" s="229">
        <v>0</v>
      </c>
      <c r="LAW21" s="229">
        <v>0</v>
      </c>
      <c r="LAX21" s="229">
        <v>0</v>
      </c>
      <c r="LAY21" s="229">
        <v>0</v>
      </c>
      <c r="LAZ21" s="229">
        <v>0</v>
      </c>
      <c r="LBA21" s="229">
        <v>0</v>
      </c>
      <c r="LBB21" s="229">
        <v>0</v>
      </c>
      <c r="LBC21" s="229">
        <v>0</v>
      </c>
      <c r="LBD21" s="229">
        <v>0</v>
      </c>
      <c r="LBE21" s="229">
        <v>0</v>
      </c>
      <c r="LBF21" s="229">
        <v>0</v>
      </c>
      <c r="LBG21" s="229">
        <v>0</v>
      </c>
      <c r="LBH21" s="229">
        <v>0</v>
      </c>
      <c r="LBI21" s="229">
        <v>0</v>
      </c>
      <c r="LBJ21" s="229">
        <v>0</v>
      </c>
      <c r="LBK21" s="229">
        <v>0</v>
      </c>
      <c r="LBL21" s="229">
        <v>0</v>
      </c>
      <c r="LBM21" s="229">
        <v>0</v>
      </c>
      <c r="LBN21" s="229">
        <v>0</v>
      </c>
      <c r="LBO21" s="229">
        <v>0</v>
      </c>
      <c r="LBP21" s="229">
        <v>0</v>
      </c>
      <c r="LBQ21" s="229">
        <v>0</v>
      </c>
      <c r="LBR21" s="229">
        <v>0</v>
      </c>
      <c r="LBS21" s="229">
        <v>0</v>
      </c>
      <c r="LBT21" s="229">
        <v>0</v>
      </c>
      <c r="LBU21" s="229">
        <v>0</v>
      </c>
      <c r="LBV21" s="229">
        <v>0</v>
      </c>
      <c r="LBW21" s="229">
        <v>0</v>
      </c>
      <c r="LBX21" s="229">
        <v>0</v>
      </c>
      <c r="LBY21" s="229">
        <v>0</v>
      </c>
      <c r="LBZ21" s="229">
        <v>0</v>
      </c>
      <c r="LCA21" s="229">
        <v>0</v>
      </c>
      <c r="LCB21" s="229">
        <v>0</v>
      </c>
      <c r="LCC21" s="229">
        <v>0</v>
      </c>
      <c r="LCD21" s="229">
        <v>0</v>
      </c>
      <c r="LCE21" s="229">
        <v>0</v>
      </c>
      <c r="LCF21" s="229">
        <v>0</v>
      </c>
      <c r="LCG21" s="229">
        <v>0</v>
      </c>
      <c r="LCH21" s="229">
        <v>0</v>
      </c>
      <c r="LCI21" s="229">
        <v>0</v>
      </c>
      <c r="LCJ21" s="229">
        <v>0</v>
      </c>
      <c r="LCK21" s="229">
        <v>0</v>
      </c>
      <c r="LCL21" s="229">
        <v>0</v>
      </c>
      <c r="LCM21" s="229">
        <v>0</v>
      </c>
      <c r="LCN21" s="229">
        <v>0</v>
      </c>
      <c r="LCO21" s="229">
        <v>0</v>
      </c>
      <c r="LCP21" s="229">
        <v>0</v>
      </c>
      <c r="LCQ21" s="229">
        <v>0</v>
      </c>
      <c r="LCR21" s="229">
        <v>0</v>
      </c>
      <c r="LCS21" s="229">
        <v>0</v>
      </c>
      <c r="LCT21" s="229">
        <v>0</v>
      </c>
      <c r="LCU21" s="229">
        <v>0</v>
      </c>
      <c r="LCV21" s="229">
        <v>0</v>
      </c>
      <c r="LCW21" s="229">
        <v>0</v>
      </c>
      <c r="LCX21" s="229">
        <v>0</v>
      </c>
      <c r="LCY21" s="229">
        <v>0</v>
      </c>
      <c r="LCZ21" s="229">
        <v>0</v>
      </c>
      <c r="LDA21" s="229">
        <v>0</v>
      </c>
      <c r="LDB21" s="229">
        <v>0</v>
      </c>
      <c r="LDC21" s="229">
        <v>0</v>
      </c>
      <c r="LDD21" s="229">
        <v>0</v>
      </c>
      <c r="LDE21" s="229">
        <v>0</v>
      </c>
      <c r="LDF21" s="229">
        <v>0</v>
      </c>
      <c r="LDG21" s="229">
        <v>0</v>
      </c>
      <c r="LDH21" s="229">
        <v>0</v>
      </c>
      <c r="LDI21" s="229">
        <v>0</v>
      </c>
      <c r="LDJ21" s="229">
        <v>0</v>
      </c>
      <c r="LDK21" s="229">
        <v>0</v>
      </c>
      <c r="LDL21" s="229">
        <v>0</v>
      </c>
      <c r="LDM21" s="229">
        <v>0</v>
      </c>
      <c r="LDN21" s="229">
        <v>0</v>
      </c>
      <c r="LDO21" s="229">
        <v>0</v>
      </c>
      <c r="LDP21" s="229">
        <v>0</v>
      </c>
      <c r="LDQ21" s="229">
        <v>0</v>
      </c>
      <c r="LDR21" s="229">
        <v>0</v>
      </c>
      <c r="LDS21" s="229">
        <v>0</v>
      </c>
      <c r="LDT21" s="229">
        <v>0</v>
      </c>
      <c r="LDU21" s="229">
        <v>0</v>
      </c>
      <c r="LDV21" s="229">
        <v>0</v>
      </c>
      <c r="LDW21" s="229">
        <v>0</v>
      </c>
      <c r="LDX21" s="229">
        <v>0</v>
      </c>
      <c r="LDY21" s="229">
        <v>0</v>
      </c>
      <c r="LDZ21" s="229">
        <v>0</v>
      </c>
      <c r="LEA21" s="229">
        <v>0</v>
      </c>
      <c r="LEB21" s="229">
        <v>0</v>
      </c>
      <c r="LEC21" s="229">
        <v>0</v>
      </c>
      <c r="LED21" s="229">
        <v>0</v>
      </c>
      <c r="LEE21" s="229">
        <v>0</v>
      </c>
      <c r="LEF21" s="229">
        <v>0</v>
      </c>
      <c r="LEG21" s="229">
        <v>0</v>
      </c>
      <c r="LEH21" s="229">
        <v>0</v>
      </c>
      <c r="LEI21" s="229">
        <v>0</v>
      </c>
      <c r="LEJ21" s="229">
        <v>0</v>
      </c>
      <c r="LEK21" s="229">
        <v>0</v>
      </c>
      <c r="LEL21" s="229">
        <v>0</v>
      </c>
      <c r="LEM21" s="229">
        <v>0</v>
      </c>
      <c r="LEN21" s="229">
        <v>0</v>
      </c>
      <c r="LEO21" s="229">
        <v>0</v>
      </c>
      <c r="LEP21" s="229">
        <v>0</v>
      </c>
      <c r="LEQ21" s="229">
        <v>0</v>
      </c>
      <c r="LER21" s="229">
        <v>0</v>
      </c>
      <c r="LES21" s="229">
        <v>0</v>
      </c>
      <c r="LET21" s="229">
        <v>0</v>
      </c>
      <c r="LEU21" s="229">
        <v>0</v>
      </c>
      <c r="LEV21" s="229">
        <v>0</v>
      </c>
      <c r="LEW21" s="229">
        <v>0</v>
      </c>
      <c r="LEX21" s="229">
        <v>0</v>
      </c>
      <c r="LEY21" s="229">
        <v>0</v>
      </c>
      <c r="LEZ21" s="229">
        <v>0</v>
      </c>
      <c r="LFA21" s="229">
        <v>0</v>
      </c>
      <c r="LFB21" s="229">
        <v>0</v>
      </c>
      <c r="LFC21" s="229">
        <v>0</v>
      </c>
      <c r="LFD21" s="229">
        <v>0</v>
      </c>
      <c r="LFE21" s="229">
        <v>0</v>
      </c>
      <c r="LFF21" s="229">
        <v>0</v>
      </c>
      <c r="LFG21" s="229">
        <v>0</v>
      </c>
      <c r="LFH21" s="229">
        <v>0</v>
      </c>
      <c r="LFI21" s="229">
        <v>0</v>
      </c>
      <c r="LFJ21" s="229">
        <v>0</v>
      </c>
      <c r="LFK21" s="229">
        <v>0</v>
      </c>
      <c r="LFL21" s="229">
        <v>0</v>
      </c>
      <c r="LFM21" s="229">
        <v>0</v>
      </c>
      <c r="LFN21" s="229">
        <v>0</v>
      </c>
      <c r="LFO21" s="229">
        <v>0</v>
      </c>
      <c r="LFP21" s="229">
        <v>0</v>
      </c>
      <c r="LFQ21" s="229">
        <v>0</v>
      </c>
      <c r="LFR21" s="229">
        <v>0</v>
      </c>
      <c r="LFS21" s="229">
        <v>0</v>
      </c>
      <c r="LFT21" s="229">
        <v>0</v>
      </c>
      <c r="LFU21" s="229">
        <v>0</v>
      </c>
      <c r="LFV21" s="229">
        <v>0</v>
      </c>
      <c r="LFW21" s="229">
        <v>0</v>
      </c>
      <c r="LFX21" s="229">
        <v>0</v>
      </c>
      <c r="LFY21" s="229">
        <v>0</v>
      </c>
      <c r="LFZ21" s="229">
        <v>0</v>
      </c>
      <c r="LGA21" s="229">
        <v>0</v>
      </c>
      <c r="LGB21" s="229">
        <v>0</v>
      </c>
      <c r="LGC21" s="229">
        <v>0</v>
      </c>
      <c r="LGD21" s="229">
        <v>0</v>
      </c>
      <c r="LGE21" s="229">
        <v>0</v>
      </c>
      <c r="LGF21" s="229">
        <v>0</v>
      </c>
      <c r="LGG21" s="229">
        <v>0</v>
      </c>
      <c r="LGH21" s="229">
        <v>0</v>
      </c>
      <c r="LGI21" s="229">
        <v>0</v>
      </c>
      <c r="LGJ21" s="229">
        <v>0</v>
      </c>
      <c r="LGK21" s="229">
        <v>0</v>
      </c>
      <c r="LGL21" s="229">
        <v>0</v>
      </c>
      <c r="LGM21" s="229">
        <v>0</v>
      </c>
      <c r="LGN21" s="229">
        <v>0</v>
      </c>
      <c r="LGO21" s="229">
        <v>0</v>
      </c>
      <c r="LGP21" s="229">
        <v>0</v>
      </c>
      <c r="LGQ21" s="229">
        <v>0</v>
      </c>
      <c r="LGR21" s="229">
        <v>0</v>
      </c>
      <c r="LGS21" s="229">
        <v>0</v>
      </c>
      <c r="LGT21" s="229">
        <v>0</v>
      </c>
      <c r="LGU21" s="229">
        <v>0</v>
      </c>
      <c r="LGV21" s="229">
        <v>0</v>
      </c>
      <c r="LGW21" s="229">
        <v>0</v>
      </c>
      <c r="LGX21" s="229">
        <v>0</v>
      </c>
      <c r="LGY21" s="229">
        <v>0</v>
      </c>
      <c r="LGZ21" s="229">
        <v>0</v>
      </c>
      <c r="LHA21" s="229">
        <v>0</v>
      </c>
      <c r="LHB21" s="229">
        <v>0</v>
      </c>
      <c r="LHC21" s="229">
        <v>0</v>
      </c>
      <c r="LHD21" s="229">
        <v>0</v>
      </c>
      <c r="LHE21" s="229">
        <v>0</v>
      </c>
      <c r="LHF21" s="229">
        <v>0</v>
      </c>
      <c r="LHG21" s="229">
        <v>0</v>
      </c>
      <c r="LHH21" s="229">
        <v>0</v>
      </c>
      <c r="LHI21" s="229">
        <v>0</v>
      </c>
      <c r="LHJ21" s="229">
        <v>0</v>
      </c>
      <c r="LHK21" s="229">
        <v>0</v>
      </c>
      <c r="LHL21" s="229">
        <v>0</v>
      </c>
      <c r="LHM21" s="229">
        <v>0</v>
      </c>
      <c r="LHN21" s="229">
        <v>0</v>
      </c>
      <c r="LHO21" s="229">
        <v>0</v>
      </c>
      <c r="LHP21" s="229">
        <v>0</v>
      </c>
      <c r="LHQ21" s="229">
        <v>0</v>
      </c>
      <c r="LHR21" s="229">
        <v>0</v>
      </c>
      <c r="LHS21" s="229">
        <v>0</v>
      </c>
      <c r="LHT21" s="229">
        <v>0</v>
      </c>
      <c r="LHU21" s="229">
        <v>0</v>
      </c>
      <c r="LHV21" s="229">
        <v>0</v>
      </c>
      <c r="LHW21" s="229">
        <v>0</v>
      </c>
      <c r="LHX21" s="229">
        <v>0</v>
      </c>
      <c r="LHY21" s="229">
        <v>0</v>
      </c>
      <c r="LHZ21" s="229">
        <v>0</v>
      </c>
      <c r="LIA21" s="229">
        <v>0</v>
      </c>
      <c r="LIB21" s="229">
        <v>0</v>
      </c>
      <c r="LIC21" s="229">
        <v>0</v>
      </c>
      <c r="LID21" s="229">
        <v>0</v>
      </c>
      <c r="LIE21" s="229">
        <v>0</v>
      </c>
      <c r="LIF21" s="229">
        <v>0</v>
      </c>
      <c r="LIG21" s="229">
        <v>0</v>
      </c>
      <c r="LIH21" s="229">
        <v>0</v>
      </c>
      <c r="LII21" s="229">
        <v>0</v>
      </c>
      <c r="LIJ21" s="229">
        <v>0</v>
      </c>
      <c r="LIK21" s="229">
        <v>0</v>
      </c>
      <c r="LIL21" s="229">
        <v>0</v>
      </c>
      <c r="LIM21" s="229">
        <v>0</v>
      </c>
      <c r="LIN21" s="229">
        <v>0</v>
      </c>
      <c r="LIO21" s="229">
        <v>0</v>
      </c>
      <c r="LIP21" s="229">
        <v>0</v>
      </c>
      <c r="LIQ21" s="229">
        <v>0</v>
      </c>
      <c r="LIR21" s="229">
        <v>0</v>
      </c>
      <c r="LIS21" s="229">
        <v>0</v>
      </c>
      <c r="LIT21" s="229">
        <v>0</v>
      </c>
      <c r="LIU21" s="229">
        <v>0</v>
      </c>
      <c r="LIV21" s="229">
        <v>0</v>
      </c>
      <c r="LIW21" s="229">
        <v>0</v>
      </c>
      <c r="LIX21" s="229">
        <v>0</v>
      </c>
      <c r="LIY21" s="229">
        <v>0</v>
      </c>
      <c r="LIZ21" s="229">
        <v>0</v>
      </c>
      <c r="LJA21" s="229">
        <v>0</v>
      </c>
      <c r="LJB21" s="229">
        <v>0</v>
      </c>
      <c r="LJC21" s="229">
        <v>0</v>
      </c>
      <c r="LJD21" s="229">
        <v>0</v>
      </c>
      <c r="LJE21" s="229">
        <v>0</v>
      </c>
      <c r="LJF21" s="229">
        <v>0</v>
      </c>
      <c r="LJG21" s="229">
        <v>0</v>
      </c>
      <c r="LJH21" s="229">
        <v>0</v>
      </c>
      <c r="LJI21" s="229">
        <v>0</v>
      </c>
      <c r="LJJ21" s="229">
        <v>0</v>
      </c>
      <c r="LJK21" s="229">
        <v>0</v>
      </c>
      <c r="LJL21" s="229">
        <v>0</v>
      </c>
      <c r="LJM21" s="229">
        <v>0</v>
      </c>
      <c r="LJN21" s="229">
        <v>0</v>
      </c>
      <c r="LJO21" s="229">
        <v>0</v>
      </c>
      <c r="LJP21" s="229">
        <v>0</v>
      </c>
      <c r="LJQ21" s="229">
        <v>0</v>
      </c>
      <c r="LJR21" s="229">
        <v>0</v>
      </c>
      <c r="LJS21" s="229">
        <v>0</v>
      </c>
      <c r="LJT21" s="229">
        <v>0</v>
      </c>
      <c r="LJU21" s="229">
        <v>0</v>
      </c>
      <c r="LJV21" s="229">
        <v>0</v>
      </c>
      <c r="LJW21" s="229">
        <v>0</v>
      </c>
      <c r="LJX21" s="229">
        <v>0</v>
      </c>
      <c r="LJY21" s="229">
        <v>0</v>
      </c>
      <c r="LJZ21" s="229">
        <v>0</v>
      </c>
      <c r="LKA21" s="229">
        <v>0</v>
      </c>
      <c r="LKB21" s="229">
        <v>0</v>
      </c>
      <c r="LKC21" s="229">
        <v>0</v>
      </c>
      <c r="LKD21" s="229">
        <v>0</v>
      </c>
      <c r="LKE21" s="229">
        <v>0</v>
      </c>
      <c r="LKF21" s="229">
        <v>0</v>
      </c>
      <c r="LKG21" s="229">
        <v>0</v>
      </c>
      <c r="LKH21" s="229">
        <v>0</v>
      </c>
      <c r="LKI21" s="229">
        <v>0</v>
      </c>
      <c r="LKJ21" s="229">
        <v>0</v>
      </c>
      <c r="LKK21" s="229">
        <v>0</v>
      </c>
      <c r="LKL21" s="229">
        <v>0</v>
      </c>
      <c r="LKM21" s="229">
        <v>0</v>
      </c>
      <c r="LKN21" s="229">
        <v>0</v>
      </c>
      <c r="LKO21" s="229">
        <v>0</v>
      </c>
      <c r="LKP21" s="229">
        <v>0</v>
      </c>
      <c r="LKQ21" s="229">
        <v>0</v>
      </c>
      <c r="LKR21" s="229">
        <v>0</v>
      </c>
      <c r="LKS21" s="229">
        <v>0</v>
      </c>
      <c r="LKT21" s="229">
        <v>0</v>
      </c>
      <c r="LKU21" s="229">
        <v>0</v>
      </c>
      <c r="LKV21" s="229">
        <v>0</v>
      </c>
      <c r="LKW21" s="229">
        <v>0</v>
      </c>
      <c r="LKX21" s="229">
        <v>0</v>
      </c>
      <c r="LKY21" s="229">
        <v>0</v>
      </c>
      <c r="LKZ21" s="229">
        <v>0</v>
      </c>
      <c r="LLA21" s="229">
        <v>0</v>
      </c>
      <c r="LLB21" s="229">
        <v>0</v>
      </c>
      <c r="LLC21" s="229">
        <v>0</v>
      </c>
      <c r="LLD21" s="229">
        <v>0</v>
      </c>
      <c r="LLE21" s="229">
        <v>0</v>
      </c>
      <c r="LLF21" s="229">
        <v>0</v>
      </c>
      <c r="LLG21" s="229">
        <v>0</v>
      </c>
      <c r="LLH21" s="229">
        <v>0</v>
      </c>
      <c r="LLI21" s="229">
        <v>0</v>
      </c>
      <c r="LLJ21" s="229">
        <v>0</v>
      </c>
      <c r="LLK21" s="229">
        <v>0</v>
      </c>
      <c r="LLL21" s="229">
        <v>0</v>
      </c>
      <c r="LLM21" s="229">
        <v>0</v>
      </c>
      <c r="LLN21" s="229">
        <v>0</v>
      </c>
      <c r="LLO21" s="229">
        <v>0</v>
      </c>
      <c r="LLP21" s="229">
        <v>0</v>
      </c>
      <c r="LLQ21" s="229">
        <v>0</v>
      </c>
      <c r="LLR21" s="229">
        <v>0</v>
      </c>
      <c r="LLS21" s="229">
        <v>0</v>
      </c>
      <c r="LLT21" s="229">
        <v>0</v>
      </c>
      <c r="LLU21" s="229">
        <v>0</v>
      </c>
      <c r="LLV21" s="229">
        <v>0</v>
      </c>
      <c r="LLW21" s="229">
        <v>0</v>
      </c>
      <c r="LLX21" s="229">
        <v>0</v>
      </c>
      <c r="LLY21" s="229">
        <v>0</v>
      </c>
      <c r="LLZ21" s="229">
        <v>0</v>
      </c>
      <c r="LMA21" s="229">
        <v>0</v>
      </c>
      <c r="LMB21" s="229">
        <v>0</v>
      </c>
      <c r="LMC21" s="229">
        <v>0</v>
      </c>
      <c r="LMD21" s="229">
        <v>0</v>
      </c>
      <c r="LME21" s="229">
        <v>0</v>
      </c>
      <c r="LMF21" s="229">
        <v>0</v>
      </c>
      <c r="LMG21" s="229">
        <v>0</v>
      </c>
      <c r="LMH21" s="229">
        <v>0</v>
      </c>
      <c r="LMI21" s="229">
        <v>0</v>
      </c>
      <c r="LMJ21" s="229">
        <v>0</v>
      </c>
      <c r="LMK21" s="229">
        <v>0</v>
      </c>
      <c r="LML21" s="229">
        <v>0</v>
      </c>
      <c r="LMM21" s="229">
        <v>0</v>
      </c>
      <c r="LMN21" s="229">
        <v>0</v>
      </c>
      <c r="LMO21" s="229">
        <v>0</v>
      </c>
      <c r="LMP21" s="229">
        <v>0</v>
      </c>
      <c r="LMQ21" s="229">
        <v>0</v>
      </c>
      <c r="LMR21" s="229">
        <v>0</v>
      </c>
      <c r="LMS21" s="229">
        <v>0</v>
      </c>
      <c r="LMT21" s="229">
        <v>0</v>
      </c>
      <c r="LMU21" s="229">
        <v>0</v>
      </c>
      <c r="LMV21" s="229">
        <v>0</v>
      </c>
      <c r="LMW21" s="229">
        <v>0</v>
      </c>
      <c r="LMX21" s="229">
        <v>0</v>
      </c>
      <c r="LMY21" s="229">
        <v>0</v>
      </c>
      <c r="LMZ21" s="229">
        <v>0</v>
      </c>
      <c r="LNA21" s="229">
        <v>0</v>
      </c>
      <c r="LNB21" s="229">
        <v>0</v>
      </c>
      <c r="LNC21" s="229">
        <v>0</v>
      </c>
      <c r="LND21" s="229">
        <v>0</v>
      </c>
      <c r="LNE21" s="229">
        <v>0</v>
      </c>
      <c r="LNF21" s="229">
        <v>0</v>
      </c>
      <c r="LNG21" s="229">
        <v>0</v>
      </c>
      <c r="LNH21" s="229">
        <v>0</v>
      </c>
      <c r="LNI21" s="229">
        <v>0</v>
      </c>
      <c r="LNJ21" s="229">
        <v>0</v>
      </c>
      <c r="LNK21" s="229">
        <v>0</v>
      </c>
      <c r="LNL21" s="229">
        <v>0</v>
      </c>
      <c r="LNM21" s="229">
        <v>0</v>
      </c>
      <c r="LNN21" s="229">
        <v>0</v>
      </c>
      <c r="LNO21" s="229">
        <v>0</v>
      </c>
      <c r="LNP21" s="229">
        <v>0</v>
      </c>
      <c r="LNQ21" s="229">
        <v>0</v>
      </c>
      <c r="LNR21" s="229">
        <v>0</v>
      </c>
      <c r="LNS21" s="229">
        <v>0</v>
      </c>
      <c r="LNT21" s="229">
        <v>0</v>
      </c>
      <c r="LNU21" s="229">
        <v>0</v>
      </c>
      <c r="LNV21" s="229">
        <v>0</v>
      </c>
      <c r="LNW21" s="229">
        <v>0</v>
      </c>
      <c r="LNX21" s="229">
        <v>0</v>
      </c>
      <c r="LNY21" s="229">
        <v>0</v>
      </c>
      <c r="LNZ21" s="229">
        <v>0</v>
      </c>
      <c r="LOA21" s="229">
        <v>0</v>
      </c>
      <c r="LOB21" s="229">
        <v>0</v>
      </c>
      <c r="LOC21" s="229">
        <v>0</v>
      </c>
      <c r="LOD21" s="229">
        <v>0</v>
      </c>
      <c r="LOE21" s="229">
        <v>0</v>
      </c>
      <c r="LOF21" s="229">
        <v>0</v>
      </c>
      <c r="LOG21" s="229">
        <v>0</v>
      </c>
      <c r="LOH21" s="229">
        <v>0</v>
      </c>
      <c r="LOI21" s="229">
        <v>0</v>
      </c>
      <c r="LOJ21" s="229">
        <v>0</v>
      </c>
      <c r="LOK21" s="229">
        <v>0</v>
      </c>
      <c r="LOL21" s="229">
        <v>0</v>
      </c>
      <c r="LOM21" s="229">
        <v>0</v>
      </c>
      <c r="LON21" s="229">
        <v>0</v>
      </c>
      <c r="LOO21" s="229">
        <v>0</v>
      </c>
      <c r="LOP21" s="229">
        <v>0</v>
      </c>
      <c r="LOQ21" s="229">
        <v>0</v>
      </c>
      <c r="LOR21" s="229">
        <v>0</v>
      </c>
      <c r="LOS21" s="229">
        <v>0</v>
      </c>
      <c r="LOT21" s="229">
        <v>0</v>
      </c>
      <c r="LOU21" s="229">
        <v>0</v>
      </c>
      <c r="LOV21" s="229">
        <v>0</v>
      </c>
      <c r="LOW21" s="229">
        <v>0</v>
      </c>
      <c r="LOX21" s="229">
        <v>0</v>
      </c>
      <c r="LOY21" s="229">
        <v>0</v>
      </c>
      <c r="LOZ21" s="229">
        <v>0</v>
      </c>
      <c r="LPA21" s="229">
        <v>0</v>
      </c>
      <c r="LPB21" s="229">
        <v>0</v>
      </c>
      <c r="LPC21" s="229">
        <v>0</v>
      </c>
      <c r="LPD21" s="229">
        <v>0</v>
      </c>
      <c r="LPE21" s="229">
        <v>0</v>
      </c>
      <c r="LPF21" s="229">
        <v>0</v>
      </c>
      <c r="LPG21" s="229">
        <v>0</v>
      </c>
      <c r="LPH21" s="229">
        <v>0</v>
      </c>
      <c r="LPI21" s="229">
        <v>0</v>
      </c>
      <c r="LPJ21" s="229">
        <v>0</v>
      </c>
      <c r="LPK21" s="229">
        <v>0</v>
      </c>
      <c r="LPL21" s="229">
        <v>0</v>
      </c>
      <c r="LPM21" s="229">
        <v>0</v>
      </c>
      <c r="LPN21" s="229">
        <v>0</v>
      </c>
      <c r="LPO21" s="229">
        <v>0</v>
      </c>
      <c r="LPP21" s="229">
        <v>0</v>
      </c>
      <c r="LPQ21" s="229">
        <v>0</v>
      </c>
      <c r="LPR21" s="229">
        <v>0</v>
      </c>
      <c r="LPS21" s="229">
        <v>0</v>
      </c>
      <c r="LPT21" s="229">
        <v>0</v>
      </c>
      <c r="LPU21" s="229">
        <v>0</v>
      </c>
      <c r="LPV21" s="229">
        <v>0</v>
      </c>
      <c r="LPW21" s="229">
        <v>0</v>
      </c>
      <c r="LPX21" s="229">
        <v>0</v>
      </c>
      <c r="LPY21" s="229">
        <v>0</v>
      </c>
      <c r="LPZ21" s="229">
        <v>0</v>
      </c>
      <c r="LQA21" s="229">
        <v>0</v>
      </c>
      <c r="LQB21" s="229">
        <v>0</v>
      </c>
      <c r="LQC21" s="229">
        <v>0</v>
      </c>
      <c r="LQD21" s="229">
        <v>0</v>
      </c>
      <c r="LQE21" s="229">
        <v>0</v>
      </c>
      <c r="LQF21" s="229">
        <v>0</v>
      </c>
      <c r="LQG21" s="229">
        <v>0</v>
      </c>
      <c r="LQH21" s="229">
        <v>0</v>
      </c>
      <c r="LQI21" s="229">
        <v>0</v>
      </c>
      <c r="LQJ21" s="229">
        <v>0</v>
      </c>
      <c r="LQK21" s="229">
        <v>0</v>
      </c>
      <c r="LQL21" s="229">
        <v>0</v>
      </c>
      <c r="LQM21" s="229">
        <v>0</v>
      </c>
      <c r="LQN21" s="229">
        <v>0</v>
      </c>
      <c r="LQO21" s="229">
        <v>0</v>
      </c>
      <c r="LQP21" s="229">
        <v>0</v>
      </c>
      <c r="LQQ21" s="229">
        <v>0</v>
      </c>
      <c r="LQR21" s="229">
        <v>0</v>
      </c>
      <c r="LQS21" s="229">
        <v>0</v>
      </c>
      <c r="LQT21" s="229">
        <v>0</v>
      </c>
      <c r="LQU21" s="229">
        <v>0</v>
      </c>
      <c r="LQV21" s="229">
        <v>0</v>
      </c>
      <c r="LQW21" s="229">
        <v>0</v>
      </c>
      <c r="LQX21" s="229">
        <v>0</v>
      </c>
      <c r="LQY21" s="229">
        <v>0</v>
      </c>
      <c r="LQZ21" s="229">
        <v>0</v>
      </c>
      <c r="LRA21" s="229">
        <v>0</v>
      </c>
      <c r="LRB21" s="229">
        <v>0</v>
      </c>
      <c r="LRC21" s="229">
        <v>0</v>
      </c>
      <c r="LRD21" s="229">
        <v>0</v>
      </c>
      <c r="LRE21" s="229">
        <v>0</v>
      </c>
      <c r="LRF21" s="229">
        <v>0</v>
      </c>
      <c r="LRG21" s="229">
        <v>0</v>
      </c>
      <c r="LRH21" s="229">
        <v>0</v>
      </c>
      <c r="LRI21" s="229">
        <v>0</v>
      </c>
      <c r="LRJ21" s="229">
        <v>0</v>
      </c>
      <c r="LRK21" s="229">
        <v>0</v>
      </c>
      <c r="LRL21" s="229">
        <v>0</v>
      </c>
      <c r="LRM21" s="229">
        <v>0</v>
      </c>
      <c r="LRN21" s="229">
        <v>0</v>
      </c>
      <c r="LRO21" s="229">
        <v>0</v>
      </c>
      <c r="LRP21" s="229">
        <v>0</v>
      </c>
      <c r="LRQ21" s="229">
        <v>0</v>
      </c>
      <c r="LRR21" s="229">
        <v>0</v>
      </c>
      <c r="LRS21" s="229">
        <v>0</v>
      </c>
      <c r="LRT21" s="229">
        <v>0</v>
      </c>
      <c r="LRU21" s="229">
        <v>0</v>
      </c>
      <c r="LRV21" s="229">
        <v>0</v>
      </c>
      <c r="LRW21" s="229">
        <v>0</v>
      </c>
      <c r="LRX21" s="229">
        <v>0</v>
      </c>
      <c r="LRY21" s="229">
        <v>0</v>
      </c>
      <c r="LRZ21" s="229">
        <v>0</v>
      </c>
      <c r="LSA21" s="229">
        <v>0</v>
      </c>
      <c r="LSB21" s="229">
        <v>0</v>
      </c>
      <c r="LSC21" s="229">
        <v>0</v>
      </c>
      <c r="LSD21" s="229">
        <v>0</v>
      </c>
      <c r="LSE21" s="229">
        <v>0</v>
      </c>
      <c r="LSF21" s="229">
        <v>0</v>
      </c>
      <c r="LSG21" s="229">
        <v>0</v>
      </c>
      <c r="LSH21" s="229">
        <v>0</v>
      </c>
      <c r="LSI21" s="229">
        <v>0</v>
      </c>
      <c r="LSJ21" s="229">
        <v>0</v>
      </c>
      <c r="LSK21" s="229">
        <v>0</v>
      </c>
      <c r="LSL21" s="229">
        <v>0</v>
      </c>
      <c r="LSM21" s="229">
        <v>0</v>
      </c>
      <c r="LSN21" s="229">
        <v>0</v>
      </c>
      <c r="LSO21" s="229">
        <v>0</v>
      </c>
      <c r="LSP21" s="229">
        <v>0</v>
      </c>
      <c r="LSQ21" s="229">
        <v>0</v>
      </c>
      <c r="LSR21" s="229">
        <v>0</v>
      </c>
      <c r="LSS21" s="229">
        <v>0</v>
      </c>
      <c r="LST21" s="229">
        <v>0</v>
      </c>
      <c r="LSU21" s="229">
        <v>0</v>
      </c>
      <c r="LSV21" s="229">
        <v>0</v>
      </c>
      <c r="LSW21" s="229">
        <v>0</v>
      </c>
      <c r="LSX21" s="229">
        <v>0</v>
      </c>
      <c r="LSY21" s="229">
        <v>0</v>
      </c>
      <c r="LSZ21" s="229">
        <v>0</v>
      </c>
      <c r="LTA21" s="229">
        <v>0</v>
      </c>
      <c r="LTB21" s="229">
        <v>0</v>
      </c>
      <c r="LTC21" s="229">
        <v>0</v>
      </c>
      <c r="LTD21" s="229">
        <v>0</v>
      </c>
      <c r="LTE21" s="229">
        <v>0</v>
      </c>
      <c r="LTF21" s="229">
        <v>0</v>
      </c>
      <c r="LTG21" s="229">
        <v>0</v>
      </c>
      <c r="LTH21" s="229">
        <v>0</v>
      </c>
      <c r="LTI21" s="229">
        <v>0</v>
      </c>
      <c r="LTJ21" s="229">
        <v>0</v>
      </c>
      <c r="LTK21" s="229">
        <v>0</v>
      </c>
      <c r="LTL21" s="229">
        <v>0</v>
      </c>
      <c r="LTM21" s="229">
        <v>0</v>
      </c>
      <c r="LTN21" s="229">
        <v>0</v>
      </c>
      <c r="LTO21" s="229">
        <v>0</v>
      </c>
      <c r="LTP21" s="229">
        <v>0</v>
      </c>
      <c r="LTQ21" s="229">
        <v>0</v>
      </c>
      <c r="LTR21" s="229">
        <v>0</v>
      </c>
      <c r="LTS21" s="229">
        <v>0</v>
      </c>
      <c r="LTT21" s="229">
        <v>0</v>
      </c>
      <c r="LTU21" s="229">
        <v>0</v>
      </c>
      <c r="LTV21" s="229">
        <v>0</v>
      </c>
      <c r="LTW21" s="229">
        <v>0</v>
      </c>
      <c r="LTX21" s="229">
        <v>0</v>
      </c>
      <c r="LTY21" s="229">
        <v>0</v>
      </c>
      <c r="LTZ21" s="229">
        <v>0</v>
      </c>
      <c r="LUA21" s="229">
        <v>0</v>
      </c>
      <c r="LUB21" s="229">
        <v>0</v>
      </c>
      <c r="LUC21" s="229">
        <v>0</v>
      </c>
      <c r="LUD21" s="229">
        <v>0</v>
      </c>
      <c r="LUE21" s="229">
        <v>0</v>
      </c>
      <c r="LUF21" s="229">
        <v>0</v>
      </c>
      <c r="LUG21" s="229">
        <v>0</v>
      </c>
      <c r="LUH21" s="229">
        <v>0</v>
      </c>
      <c r="LUI21" s="229">
        <v>0</v>
      </c>
      <c r="LUJ21" s="229">
        <v>0</v>
      </c>
      <c r="LUK21" s="229">
        <v>0</v>
      </c>
      <c r="LUL21" s="229">
        <v>0</v>
      </c>
      <c r="LUM21" s="229">
        <v>0</v>
      </c>
      <c r="LUN21" s="229">
        <v>0</v>
      </c>
      <c r="LUO21" s="229">
        <v>0</v>
      </c>
      <c r="LUP21" s="229">
        <v>0</v>
      </c>
      <c r="LUQ21" s="229">
        <v>0</v>
      </c>
      <c r="LUR21" s="229">
        <v>0</v>
      </c>
      <c r="LUS21" s="229">
        <v>0</v>
      </c>
      <c r="LUT21" s="229">
        <v>0</v>
      </c>
      <c r="LUU21" s="229">
        <v>0</v>
      </c>
      <c r="LUV21" s="229">
        <v>0</v>
      </c>
      <c r="LUW21" s="229">
        <v>0</v>
      </c>
      <c r="LUX21" s="229">
        <v>0</v>
      </c>
      <c r="LUY21" s="229">
        <v>0</v>
      </c>
      <c r="LUZ21" s="229">
        <v>0</v>
      </c>
      <c r="LVA21" s="229">
        <v>0</v>
      </c>
      <c r="LVB21" s="229">
        <v>0</v>
      </c>
      <c r="LVC21" s="229">
        <v>0</v>
      </c>
      <c r="LVD21" s="229">
        <v>0</v>
      </c>
      <c r="LVE21" s="229">
        <v>0</v>
      </c>
      <c r="LVF21" s="229">
        <v>0</v>
      </c>
      <c r="LVG21" s="229">
        <v>0</v>
      </c>
      <c r="LVH21" s="229">
        <v>0</v>
      </c>
      <c r="LVI21" s="229">
        <v>0</v>
      </c>
      <c r="LVJ21" s="229">
        <v>0</v>
      </c>
      <c r="LVK21" s="229">
        <v>0</v>
      </c>
      <c r="LVL21" s="229">
        <v>0</v>
      </c>
      <c r="LVM21" s="229">
        <v>0</v>
      </c>
      <c r="LVN21" s="229">
        <v>0</v>
      </c>
      <c r="LVO21" s="229">
        <v>0</v>
      </c>
      <c r="LVP21" s="229">
        <v>0</v>
      </c>
      <c r="LVQ21" s="229">
        <v>0</v>
      </c>
      <c r="LVR21" s="229">
        <v>0</v>
      </c>
      <c r="LVS21" s="229">
        <v>0</v>
      </c>
      <c r="LVT21" s="229">
        <v>0</v>
      </c>
      <c r="LVU21" s="229">
        <v>0</v>
      </c>
      <c r="LVV21" s="229">
        <v>0</v>
      </c>
      <c r="LVW21" s="229">
        <v>0</v>
      </c>
      <c r="LVX21" s="229">
        <v>0</v>
      </c>
      <c r="LVY21" s="229">
        <v>0</v>
      </c>
      <c r="LVZ21" s="229">
        <v>0</v>
      </c>
      <c r="LWA21" s="229">
        <v>0</v>
      </c>
      <c r="LWB21" s="229">
        <v>0</v>
      </c>
      <c r="LWC21" s="229">
        <v>0</v>
      </c>
      <c r="LWD21" s="229">
        <v>0</v>
      </c>
      <c r="LWE21" s="229">
        <v>0</v>
      </c>
      <c r="LWF21" s="229">
        <v>0</v>
      </c>
      <c r="LWG21" s="229">
        <v>0</v>
      </c>
      <c r="LWH21" s="229">
        <v>0</v>
      </c>
      <c r="LWI21" s="229">
        <v>0</v>
      </c>
      <c r="LWJ21" s="229">
        <v>0</v>
      </c>
      <c r="LWK21" s="229">
        <v>0</v>
      </c>
      <c r="LWL21" s="229">
        <v>0</v>
      </c>
      <c r="LWM21" s="229">
        <v>0</v>
      </c>
      <c r="LWN21" s="229">
        <v>0</v>
      </c>
      <c r="LWO21" s="229">
        <v>0</v>
      </c>
      <c r="LWP21" s="229">
        <v>0</v>
      </c>
      <c r="LWQ21" s="229">
        <v>0</v>
      </c>
      <c r="LWR21" s="229">
        <v>0</v>
      </c>
      <c r="LWS21" s="229">
        <v>0</v>
      </c>
      <c r="LWT21" s="229">
        <v>0</v>
      </c>
      <c r="LWU21" s="229">
        <v>0</v>
      </c>
      <c r="LWV21" s="229">
        <v>0</v>
      </c>
      <c r="LWW21" s="229">
        <v>0</v>
      </c>
      <c r="LWX21" s="229">
        <v>0</v>
      </c>
      <c r="LWY21" s="229">
        <v>0</v>
      </c>
      <c r="LWZ21" s="229">
        <v>0</v>
      </c>
      <c r="LXA21" s="229">
        <v>0</v>
      </c>
      <c r="LXB21" s="229">
        <v>0</v>
      </c>
      <c r="LXC21" s="229">
        <v>0</v>
      </c>
      <c r="LXD21" s="229">
        <v>0</v>
      </c>
      <c r="LXE21" s="229">
        <v>0</v>
      </c>
      <c r="LXF21" s="229">
        <v>0</v>
      </c>
      <c r="LXG21" s="229">
        <v>0</v>
      </c>
      <c r="LXH21" s="229">
        <v>0</v>
      </c>
      <c r="LXI21" s="229">
        <v>0</v>
      </c>
      <c r="LXJ21" s="229">
        <v>0</v>
      </c>
      <c r="LXK21" s="229">
        <v>0</v>
      </c>
      <c r="LXL21" s="229">
        <v>0</v>
      </c>
      <c r="LXM21" s="229">
        <v>0</v>
      </c>
      <c r="LXN21" s="229">
        <v>0</v>
      </c>
      <c r="LXO21" s="229">
        <v>0</v>
      </c>
      <c r="LXP21" s="229">
        <v>0</v>
      </c>
      <c r="LXQ21" s="229">
        <v>0</v>
      </c>
      <c r="LXR21" s="229">
        <v>0</v>
      </c>
      <c r="LXS21" s="229">
        <v>0</v>
      </c>
      <c r="LXT21" s="229">
        <v>0</v>
      </c>
      <c r="LXU21" s="229">
        <v>0</v>
      </c>
      <c r="LXV21" s="229">
        <v>0</v>
      </c>
      <c r="LXW21" s="229">
        <v>0</v>
      </c>
      <c r="LXX21" s="229">
        <v>0</v>
      </c>
      <c r="LXY21" s="229">
        <v>0</v>
      </c>
      <c r="LXZ21" s="229">
        <v>0</v>
      </c>
      <c r="LYA21" s="229">
        <v>0</v>
      </c>
      <c r="LYB21" s="229">
        <v>0</v>
      </c>
      <c r="LYC21" s="229">
        <v>0</v>
      </c>
      <c r="LYD21" s="229">
        <v>0</v>
      </c>
      <c r="LYE21" s="229">
        <v>0</v>
      </c>
      <c r="LYF21" s="229">
        <v>0</v>
      </c>
      <c r="LYG21" s="229">
        <v>0</v>
      </c>
      <c r="LYH21" s="229">
        <v>0</v>
      </c>
      <c r="LYI21" s="229">
        <v>0</v>
      </c>
      <c r="LYJ21" s="229">
        <v>0</v>
      </c>
      <c r="LYK21" s="229">
        <v>0</v>
      </c>
      <c r="LYL21" s="229">
        <v>0</v>
      </c>
      <c r="LYM21" s="229">
        <v>0</v>
      </c>
      <c r="LYN21" s="229">
        <v>0</v>
      </c>
      <c r="LYO21" s="229">
        <v>0</v>
      </c>
      <c r="LYP21" s="229">
        <v>0</v>
      </c>
      <c r="LYQ21" s="229">
        <v>0</v>
      </c>
      <c r="LYR21" s="229">
        <v>0</v>
      </c>
      <c r="LYS21" s="229">
        <v>0</v>
      </c>
      <c r="LYT21" s="229">
        <v>0</v>
      </c>
      <c r="LYU21" s="229">
        <v>0</v>
      </c>
      <c r="LYV21" s="229">
        <v>0</v>
      </c>
      <c r="LYW21" s="229">
        <v>0</v>
      </c>
      <c r="LYX21" s="229">
        <v>0</v>
      </c>
      <c r="LYY21" s="229">
        <v>0</v>
      </c>
      <c r="LYZ21" s="229">
        <v>0</v>
      </c>
      <c r="LZA21" s="229">
        <v>0</v>
      </c>
      <c r="LZB21" s="229">
        <v>0</v>
      </c>
      <c r="LZC21" s="229">
        <v>0</v>
      </c>
      <c r="LZD21" s="229">
        <v>0</v>
      </c>
      <c r="LZE21" s="229">
        <v>0</v>
      </c>
      <c r="LZF21" s="229">
        <v>0</v>
      </c>
      <c r="LZG21" s="229">
        <v>0</v>
      </c>
      <c r="LZH21" s="229">
        <v>0</v>
      </c>
      <c r="LZI21" s="229">
        <v>0</v>
      </c>
      <c r="LZJ21" s="229">
        <v>0</v>
      </c>
      <c r="LZK21" s="229">
        <v>0</v>
      </c>
      <c r="LZL21" s="229">
        <v>0</v>
      </c>
      <c r="LZM21" s="229">
        <v>0</v>
      </c>
      <c r="LZN21" s="229">
        <v>0</v>
      </c>
      <c r="LZO21" s="229">
        <v>0</v>
      </c>
      <c r="LZP21" s="229">
        <v>0</v>
      </c>
      <c r="LZQ21" s="229">
        <v>0</v>
      </c>
      <c r="LZR21" s="229">
        <v>0</v>
      </c>
      <c r="LZS21" s="229">
        <v>0</v>
      </c>
      <c r="LZT21" s="229">
        <v>0</v>
      </c>
      <c r="LZU21" s="229">
        <v>0</v>
      </c>
      <c r="LZV21" s="229">
        <v>0</v>
      </c>
      <c r="LZW21" s="229">
        <v>0</v>
      </c>
      <c r="LZX21" s="229">
        <v>0</v>
      </c>
      <c r="LZY21" s="229">
        <v>0</v>
      </c>
      <c r="LZZ21" s="229">
        <v>0</v>
      </c>
      <c r="MAA21" s="229">
        <v>0</v>
      </c>
      <c r="MAB21" s="229">
        <v>0</v>
      </c>
      <c r="MAC21" s="229">
        <v>0</v>
      </c>
      <c r="MAD21" s="229">
        <v>0</v>
      </c>
      <c r="MAE21" s="229">
        <v>0</v>
      </c>
      <c r="MAF21" s="229">
        <v>0</v>
      </c>
      <c r="MAG21" s="229">
        <v>0</v>
      </c>
      <c r="MAH21" s="229">
        <v>0</v>
      </c>
      <c r="MAI21" s="229">
        <v>0</v>
      </c>
      <c r="MAJ21" s="229">
        <v>0</v>
      </c>
      <c r="MAK21" s="229">
        <v>0</v>
      </c>
      <c r="MAL21" s="229">
        <v>0</v>
      </c>
      <c r="MAM21" s="229">
        <v>0</v>
      </c>
      <c r="MAN21" s="229">
        <v>0</v>
      </c>
      <c r="MAO21" s="229">
        <v>0</v>
      </c>
      <c r="MAP21" s="229">
        <v>0</v>
      </c>
      <c r="MAQ21" s="229">
        <v>0</v>
      </c>
      <c r="MAR21" s="229">
        <v>0</v>
      </c>
      <c r="MAS21" s="229">
        <v>0</v>
      </c>
      <c r="MAT21" s="229">
        <v>0</v>
      </c>
      <c r="MAU21" s="229">
        <v>0</v>
      </c>
      <c r="MAV21" s="229">
        <v>0</v>
      </c>
      <c r="MAW21" s="229">
        <v>0</v>
      </c>
      <c r="MAX21" s="229">
        <v>0</v>
      </c>
      <c r="MAY21" s="229">
        <v>0</v>
      </c>
      <c r="MAZ21" s="229">
        <v>0</v>
      </c>
      <c r="MBA21" s="229">
        <v>0</v>
      </c>
      <c r="MBB21" s="229">
        <v>0</v>
      </c>
      <c r="MBC21" s="229">
        <v>0</v>
      </c>
      <c r="MBD21" s="229">
        <v>0</v>
      </c>
      <c r="MBE21" s="229">
        <v>0</v>
      </c>
      <c r="MBF21" s="229">
        <v>0</v>
      </c>
      <c r="MBG21" s="229">
        <v>0</v>
      </c>
      <c r="MBH21" s="229">
        <v>0</v>
      </c>
      <c r="MBI21" s="229">
        <v>0</v>
      </c>
      <c r="MBJ21" s="229">
        <v>0</v>
      </c>
      <c r="MBK21" s="229">
        <v>0</v>
      </c>
      <c r="MBL21" s="229">
        <v>0</v>
      </c>
      <c r="MBM21" s="229">
        <v>0</v>
      </c>
      <c r="MBN21" s="229">
        <v>0</v>
      </c>
      <c r="MBO21" s="229">
        <v>0</v>
      </c>
      <c r="MBP21" s="229">
        <v>0</v>
      </c>
      <c r="MBQ21" s="229">
        <v>0</v>
      </c>
      <c r="MBR21" s="229">
        <v>0</v>
      </c>
      <c r="MBS21" s="229">
        <v>0</v>
      </c>
      <c r="MBT21" s="229">
        <v>0</v>
      </c>
      <c r="MBU21" s="229">
        <v>0</v>
      </c>
      <c r="MBV21" s="229">
        <v>0</v>
      </c>
      <c r="MBW21" s="229">
        <v>0</v>
      </c>
      <c r="MBX21" s="229">
        <v>0</v>
      </c>
      <c r="MBY21" s="229">
        <v>0</v>
      </c>
      <c r="MBZ21" s="229">
        <v>0</v>
      </c>
      <c r="MCA21" s="229">
        <v>0</v>
      </c>
      <c r="MCB21" s="229">
        <v>0</v>
      </c>
      <c r="MCC21" s="229">
        <v>0</v>
      </c>
      <c r="MCD21" s="229">
        <v>0</v>
      </c>
      <c r="MCE21" s="229">
        <v>0</v>
      </c>
      <c r="MCF21" s="229">
        <v>0</v>
      </c>
      <c r="MCG21" s="229">
        <v>0</v>
      </c>
      <c r="MCH21" s="229">
        <v>0</v>
      </c>
      <c r="MCI21" s="229">
        <v>0</v>
      </c>
      <c r="MCJ21" s="229">
        <v>0</v>
      </c>
      <c r="MCK21" s="229">
        <v>0</v>
      </c>
      <c r="MCL21" s="229">
        <v>0</v>
      </c>
      <c r="MCM21" s="229">
        <v>0</v>
      </c>
      <c r="MCN21" s="229">
        <v>0</v>
      </c>
      <c r="MCO21" s="229">
        <v>0</v>
      </c>
      <c r="MCP21" s="229">
        <v>0</v>
      </c>
      <c r="MCQ21" s="229">
        <v>0</v>
      </c>
      <c r="MCR21" s="229">
        <v>0</v>
      </c>
      <c r="MCS21" s="229">
        <v>0</v>
      </c>
      <c r="MCT21" s="229">
        <v>0</v>
      </c>
      <c r="MCU21" s="229">
        <v>0</v>
      </c>
      <c r="MCV21" s="229">
        <v>0</v>
      </c>
      <c r="MCW21" s="229">
        <v>0</v>
      </c>
      <c r="MCX21" s="229">
        <v>0</v>
      </c>
      <c r="MCY21" s="229">
        <v>0</v>
      </c>
      <c r="MCZ21" s="229">
        <v>0</v>
      </c>
      <c r="MDA21" s="229">
        <v>0</v>
      </c>
      <c r="MDB21" s="229">
        <v>0</v>
      </c>
      <c r="MDC21" s="229">
        <v>0</v>
      </c>
      <c r="MDD21" s="229">
        <v>0</v>
      </c>
      <c r="MDE21" s="229">
        <v>0</v>
      </c>
      <c r="MDF21" s="229">
        <v>0</v>
      </c>
      <c r="MDG21" s="229">
        <v>0</v>
      </c>
      <c r="MDH21" s="229">
        <v>0</v>
      </c>
      <c r="MDI21" s="229">
        <v>0</v>
      </c>
      <c r="MDJ21" s="229">
        <v>0</v>
      </c>
      <c r="MDK21" s="229">
        <v>0</v>
      </c>
      <c r="MDL21" s="229">
        <v>0</v>
      </c>
      <c r="MDM21" s="229">
        <v>0</v>
      </c>
      <c r="MDN21" s="229">
        <v>0</v>
      </c>
      <c r="MDO21" s="229">
        <v>0</v>
      </c>
      <c r="MDP21" s="229">
        <v>0</v>
      </c>
      <c r="MDQ21" s="229">
        <v>0</v>
      </c>
      <c r="MDR21" s="229">
        <v>0</v>
      </c>
      <c r="MDS21" s="229">
        <v>0</v>
      </c>
      <c r="MDT21" s="229">
        <v>0</v>
      </c>
      <c r="MDU21" s="229">
        <v>0</v>
      </c>
      <c r="MDV21" s="229">
        <v>0</v>
      </c>
      <c r="MDW21" s="229">
        <v>0</v>
      </c>
      <c r="MDX21" s="229">
        <v>0</v>
      </c>
      <c r="MDY21" s="229">
        <v>0</v>
      </c>
      <c r="MDZ21" s="229">
        <v>0</v>
      </c>
      <c r="MEA21" s="229">
        <v>0</v>
      </c>
      <c r="MEB21" s="229">
        <v>0</v>
      </c>
      <c r="MEC21" s="229">
        <v>0</v>
      </c>
      <c r="MED21" s="229">
        <v>0</v>
      </c>
      <c r="MEE21" s="229">
        <v>0</v>
      </c>
      <c r="MEF21" s="229">
        <v>0</v>
      </c>
      <c r="MEG21" s="229">
        <v>0</v>
      </c>
      <c r="MEH21" s="229">
        <v>0</v>
      </c>
      <c r="MEI21" s="229">
        <v>0</v>
      </c>
      <c r="MEJ21" s="229">
        <v>0</v>
      </c>
      <c r="MEK21" s="229">
        <v>0</v>
      </c>
      <c r="MEL21" s="229">
        <v>0</v>
      </c>
      <c r="MEM21" s="229">
        <v>0</v>
      </c>
      <c r="MEN21" s="229">
        <v>0</v>
      </c>
      <c r="MEO21" s="229">
        <v>0</v>
      </c>
      <c r="MEP21" s="229">
        <v>0</v>
      </c>
      <c r="MEQ21" s="229">
        <v>0</v>
      </c>
      <c r="MER21" s="229">
        <v>0</v>
      </c>
      <c r="MES21" s="229">
        <v>0</v>
      </c>
      <c r="MET21" s="229">
        <v>0</v>
      </c>
      <c r="MEU21" s="229">
        <v>0</v>
      </c>
      <c r="MEV21" s="229">
        <v>0</v>
      </c>
      <c r="MEW21" s="229">
        <v>0</v>
      </c>
      <c r="MEX21" s="229">
        <v>0</v>
      </c>
      <c r="MEY21" s="229">
        <v>0</v>
      </c>
      <c r="MEZ21" s="229">
        <v>0</v>
      </c>
      <c r="MFA21" s="229">
        <v>0</v>
      </c>
      <c r="MFB21" s="229">
        <v>0</v>
      </c>
      <c r="MFC21" s="229">
        <v>0</v>
      </c>
      <c r="MFD21" s="229">
        <v>0</v>
      </c>
      <c r="MFE21" s="229">
        <v>0</v>
      </c>
      <c r="MFF21" s="229">
        <v>0</v>
      </c>
      <c r="MFG21" s="229">
        <v>0</v>
      </c>
      <c r="MFH21" s="229">
        <v>0</v>
      </c>
      <c r="MFI21" s="229">
        <v>0</v>
      </c>
      <c r="MFJ21" s="229">
        <v>0</v>
      </c>
      <c r="MFK21" s="229">
        <v>0</v>
      </c>
      <c r="MFL21" s="229">
        <v>0</v>
      </c>
      <c r="MFM21" s="229">
        <v>0</v>
      </c>
      <c r="MFN21" s="229">
        <v>0</v>
      </c>
      <c r="MFO21" s="229">
        <v>0</v>
      </c>
      <c r="MFP21" s="229">
        <v>0</v>
      </c>
      <c r="MFQ21" s="229">
        <v>0</v>
      </c>
      <c r="MFR21" s="229">
        <v>0</v>
      </c>
      <c r="MFS21" s="229">
        <v>0</v>
      </c>
      <c r="MFT21" s="229">
        <v>0</v>
      </c>
      <c r="MFU21" s="229">
        <v>0</v>
      </c>
      <c r="MFV21" s="229">
        <v>0</v>
      </c>
      <c r="MFW21" s="229">
        <v>0</v>
      </c>
      <c r="MFX21" s="229">
        <v>0</v>
      </c>
      <c r="MFY21" s="229">
        <v>0</v>
      </c>
      <c r="MFZ21" s="229">
        <v>0</v>
      </c>
      <c r="MGA21" s="229">
        <v>0</v>
      </c>
      <c r="MGB21" s="229">
        <v>0</v>
      </c>
      <c r="MGC21" s="229">
        <v>0</v>
      </c>
      <c r="MGD21" s="229">
        <v>0</v>
      </c>
      <c r="MGE21" s="229">
        <v>0</v>
      </c>
      <c r="MGF21" s="229">
        <v>0</v>
      </c>
      <c r="MGG21" s="229">
        <v>0</v>
      </c>
      <c r="MGH21" s="229">
        <v>0</v>
      </c>
      <c r="MGI21" s="229">
        <v>0</v>
      </c>
      <c r="MGJ21" s="229">
        <v>0</v>
      </c>
      <c r="MGK21" s="229">
        <v>0</v>
      </c>
      <c r="MGL21" s="229">
        <v>0</v>
      </c>
      <c r="MGM21" s="229">
        <v>0</v>
      </c>
      <c r="MGN21" s="229">
        <v>0</v>
      </c>
      <c r="MGO21" s="229">
        <v>0</v>
      </c>
      <c r="MGP21" s="229">
        <v>0</v>
      </c>
      <c r="MGQ21" s="229">
        <v>0</v>
      </c>
      <c r="MGR21" s="229">
        <v>0</v>
      </c>
      <c r="MGS21" s="229">
        <v>0</v>
      </c>
      <c r="MGT21" s="229">
        <v>0</v>
      </c>
      <c r="MGU21" s="229">
        <v>0</v>
      </c>
      <c r="MGV21" s="229">
        <v>0</v>
      </c>
      <c r="MGW21" s="229">
        <v>0</v>
      </c>
      <c r="MGX21" s="229">
        <v>0</v>
      </c>
      <c r="MGY21" s="229">
        <v>0</v>
      </c>
      <c r="MGZ21" s="229">
        <v>0</v>
      </c>
      <c r="MHA21" s="229">
        <v>0</v>
      </c>
      <c r="MHB21" s="229">
        <v>0</v>
      </c>
      <c r="MHC21" s="229">
        <v>0</v>
      </c>
      <c r="MHD21" s="229">
        <v>0</v>
      </c>
      <c r="MHE21" s="229">
        <v>0</v>
      </c>
      <c r="MHF21" s="229">
        <v>0</v>
      </c>
      <c r="MHG21" s="229">
        <v>0</v>
      </c>
      <c r="MHH21" s="229">
        <v>0</v>
      </c>
      <c r="MHI21" s="229">
        <v>0</v>
      </c>
      <c r="MHJ21" s="229">
        <v>0</v>
      </c>
      <c r="MHK21" s="229">
        <v>0</v>
      </c>
      <c r="MHL21" s="229">
        <v>0</v>
      </c>
      <c r="MHM21" s="229">
        <v>0</v>
      </c>
      <c r="MHN21" s="229">
        <v>0</v>
      </c>
      <c r="MHO21" s="229">
        <v>0</v>
      </c>
      <c r="MHP21" s="229">
        <v>0</v>
      </c>
      <c r="MHQ21" s="229">
        <v>0</v>
      </c>
      <c r="MHR21" s="229">
        <v>0</v>
      </c>
      <c r="MHS21" s="229">
        <v>0</v>
      </c>
      <c r="MHT21" s="229">
        <v>0</v>
      </c>
      <c r="MHU21" s="229">
        <v>0</v>
      </c>
      <c r="MHV21" s="229">
        <v>0</v>
      </c>
      <c r="MHW21" s="229">
        <v>0</v>
      </c>
      <c r="MHX21" s="229">
        <v>0</v>
      </c>
      <c r="MHY21" s="229">
        <v>0</v>
      </c>
      <c r="MHZ21" s="229">
        <v>0</v>
      </c>
      <c r="MIA21" s="229">
        <v>0</v>
      </c>
      <c r="MIB21" s="229">
        <v>0</v>
      </c>
      <c r="MIC21" s="229">
        <v>0</v>
      </c>
      <c r="MID21" s="229">
        <v>0</v>
      </c>
      <c r="MIE21" s="229">
        <v>0</v>
      </c>
      <c r="MIF21" s="229">
        <v>0</v>
      </c>
      <c r="MIG21" s="229">
        <v>0</v>
      </c>
      <c r="MIH21" s="229">
        <v>0</v>
      </c>
      <c r="MII21" s="229">
        <v>0</v>
      </c>
      <c r="MIJ21" s="229">
        <v>0</v>
      </c>
      <c r="MIK21" s="229">
        <v>0</v>
      </c>
      <c r="MIL21" s="229">
        <v>0</v>
      </c>
      <c r="MIM21" s="229">
        <v>0</v>
      </c>
      <c r="MIN21" s="229">
        <v>0</v>
      </c>
      <c r="MIO21" s="229">
        <v>0</v>
      </c>
      <c r="MIP21" s="229">
        <v>0</v>
      </c>
      <c r="MIQ21" s="229">
        <v>0</v>
      </c>
      <c r="MIR21" s="229">
        <v>0</v>
      </c>
      <c r="MIS21" s="229">
        <v>0</v>
      </c>
      <c r="MIT21" s="229">
        <v>0</v>
      </c>
      <c r="MIU21" s="229">
        <v>0</v>
      </c>
      <c r="MIV21" s="229">
        <v>0</v>
      </c>
      <c r="MIW21" s="229">
        <v>0</v>
      </c>
      <c r="MIX21" s="229">
        <v>0</v>
      </c>
      <c r="MIY21" s="229">
        <v>0</v>
      </c>
      <c r="MIZ21" s="229">
        <v>0</v>
      </c>
      <c r="MJA21" s="229">
        <v>0</v>
      </c>
      <c r="MJB21" s="229">
        <v>0</v>
      </c>
      <c r="MJC21" s="229">
        <v>0</v>
      </c>
      <c r="MJD21" s="229">
        <v>0</v>
      </c>
      <c r="MJE21" s="229">
        <v>0</v>
      </c>
      <c r="MJF21" s="229">
        <v>0</v>
      </c>
      <c r="MJG21" s="229">
        <v>0</v>
      </c>
      <c r="MJH21" s="229">
        <v>0</v>
      </c>
      <c r="MJI21" s="229">
        <v>0</v>
      </c>
      <c r="MJJ21" s="229">
        <v>0</v>
      </c>
      <c r="MJK21" s="229">
        <v>0</v>
      </c>
      <c r="MJL21" s="229">
        <v>0</v>
      </c>
      <c r="MJM21" s="229">
        <v>0</v>
      </c>
      <c r="MJN21" s="229">
        <v>0</v>
      </c>
      <c r="MJO21" s="229">
        <v>0</v>
      </c>
      <c r="MJP21" s="229">
        <v>0</v>
      </c>
      <c r="MJQ21" s="229">
        <v>0</v>
      </c>
      <c r="MJR21" s="229">
        <v>0</v>
      </c>
      <c r="MJS21" s="229">
        <v>0</v>
      </c>
      <c r="MJT21" s="229">
        <v>0</v>
      </c>
      <c r="MJU21" s="229">
        <v>0</v>
      </c>
      <c r="MJV21" s="229">
        <v>0</v>
      </c>
      <c r="MJW21" s="229">
        <v>0</v>
      </c>
      <c r="MJX21" s="229">
        <v>0</v>
      </c>
      <c r="MJY21" s="229">
        <v>0</v>
      </c>
      <c r="MJZ21" s="229">
        <v>0</v>
      </c>
      <c r="MKA21" s="229">
        <v>0</v>
      </c>
      <c r="MKB21" s="229">
        <v>0</v>
      </c>
      <c r="MKC21" s="229">
        <v>0</v>
      </c>
      <c r="MKD21" s="229">
        <v>0</v>
      </c>
      <c r="MKE21" s="229">
        <v>0</v>
      </c>
      <c r="MKF21" s="229">
        <v>0</v>
      </c>
      <c r="MKG21" s="229">
        <v>0</v>
      </c>
      <c r="MKH21" s="229">
        <v>0</v>
      </c>
      <c r="MKI21" s="229">
        <v>0</v>
      </c>
      <c r="MKJ21" s="229">
        <v>0</v>
      </c>
      <c r="MKK21" s="229">
        <v>0</v>
      </c>
      <c r="MKL21" s="229">
        <v>0</v>
      </c>
      <c r="MKM21" s="229">
        <v>0</v>
      </c>
      <c r="MKN21" s="229">
        <v>0</v>
      </c>
      <c r="MKO21" s="229">
        <v>0</v>
      </c>
      <c r="MKP21" s="229">
        <v>0</v>
      </c>
      <c r="MKQ21" s="229">
        <v>0</v>
      </c>
      <c r="MKR21" s="229">
        <v>0</v>
      </c>
      <c r="MKS21" s="229">
        <v>0</v>
      </c>
      <c r="MKT21" s="229">
        <v>0</v>
      </c>
      <c r="MKU21" s="229">
        <v>0</v>
      </c>
      <c r="MKV21" s="229">
        <v>0</v>
      </c>
      <c r="MKW21" s="229">
        <v>0</v>
      </c>
      <c r="MKX21" s="229">
        <v>0</v>
      </c>
      <c r="MKY21" s="229">
        <v>0</v>
      </c>
      <c r="MKZ21" s="229">
        <v>0</v>
      </c>
      <c r="MLA21" s="229">
        <v>0</v>
      </c>
      <c r="MLB21" s="229">
        <v>0</v>
      </c>
      <c r="MLC21" s="229">
        <v>0</v>
      </c>
      <c r="MLD21" s="229">
        <v>0</v>
      </c>
      <c r="MLE21" s="229">
        <v>0</v>
      </c>
      <c r="MLF21" s="229">
        <v>0</v>
      </c>
      <c r="MLG21" s="229">
        <v>0</v>
      </c>
      <c r="MLH21" s="229">
        <v>0</v>
      </c>
      <c r="MLI21" s="229">
        <v>0</v>
      </c>
      <c r="MLJ21" s="229">
        <v>0</v>
      </c>
      <c r="MLK21" s="229">
        <v>0</v>
      </c>
      <c r="MLL21" s="229">
        <v>0</v>
      </c>
      <c r="MLM21" s="229">
        <v>0</v>
      </c>
      <c r="MLN21" s="229">
        <v>0</v>
      </c>
      <c r="MLO21" s="229">
        <v>0</v>
      </c>
      <c r="MLP21" s="229">
        <v>0</v>
      </c>
      <c r="MLQ21" s="229">
        <v>0</v>
      </c>
      <c r="MLR21" s="229">
        <v>0</v>
      </c>
      <c r="MLS21" s="229">
        <v>0</v>
      </c>
      <c r="MLT21" s="229">
        <v>0</v>
      </c>
      <c r="MLU21" s="229">
        <v>0</v>
      </c>
      <c r="MLV21" s="229">
        <v>0</v>
      </c>
      <c r="MLW21" s="229">
        <v>0</v>
      </c>
      <c r="MLX21" s="229">
        <v>0</v>
      </c>
      <c r="MLY21" s="229">
        <v>0</v>
      </c>
      <c r="MLZ21" s="229">
        <v>0</v>
      </c>
      <c r="MMA21" s="229">
        <v>0</v>
      </c>
      <c r="MMB21" s="229">
        <v>0</v>
      </c>
      <c r="MMC21" s="229">
        <v>0</v>
      </c>
      <c r="MMD21" s="229">
        <v>0</v>
      </c>
      <c r="MME21" s="229">
        <v>0</v>
      </c>
      <c r="MMF21" s="229">
        <v>0</v>
      </c>
      <c r="MMG21" s="229">
        <v>0</v>
      </c>
      <c r="MMH21" s="229">
        <v>0</v>
      </c>
      <c r="MMI21" s="229">
        <v>0</v>
      </c>
      <c r="MMJ21" s="229">
        <v>0</v>
      </c>
      <c r="MMK21" s="229">
        <v>0</v>
      </c>
      <c r="MML21" s="229">
        <v>0</v>
      </c>
      <c r="MMM21" s="229">
        <v>0</v>
      </c>
      <c r="MMN21" s="229">
        <v>0</v>
      </c>
      <c r="MMO21" s="229">
        <v>0</v>
      </c>
      <c r="MMP21" s="229">
        <v>0</v>
      </c>
      <c r="MMQ21" s="229">
        <v>0</v>
      </c>
      <c r="MMR21" s="229">
        <v>0</v>
      </c>
      <c r="MMS21" s="229">
        <v>0</v>
      </c>
      <c r="MMT21" s="229">
        <v>0</v>
      </c>
      <c r="MMU21" s="229">
        <v>0</v>
      </c>
      <c r="MMV21" s="229">
        <v>0</v>
      </c>
      <c r="MMW21" s="229">
        <v>0</v>
      </c>
      <c r="MMX21" s="229">
        <v>0</v>
      </c>
      <c r="MMY21" s="229">
        <v>0</v>
      </c>
      <c r="MMZ21" s="229">
        <v>0</v>
      </c>
      <c r="MNA21" s="229">
        <v>0</v>
      </c>
      <c r="MNB21" s="229">
        <v>0</v>
      </c>
      <c r="MNC21" s="229">
        <v>0</v>
      </c>
      <c r="MND21" s="229">
        <v>0</v>
      </c>
      <c r="MNE21" s="229">
        <v>0</v>
      </c>
      <c r="MNF21" s="229">
        <v>0</v>
      </c>
      <c r="MNG21" s="229">
        <v>0</v>
      </c>
      <c r="MNH21" s="229">
        <v>0</v>
      </c>
      <c r="MNI21" s="229">
        <v>0</v>
      </c>
      <c r="MNJ21" s="229">
        <v>0</v>
      </c>
      <c r="MNK21" s="229">
        <v>0</v>
      </c>
      <c r="MNL21" s="229">
        <v>0</v>
      </c>
      <c r="MNM21" s="229">
        <v>0</v>
      </c>
      <c r="MNN21" s="229">
        <v>0</v>
      </c>
      <c r="MNO21" s="229">
        <v>0</v>
      </c>
      <c r="MNP21" s="229">
        <v>0</v>
      </c>
      <c r="MNQ21" s="229">
        <v>0</v>
      </c>
      <c r="MNR21" s="229">
        <v>0</v>
      </c>
      <c r="MNS21" s="229">
        <v>0</v>
      </c>
      <c r="MNT21" s="229">
        <v>0</v>
      </c>
      <c r="MNU21" s="229">
        <v>0</v>
      </c>
      <c r="MNV21" s="229">
        <v>0</v>
      </c>
      <c r="MNW21" s="229">
        <v>0</v>
      </c>
      <c r="MNX21" s="229">
        <v>0</v>
      </c>
      <c r="MNY21" s="229">
        <v>0</v>
      </c>
      <c r="MNZ21" s="229">
        <v>0</v>
      </c>
      <c r="MOA21" s="229">
        <v>0</v>
      </c>
      <c r="MOB21" s="229">
        <v>0</v>
      </c>
      <c r="MOC21" s="229">
        <v>0</v>
      </c>
      <c r="MOD21" s="229">
        <v>0</v>
      </c>
      <c r="MOE21" s="229">
        <v>0</v>
      </c>
      <c r="MOF21" s="229">
        <v>0</v>
      </c>
      <c r="MOG21" s="229">
        <v>0</v>
      </c>
      <c r="MOH21" s="229">
        <v>0</v>
      </c>
      <c r="MOI21" s="229">
        <v>0</v>
      </c>
      <c r="MOJ21" s="229">
        <v>0</v>
      </c>
      <c r="MOK21" s="229">
        <v>0</v>
      </c>
      <c r="MOL21" s="229">
        <v>0</v>
      </c>
      <c r="MOM21" s="229">
        <v>0</v>
      </c>
      <c r="MON21" s="229">
        <v>0</v>
      </c>
      <c r="MOO21" s="229">
        <v>0</v>
      </c>
      <c r="MOP21" s="229">
        <v>0</v>
      </c>
      <c r="MOQ21" s="229">
        <v>0</v>
      </c>
      <c r="MOR21" s="229">
        <v>0</v>
      </c>
      <c r="MOS21" s="229">
        <v>0</v>
      </c>
      <c r="MOT21" s="229">
        <v>0</v>
      </c>
      <c r="MOU21" s="229">
        <v>0</v>
      </c>
      <c r="MOV21" s="229">
        <v>0</v>
      </c>
      <c r="MOW21" s="229">
        <v>0</v>
      </c>
      <c r="MOX21" s="229">
        <v>0</v>
      </c>
      <c r="MOY21" s="229">
        <v>0</v>
      </c>
      <c r="MOZ21" s="229">
        <v>0</v>
      </c>
      <c r="MPA21" s="229">
        <v>0</v>
      </c>
      <c r="MPB21" s="229">
        <v>0</v>
      </c>
      <c r="MPC21" s="229">
        <v>0</v>
      </c>
      <c r="MPD21" s="229">
        <v>0</v>
      </c>
      <c r="MPE21" s="229">
        <v>0</v>
      </c>
      <c r="MPF21" s="229">
        <v>0</v>
      </c>
      <c r="MPG21" s="229">
        <v>0</v>
      </c>
      <c r="MPH21" s="229">
        <v>0</v>
      </c>
      <c r="MPI21" s="229">
        <v>0</v>
      </c>
      <c r="MPJ21" s="229">
        <v>0</v>
      </c>
      <c r="MPK21" s="229">
        <v>0</v>
      </c>
      <c r="MPL21" s="229">
        <v>0</v>
      </c>
      <c r="MPM21" s="229">
        <v>0</v>
      </c>
      <c r="MPN21" s="229">
        <v>0</v>
      </c>
      <c r="MPO21" s="229">
        <v>0</v>
      </c>
      <c r="MPP21" s="229">
        <v>0</v>
      </c>
      <c r="MPQ21" s="229">
        <v>0</v>
      </c>
      <c r="MPR21" s="229">
        <v>0</v>
      </c>
      <c r="MPS21" s="229">
        <v>0</v>
      </c>
      <c r="MPT21" s="229">
        <v>0</v>
      </c>
      <c r="MPU21" s="229">
        <v>0</v>
      </c>
      <c r="MPV21" s="229">
        <v>0</v>
      </c>
      <c r="MPW21" s="229">
        <v>0</v>
      </c>
      <c r="MPX21" s="229">
        <v>0</v>
      </c>
      <c r="MPY21" s="229">
        <v>0</v>
      </c>
      <c r="MPZ21" s="229">
        <v>0</v>
      </c>
      <c r="MQA21" s="229">
        <v>0</v>
      </c>
      <c r="MQB21" s="229">
        <v>0</v>
      </c>
      <c r="MQC21" s="229">
        <v>0</v>
      </c>
      <c r="MQD21" s="229">
        <v>0</v>
      </c>
      <c r="MQE21" s="229">
        <v>0</v>
      </c>
      <c r="MQF21" s="229">
        <v>0</v>
      </c>
      <c r="MQG21" s="229">
        <v>0</v>
      </c>
      <c r="MQH21" s="229">
        <v>0</v>
      </c>
      <c r="MQI21" s="229">
        <v>0</v>
      </c>
      <c r="MQJ21" s="229">
        <v>0</v>
      </c>
      <c r="MQK21" s="229">
        <v>0</v>
      </c>
      <c r="MQL21" s="229">
        <v>0</v>
      </c>
      <c r="MQM21" s="229">
        <v>0</v>
      </c>
      <c r="MQN21" s="229">
        <v>0</v>
      </c>
      <c r="MQO21" s="229">
        <v>0</v>
      </c>
      <c r="MQP21" s="229">
        <v>0</v>
      </c>
      <c r="MQQ21" s="229">
        <v>0</v>
      </c>
      <c r="MQR21" s="229">
        <v>0</v>
      </c>
      <c r="MQS21" s="229">
        <v>0</v>
      </c>
      <c r="MQT21" s="229">
        <v>0</v>
      </c>
      <c r="MQU21" s="229">
        <v>0</v>
      </c>
      <c r="MQV21" s="229">
        <v>0</v>
      </c>
      <c r="MQW21" s="229">
        <v>0</v>
      </c>
      <c r="MQX21" s="229">
        <v>0</v>
      </c>
      <c r="MQY21" s="229">
        <v>0</v>
      </c>
      <c r="MQZ21" s="229">
        <v>0</v>
      </c>
      <c r="MRA21" s="229">
        <v>0</v>
      </c>
      <c r="MRB21" s="229">
        <v>0</v>
      </c>
      <c r="MRC21" s="229">
        <v>0</v>
      </c>
      <c r="MRD21" s="229">
        <v>0</v>
      </c>
      <c r="MRE21" s="229">
        <v>0</v>
      </c>
      <c r="MRF21" s="229">
        <v>0</v>
      </c>
      <c r="MRG21" s="229">
        <v>0</v>
      </c>
      <c r="MRH21" s="229">
        <v>0</v>
      </c>
      <c r="MRI21" s="229">
        <v>0</v>
      </c>
      <c r="MRJ21" s="229">
        <v>0</v>
      </c>
      <c r="MRK21" s="229">
        <v>0</v>
      </c>
      <c r="MRL21" s="229">
        <v>0</v>
      </c>
      <c r="MRM21" s="229">
        <v>0</v>
      </c>
      <c r="MRN21" s="229">
        <v>0</v>
      </c>
      <c r="MRO21" s="229">
        <v>0</v>
      </c>
      <c r="MRP21" s="229">
        <v>0</v>
      </c>
      <c r="MRQ21" s="229">
        <v>0</v>
      </c>
      <c r="MRR21" s="229">
        <v>0</v>
      </c>
      <c r="MRS21" s="229">
        <v>0</v>
      </c>
      <c r="MRT21" s="229">
        <v>0</v>
      </c>
      <c r="MRU21" s="229">
        <v>0</v>
      </c>
      <c r="MRV21" s="229">
        <v>0</v>
      </c>
      <c r="MRW21" s="229">
        <v>0</v>
      </c>
      <c r="MRX21" s="229">
        <v>0</v>
      </c>
      <c r="MRY21" s="229">
        <v>0</v>
      </c>
      <c r="MRZ21" s="229">
        <v>0</v>
      </c>
      <c r="MSA21" s="229">
        <v>0</v>
      </c>
      <c r="MSB21" s="229">
        <v>0</v>
      </c>
      <c r="MSC21" s="229">
        <v>0</v>
      </c>
      <c r="MSD21" s="229">
        <v>0</v>
      </c>
      <c r="MSE21" s="229">
        <v>0</v>
      </c>
      <c r="MSF21" s="229">
        <v>0</v>
      </c>
      <c r="MSG21" s="229">
        <v>0</v>
      </c>
      <c r="MSH21" s="229">
        <v>0</v>
      </c>
      <c r="MSI21" s="229">
        <v>0</v>
      </c>
      <c r="MSJ21" s="229">
        <v>0</v>
      </c>
      <c r="MSK21" s="229">
        <v>0</v>
      </c>
      <c r="MSL21" s="229">
        <v>0</v>
      </c>
      <c r="MSM21" s="229">
        <v>0</v>
      </c>
      <c r="MSN21" s="229">
        <v>0</v>
      </c>
      <c r="MSO21" s="229">
        <v>0</v>
      </c>
      <c r="MSP21" s="229">
        <v>0</v>
      </c>
      <c r="MSQ21" s="229">
        <v>0</v>
      </c>
      <c r="MSR21" s="229">
        <v>0</v>
      </c>
      <c r="MSS21" s="229">
        <v>0</v>
      </c>
      <c r="MST21" s="229">
        <v>0</v>
      </c>
      <c r="MSU21" s="229">
        <v>0</v>
      </c>
      <c r="MSV21" s="229">
        <v>0</v>
      </c>
      <c r="MSW21" s="229">
        <v>0</v>
      </c>
      <c r="MSX21" s="229">
        <v>0</v>
      </c>
      <c r="MSY21" s="229">
        <v>0</v>
      </c>
      <c r="MSZ21" s="229">
        <v>0</v>
      </c>
      <c r="MTA21" s="229">
        <v>0</v>
      </c>
      <c r="MTB21" s="229">
        <v>0</v>
      </c>
      <c r="MTC21" s="229">
        <v>0</v>
      </c>
      <c r="MTD21" s="229">
        <v>0</v>
      </c>
      <c r="MTE21" s="229">
        <v>0</v>
      </c>
      <c r="MTF21" s="229">
        <v>0</v>
      </c>
      <c r="MTG21" s="229">
        <v>0</v>
      </c>
      <c r="MTH21" s="229">
        <v>0</v>
      </c>
      <c r="MTI21" s="229">
        <v>0</v>
      </c>
      <c r="MTJ21" s="229">
        <v>0</v>
      </c>
      <c r="MTK21" s="229">
        <v>0</v>
      </c>
      <c r="MTL21" s="229">
        <v>0</v>
      </c>
      <c r="MTM21" s="229">
        <v>0</v>
      </c>
      <c r="MTN21" s="229">
        <v>0</v>
      </c>
      <c r="MTO21" s="229">
        <v>0</v>
      </c>
      <c r="MTP21" s="229">
        <v>0</v>
      </c>
      <c r="MTQ21" s="229">
        <v>0</v>
      </c>
      <c r="MTR21" s="229">
        <v>0</v>
      </c>
      <c r="MTS21" s="229">
        <v>0</v>
      </c>
      <c r="MTT21" s="229">
        <v>0</v>
      </c>
      <c r="MTU21" s="229">
        <v>0</v>
      </c>
      <c r="MTV21" s="229">
        <v>0</v>
      </c>
      <c r="MTW21" s="229">
        <v>0</v>
      </c>
      <c r="MTX21" s="229">
        <v>0</v>
      </c>
      <c r="MTY21" s="229">
        <v>0</v>
      </c>
      <c r="MTZ21" s="229">
        <v>0</v>
      </c>
      <c r="MUA21" s="229">
        <v>0</v>
      </c>
      <c r="MUB21" s="229">
        <v>0</v>
      </c>
      <c r="MUC21" s="229">
        <v>0</v>
      </c>
      <c r="MUD21" s="229">
        <v>0</v>
      </c>
      <c r="MUE21" s="229">
        <v>0</v>
      </c>
      <c r="MUF21" s="229">
        <v>0</v>
      </c>
      <c r="MUG21" s="229">
        <v>0</v>
      </c>
      <c r="MUH21" s="229">
        <v>0</v>
      </c>
      <c r="MUI21" s="229">
        <v>0</v>
      </c>
      <c r="MUJ21" s="229">
        <v>0</v>
      </c>
      <c r="MUK21" s="229">
        <v>0</v>
      </c>
      <c r="MUL21" s="229">
        <v>0</v>
      </c>
      <c r="MUM21" s="229">
        <v>0</v>
      </c>
      <c r="MUN21" s="229">
        <v>0</v>
      </c>
      <c r="MUO21" s="229">
        <v>0</v>
      </c>
      <c r="MUP21" s="229">
        <v>0</v>
      </c>
      <c r="MUQ21" s="229">
        <v>0</v>
      </c>
      <c r="MUR21" s="229">
        <v>0</v>
      </c>
      <c r="MUS21" s="229">
        <v>0</v>
      </c>
      <c r="MUT21" s="229">
        <v>0</v>
      </c>
      <c r="MUU21" s="229">
        <v>0</v>
      </c>
      <c r="MUV21" s="229">
        <v>0</v>
      </c>
      <c r="MUW21" s="229">
        <v>0</v>
      </c>
      <c r="MUX21" s="229">
        <v>0</v>
      </c>
      <c r="MUY21" s="229">
        <v>0</v>
      </c>
      <c r="MUZ21" s="229">
        <v>0</v>
      </c>
      <c r="MVA21" s="229">
        <v>0</v>
      </c>
      <c r="MVB21" s="229">
        <v>0</v>
      </c>
      <c r="MVC21" s="229">
        <v>0</v>
      </c>
      <c r="MVD21" s="229">
        <v>0</v>
      </c>
      <c r="MVE21" s="229">
        <v>0</v>
      </c>
      <c r="MVF21" s="229">
        <v>0</v>
      </c>
      <c r="MVG21" s="229">
        <v>0</v>
      </c>
      <c r="MVH21" s="229">
        <v>0</v>
      </c>
      <c r="MVI21" s="229">
        <v>0</v>
      </c>
      <c r="MVJ21" s="229">
        <v>0</v>
      </c>
      <c r="MVK21" s="229">
        <v>0</v>
      </c>
      <c r="MVL21" s="229">
        <v>0</v>
      </c>
      <c r="MVM21" s="229">
        <v>0</v>
      </c>
      <c r="MVN21" s="229">
        <v>0</v>
      </c>
      <c r="MVO21" s="229">
        <v>0</v>
      </c>
      <c r="MVP21" s="229">
        <v>0</v>
      </c>
      <c r="MVQ21" s="229">
        <v>0</v>
      </c>
      <c r="MVR21" s="229">
        <v>0</v>
      </c>
      <c r="MVS21" s="229">
        <v>0</v>
      </c>
      <c r="MVT21" s="229">
        <v>0</v>
      </c>
      <c r="MVU21" s="229">
        <v>0</v>
      </c>
      <c r="MVV21" s="229">
        <v>0</v>
      </c>
      <c r="MVW21" s="229">
        <v>0</v>
      </c>
      <c r="MVX21" s="229">
        <v>0</v>
      </c>
      <c r="MVY21" s="229">
        <v>0</v>
      </c>
      <c r="MVZ21" s="229">
        <v>0</v>
      </c>
      <c r="MWA21" s="229">
        <v>0</v>
      </c>
      <c r="MWB21" s="229">
        <v>0</v>
      </c>
      <c r="MWC21" s="229">
        <v>0</v>
      </c>
      <c r="MWD21" s="229">
        <v>0</v>
      </c>
      <c r="MWE21" s="229">
        <v>0</v>
      </c>
      <c r="MWF21" s="229">
        <v>0</v>
      </c>
      <c r="MWG21" s="229">
        <v>0</v>
      </c>
      <c r="MWH21" s="229">
        <v>0</v>
      </c>
      <c r="MWI21" s="229">
        <v>0</v>
      </c>
      <c r="MWJ21" s="229">
        <v>0</v>
      </c>
      <c r="MWK21" s="229">
        <v>0</v>
      </c>
      <c r="MWL21" s="229">
        <v>0</v>
      </c>
      <c r="MWM21" s="229">
        <v>0</v>
      </c>
      <c r="MWN21" s="229">
        <v>0</v>
      </c>
      <c r="MWO21" s="229">
        <v>0</v>
      </c>
      <c r="MWP21" s="229">
        <v>0</v>
      </c>
      <c r="MWQ21" s="229">
        <v>0</v>
      </c>
      <c r="MWR21" s="229">
        <v>0</v>
      </c>
      <c r="MWS21" s="229">
        <v>0</v>
      </c>
      <c r="MWT21" s="229">
        <v>0</v>
      </c>
      <c r="MWU21" s="229">
        <v>0</v>
      </c>
      <c r="MWV21" s="229">
        <v>0</v>
      </c>
      <c r="MWW21" s="229">
        <v>0</v>
      </c>
      <c r="MWX21" s="229">
        <v>0</v>
      </c>
      <c r="MWY21" s="229">
        <v>0</v>
      </c>
      <c r="MWZ21" s="229">
        <v>0</v>
      </c>
      <c r="MXA21" s="229">
        <v>0</v>
      </c>
      <c r="MXB21" s="229">
        <v>0</v>
      </c>
      <c r="MXC21" s="229">
        <v>0</v>
      </c>
      <c r="MXD21" s="229">
        <v>0</v>
      </c>
      <c r="MXE21" s="229">
        <v>0</v>
      </c>
      <c r="MXF21" s="229">
        <v>0</v>
      </c>
      <c r="MXG21" s="229">
        <v>0</v>
      </c>
      <c r="MXH21" s="229">
        <v>0</v>
      </c>
      <c r="MXI21" s="229">
        <v>0</v>
      </c>
      <c r="MXJ21" s="229">
        <v>0</v>
      </c>
      <c r="MXK21" s="229">
        <v>0</v>
      </c>
      <c r="MXL21" s="229">
        <v>0</v>
      </c>
      <c r="MXM21" s="229">
        <v>0</v>
      </c>
      <c r="MXN21" s="229">
        <v>0</v>
      </c>
      <c r="MXO21" s="229">
        <v>0</v>
      </c>
      <c r="MXP21" s="229">
        <v>0</v>
      </c>
      <c r="MXQ21" s="229">
        <v>0</v>
      </c>
      <c r="MXR21" s="229">
        <v>0</v>
      </c>
      <c r="MXS21" s="229">
        <v>0</v>
      </c>
      <c r="MXT21" s="229">
        <v>0</v>
      </c>
      <c r="MXU21" s="229">
        <v>0</v>
      </c>
      <c r="MXV21" s="229">
        <v>0</v>
      </c>
      <c r="MXW21" s="229">
        <v>0</v>
      </c>
      <c r="MXX21" s="229">
        <v>0</v>
      </c>
      <c r="MXY21" s="229">
        <v>0</v>
      </c>
      <c r="MXZ21" s="229">
        <v>0</v>
      </c>
      <c r="MYA21" s="229">
        <v>0</v>
      </c>
      <c r="MYB21" s="229">
        <v>0</v>
      </c>
      <c r="MYC21" s="229">
        <v>0</v>
      </c>
      <c r="MYD21" s="229">
        <v>0</v>
      </c>
      <c r="MYE21" s="229">
        <v>0</v>
      </c>
      <c r="MYF21" s="229">
        <v>0</v>
      </c>
      <c r="MYG21" s="229">
        <v>0</v>
      </c>
      <c r="MYH21" s="229">
        <v>0</v>
      </c>
      <c r="MYI21" s="229">
        <v>0</v>
      </c>
      <c r="MYJ21" s="229">
        <v>0</v>
      </c>
      <c r="MYK21" s="229">
        <v>0</v>
      </c>
      <c r="MYL21" s="229">
        <v>0</v>
      </c>
      <c r="MYM21" s="229">
        <v>0</v>
      </c>
      <c r="MYN21" s="229">
        <v>0</v>
      </c>
      <c r="MYO21" s="229">
        <v>0</v>
      </c>
      <c r="MYP21" s="229">
        <v>0</v>
      </c>
      <c r="MYQ21" s="229">
        <v>0</v>
      </c>
      <c r="MYR21" s="229">
        <v>0</v>
      </c>
      <c r="MYS21" s="229">
        <v>0</v>
      </c>
      <c r="MYT21" s="229">
        <v>0</v>
      </c>
      <c r="MYU21" s="229">
        <v>0</v>
      </c>
      <c r="MYV21" s="229">
        <v>0</v>
      </c>
      <c r="MYW21" s="229">
        <v>0</v>
      </c>
      <c r="MYX21" s="229">
        <v>0</v>
      </c>
      <c r="MYY21" s="229">
        <v>0</v>
      </c>
      <c r="MYZ21" s="229">
        <v>0</v>
      </c>
      <c r="MZA21" s="229">
        <v>0</v>
      </c>
      <c r="MZB21" s="229">
        <v>0</v>
      </c>
      <c r="MZC21" s="229">
        <v>0</v>
      </c>
      <c r="MZD21" s="229">
        <v>0</v>
      </c>
      <c r="MZE21" s="229">
        <v>0</v>
      </c>
      <c r="MZF21" s="229">
        <v>0</v>
      </c>
      <c r="MZG21" s="229">
        <v>0</v>
      </c>
      <c r="MZH21" s="229">
        <v>0</v>
      </c>
      <c r="MZI21" s="229">
        <v>0</v>
      </c>
      <c r="MZJ21" s="229">
        <v>0</v>
      </c>
      <c r="MZK21" s="229">
        <v>0</v>
      </c>
      <c r="MZL21" s="229">
        <v>0</v>
      </c>
      <c r="MZM21" s="229">
        <v>0</v>
      </c>
      <c r="MZN21" s="229">
        <v>0</v>
      </c>
      <c r="MZO21" s="229">
        <v>0</v>
      </c>
      <c r="MZP21" s="229">
        <v>0</v>
      </c>
      <c r="MZQ21" s="229">
        <v>0</v>
      </c>
      <c r="MZR21" s="229">
        <v>0</v>
      </c>
      <c r="MZS21" s="229">
        <v>0</v>
      </c>
      <c r="MZT21" s="229">
        <v>0</v>
      </c>
      <c r="MZU21" s="229">
        <v>0</v>
      </c>
      <c r="MZV21" s="229">
        <v>0</v>
      </c>
      <c r="MZW21" s="229">
        <v>0</v>
      </c>
      <c r="MZX21" s="229">
        <v>0</v>
      </c>
      <c r="MZY21" s="229">
        <v>0</v>
      </c>
      <c r="MZZ21" s="229">
        <v>0</v>
      </c>
      <c r="NAA21" s="229">
        <v>0</v>
      </c>
      <c r="NAB21" s="229">
        <v>0</v>
      </c>
      <c r="NAC21" s="229">
        <v>0</v>
      </c>
      <c r="NAD21" s="229">
        <v>0</v>
      </c>
      <c r="NAE21" s="229">
        <v>0</v>
      </c>
      <c r="NAF21" s="229">
        <v>0</v>
      </c>
      <c r="NAG21" s="229">
        <v>0</v>
      </c>
      <c r="NAH21" s="229">
        <v>0</v>
      </c>
      <c r="NAI21" s="229">
        <v>0</v>
      </c>
      <c r="NAJ21" s="229">
        <v>0</v>
      </c>
      <c r="NAK21" s="229">
        <v>0</v>
      </c>
      <c r="NAL21" s="229">
        <v>0</v>
      </c>
      <c r="NAM21" s="229">
        <v>0</v>
      </c>
      <c r="NAN21" s="229">
        <v>0</v>
      </c>
      <c r="NAO21" s="229">
        <v>0</v>
      </c>
      <c r="NAP21" s="229">
        <v>0</v>
      </c>
      <c r="NAQ21" s="229">
        <v>0</v>
      </c>
      <c r="NAR21" s="229">
        <v>0</v>
      </c>
      <c r="NAS21" s="229">
        <v>0</v>
      </c>
      <c r="NAT21" s="229">
        <v>0</v>
      </c>
      <c r="NAU21" s="229">
        <v>0</v>
      </c>
      <c r="NAV21" s="229">
        <v>0</v>
      </c>
      <c r="NAW21" s="229">
        <v>0</v>
      </c>
      <c r="NAX21" s="229">
        <v>0</v>
      </c>
      <c r="NAY21" s="229">
        <v>0</v>
      </c>
      <c r="NAZ21" s="229">
        <v>0</v>
      </c>
      <c r="NBA21" s="229">
        <v>0</v>
      </c>
      <c r="NBB21" s="229">
        <v>0</v>
      </c>
      <c r="NBC21" s="229">
        <v>0</v>
      </c>
      <c r="NBD21" s="229">
        <v>0</v>
      </c>
      <c r="NBE21" s="229">
        <v>0</v>
      </c>
      <c r="NBF21" s="229">
        <v>0</v>
      </c>
      <c r="NBG21" s="229">
        <v>0</v>
      </c>
      <c r="NBH21" s="229">
        <v>0</v>
      </c>
      <c r="NBI21" s="229">
        <v>0</v>
      </c>
      <c r="NBJ21" s="229">
        <v>0</v>
      </c>
      <c r="NBK21" s="229">
        <v>0</v>
      </c>
      <c r="NBL21" s="229">
        <v>0</v>
      </c>
      <c r="NBM21" s="229">
        <v>0</v>
      </c>
      <c r="NBN21" s="229">
        <v>0</v>
      </c>
      <c r="NBO21" s="229">
        <v>0</v>
      </c>
      <c r="NBP21" s="229">
        <v>0</v>
      </c>
      <c r="NBQ21" s="229">
        <v>0</v>
      </c>
      <c r="NBR21" s="229">
        <v>0</v>
      </c>
      <c r="NBS21" s="229">
        <v>0</v>
      </c>
      <c r="NBT21" s="229">
        <v>0</v>
      </c>
      <c r="NBU21" s="229">
        <v>0</v>
      </c>
      <c r="NBV21" s="229">
        <v>0</v>
      </c>
      <c r="NBW21" s="229">
        <v>0</v>
      </c>
      <c r="NBX21" s="229">
        <v>0</v>
      </c>
      <c r="NBY21" s="229">
        <v>0</v>
      </c>
      <c r="NBZ21" s="229">
        <v>0</v>
      </c>
      <c r="NCA21" s="229">
        <v>0</v>
      </c>
      <c r="NCB21" s="229">
        <v>0</v>
      </c>
      <c r="NCC21" s="229">
        <v>0</v>
      </c>
      <c r="NCD21" s="229">
        <v>0</v>
      </c>
      <c r="NCE21" s="229">
        <v>0</v>
      </c>
      <c r="NCF21" s="229">
        <v>0</v>
      </c>
      <c r="NCG21" s="229">
        <v>0</v>
      </c>
      <c r="NCH21" s="229">
        <v>0</v>
      </c>
      <c r="NCI21" s="229">
        <v>0</v>
      </c>
      <c r="NCJ21" s="229">
        <v>0</v>
      </c>
      <c r="NCK21" s="229">
        <v>0</v>
      </c>
      <c r="NCL21" s="229">
        <v>0</v>
      </c>
      <c r="NCM21" s="229">
        <v>0</v>
      </c>
      <c r="NCN21" s="229">
        <v>0</v>
      </c>
      <c r="NCO21" s="229">
        <v>0</v>
      </c>
      <c r="NCP21" s="229">
        <v>0</v>
      </c>
      <c r="NCQ21" s="229">
        <v>0</v>
      </c>
      <c r="NCR21" s="229">
        <v>0</v>
      </c>
      <c r="NCS21" s="229">
        <v>0</v>
      </c>
      <c r="NCT21" s="229">
        <v>0</v>
      </c>
      <c r="NCU21" s="229">
        <v>0</v>
      </c>
      <c r="NCV21" s="229">
        <v>0</v>
      </c>
      <c r="NCW21" s="229">
        <v>0</v>
      </c>
      <c r="NCX21" s="229">
        <v>0</v>
      </c>
      <c r="NCY21" s="229">
        <v>0</v>
      </c>
      <c r="NCZ21" s="229">
        <v>0</v>
      </c>
      <c r="NDA21" s="229">
        <v>0</v>
      </c>
      <c r="NDB21" s="229">
        <v>0</v>
      </c>
      <c r="NDC21" s="229">
        <v>0</v>
      </c>
      <c r="NDD21" s="229">
        <v>0</v>
      </c>
      <c r="NDE21" s="229">
        <v>0</v>
      </c>
      <c r="NDF21" s="229">
        <v>0</v>
      </c>
      <c r="NDG21" s="229">
        <v>0</v>
      </c>
      <c r="NDH21" s="229">
        <v>0</v>
      </c>
      <c r="NDI21" s="229">
        <v>0</v>
      </c>
      <c r="NDJ21" s="229">
        <v>0</v>
      </c>
      <c r="NDK21" s="229">
        <v>0</v>
      </c>
      <c r="NDL21" s="229">
        <v>0</v>
      </c>
      <c r="NDM21" s="229">
        <v>0</v>
      </c>
      <c r="NDN21" s="229">
        <v>0</v>
      </c>
      <c r="NDO21" s="229">
        <v>0</v>
      </c>
      <c r="NDP21" s="229">
        <v>0</v>
      </c>
      <c r="NDQ21" s="229">
        <v>0</v>
      </c>
      <c r="NDR21" s="229">
        <v>0</v>
      </c>
      <c r="NDS21" s="229">
        <v>0</v>
      </c>
      <c r="NDT21" s="229">
        <v>0</v>
      </c>
      <c r="NDU21" s="229">
        <v>0</v>
      </c>
      <c r="NDV21" s="229">
        <v>0</v>
      </c>
      <c r="NDW21" s="229">
        <v>0</v>
      </c>
      <c r="NDX21" s="229">
        <v>0</v>
      </c>
      <c r="NDY21" s="229">
        <v>0</v>
      </c>
      <c r="NDZ21" s="229">
        <v>0</v>
      </c>
      <c r="NEA21" s="229">
        <v>0</v>
      </c>
      <c r="NEB21" s="229">
        <v>0</v>
      </c>
      <c r="NEC21" s="229">
        <v>0</v>
      </c>
      <c r="NED21" s="229">
        <v>0</v>
      </c>
      <c r="NEE21" s="229">
        <v>0</v>
      </c>
      <c r="NEF21" s="229">
        <v>0</v>
      </c>
      <c r="NEG21" s="229">
        <v>0</v>
      </c>
      <c r="NEH21" s="229">
        <v>0</v>
      </c>
      <c r="NEI21" s="229">
        <v>0</v>
      </c>
      <c r="NEJ21" s="229">
        <v>0</v>
      </c>
      <c r="NEK21" s="229">
        <v>0</v>
      </c>
      <c r="NEL21" s="229">
        <v>0</v>
      </c>
      <c r="NEM21" s="229">
        <v>0</v>
      </c>
      <c r="NEN21" s="229">
        <v>0</v>
      </c>
      <c r="NEO21" s="229">
        <v>0</v>
      </c>
      <c r="NEP21" s="229">
        <v>0</v>
      </c>
      <c r="NEQ21" s="229">
        <v>0</v>
      </c>
      <c r="NER21" s="229">
        <v>0</v>
      </c>
      <c r="NES21" s="229">
        <v>0</v>
      </c>
      <c r="NET21" s="229">
        <v>0</v>
      </c>
      <c r="NEU21" s="229">
        <v>0</v>
      </c>
      <c r="NEV21" s="229">
        <v>0</v>
      </c>
      <c r="NEW21" s="229">
        <v>0</v>
      </c>
      <c r="NEX21" s="229">
        <v>0</v>
      </c>
      <c r="NEY21" s="229">
        <v>0</v>
      </c>
      <c r="NEZ21" s="229">
        <v>0</v>
      </c>
      <c r="NFA21" s="229">
        <v>0</v>
      </c>
      <c r="NFB21" s="229">
        <v>0</v>
      </c>
      <c r="NFC21" s="229">
        <v>0</v>
      </c>
      <c r="NFD21" s="229">
        <v>0</v>
      </c>
      <c r="NFE21" s="229">
        <v>0</v>
      </c>
      <c r="NFF21" s="229">
        <v>0</v>
      </c>
      <c r="NFG21" s="229">
        <v>0</v>
      </c>
      <c r="NFH21" s="229">
        <v>0</v>
      </c>
      <c r="NFI21" s="229">
        <v>0</v>
      </c>
      <c r="NFJ21" s="229">
        <v>0</v>
      </c>
      <c r="NFK21" s="229">
        <v>0</v>
      </c>
      <c r="NFL21" s="229">
        <v>0</v>
      </c>
      <c r="NFM21" s="229">
        <v>0</v>
      </c>
      <c r="NFN21" s="229">
        <v>0</v>
      </c>
      <c r="NFO21" s="229">
        <v>0</v>
      </c>
      <c r="NFP21" s="229">
        <v>0</v>
      </c>
      <c r="NFQ21" s="229">
        <v>0</v>
      </c>
      <c r="NFR21" s="229">
        <v>0</v>
      </c>
      <c r="NFS21" s="229">
        <v>0</v>
      </c>
      <c r="NFT21" s="229">
        <v>0</v>
      </c>
      <c r="NFU21" s="229">
        <v>0</v>
      </c>
      <c r="NFV21" s="229">
        <v>0</v>
      </c>
      <c r="NFW21" s="229">
        <v>0</v>
      </c>
      <c r="NFX21" s="229">
        <v>0</v>
      </c>
      <c r="NFY21" s="229">
        <v>0</v>
      </c>
      <c r="NFZ21" s="229">
        <v>0</v>
      </c>
      <c r="NGA21" s="229">
        <v>0</v>
      </c>
      <c r="NGB21" s="229">
        <v>0</v>
      </c>
      <c r="NGC21" s="229">
        <v>0</v>
      </c>
      <c r="NGD21" s="229">
        <v>0</v>
      </c>
      <c r="NGE21" s="229">
        <v>0</v>
      </c>
      <c r="NGF21" s="229">
        <v>0</v>
      </c>
      <c r="NGG21" s="229">
        <v>0</v>
      </c>
      <c r="NGH21" s="229">
        <v>0</v>
      </c>
      <c r="NGI21" s="229">
        <v>0</v>
      </c>
      <c r="NGJ21" s="229">
        <v>0</v>
      </c>
      <c r="NGK21" s="229">
        <v>0</v>
      </c>
      <c r="NGL21" s="229">
        <v>0</v>
      </c>
      <c r="NGM21" s="229">
        <v>0</v>
      </c>
      <c r="NGN21" s="229">
        <v>0</v>
      </c>
      <c r="NGO21" s="229">
        <v>0</v>
      </c>
      <c r="NGP21" s="229">
        <v>0</v>
      </c>
      <c r="NGQ21" s="229">
        <v>0</v>
      </c>
      <c r="NGR21" s="229">
        <v>0</v>
      </c>
      <c r="NGS21" s="229">
        <v>0</v>
      </c>
      <c r="NGT21" s="229">
        <v>0</v>
      </c>
      <c r="NGU21" s="229">
        <v>0</v>
      </c>
      <c r="NGV21" s="229">
        <v>0</v>
      </c>
      <c r="NGW21" s="229">
        <v>0</v>
      </c>
      <c r="NGX21" s="229">
        <v>0</v>
      </c>
      <c r="NGY21" s="229">
        <v>0</v>
      </c>
      <c r="NGZ21" s="229">
        <v>0</v>
      </c>
      <c r="NHA21" s="229">
        <v>0</v>
      </c>
      <c r="NHB21" s="229">
        <v>0</v>
      </c>
      <c r="NHC21" s="229">
        <v>0</v>
      </c>
      <c r="NHD21" s="229">
        <v>0</v>
      </c>
      <c r="NHE21" s="229">
        <v>0</v>
      </c>
      <c r="NHF21" s="229">
        <v>0</v>
      </c>
      <c r="NHG21" s="229">
        <v>0</v>
      </c>
      <c r="NHH21" s="229">
        <v>0</v>
      </c>
      <c r="NHI21" s="229">
        <v>0</v>
      </c>
      <c r="NHJ21" s="229">
        <v>0</v>
      </c>
      <c r="NHK21" s="229">
        <v>0</v>
      </c>
      <c r="NHL21" s="229">
        <v>0</v>
      </c>
      <c r="NHM21" s="229">
        <v>0</v>
      </c>
      <c r="NHN21" s="229">
        <v>0</v>
      </c>
      <c r="NHO21" s="229">
        <v>0</v>
      </c>
      <c r="NHP21" s="229">
        <v>0</v>
      </c>
      <c r="NHQ21" s="229">
        <v>0</v>
      </c>
      <c r="NHR21" s="229">
        <v>0</v>
      </c>
      <c r="NHS21" s="229">
        <v>0</v>
      </c>
      <c r="NHT21" s="229">
        <v>0</v>
      </c>
      <c r="NHU21" s="229">
        <v>0</v>
      </c>
      <c r="NHV21" s="229">
        <v>0</v>
      </c>
      <c r="NHW21" s="229">
        <v>0</v>
      </c>
      <c r="NHX21" s="229">
        <v>0</v>
      </c>
      <c r="NHY21" s="229">
        <v>0</v>
      </c>
      <c r="NHZ21" s="229">
        <v>0</v>
      </c>
      <c r="NIA21" s="229">
        <v>0</v>
      </c>
      <c r="NIB21" s="229">
        <v>0</v>
      </c>
      <c r="NIC21" s="229">
        <v>0</v>
      </c>
      <c r="NID21" s="229">
        <v>0</v>
      </c>
      <c r="NIE21" s="229">
        <v>0</v>
      </c>
      <c r="NIF21" s="229">
        <v>0</v>
      </c>
      <c r="NIG21" s="229">
        <v>0</v>
      </c>
      <c r="NIH21" s="229">
        <v>0</v>
      </c>
      <c r="NII21" s="229">
        <v>0</v>
      </c>
      <c r="NIJ21" s="229">
        <v>0</v>
      </c>
      <c r="NIK21" s="229">
        <v>0</v>
      </c>
      <c r="NIL21" s="229">
        <v>0</v>
      </c>
      <c r="NIM21" s="229">
        <v>0</v>
      </c>
      <c r="NIN21" s="229">
        <v>0</v>
      </c>
      <c r="NIO21" s="229">
        <v>0</v>
      </c>
      <c r="NIP21" s="229">
        <v>0</v>
      </c>
      <c r="NIQ21" s="229">
        <v>0</v>
      </c>
      <c r="NIR21" s="229">
        <v>0</v>
      </c>
      <c r="NIS21" s="229">
        <v>0</v>
      </c>
      <c r="NIT21" s="229">
        <v>0</v>
      </c>
      <c r="NIU21" s="229">
        <v>0</v>
      </c>
      <c r="NIV21" s="229">
        <v>0</v>
      </c>
      <c r="NIW21" s="229">
        <v>0</v>
      </c>
      <c r="NIX21" s="229">
        <v>0</v>
      </c>
      <c r="NIY21" s="229">
        <v>0</v>
      </c>
      <c r="NIZ21" s="229">
        <v>0</v>
      </c>
      <c r="NJA21" s="229">
        <v>0</v>
      </c>
      <c r="NJB21" s="229">
        <v>0</v>
      </c>
      <c r="NJC21" s="229">
        <v>0</v>
      </c>
      <c r="NJD21" s="229">
        <v>0</v>
      </c>
      <c r="NJE21" s="229">
        <v>0</v>
      </c>
      <c r="NJF21" s="229">
        <v>0</v>
      </c>
      <c r="NJG21" s="229">
        <v>0</v>
      </c>
      <c r="NJH21" s="229">
        <v>0</v>
      </c>
      <c r="NJI21" s="229">
        <v>0</v>
      </c>
      <c r="NJJ21" s="229">
        <v>0</v>
      </c>
      <c r="NJK21" s="229">
        <v>0</v>
      </c>
      <c r="NJL21" s="229">
        <v>0</v>
      </c>
      <c r="NJM21" s="229">
        <v>0</v>
      </c>
      <c r="NJN21" s="229">
        <v>0</v>
      </c>
      <c r="NJO21" s="229">
        <v>0</v>
      </c>
      <c r="NJP21" s="229">
        <v>0</v>
      </c>
      <c r="NJQ21" s="229">
        <v>0</v>
      </c>
      <c r="NJR21" s="229">
        <v>0</v>
      </c>
      <c r="NJS21" s="229">
        <v>0</v>
      </c>
      <c r="NJT21" s="229">
        <v>0</v>
      </c>
      <c r="NJU21" s="229">
        <v>0</v>
      </c>
      <c r="NJV21" s="229">
        <v>0</v>
      </c>
      <c r="NJW21" s="229">
        <v>0</v>
      </c>
      <c r="NJX21" s="229">
        <v>0</v>
      </c>
      <c r="NJY21" s="229">
        <v>0</v>
      </c>
      <c r="NJZ21" s="229">
        <v>0</v>
      </c>
      <c r="NKA21" s="229">
        <v>0</v>
      </c>
      <c r="NKB21" s="229">
        <v>0</v>
      </c>
      <c r="NKC21" s="229">
        <v>0</v>
      </c>
      <c r="NKD21" s="229">
        <v>0</v>
      </c>
      <c r="NKE21" s="229">
        <v>0</v>
      </c>
      <c r="NKF21" s="229">
        <v>0</v>
      </c>
      <c r="NKG21" s="229">
        <v>0</v>
      </c>
      <c r="NKH21" s="229">
        <v>0</v>
      </c>
      <c r="NKI21" s="229">
        <v>0</v>
      </c>
      <c r="NKJ21" s="229">
        <v>0</v>
      </c>
      <c r="NKK21" s="229">
        <v>0</v>
      </c>
      <c r="NKL21" s="229">
        <v>0</v>
      </c>
      <c r="NKM21" s="229">
        <v>0</v>
      </c>
      <c r="NKN21" s="229">
        <v>0</v>
      </c>
      <c r="NKO21" s="229">
        <v>0</v>
      </c>
      <c r="NKP21" s="229">
        <v>0</v>
      </c>
      <c r="NKQ21" s="229">
        <v>0</v>
      </c>
      <c r="NKR21" s="229">
        <v>0</v>
      </c>
      <c r="NKS21" s="229">
        <v>0</v>
      </c>
      <c r="NKT21" s="229">
        <v>0</v>
      </c>
      <c r="NKU21" s="229">
        <v>0</v>
      </c>
      <c r="NKV21" s="229">
        <v>0</v>
      </c>
      <c r="NKW21" s="229">
        <v>0</v>
      </c>
      <c r="NKX21" s="229">
        <v>0</v>
      </c>
      <c r="NKY21" s="229">
        <v>0</v>
      </c>
      <c r="NKZ21" s="229">
        <v>0</v>
      </c>
      <c r="NLA21" s="229">
        <v>0</v>
      </c>
      <c r="NLB21" s="229">
        <v>0</v>
      </c>
      <c r="NLC21" s="229">
        <v>0</v>
      </c>
      <c r="NLD21" s="229">
        <v>0</v>
      </c>
      <c r="NLE21" s="229">
        <v>0</v>
      </c>
      <c r="NLF21" s="229">
        <v>0</v>
      </c>
      <c r="NLG21" s="229">
        <v>0</v>
      </c>
      <c r="NLH21" s="229">
        <v>0</v>
      </c>
      <c r="NLI21" s="229">
        <v>0</v>
      </c>
      <c r="NLJ21" s="229">
        <v>0</v>
      </c>
      <c r="NLK21" s="229">
        <v>0</v>
      </c>
      <c r="NLL21" s="229">
        <v>0</v>
      </c>
      <c r="NLM21" s="229">
        <v>0</v>
      </c>
      <c r="NLN21" s="229">
        <v>0</v>
      </c>
      <c r="NLO21" s="229">
        <v>0</v>
      </c>
      <c r="NLP21" s="229">
        <v>0</v>
      </c>
      <c r="NLQ21" s="229">
        <v>0</v>
      </c>
      <c r="NLR21" s="229">
        <v>0</v>
      </c>
      <c r="NLS21" s="229">
        <v>0</v>
      </c>
      <c r="NLT21" s="229">
        <v>0</v>
      </c>
      <c r="NLU21" s="229">
        <v>0</v>
      </c>
      <c r="NLV21" s="229">
        <v>0</v>
      </c>
      <c r="NLW21" s="229">
        <v>0</v>
      </c>
      <c r="NLX21" s="229">
        <v>0</v>
      </c>
      <c r="NLY21" s="229">
        <v>0</v>
      </c>
      <c r="NLZ21" s="229">
        <v>0</v>
      </c>
      <c r="NMA21" s="229">
        <v>0</v>
      </c>
      <c r="NMB21" s="229">
        <v>0</v>
      </c>
      <c r="NMC21" s="229">
        <v>0</v>
      </c>
      <c r="NMD21" s="229">
        <v>0</v>
      </c>
      <c r="NME21" s="229">
        <v>0</v>
      </c>
      <c r="NMF21" s="229">
        <v>0</v>
      </c>
      <c r="NMG21" s="229">
        <v>0</v>
      </c>
      <c r="NMH21" s="229">
        <v>0</v>
      </c>
      <c r="NMI21" s="229">
        <v>0</v>
      </c>
      <c r="NMJ21" s="229">
        <v>0</v>
      </c>
      <c r="NMK21" s="229">
        <v>0</v>
      </c>
      <c r="NML21" s="229">
        <v>0</v>
      </c>
      <c r="NMM21" s="229">
        <v>0</v>
      </c>
      <c r="NMN21" s="229">
        <v>0</v>
      </c>
      <c r="NMO21" s="229">
        <v>0</v>
      </c>
      <c r="NMP21" s="229">
        <v>0</v>
      </c>
      <c r="NMQ21" s="229">
        <v>0</v>
      </c>
      <c r="NMR21" s="229">
        <v>0</v>
      </c>
      <c r="NMS21" s="229">
        <v>0</v>
      </c>
      <c r="NMT21" s="229">
        <v>0</v>
      </c>
      <c r="NMU21" s="229">
        <v>0</v>
      </c>
      <c r="NMV21" s="229">
        <v>0</v>
      </c>
      <c r="NMW21" s="229">
        <v>0</v>
      </c>
      <c r="NMX21" s="229">
        <v>0</v>
      </c>
      <c r="NMY21" s="229">
        <v>0</v>
      </c>
      <c r="NMZ21" s="229">
        <v>0</v>
      </c>
      <c r="NNA21" s="229">
        <v>0</v>
      </c>
      <c r="NNB21" s="229">
        <v>0</v>
      </c>
      <c r="NNC21" s="229">
        <v>0</v>
      </c>
      <c r="NND21" s="229">
        <v>0</v>
      </c>
      <c r="NNE21" s="229">
        <v>0</v>
      </c>
      <c r="NNF21" s="229">
        <v>0</v>
      </c>
      <c r="NNG21" s="229">
        <v>0</v>
      </c>
      <c r="NNH21" s="229">
        <v>0</v>
      </c>
      <c r="NNI21" s="229">
        <v>0</v>
      </c>
      <c r="NNJ21" s="229">
        <v>0</v>
      </c>
      <c r="NNK21" s="229">
        <v>0</v>
      </c>
      <c r="NNL21" s="229">
        <v>0</v>
      </c>
      <c r="NNM21" s="229">
        <v>0</v>
      </c>
      <c r="NNN21" s="229">
        <v>0</v>
      </c>
      <c r="NNO21" s="229">
        <v>0</v>
      </c>
      <c r="NNP21" s="229">
        <v>0</v>
      </c>
      <c r="NNQ21" s="229">
        <v>0</v>
      </c>
      <c r="NNR21" s="229">
        <v>0</v>
      </c>
      <c r="NNS21" s="229">
        <v>0</v>
      </c>
      <c r="NNT21" s="229">
        <v>0</v>
      </c>
      <c r="NNU21" s="229">
        <v>0</v>
      </c>
      <c r="NNV21" s="229">
        <v>0</v>
      </c>
      <c r="NNW21" s="229">
        <v>0</v>
      </c>
      <c r="NNX21" s="229">
        <v>0</v>
      </c>
      <c r="NNY21" s="229">
        <v>0</v>
      </c>
      <c r="NNZ21" s="229">
        <v>0</v>
      </c>
      <c r="NOA21" s="229">
        <v>0</v>
      </c>
      <c r="NOB21" s="229">
        <v>0</v>
      </c>
      <c r="NOC21" s="229">
        <v>0</v>
      </c>
      <c r="NOD21" s="229">
        <v>0</v>
      </c>
      <c r="NOE21" s="229">
        <v>0</v>
      </c>
      <c r="NOF21" s="229">
        <v>0</v>
      </c>
      <c r="NOG21" s="229">
        <v>0</v>
      </c>
      <c r="NOH21" s="229">
        <v>0</v>
      </c>
      <c r="NOI21" s="229">
        <v>0</v>
      </c>
      <c r="NOJ21" s="229">
        <v>0</v>
      </c>
      <c r="NOK21" s="229">
        <v>0</v>
      </c>
      <c r="NOL21" s="229">
        <v>0</v>
      </c>
      <c r="NOM21" s="229">
        <v>0</v>
      </c>
      <c r="NON21" s="229">
        <v>0</v>
      </c>
      <c r="NOO21" s="229">
        <v>0</v>
      </c>
      <c r="NOP21" s="229">
        <v>0</v>
      </c>
      <c r="NOQ21" s="229">
        <v>0</v>
      </c>
      <c r="NOR21" s="229">
        <v>0</v>
      </c>
      <c r="NOS21" s="229">
        <v>0</v>
      </c>
      <c r="NOT21" s="229">
        <v>0</v>
      </c>
      <c r="NOU21" s="229">
        <v>0</v>
      </c>
      <c r="NOV21" s="229">
        <v>0</v>
      </c>
      <c r="NOW21" s="229">
        <v>0</v>
      </c>
      <c r="NOX21" s="229">
        <v>0</v>
      </c>
      <c r="NOY21" s="229">
        <v>0</v>
      </c>
      <c r="NOZ21" s="229">
        <v>0</v>
      </c>
      <c r="NPA21" s="229">
        <v>0</v>
      </c>
      <c r="NPB21" s="229">
        <v>0</v>
      </c>
      <c r="NPC21" s="229">
        <v>0</v>
      </c>
      <c r="NPD21" s="229">
        <v>0</v>
      </c>
      <c r="NPE21" s="229">
        <v>0</v>
      </c>
      <c r="NPF21" s="229">
        <v>0</v>
      </c>
      <c r="NPG21" s="229">
        <v>0</v>
      </c>
      <c r="NPH21" s="229">
        <v>0</v>
      </c>
      <c r="NPI21" s="229">
        <v>0</v>
      </c>
      <c r="NPJ21" s="229">
        <v>0</v>
      </c>
      <c r="NPK21" s="229">
        <v>0</v>
      </c>
      <c r="NPL21" s="229">
        <v>0</v>
      </c>
      <c r="NPM21" s="229">
        <v>0</v>
      </c>
      <c r="NPN21" s="229">
        <v>0</v>
      </c>
      <c r="NPO21" s="229">
        <v>0</v>
      </c>
      <c r="NPP21" s="229">
        <v>0</v>
      </c>
      <c r="NPQ21" s="229">
        <v>0</v>
      </c>
      <c r="NPR21" s="229">
        <v>0</v>
      </c>
      <c r="NPS21" s="229">
        <v>0</v>
      </c>
      <c r="NPT21" s="229">
        <v>0</v>
      </c>
      <c r="NPU21" s="229">
        <v>0</v>
      </c>
      <c r="NPV21" s="229">
        <v>0</v>
      </c>
      <c r="NPW21" s="229">
        <v>0</v>
      </c>
      <c r="NPX21" s="229">
        <v>0</v>
      </c>
      <c r="NPY21" s="229">
        <v>0</v>
      </c>
      <c r="NPZ21" s="229">
        <v>0</v>
      </c>
      <c r="NQA21" s="229">
        <v>0</v>
      </c>
      <c r="NQB21" s="229">
        <v>0</v>
      </c>
      <c r="NQC21" s="229">
        <v>0</v>
      </c>
      <c r="NQD21" s="229">
        <v>0</v>
      </c>
      <c r="NQE21" s="229">
        <v>0</v>
      </c>
      <c r="NQF21" s="229">
        <v>0</v>
      </c>
      <c r="NQG21" s="229">
        <v>0</v>
      </c>
      <c r="NQH21" s="229">
        <v>0</v>
      </c>
      <c r="NQI21" s="229">
        <v>0</v>
      </c>
      <c r="NQJ21" s="229">
        <v>0</v>
      </c>
      <c r="NQK21" s="229">
        <v>0</v>
      </c>
      <c r="NQL21" s="229">
        <v>0</v>
      </c>
      <c r="NQM21" s="229">
        <v>0</v>
      </c>
      <c r="NQN21" s="229">
        <v>0</v>
      </c>
      <c r="NQO21" s="229">
        <v>0</v>
      </c>
      <c r="NQP21" s="229">
        <v>0</v>
      </c>
      <c r="NQQ21" s="229">
        <v>0</v>
      </c>
      <c r="NQR21" s="229">
        <v>0</v>
      </c>
      <c r="NQS21" s="229">
        <v>0</v>
      </c>
      <c r="NQT21" s="229">
        <v>0</v>
      </c>
      <c r="NQU21" s="229">
        <v>0</v>
      </c>
      <c r="NQV21" s="229">
        <v>0</v>
      </c>
      <c r="NQW21" s="229">
        <v>0</v>
      </c>
      <c r="NQX21" s="229">
        <v>0</v>
      </c>
      <c r="NQY21" s="229">
        <v>0</v>
      </c>
      <c r="NQZ21" s="229">
        <v>0</v>
      </c>
      <c r="NRA21" s="229">
        <v>0</v>
      </c>
      <c r="NRB21" s="229">
        <v>0</v>
      </c>
      <c r="NRC21" s="229">
        <v>0</v>
      </c>
      <c r="NRD21" s="229">
        <v>0</v>
      </c>
      <c r="NRE21" s="229">
        <v>0</v>
      </c>
      <c r="NRF21" s="229">
        <v>0</v>
      </c>
      <c r="NRG21" s="229">
        <v>0</v>
      </c>
      <c r="NRH21" s="229">
        <v>0</v>
      </c>
      <c r="NRI21" s="229">
        <v>0</v>
      </c>
      <c r="NRJ21" s="229">
        <v>0</v>
      </c>
      <c r="NRK21" s="229">
        <v>0</v>
      </c>
      <c r="NRL21" s="229">
        <v>0</v>
      </c>
      <c r="NRM21" s="229">
        <v>0</v>
      </c>
      <c r="NRN21" s="229">
        <v>0</v>
      </c>
      <c r="NRO21" s="229">
        <v>0</v>
      </c>
      <c r="NRP21" s="229">
        <v>0</v>
      </c>
      <c r="NRQ21" s="229">
        <v>0</v>
      </c>
      <c r="NRR21" s="229">
        <v>0</v>
      </c>
      <c r="NRS21" s="229">
        <v>0</v>
      </c>
      <c r="NRT21" s="229">
        <v>0</v>
      </c>
      <c r="NRU21" s="229">
        <v>0</v>
      </c>
      <c r="NRV21" s="229">
        <v>0</v>
      </c>
      <c r="NRW21" s="229">
        <v>0</v>
      </c>
      <c r="NRX21" s="229">
        <v>0</v>
      </c>
      <c r="NRY21" s="229">
        <v>0</v>
      </c>
      <c r="NRZ21" s="229">
        <v>0</v>
      </c>
      <c r="NSA21" s="229">
        <v>0</v>
      </c>
      <c r="NSB21" s="229">
        <v>0</v>
      </c>
      <c r="NSC21" s="229">
        <v>0</v>
      </c>
      <c r="NSD21" s="229">
        <v>0</v>
      </c>
      <c r="NSE21" s="229">
        <v>0</v>
      </c>
      <c r="NSF21" s="229">
        <v>0</v>
      </c>
      <c r="NSG21" s="229">
        <v>0</v>
      </c>
      <c r="NSH21" s="229">
        <v>0</v>
      </c>
      <c r="NSI21" s="229">
        <v>0</v>
      </c>
      <c r="NSJ21" s="229">
        <v>0</v>
      </c>
      <c r="NSK21" s="229">
        <v>0</v>
      </c>
      <c r="NSL21" s="229">
        <v>0</v>
      </c>
      <c r="NSM21" s="229">
        <v>0</v>
      </c>
      <c r="NSN21" s="229">
        <v>0</v>
      </c>
      <c r="NSO21" s="229">
        <v>0</v>
      </c>
      <c r="NSP21" s="229">
        <v>0</v>
      </c>
      <c r="NSQ21" s="229">
        <v>0</v>
      </c>
      <c r="NSR21" s="229">
        <v>0</v>
      </c>
      <c r="NSS21" s="229">
        <v>0</v>
      </c>
      <c r="NST21" s="229">
        <v>0</v>
      </c>
      <c r="NSU21" s="229">
        <v>0</v>
      </c>
      <c r="NSV21" s="229">
        <v>0</v>
      </c>
      <c r="NSW21" s="229">
        <v>0</v>
      </c>
      <c r="NSX21" s="229">
        <v>0</v>
      </c>
      <c r="NSY21" s="229">
        <v>0</v>
      </c>
      <c r="NSZ21" s="229">
        <v>0</v>
      </c>
      <c r="NTA21" s="229">
        <v>0</v>
      </c>
      <c r="NTB21" s="229">
        <v>0</v>
      </c>
      <c r="NTC21" s="229">
        <v>0</v>
      </c>
      <c r="NTD21" s="229">
        <v>0</v>
      </c>
      <c r="NTE21" s="229">
        <v>0</v>
      </c>
      <c r="NTF21" s="229">
        <v>0</v>
      </c>
      <c r="NTG21" s="229">
        <v>0</v>
      </c>
      <c r="NTH21" s="229">
        <v>0</v>
      </c>
      <c r="NTI21" s="229">
        <v>0</v>
      </c>
      <c r="NTJ21" s="229">
        <v>0</v>
      </c>
      <c r="NTK21" s="229">
        <v>0</v>
      </c>
      <c r="NTL21" s="229">
        <v>0</v>
      </c>
      <c r="NTM21" s="229">
        <v>0</v>
      </c>
      <c r="NTN21" s="229">
        <v>0</v>
      </c>
      <c r="NTO21" s="229">
        <v>0</v>
      </c>
      <c r="NTP21" s="229">
        <v>0</v>
      </c>
      <c r="NTQ21" s="229">
        <v>0</v>
      </c>
      <c r="NTR21" s="229">
        <v>0</v>
      </c>
      <c r="NTS21" s="229">
        <v>0</v>
      </c>
      <c r="NTT21" s="229">
        <v>0</v>
      </c>
      <c r="NTU21" s="229">
        <v>0</v>
      </c>
      <c r="NTV21" s="229">
        <v>0</v>
      </c>
      <c r="NTW21" s="229">
        <v>0</v>
      </c>
      <c r="NTX21" s="229">
        <v>0</v>
      </c>
      <c r="NTY21" s="229">
        <v>0</v>
      </c>
      <c r="NTZ21" s="229">
        <v>0</v>
      </c>
      <c r="NUA21" s="229">
        <v>0</v>
      </c>
      <c r="NUB21" s="229">
        <v>0</v>
      </c>
      <c r="NUC21" s="229">
        <v>0</v>
      </c>
      <c r="NUD21" s="229">
        <v>0</v>
      </c>
      <c r="NUE21" s="229">
        <v>0</v>
      </c>
      <c r="NUF21" s="229">
        <v>0</v>
      </c>
      <c r="NUG21" s="229">
        <v>0</v>
      </c>
      <c r="NUH21" s="229">
        <v>0</v>
      </c>
      <c r="NUI21" s="229">
        <v>0</v>
      </c>
      <c r="NUJ21" s="229">
        <v>0</v>
      </c>
      <c r="NUK21" s="229">
        <v>0</v>
      </c>
      <c r="NUL21" s="229">
        <v>0</v>
      </c>
      <c r="NUM21" s="229">
        <v>0</v>
      </c>
      <c r="NUN21" s="229">
        <v>0</v>
      </c>
      <c r="NUO21" s="229">
        <v>0</v>
      </c>
      <c r="NUP21" s="229">
        <v>0</v>
      </c>
      <c r="NUQ21" s="229">
        <v>0</v>
      </c>
      <c r="NUR21" s="229">
        <v>0</v>
      </c>
      <c r="NUS21" s="229">
        <v>0</v>
      </c>
      <c r="NUT21" s="229">
        <v>0</v>
      </c>
      <c r="NUU21" s="229">
        <v>0</v>
      </c>
      <c r="NUV21" s="229">
        <v>0</v>
      </c>
      <c r="NUW21" s="229">
        <v>0</v>
      </c>
      <c r="NUX21" s="229">
        <v>0</v>
      </c>
      <c r="NUY21" s="229">
        <v>0</v>
      </c>
      <c r="NUZ21" s="229">
        <v>0</v>
      </c>
      <c r="NVA21" s="229">
        <v>0</v>
      </c>
      <c r="NVB21" s="229">
        <v>0</v>
      </c>
      <c r="NVC21" s="229">
        <v>0</v>
      </c>
      <c r="NVD21" s="229">
        <v>0</v>
      </c>
      <c r="NVE21" s="229">
        <v>0</v>
      </c>
      <c r="NVF21" s="229">
        <v>0</v>
      </c>
      <c r="NVG21" s="229">
        <v>0</v>
      </c>
      <c r="NVH21" s="229">
        <v>0</v>
      </c>
      <c r="NVI21" s="229">
        <v>0</v>
      </c>
      <c r="NVJ21" s="229">
        <v>0</v>
      </c>
      <c r="NVK21" s="229">
        <v>0</v>
      </c>
      <c r="NVL21" s="229">
        <v>0</v>
      </c>
      <c r="NVM21" s="229">
        <v>0</v>
      </c>
      <c r="NVN21" s="229">
        <v>0</v>
      </c>
      <c r="NVO21" s="229">
        <v>0</v>
      </c>
      <c r="NVP21" s="229">
        <v>0</v>
      </c>
      <c r="NVQ21" s="229">
        <v>0</v>
      </c>
      <c r="NVR21" s="229">
        <v>0</v>
      </c>
      <c r="NVS21" s="229">
        <v>0</v>
      </c>
      <c r="NVT21" s="229">
        <v>0</v>
      </c>
      <c r="NVU21" s="229">
        <v>0</v>
      </c>
      <c r="NVV21" s="229">
        <v>0</v>
      </c>
      <c r="NVW21" s="229">
        <v>0</v>
      </c>
      <c r="NVX21" s="229">
        <v>0</v>
      </c>
      <c r="NVY21" s="229">
        <v>0</v>
      </c>
      <c r="NVZ21" s="229">
        <v>0</v>
      </c>
      <c r="NWA21" s="229">
        <v>0</v>
      </c>
      <c r="NWB21" s="229">
        <v>0</v>
      </c>
      <c r="NWC21" s="229">
        <v>0</v>
      </c>
      <c r="NWD21" s="229">
        <v>0</v>
      </c>
      <c r="NWE21" s="229">
        <v>0</v>
      </c>
      <c r="NWF21" s="229">
        <v>0</v>
      </c>
      <c r="NWG21" s="229">
        <v>0</v>
      </c>
      <c r="NWH21" s="229">
        <v>0</v>
      </c>
      <c r="NWI21" s="229">
        <v>0</v>
      </c>
      <c r="NWJ21" s="229">
        <v>0</v>
      </c>
      <c r="NWK21" s="229">
        <v>0</v>
      </c>
      <c r="NWL21" s="229">
        <v>0</v>
      </c>
      <c r="NWM21" s="229">
        <v>0</v>
      </c>
      <c r="NWN21" s="229">
        <v>0</v>
      </c>
      <c r="NWO21" s="229">
        <v>0</v>
      </c>
      <c r="NWP21" s="229">
        <v>0</v>
      </c>
      <c r="NWQ21" s="229">
        <v>0</v>
      </c>
      <c r="NWR21" s="229">
        <v>0</v>
      </c>
      <c r="NWS21" s="229">
        <v>0</v>
      </c>
      <c r="NWT21" s="229">
        <v>0</v>
      </c>
      <c r="NWU21" s="229">
        <v>0</v>
      </c>
      <c r="NWV21" s="229">
        <v>0</v>
      </c>
      <c r="NWW21" s="229">
        <v>0</v>
      </c>
      <c r="NWX21" s="229">
        <v>0</v>
      </c>
      <c r="NWY21" s="229">
        <v>0</v>
      </c>
      <c r="NWZ21" s="229">
        <v>0</v>
      </c>
      <c r="NXA21" s="229">
        <v>0</v>
      </c>
      <c r="NXB21" s="229">
        <v>0</v>
      </c>
      <c r="NXC21" s="229">
        <v>0</v>
      </c>
      <c r="NXD21" s="229">
        <v>0</v>
      </c>
      <c r="NXE21" s="229">
        <v>0</v>
      </c>
      <c r="NXF21" s="229">
        <v>0</v>
      </c>
      <c r="NXG21" s="229">
        <v>0</v>
      </c>
      <c r="NXH21" s="229">
        <v>0</v>
      </c>
      <c r="NXI21" s="229">
        <v>0</v>
      </c>
      <c r="NXJ21" s="229">
        <v>0</v>
      </c>
      <c r="NXK21" s="229">
        <v>0</v>
      </c>
      <c r="NXL21" s="229">
        <v>0</v>
      </c>
      <c r="NXM21" s="229">
        <v>0</v>
      </c>
      <c r="NXN21" s="229">
        <v>0</v>
      </c>
      <c r="NXO21" s="229">
        <v>0</v>
      </c>
      <c r="NXP21" s="229">
        <v>0</v>
      </c>
      <c r="NXQ21" s="229">
        <v>0</v>
      </c>
      <c r="NXR21" s="229">
        <v>0</v>
      </c>
      <c r="NXS21" s="229">
        <v>0</v>
      </c>
      <c r="NXT21" s="229">
        <v>0</v>
      </c>
      <c r="NXU21" s="229">
        <v>0</v>
      </c>
      <c r="NXV21" s="229">
        <v>0</v>
      </c>
      <c r="NXW21" s="229">
        <v>0</v>
      </c>
      <c r="NXX21" s="229">
        <v>0</v>
      </c>
      <c r="NXY21" s="229">
        <v>0</v>
      </c>
      <c r="NXZ21" s="229">
        <v>0</v>
      </c>
      <c r="NYA21" s="229">
        <v>0</v>
      </c>
      <c r="NYB21" s="229">
        <v>0</v>
      </c>
      <c r="NYC21" s="229">
        <v>0</v>
      </c>
      <c r="NYD21" s="229">
        <v>0</v>
      </c>
      <c r="NYE21" s="229">
        <v>0</v>
      </c>
      <c r="NYF21" s="229">
        <v>0</v>
      </c>
      <c r="NYG21" s="229">
        <v>0</v>
      </c>
      <c r="NYH21" s="229">
        <v>0</v>
      </c>
      <c r="NYI21" s="229">
        <v>0</v>
      </c>
      <c r="NYJ21" s="229">
        <v>0</v>
      </c>
      <c r="NYK21" s="229">
        <v>0</v>
      </c>
      <c r="NYL21" s="229">
        <v>0</v>
      </c>
      <c r="NYM21" s="229">
        <v>0</v>
      </c>
      <c r="NYN21" s="229">
        <v>0</v>
      </c>
      <c r="NYO21" s="229">
        <v>0</v>
      </c>
      <c r="NYP21" s="229">
        <v>0</v>
      </c>
      <c r="NYQ21" s="229">
        <v>0</v>
      </c>
      <c r="NYR21" s="229">
        <v>0</v>
      </c>
      <c r="NYS21" s="229">
        <v>0</v>
      </c>
      <c r="NYT21" s="229">
        <v>0</v>
      </c>
      <c r="NYU21" s="229">
        <v>0</v>
      </c>
      <c r="NYV21" s="229">
        <v>0</v>
      </c>
      <c r="NYW21" s="229">
        <v>0</v>
      </c>
      <c r="NYX21" s="229">
        <v>0</v>
      </c>
      <c r="NYY21" s="229">
        <v>0</v>
      </c>
      <c r="NYZ21" s="229">
        <v>0</v>
      </c>
      <c r="NZA21" s="229">
        <v>0</v>
      </c>
      <c r="NZB21" s="229">
        <v>0</v>
      </c>
      <c r="NZC21" s="229">
        <v>0</v>
      </c>
      <c r="NZD21" s="229">
        <v>0</v>
      </c>
      <c r="NZE21" s="229">
        <v>0</v>
      </c>
      <c r="NZF21" s="229">
        <v>0</v>
      </c>
      <c r="NZG21" s="229">
        <v>0</v>
      </c>
      <c r="NZH21" s="229">
        <v>0</v>
      </c>
      <c r="NZI21" s="229">
        <v>0</v>
      </c>
      <c r="NZJ21" s="229">
        <v>0</v>
      </c>
      <c r="NZK21" s="229">
        <v>0</v>
      </c>
      <c r="NZL21" s="229">
        <v>0</v>
      </c>
      <c r="NZM21" s="229">
        <v>0</v>
      </c>
      <c r="NZN21" s="229">
        <v>0</v>
      </c>
      <c r="NZO21" s="229">
        <v>0</v>
      </c>
      <c r="NZP21" s="229">
        <v>0</v>
      </c>
      <c r="NZQ21" s="229">
        <v>0</v>
      </c>
      <c r="NZR21" s="229">
        <v>0</v>
      </c>
      <c r="NZS21" s="229">
        <v>0</v>
      </c>
      <c r="NZT21" s="229">
        <v>0</v>
      </c>
      <c r="NZU21" s="229">
        <v>0</v>
      </c>
      <c r="NZV21" s="229">
        <v>0</v>
      </c>
      <c r="NZW21" s="229">
        <v>0</v>
      </c>
      <c r="NZX21" s="229">
        <v>0</v>
      </c>
      <c r="NZY21" s="229">
        <v>0</v>
      </c>
      <c r="NZZ21" s="229">
        <v>0</v>
      </c>
      <c r="OAA21" s="229">
        <v>0</v>
      </c>
      <c r="OAB21" s="229">
        <v>0</v>
      </c>
      <c r="OAC21" s="229">
        <v>0</v>
      </c>
      <c r="OAD21" s="229">
        <v>0</v>
      </c>
      <c r="OAE21" s="229">
        <v>0</v>
      </c>
      <c r="OAF21" s="229">
        <v>0</v>
      </c>
      <c r="OAG21" s="229">
        <v>0</v>
      </c>
      <c r="OAH21" s="229">
        <v>0</v>
      </c>
      <c r="OAI21" s="229">
        <v>0</v>
      </c>
      <c r="OAJ21" s="229">
        <v>0</v>
      </c>
      <c r="OAK21" s="229">
        <v>0</v>
      </c>
      <c r="OAL21" s="229">
        <v>0</v>
      </c>
      <c r="OAM21" s="229">
        <v>0</v>
      </c>
      <c r="OAN21" s="229">
        <v>0</v>
      </c>
      <c r="OAO21" s="229">
        <v>0</v>
      </c>
      <c r="OAP21" s="229">
        <v>0</v>
      </c>
      <c r="OAQ21" s="229">
        <v>0</v>
      </c>
      <c r="OAR21" s="229">
        <v>0</v>
      </c>
      <c r="OAS21" s="229">
        <v>0</v>
      </c>
      <c r="OAT21" s="229">
        <v>0</v>
      </c>
      <c r="OAU21" s="229">
        <v>0</v>
      </c>
      <c r="OAV21" s="229">
        <v>0</v>
      </c>
      <c r="OAW21" s="229">
        <v>0</v>
      </c>
      <c r="OAX21" s="229">
        <v>0</v>
      </c>
      <c r="OAY21" s="229">
        <v>0</v>
      </c>
      <c r="OAZ21" s="229">
        <v>0</v>
      </c>
      <c r="OBA21" s="229">
        <v>0</v>
      </c>
      <c r="OBB21" s="229">
        <v>0</v>
      </c>
      <c r="OBC21" s="229">
        <v>0</v>
      </c>
      <c r="OBD21" s="229">
        <v>0</v>
      </c>
      <c r="OBE21" s="229">
        <v>0</v>
      </c>
      <c r="OBF21" s="229">
        <v>0</v>
      </c>
      <c r="OBG21" s="229">
        <v>0</v>
      </c>
      <c r="OBH21" s="229">
        <v>0</v>
      </c>
      <c r="OBI21" s="229">
        <v>0</v>
      </c>
      <c r="OBJ21" s="229">
        <v>0</v>
      </c>
      <c r="OBK21" s="229">
        <v>0</v>
      </c>
      <c r="OBL21" s="229">
        <v>0</v>
      </c>
      <c r="OBM21" s="229">
        <v>0</v>
      </c>
      <c r="OBN21" s="229">
        <v>0</v>
      </c>
      <c r="OBO21" s="229">
        <v>0</v>
      </c>
      <c r="OBP21" s="229">
        <v>0</v>
      </c>
      <c r="OBQ21" s="229">
        <v>0</v>
      </c>
      <c r="OBR21" s="229">
        <v>0</v>
      </c>
      <c r="OBS21" s="229">
        <v>0</v>
      </c>
      <c r="OBT21" s="229">
        <v>0</v>
      </c>
      <c r="OBU21" s="229">
        <v>0</v>
      </c>
      <c r="OBV21" s="229">
        <v>0</v>
      </c>
      <c r="OBW21" s="229">
        <v>0</v>
      </c>
      <c r="OBX21" s="229">
        <v>0</v>
      </c>
      <c r="OBY21" s="229">
        <v>0</v>
      </c>
      <c r="OBZ21" s="229">
        <v>0</v>
      </c>
      <c r="OCA21" s="229">
        <v>0</v>
      </c>
      <c r="OCB21" s="229">
        <v>0</v>
      </c>
      <c r="OCC21" s="229">
        <v>0</v>
      </c>
      <c r="OCD21" s="229">
        <v>0</v>
      </c>
      <c r="OCE21" s="229">
        <v>0</v>
      </c>
      <c r="OCF21" s="229">
        <v>0</v>
      </c>
      <c r="OCG21" s="229">
        <v>0</v>
      </c>
      <c r="OCH21" s="229">
        <v>0</v>
      </c>
      <c r="OCI21" s="229">
        <v>0</v>
      </c>
      <c r="OCJ21" s="229">
        <v>0</v>
      </c>
      <c r="OCK21" s="229">
        <v>0</v>
      </c>
      <c r="OCL21" s="229">
        <v>0</v>
      </c>
      <c r="OCM21" s="229">
        <v>0</v>
      </c>
      <c r="OCN21" s="229">
        <v>0</v>
      </c>
      <c r="OCO21" s="229">
        <v>0</v>
      </c>
      <c r="OCP21" s="229">
        <v>0</v>
      </c>
      <c r="OCQ21" s="229">
        <v>0</v>
      </c>
      <c r="OCR21" s="229">
        <v>0</v>
      </c>
      <c r="OCS21" s="229">
        <v>0</v>
      </c>
      <c r="OCT21" s="229">
        <v>0</v>
      </c>
      <c r="OCU21" s="229">
        <v>0</v>
      </c>
      <c r="OCV21" s="229">
        <v>0</v>
      </c>
      <c r="OCW21" s="229">
        <v>0</v>
      </c>
      <c r="OCX21" s="229">
        <v>0</v>
      </c>
      <c r="OCY21" s="229">
        <v>0</v>
      </c>
      <c r="OCZ21" s="229">
        <v>0</v>
      </c>
      <c r="ODA21" s="229">
        <v>0</v>
      </c>
      <c r="ODB21" s="229">
        <v>0</v>
      </c>
      <c r="ODC21" s="229">
        <v>0</v>
      </c>
      <c r="ODD21" s="229">
        <v>0</v>
      </c>
      <c r="ODE21" s="229">
        <v>0</v>
      </c>
      <c r="ODF21" s="229">
        <v>0</v>
      </c>
      <c r="ODG21" s="229">
        <v>0</v>
      </c>
      <c r="ODH21" s="229">
        <v>0</v>
      </c>
      <c r="ODI21" s="229">
        <v>0</v>
      </c>
      <c r="ODJ21" s="229">
        <v>0</v>
      </c>
      <c r="ODK21" s="229">
        <v>0</v>
      </c>
      <c r="ODL21" s="229">
        <v>0</v>
      </c>
      <c r="ODM21" s="229">
        <v>0</v>
      </c>
      <c r="ODN21" s="229">
        <v>0</v>
      </c>
      <c r="ODO21" s="229">
        <v>0</v>
      </c>
      <c r="ODP21" s="229">
        <v>0</v>
      </c>
      <c r="ODQ21" s="229">
        <v>0</v>
      </c>
      <c r="ODR21" s="229">
        <v>0</v>
      </c>
      <c r="ODS21" s="229">
        <v>0</v>
      </c>
      <c r="ODT21" s="229">
        <v>0</v>
      </c>
      <c r="ODU21" s="229">
        <v>0</v>
      </c>
      <c r="ODV21" s="229">
        <v>0</v>
      </c>
      <c r="ODW21" s="229">
        <v>0</v>
      </c>
      <c r="ODX21" s="229">
        <v>0</v>
      </c>
      <c r="ODY21" s="229">
        <v>0</v>
      </c>
      <c r="ODZ21" s="229">
        <v>0</v>
      </c>
      <c r="OEA21" s="229">
        <v>0</v>
      </c>
      <c r="OEB21" s="229">
        <v>0</v>
      </c>
      <c r="OEC21" s="229">
        <v>0</v>
      </c>
      <c r="OED21" s="229">
        <v>0</v>
      </c>
      <c r="OEE21" s="229">
        <v>0</v>
      </c>
      <c r="OEF21" s="229">
        <v>0</v>
      </c>
      <c r="OEG21" s="229">
        <v>0</v>
      </c>
      <c r="OEH21" s="229">
        <v>0</v>
      </c>
      <c r="OEI21" s="229">
        <v>0</v>
      </c>
      <c r="OEJ21" s="229">
        <v>0</v>
      </c>
      <c r="OEK21" s="229">
        <v>0</v>
      </c>
      <c r="OEL21" s="229">
        <v>0</v>
      </c>
      <c r="OEM21" s="229">
        <v>0</v>
      </c>
      <c r="OEN21" s="229">
        <v>0</v>
      </c>
      <c r="OEO21" s="229">
        <v>0</v>
      </c>
      <c r="OEP21" s="229">
        <v>0</v>
      </c>
      <c r="OEQ21" s="229">
        <v>0</v>
      </c>
      <c r="OER21" s="229">
        <v>0</v>
      </c>
      <c r="OES21" s="229">
        <v>0</v>
      </c>
      <c r="OET21" s="229">
        <v>0</v>
      </c>
      <c r="OEU21" s="229">
        <v>0</v>
      </c>
      <c r="OEV21" s="229">
        <v>0</v>
      </c>
      <c r="OEW21" s="229">
        <v>0</v>
      </c>
      <c r="OEX21" s="229">
        <v>0</v>
      </c>
      <c r="OEY21" s="229">
        <v>0</v>
      </c>
      <c r="OEZ21" s="229">
        <v>0</v>
      </c>
      <c r="OFA21" s="229">
        <v>0</v>
      </c>
      <c r="OFB21" s="229">
        <v>0</v>
      </c>
      <c r="OFC21" s="229">
        <v>0</v>
      </c>
      <c r="OFD21" s="229">
        <v>0</v>
      </c>
      <c r="OFE21" s="229">
        <v>0</v>
      </c>
      <c r="OFF21" s="229">
        <v>0</v>
      </c>
      <c r="OFG21" s="229">
        <v>0</v>
      </c>
      <c r="OFH21" s="229">
        <v>0</v>
      </c>
      <c r="OFI21" s="229">
        <v>0</v>
      </c>
      <c r="OFJ21" s="229">
        <v>0</v>
      </c>
      <c r="OFK21" s="229">
        <v>0</v>
      </c>
      <c r="OFL21" s="229">
        <v>0</v>
      </c>
      <c r="OFM21" s="229">
        <v>0</v>
      </c>
      <c r="OFN21" s="229">
        <v>0</v>
      </c>
      <c r="OFO21" s="229">
        <v>0</v>
      </c>
      <c r="OFP21" s="229">
        <v>0</v>
      </c>
      <c r="OFQ21" s="229">
        <v>0</v>
      </c>
      <c r="OFR21" s="229">
        <v>0</v>
      </c>
      <c r="OFS21" s="229">
        <v>0</v>
      </c>
      <c r="OFT21" s="229">
        <v>0</v>
      </c>
      <c r="OFU21" s="229">
        <v>0</v>
      </c>
      <c r="OFV21" s="229">
        <v>0</v>
      </c>
      <c r="OFW21" s="229">
        <v>0</v>
      </c>
      <c r="OFX21" s="229">
        <v>0</v>
      </c>
      <c r="OFY21" s="229">
        <v>0</v>
      </c>
      <c r="OFZ21" s="229">
        <v>0</v>
      </c>
      <c r="OGA21" s="229">
        <v>0</v>
      </c>
      <c r="OGB21" s="229">
        <v>0</v>
      </c>
      <c r="OGC21" s="229">
        <v>0</v>
      </c>
      <c r="OGD21" s="229">
        <v>0</v>
      </c>
      <c r="OGE21" s="229">
        <v>0</v>
      </c>
      <c r="OGF21" s="229">
        <v>0</v>
      </c>
      <c r="OGG21" s="229">
        <v>0</v>
      </c>
      <c r="OGH21" s="229">
        <v>0</v>
      </c>
      <c r="OGI21" s="229">
        <v>0</v>
      </c>
      <c r="OGJ21" s="229">
        <v>0</v>
      </c>
      <c r="OGK21" s="229">
        <v>0</v>
      </c>
      <c r="OGL21" s="229">
        <v>0</v>
      </c>
      <c r="OGM21" s="229">
        <v>0</v>
      </c>
      <c r="OGN21" s="229">
        <v>0</v>
      </c>
      <c r="OGO21" s="229">
        <v>0</v>
      </c>
      <c r="OGP21" s="229">
        <v>0</v>
      </c>
      <c r="OGQ21" s="229">
        <v>0</v>
      </c>
      <c r="OGR21" s="229">
        <v>0</v>
      </c>
      <c r="OGS21" s="229">
        <v>0</v>
      </c>
      <c r="OGT21" s="229">
        <v>0</v>
      </c>
      <c r="OGU21" s="229">
        <v>0</v>
      </c>
      <c r="OGV21" s="229">
        <v>0</v>
      </c>
      <c r="OGW21" s="229">
        <v>0</v>
      </c>
      <c r="OGX21" s="229">
        <v>0</v>
      </c>
      <c r="OGY21" s="229">
        <v>0</v>
      </c>
      <c r="OGZ21" s="229">
        <v>0</v>
      </c>
      <c r="OHA21" s="229">
        <v>0</v>
      </c>
      <c r="OHB21" s="229">
        <v>0</v>
      </c>
      <c r="OHC21" s="229">
        <v>0</v>
      </c>
      <c r="OHD21" s="229">
        <v>0</v>
      </c>
      <c r="OHE21" s="229">
        <v>0</v>
      </c>
      <c r="OHF21" s="229">
        <v>0</v>
      </c>
      <c r="OHG21" s="229">
        <v>0</v>
      </c>
      <c r="OHH21" s="229">
        <v>0</v>
      </c>
      <c r="OHI21" s="229">
        <v>0</v>
      </c>
      <c r="OHJ21" s="229">
        <v>0</v>
      </c>
      <c r="OHK21" s="229">
        <v>0</v>
      </c>
      <c r="OHL21" s="229">
        <v>0</v>
      </c>
      <c r="OHM21" s="229">
        <v>0</v>
      </c>
      <c r="OHN21" s="229">
        <v>0</v>
      </c>
      <c r="OHO21" s="229">
        <v>0</v>
      </c>
      <c r="OHP21" s="229">
        <v>0</v>
      </c>
      <c r="OHQ21" s="229">
        <v>0</v>
      </c>
      <c r="OHR21" s="229">
        <v>0</v>
      </c>
      <c r="OHS21" s="229">
        <v>0</v>
      </c>
      <c r="OHT21" s="229">
        <v>0</v>
      </c>
      <c r="OHU21" s="229">
        <v>0</v>
      </c>
      <c r="OHV21" s="229">
        <v>0</v>
      </c>
      <c r="OHW21" s="229">
        <v>0</v>
      </c>
      <c r="OHX21" s="229">
        <v>0</v>
      </c>
      <c r="OHY21" s="229">
        <v>0</v>
      </c>
      <c r="OHZ21" s="229">
        <v>0</v>
      </c>
      <c r="OIA21" s="229">
        <v>0</v>
      </c>
      <c r="OIB21" s="229">
        <v>0</v>
      </c>
      <c r="OIC21" s="229">
        <v>0</v>
      </c>
      <c r="OID21" s="229">
        <v>0</v>
      </c>
      <c r="OIE21" s="229">
        <v>0</v>
      </c>
      <c r="OIF21" s="229">
        <v>0</v>
      </c>
      <c r="OIG21" s="229">
        <v>0</v>
      </c>
      <c r="OIH21" s="229">
        <v>0</v>
      </c>
      <c r="OII21" s="229">
        <v>0</v>
      </c>
      <c r="OIJ21" s="229">
        <v>0</v>
      </c>
      <c r="OIK21" s="229">
        <v>0</v>
      </c>
      <c r="OIL21" s="229">
        <v>0</v>
      </c>
      <c r="OIM21" s="229">
        <v>0</v>
      </c>
      <c r="OIN21" s="229">
        <v>0</v>
      </c>
      <c r="OIO21" s="229">
        <v>0</v>
      </c>
      <c r="OIP21" s="229">
        <v>0</v>
      </c>
      <c r="OIQ21" s="229">
        <v>0</v>
      </c>
      <c r="OIR21" s="229">
        <v>0</v>
      </c>
      <c r="OIS21" s="229">
        <v>0</v>
      </c>
      <c r="OIT21" s="229">
        <v>0</v>
      </c>
      <c r="OIU21" s="229">
        <v>0</v>
      </c>
      <c r="OIV21" s="229">
        <v>0</v>
      </c>
      <c r="OIW21" s="229">
        <v>0</v>
      </c>
      <c r="OIX21" s="229">
        <v>0</v>
      </c>
      <c r="OIY21" s="229">
        <v>0</v>
      </c>
      <c r="OIZ21" s="229">
        <v>0</v>
      </c>
      <c r="OJA21" s="229">
        <v>0</v>
      </c>
      <c r="OJB21" s="229">
        <v>0</v>
      </c>
      <c r="OJC21" s="229">
        <v>0</v>
      </c>
      <c r="OJD21" s="229">
        <v>0</v>
      </c>
      <c r="OJE21" s="229">
        <v>0</v>
      </c>
      <c r="OJF21" s="229">
        <v>0</v>
      </c>
      <c r="OJG21" s="229">
        <v>0</v>
      </c>
      <c r="OJH21" s="229">
        <v>0</v>
      </c>
      <c r="OJI21" s="229">
        <v>0</v>
      </c>
      <c r="OJJ21" s="229">
        <v>0</v>
      </c>
      <c r="OJK21" s="229">
        <v>0</v>
      </c>
      <c r="OJL21" s="229">
        <v>0</v>
      </c>
      <c r="OJM21" s="229">
        <v>0</v>
      </c>
      <c r="OJN21" s="229">
        <v>0</v>
      </c>
      <c r="OJO21" s="229">
        <v>0</v>
      </c>
      <c r="OJP21" s="229">
        <v>0</v>
      </c>
      <c r="OJQ21" s="229">
        <v>0</v>
      </c>
      <c r="OJR21" s="229">
        <v>0</v>
      </c>
      <c r="OJS21" s="229">
        <v>0</v>
      </c>
      <c r="OJT21" s="229">
        <v>0</v>
      </c>
      <c r="OJU21" s="229">
        <v>0</v>
      </c>
      <c r="OJV21" s="229">
        <v>0</v>
      </c>
      <c r="OJW21" s="229">
        <v>0</v>
      </c>
      <c r="OJX21" s="229">
        <v>0</v>
      </c>
      <c r="OJY21" s="229">
        <v>0</v>
      </c>
      <c r="OJZ21" s="229">
        <v>0</v>
      </c>
      <c r="OKA21" s="229">
        <v>0</v>
      </c>
      <c r="OKB21" s="229">
        <v>0</v>
      </c>
      <c r="OKC21" s="229">
        <v>0</v>
      </c>
      <c r="OKD21" s="229">
        <v>0</v>
      </c>
      <c r="OKE21" s="229">
        <v>0</v>
      </c>
      <c r="OKF21" s="229">
        <v>0</v>
      </c>
      <c r="OKG21" s="229">
        <v>0</v>
      </c>
      <c r="OKH21" s="229">
        <v>0</v>
      </c>
      <c r="OKI21" s="229">
        <v>0</v>
      </c>
      <c r="OKJ21" s="229">
        <v>0</v>
      </c>
      <c r="OKK21" s="229">
        <v>0</v>
      </c>
      <c r="OKL21" s="229">
        <v>0</v>
      </c>
      <c r="OKM21" s="229">
        <v>0</v>
      </c>
      <c r="OKN21" s="229">
        <v>0</v>
      </c>
      <c r="OKO21" s="229">
        <v>0</v>
      </c>
      <c r="OKP21" s="229">
        <v>0</v>
      </c>
      <c r="OKQ21" s="229">
        <v>0</v>
      </c>
      <c r="OKR21" s="229">
        <v>0</v>
      </c>
      <c r="OKS21" s="229">
        <v>0</v>
      </c>
      <c r="OKT21" s="229">
        <v>0</v>
      </c>
      <c r="OKU21" s="229">
        <v>0</v>
      </c>
      <c r="OKV21" s="229">
        <v>0</v>
      </c>
      <c r="OKW21" s="229">
        <v>0</v>
      </c>
      <c r="OKX21" s="229">
        <v>0</v>
      </c>
      <c r="OKY21" s="229">
        <v>0</v>
      </c>
      <c r="OKZ21" s="229">
        <v>0</v>
      </c>
      <c r="OLA21" s="229">
        <v>0</v>
      </c>
      <c r="OLB21" s="229">
        <v>0</v>
      </c>
      <c r="OLC21" s="229">
        <v>0</v>
      </c>
      <c r="OLD21" s="229">
        <v>0</v>
      </c>
      <c r="OLE21" s="229">
        <v>0</v>
      </c>
      <c r="OLF21" s="229">
        <v>0</v>
      </c>
      <c r="OLG21" s="229">
        <v>0</v>
      </c>
      <c r="OLH21" s="229">
        <v>0</v>
      </c>
      <c r="OLI21" s="229">
        <v>0</v>
      </c>
      <c r="OLJ21" s="229">
        <v>0</v>
      </c>
      <c r="OLK21" s="229">
        <v>0</v>
      </c>
      <c r="OLL21" s="229">
        <v>0</v>
      </c>
      <c r="OLM21" s="229">
        <v>0</v>
      </c>
      <c r="OLN21" s="229">
        <v>0</v>
      </c>
      <c r="OLO21" s="229">
        <v>0</v>
      </c>
      <c r="OLP21" s="229">
        <v>0</v>
      </c>
      <c r="OLQ21" s="229">
        <v>0</v>
      </c>
      <c r="OLR21" s="229">
        <v>0</v>
      </c>
      <c r="OLS21" s="229">
        <v>0</v>
      </c>
      <c r="OLT21" s="229">
        <v>0</v>
      </c>
      <c r="OLU21" s="229">
        <v>0</v>
      </c>
      <c r="OLV21" s="229">
        <v>0</v>
      </c>
      <c r="OLW21" s="229">
        <v>0</v>
      </c>
      <c r="OLX21" s="229">
        <v>0</v>
      </c>
      <c r="OLY21" s="229">
        <v>0</v>
      </c>
      <c r="OLZ21" s="229">
        <v>0</v>
      </c>
      <c r="OMA21" s="229">
        <v>0</v>
      </c>
      <c r="OMB21" s="229">
        <v>0</v>
      </c>
      <c r="OMC21" s="229">
        <v>0</v>
      </c>
      <c r="OMD21" s="229">
        <v>0</v>
      </c>
      <c r="OME21" s="229">
        <v>0</v>
      </c>
      <c r="OMF21" s="229">
        <v>0</v>
      </c>
      <c r="OMG21" s="229">
        <v>0</v>
      </c>
      <c r="OMH21" s="229">
        <v>0</v>
      </c>
      <c r="OMI21" s="229">
        <v>0</v>
      </c>
      <c r="OMJ21" s="229">
        <v>0</v>
      </c>
      <c r="OMK21" s="229">
        <v>0</v>
      </c>
      <c r="OML21" s="229">
        <v>0</v>
      </c>
      <c r="OMM21" s="229">
        <v>0</v>
      </c>
      <c r="OMN21" s="229">
        <v>0</v>
      </c>
      <c r="OMO21" s="229">
        <v>0</v>
      </c>
      <c r="OMP21" s="229">
        <v>0</v>
      </c>
      <c r="OMQ21" s="229">
        <v>0</v>
      </c>
      <c r="OMR21" s="229">
        <v>0</v>
      </c>
      <c r="OMS21" s="229">
        <v>0</v>
      </c>
      <c r="OMT21" s="229">
        <v>0</v>
      </c>
      <c r="OMU21" s="229">
        <v>0</v>
      </c>
      <c r="OMV21" s="229">
        <v>0</v>
      </c>
      <c r="OMW21" s="229">
        <v>0</v>
      </c>
      <c r="OMX21" s="229">
        <v>0</v>
      </c>
      <c r="OMY21" s="229">
        <v>0</v>
      </c>
      <c r="OMZ21" s="229">
        <v>0</v>
      </c>
      <c r="ONA21" s="229">
        <v>0</v>
      </c>
      <c r="ONB21" s="229">
        <v>0</v>
      </c>
      <c r="ONC21" s="229">
        <v>0</v>
      </c>
      <c r="OND21" s="229">
        <v>0</v>
      </c>
      <c r="ONE21" s="229">
        <v>0</v>
      </c>
      <c r="ONF21" s="229">
        <v>0</v>
      </c>
      <c r="ONG21" s="229">
        <v>0</v>
      </c>
      <c r="ONH21" s="229">
        <v>0</v>
      </c>
      <c r="ONI21" s="229">
        <v>0</v>
      </c>
      <c r="ONJ21" s="229">
        <v>0</v>
      </c>
      <c r="ONK21" s="229">
        <v>0</v>
      </c>
      <c r="ONL21" s="229">
        <v>0</v>
      </c>
      <c r="ONM21" s="229">
        <v>0</v>
      </c>
      <c r="ONN21" s="229">
        <v>0</v>
      </c>
      <c r="ONO21" s="229">
        <v>0</v>
      </c>
      <c r="ONP21" s="229">
        <v>0</v>
      </c>
      <c r="ONQ21" s="229">
        <v>0</v>
      </c>
      <c r="ONR21" s="229">
        <v>0</v>
      </c>
      <c r="ONS21" s="229">
        <v>0</v>
      </c>
      <c r="ONT21" s="229">
        <v>0</v>
      </c>
      <c r="ONU21" s="229">
        <v>0</v>
      </c>
      <c r="ONV21" s="229">
        <v>0</v>
      </c>
      <c r="ONW21" s="229">
        <v>0</v>
      </c>
      <c r="ONX21" s="229">
        <v>0</v>
      </c>
      <c r="ONY21" s="229">
        <v>0</v>
      </c>
      <c r="ONZ21" s="229">
        <v>0</v>
      </c>
      <c r="OOA21" s="229">
        <v>0</v>
      </c>
      <c r="OOB21" s="229">
        <v>0</v>
      </c>
      <c r="OOC21" s="229">
        <v>0</v>
      </c>
      <c r="OOD21" s="229">
        <v>0</v>
      </c>
      <c r="OOE21" s="229">
        <v>0</v>
      </c>
      <c r="OOF21" s="229">
        <v>0</v>
      </c>
      <c r="OOG21" s="229">
        <v>0</v>
      </c>
      <c r="OOH21" s="229">
        <v>0</v>
      </c>
      <c r="OOI21" s="229">
        <v>0</v>
      </c>
      <c r="OOJ21" s="229">
        <v>0</v>
      </c>
      <c r="OOK21" s="229">
        <v>0</v>
      </c>
      <c r="OOL21" s="229">
        <v>0</v>
      </c>
      <c r="OOM21" s="229">
        <v>0</v>
      </c>
      <c r="OON21" s="229">
        <v>0</v>
      </c>
      <c r="OOO21" s="229">
        <v>0</v>
      </c>
      <c r="OOP21" s="229">
        <v>0</v>
      </c>
      <c r="OOQ21" s="229">
        <v>0</v>
      </c>
      <c r="OOR21" s="229">
        <v>0</v>
      </c>
      <c r="OOS21" s="229">
        <v>0</v>
      </c>
      <c r="OOT21" s="229">
        <v>0</v>
      </c>
      <c r="OOU21" s="229">
        <v>0</v>
      </c>
      <c r="OOV21" s="229">
        <v>0</v>
      </c>
      <c r="OOW21" s="229">
        <v>0</v>
      </c>
      <c r="OOX21" s="229">
        <v>0</v>
      </c>
      <c r="OOY21" s="229">
        <v>0</v>
      </c>
      <c r="OOZ21" s="229">
        <v>0</v>
      </c>
      <c r="OPA21" s="229">
        <v>0</v>
      </c>
      <c r="OPB21" s="229">
        <v>0</v>
      </c>
      <c r="OPC21" s="229">
        <v>0</v>
      </c>
      <c r="OPD21" s="229">
        <v>0</v>
      </c>
      <c r="OPE21" s="229">
        <v>0</v>
      </c>
      <c r="OPF21" s="229">
        <v>0</v>
      </c>
      <c r="OPG21" s="229">
        <v>0</v>
      </c>
      <c r="OPH21" s="229">
        <v>0</v>
      </c>
      <c r="OPI21" s="229">
        <v>0</v>
      </c>
      <c r="OPJ21" s="229">
        <v>0</v>
      </c>
      <c r="OPK21" s="229">
        <v>0</v>
      </c>
      <c r="OPL21" s="229">
        <v>0</v>
      </c>
      <c r="OPM21" s="229">
        <v>0</v>
      </c>
      <c r="OPN21" s="229">
        <v>0</v>
      </c>
      <c r="OPO21" s="229">
        <v>0</v>
      </c>
      <c r="OPP21" s="229">
        <v>0</v>
      </c>
      <c r="OPQ21" s="229">
        <v>0</v>
      </c>
      <c r="OPR21" s="229">
        <v>0</v>
      </c>
      <c r="OPS21" s="229">
        <v>0</v>
      </c>
      <c r="OPT21" s="229">
        <v>0</v>
      </c>
      <c r="OPU21" s="229">
        <v>0</v>
      </c>
      <c r="OPV21" s="229">
        <v>0</v>
      </c>
      <c r="OPW21" s="229">
        <v>0</v>
      </c>
      <c r="OPX21" s="229">
        <v>0</v>
      </c>
      <c r="OPY21" s="229">
        <v>0</v>
      </c>
      <c r="OPZ21" s="229">
        <v>0</v>
      </c>
      <c r="OQA21" s="229">
        <v>0</v>
      </c>
      <c r="OQB21" s="229">
        <v>0</v>
      </c>
      <c r="OQC21" s="229">
        <v>0</v>
      </c>
      <c r="OQD21" s="229">
        <v>0</v>
      </c>
      <c r="OQE21" s="229">
        <v>0</v>
      </c>
      <c r="OQF21" s="229">
        <v>0</v>
      </c>
      <c r="OQG21" s="229">
        <v>0</v>
      </c>
      <c r="OQH21" s="229">
        <v>0</v>
      </c>
      <c r="OQI21" s="229">
        <v>0</v>
      </c>
      <c r="OQJ21" s="229">
        <v>0</v>
      </c>
      <c r="OQK21" s="229">
        <v>0</v>
      </c>
      <c r="OQL21" s="229">
        <v>0</v>
      </c>
      <c r="OQM21" s="229">
        <v>0</v>
      </c>
      <c r="OQN21" s="229">
        <v>0</v>
      </c>
      <c r="OQO21" s="229">
        <v>0</v>
      </c>
      <c r="OQP21" s="229">
        <v>0</v>
      </c>
      <c r="OQQ21" s="229">
        <v>0</v>
      </c>
      <c r="OQR21" s="229">
        <v>0</v>
      </c>
      <c r="OQS21" s="229">
        <v>0</v>
      </c>
      <c r="OQT21" s="229">
        <v>0</v>
      </c>
      <c r="OQU21" s="229">
        <v>0</v>
      </c>
      <c r="OQV21" s="229">
        <v>0</v>
      </c>
      <c r="OQW21" s="229">
        <v>0</v>
      </c>
      <c r="OQX21" s="229">
        <v>0</v>
      </c>
      <c r="OQY21" s="229">
        <v>0</v>
      </c>
      <c r="OQZ21" s="229">
        <v>0</v>
      </c>
      <c r="ORA21" s="229">
        <v>0</v>
      </c>
      <c r="ORB21" s="229">
        <v>0</v>
      </c>
      <c r="ORC21" s="229">
        <v>0</v>
      </c>
      <c r="ORD21" s="229">
        <v>0</v>
      </c>
      <c r="ORE21" s="229">
        <v>0</v>
      </c>
      <c r="ORF21" s="229">
        <v>0</v>
      </c>
      <c r="ORG21" s="229">
        <v>0</v>
      </c>
      <c r="ORH21" s="229">
        <v>0</v>
      </c>
      <c r="ORI21" s="229">
        <v>0</v>
      </c>
      <c r="ORJ21" s="229">
        <v>0</v>
      </c>
      <c r="ORK21" s="229">
        <v>0</v>
      </c>
      <c r="ORL21" s="229">
        <v>0</v>
      </c>
      <c r="ORM21" s="229">
        <v>0</v>
      </c>
      <c r="ORN21" s="229">
        <v>0</v>
      </c>
      <c r="ORO21" s="229">
        <v>0</v>
      </c>
      <c r="ORP21" s="229">
        <v>0</v>
      </c>
      <c r="ORQ21" s="229">
        <v>0</v>
      </c>
      <c r="ORR21" s="229">
        <v>0</v>
      </c>
      <c r="ORS21" s="229">
        <v>0</v>
      </c>
      <c r="ORT21" s="229">
        <v>0</v>
      </c>
      <c r="ORU21" s="229">
        <v>0</v>
      </c>
      <c r="ORV21" s="229">
        <v>0</v>
      </c>
      <c r="ORW21" s="229">
        <v>0</v>
      </c>
      <c r="ORX21" s="229">
        <v>0</v>
      </c>
      <c r="ORY21" s="229">
        <v>0</v>
      </c>
      <c r="ORZ21" s="229">
        <v>0</v>
      </c>
      <c r="OSA21" s="229">
        <v>0</v>
      </c>
      <c r="OSB21" s="229">
        <v>0</v>
      </c>
      <c r="OSC21" s="229">
        <v>0</v>
      </c>
      <c r="OSD21" s="229">
        <v>0</v>
      </c>
      <c r="OSE21" s="229">
        <v>0</v>
      </c>
      <c r="OSF21" s="229">
        <v>0</v>
      </c>
      <c r="OSG21" s="229">
        <v>0</v>
      </c>
      <c r="OSH21" s="229">
        <v>0</v>
      </c>
      <c r="OSI21" s="229">
        <v>0</v>
      </c>
      <c r="OSJ21" s="229">
        <v>0</v>
      </c>
      <c r="OSK21" s="229">
        <v>0</v>
      </c>
      <c r="OSL21" s="229">
        <v>0</v>
      </c>
      <c r="OSM21" s="229">
        <v>0</v>
      </c>
      <c r="OSN21" s="229">
        <v>0</v>
      </c>
      <c r="OSO21" s="229">
        <v>0</v>
      </c>
      <c r="OSP21" s="229">
        <v>0</v>
      </c>
      <c r="OSQ21" s="229">
        <v>0</v>
      </c>
      <c r="OSR21" s="229">
        <v>0</v>
      </c>
      <c r="OSS21" s="229">
        <v>0</v>
      </c>
      <c r="OST21" s="229">
        <v>0</v>
      </c>
      <c r="OSU21" s="229">
        <v>0</v>
      </c>
      <c r="OSV21" s="229">
        <v>0</v>
      </c>
      <c r="OSW21" s="229">
        <v>0</v>
      </c>
      <c r="OSX21" s="229">
        <v>0</v>
      </c>
      <c r="OSY21" s="229">
        <v>0</v>
      </c>
      <c r="OSZ21" s="229">
        <v>0</v>
      </c>
      <c r="OTA21" s="229">
        <v>0</v>
      </c>
      <c r="OTB21" s="229">
        <v>0</v>
      </c>
      <c r="OTC21" s="229">
        <v>0</v>
      </c>
      <c r="OTD21" s="229">
        <v>0</v>
      </c>
      <c r="OTE21" s="229">
        <v>0</v>
      </c>
      <c r="OTF21" s="229">
        <v>0</v>
      </c>
      <c r="OTG21" s="229">
        <v>0</v>
      </c>
      <c r="OTH21" s="229">
        <v>0</v>
      </c>
      <c r="OTI21" s="229">
        <v>0</v>
      </c>
      <c r="OTJ21" s="229">
        <v>0</v>
      </c>
      <c r="OTK21" s="229">
        <v>0</v>
      </c>
      <c r="OTL21" s="229">
        <v>0</v>
      </c>
      <c r="OTM21" s="229">
        <v>0</v>
      </c>
      <c r="OTN21" s="229">
        <v>0</v>
      </c>
      <c r="OTO21" s="229">
        <v>0</v>
      </c>
      <c r="OTP21" s="229">
        <v>0</v>
      </c>
      <c r="OTQ21" s="229">
        <v>0</v>
      </c>
      <c r="OTR21" s="229">
        <v>0</v>
      </c>
      <c r="OTS21" s="229">
        <v>0</v>
      </c>
      <c r="OTT21" s="229">
        <v>0</v>
      </c>
      <c r="OTU21" s="229">
        <v>0</v>
      </c>
      <c r="OTV21" s="229">
        <v>0</v>
      </c>
      <c r="OTW21" s="229">
        <v>0</v>
      </c>
      <c r="OTX21" s="229">
        <v>0</v>
      </c>
      <c r="OTY21" s="229">
        <v>0</v>
      </c>
      <c r="OTZ21" s="229">
        <v>0</v>
      </c>
      <c r="OUA21" s="229">
        <v>0</v>
      </c>
      <c r="OUB21" s="229">
        <v>0</v>
      </c>
      <c r="OUC21" s="229">
        <v>0</v>
      </c>
      <c r="OUD21" s="229">
        <v>0</v>
      </c>
      <c r="OUE21" s="229">
        <v>0</v>
      </c>
      <c r="OUF21" s="229">
        <v>0</v>
      </c>
      <c r="OUG21" s="229">
        <v>0</v>
      </c>
      <c r="OUH21" s="229">
        <v>0</v>
      </c>
      <c r="OUI21" s="229">
        <v>0</v>
      </c>
      <c r="OUJ21" s="229">
        <v>0</v>
      </c>
      <c r="OUK21" s="229">
        <v>0</v>
      </c>
      <c r="OUL21" s="229">
        <v>0</v>
      </c>
      <c r="OUM21" s="229">
        <v>0</v>
      </c>
      <c r="OUN21" s="229">
        <v>0</v>
      </c>
      <c r="OUO21" s="229">
        <v>0</v>
      </c>
      <c r="OUP21" s="229">
        <v>0</v>
      </c>
      <c r="OUQ21" s="229">
        <v>0</v>
      </c>
      <c r="OUR21" s="229">
        <v>0</v>
      </c>
      <c r="OUS21" s="229">
        <v>0</v>
      </c>
      <c r="OUT21" s="229">
        <v>0</v>
      </c>
      <c r="OUU21" s="229">
        <v>0</v>
      </c>
      <c r="OUV21" s="229">
        <v>0</v>
      </c>
      <c r="OUW21" s="229">
        <v>0</v>
      </c>
      <c r="OUX21" s="229">
        <v>0</v>
      </c>
      <c r="OUY21" s="229">
        <v>0</v>
      </c>
      <c r="OUZ21" s="229">
        <v>0</v>
      </c>
      <c r="OVA21" s="229">
        <v>0</v>
      </c>
      <c r="OVB21" s="229">
        <v>0</v>
      </c>
      <c r="OVC21" s="229">
        <v>0</v>
      </c>
      <c r="OVD21" s="229">
        <v>0</v>
      </c>
      <c r="OVE21" s="229">
        <v>0</v>
      </c>
      <c r="OVF21" s="229">
        <v>0</v>
      </c>
      <c r="OVG21" s="229">
        <v>0</v>
      </c>
      <c r="OVH21" s="229">
        <v>0</v>
      </c>
      <c r="OVI21" s="229">
        <v>0</v>
      </c>
      <c r="OVJ21" s="229">
        <v>0</v>
      </c>
      <c r="OVK21" s="229">
        <v>0</v>
      </c>
      <c r="OVL21" s="229">
        <v>0</v>
      </c>
      <c r="OVM21" s="229">
        <v>0</v>
      </c>
      <c r="OVN21" s="229">
        <v>0</v>
      </c>
      <c r="OVO21" s="229">
        <v>0</v>
      </c>
      <c r="OVP21" s="229">
        <v>0</v>
      </c>
      <c r="OVQ21" s="229">
        <v>0</v>
      </c>
      <c r="OVR21" s="229">
        <v>0</v>
      </c>
      <c r="OVS21" s="229">
        <v>0</v>
      </c>
      <c r="OVT21" s="229">
        <v>0</v>
      </c>
      <c r="OVU21" s="229">
        <v>0</v>
      </c>
      <c r="OVV21" s="229">
        <v>0</v>
      </c>
      <c r="OVW21" s="229">
        <v>0</v>
      </c>
      <c r="OVX21" s="229">
        <v>0</v>
      </c>
      <c r="OVY21" s="229">
        <v>0</v>
      </c>
      <c r="OVZ21" s="229">
        <v>0</v>
      </c>
      <c r="OWA21" s="229">
        <v>0</v>
      </c>
      <c r="OWB21" s="229">
        <v>0</v>
      </c>
      <c r="OWC21" s="229">
        <v>0</v>
      </c>
      <c r="OWD21" s="229">
        <v>0</v>
      </c>
      <c r="OWE21" s="229">
        <v>0</v>
      </c>
      <c r="OWF21" s="229">
        <v>0</v>
      </c>
      <c r="OWG21" s="229">
        <v>0</v>
      </c>
      <c r="OWH21" s="229">
        <v>0</v>
      </c>
      <c r="OWI21" s="229">
        <v>0</v>
      </c>
      <c r="OWJ21" s="229">
        <v>0</v>
      </c>
      <c r="OWK21" s="229">
        <v>0</v>
      </c>
      <c r="OWL21" s="229">
        <v>0</v>
      </c>
      <c r="OWM21" s="229">
        <v>0</v>
      </c>
      <c r="OWN21" s="229">
        <v>0</v>
      </c>
      <c r="OWO21" s="229">
        <v>0</v>
      </c>
      <c r="OWP21" s="229">
        <v>0</v>
      </c>
      <c r="OWQ21" s="229">
        <v>0</v>
      </c>
      <c r="OWR21" s="229">
        <v>0</v>
      </c>
      <c r="OWS21" s="229">
        <v>0</v>
      </c>
      <c r="OWT21" s="229">
        <v>0</v>
      </c>
      <c r="OWU21" s="229">
        <v>0</v>
      </c>
      <c r="OWV21" s="229">
        <v>0</v>
      </c>
      <c r="OWW21" s="229">
        <v>0</v>
      </c>
      <c r="OWX21" s="229">
        <v>0</v>
      </c>
      <c r="OWY21" s="229">
        <v>0</v>
      </c>
      <c r="OWZ21" s="229">
        <v>0</v>
      </c>
      <c r="OXA21" s="229">
        <v>0</v>
      </c>
      <c r="OXB21" s="229">
        <v>0</v>
      </c>
      <c r="OXC21" s="229">
        <v>0</v>
      </c>
      <c r="OXD21" s="229">
        <v>0</v>
      </c>
      <c r="OXE21" s="229">
        <v>0</v>
      </c>
      <c r="OXF21" s="229">
        <v>0</v>
      </c>
      <c r="OXG21" s="229">
        <v>0</v>
      </c>
      <c r="OXH21" s="229">
        <v>0</v>
      </c>
      <c r="OXI21" s="229">
        <v>0</v>
      </c>
      <c r="OXJ21" s="229">
        <v>0</v>
      </c>
      <c r="OXK21" s="229">
        <v>0</v>
      </c>
      <c r="OXL21" s="229">
        <v>0</v>
      </c>
      <c r="OXM21" s="229">
        <v>0</v>
      </c>
      <c r="OXN21" s="229">
        <v>0</v>
      </c>
      <c r="OXO21" s="229">
        <v>0</v>
      </c>
      <c r="OXP21" s="229">
        <v>0</v>
      </c>
      <c r="OXQ21" s="229">
        <v>0</v>
      </c>
      <c r="OXR21" s="229">
        <v>0</v>
      </c>
      <c r="OXS21" s="229">
        <v>0</v>
      </c>
      <c r="OXT21" s="229">
        <v>0</v>
      </c>
      <c r="OXU21" s="229">
        <v>0</v>
      </c>
      <c r="OXV21" s="229">
        <v>0</v>
      </c>
      <c r="OXW21" s="229">
        <v>0</v>
      </c>
      <c r="OXX21" s="229">
        <v>0</v>
      </c>
      <c r="OXY21" s="229">
        <v>0</v>
      </c>
      <c r="OXZ21" s="229">
        <v>0</v>
      </c>
      <c r="OYA21" s="229">
        <v>0</v>
      </c>
      <c r="OYB21" s="229">
        <v>0</v>
      </c>
      <c r="OYC21" s="229">
        <v>0</v>
      </c>
      <c r="OYD21" s="229">
        <v>0</v>
      </c>
      <c r="OYE21" s="229">
        <v>0</v>
      </c>
      <c r="OYF21" s="229">
        <v>0</v>
      </c>
      <c r="OYG21" s="229">
        <v>0</v>
      </c>
      <c r="OYH21" s="229">
        <v>0</v>
      </c>
      <c r="OYI21" s="229">
        <v>0</v>
      </c>
      <c r="OYJ21" s="229">
        <v>0</v>
      </c>
      <c r="OYK21" s="229">
        <v>0</v>
      </c>
      <c r="OYL21" s="229">
        <v>0</v>
      </c>
      <c r="OYM21" s="229">
        <v>0</v>
      </c>
      <c r="OYN21" s="229">
        <v>0</v>
      </c>
      <c r="OYO21" s="229">
        <v>0</v>
      </c>
      <c r="OYP21" s="229">
        <v>0</v>
      </c>
      <c r="OYQ21" s="229">
        <v>0</v>
      </c>
      <c r="OYR21" s="229">
        <v>0</v>
      </c>
      <c r="OYS21" s="229">
        <v>0</v>
      </c>
      <c r="OYT21" s="229">
        <v>0</v>
      </c>
      <c r="OYU21" s="229">
        <v>0</v>
      </c>
      <c r="OYV21" s="229">
        <v>0</v>
      </c>
      <c r="OYW21" s="229">
        <v>0</v>
      </c>
      <c r="OYX21" s="229">
        <v>0</v>
      </c>
      <c r="OYY21" s="229">
        <v>0</v>
      </c>
      <c r="OYZ21" s="229">
        <v>0</v>
      </c>
      <c r="OZA21" s="229">
        <v>0</v>
      </c>
      <c r="OZB21" s="229">
        <v>0</v>
      </c>
      <c r="OZC21" s="229">
        <v>0</v>
      </c>
      <c r="OZD21" s="229">
        <v>0</v>
      </c>
      <c r="OZE21" s="229">
        <v>0</v>
      </c>
      <c r="OZF21" s="229">
        <v>0</v>
      </c>
      <c r="OZG21" s="229">
        <v>0</v>
      </c>
      <c r="OZH21" s="229">
        <v>0</v>
      </c>
      <c r="OZI21" s="229">
        <v>0</v>
      </c>
      <c r="OZJ21" s="229">
        <v>0</v>
      </c>
      <c r="OZK21" s="229">
        <v>0</v>
      </c>
      <c r="OZL21" s="229">
        <v>0</v>
      </c>
      <c r="OZM21" s="229">
        <v>0</v>
      </c>
      <c r="OZN21" s="229">
        <v>0</v>
      </c>
      <c r="OZO21" s="229">
        <v>0</v>
      </c>
      <c r="OZP21" s="229">
        <v>0</v>
      </c>
      <c r="OZQ21" s="229">
        <v>0</v>
      </c>
      <c r="OZR21" s="229">
        <v>0</v>
      </c>
      <c r="OZS21" s="229">
        <v>0</v>
      </c>
      <c r="OZT21" s="229">
        <v>0</v>
      </c>
      <c r="OZU21" s="229">
        <v>0</v>
      </c>
      <c r="OZV21" s="229">
        <v>0</v>
      </c>
      <c r="OZW21" s="229">
        <v>0</v>
      </c>
      <c r="OZX21" s="229">
        <v>0</v>
      </c>
      <c r="OZY21" s="229">
        <v>0</v>
      </c>
      <c r="OZZ21" s="229">
        <v>0</v>
      </c>
      <c r="PAA21" s="229">
        <v>0</v>
      </c>
      <c r="PAB21" s="229">
        <v>0</v>
      </c>
      <c r="PAC21" s="229">
        <v>0</v>
      </c>
      <c r="PAD21" s="229">
        <v>0</v>
      </c>
      <c r="PAE21" s="229">
        <v>0</v>
      </c>
      <c r="PAF21" s="229">
        <v>0</v>
      </c>
      <c r="PAG21" s="229">
        <v>0</v>
      </c>
      <c r="PAH21" s="229">
        <v>0</v>
      </c>
      <c r="PAI21" s="229">
        <v>0</v>
      </c>
      <c r="PAJ21" s="229">
        <v>0</v>
      </c>
      <c r="PAK21" s="229">
        <v>0</v>
      </c>
      <c r="PAL21" s="229">
        <v>0</v>
      </c>
      <c r="PAM21" s="229">
        <v>0</v>
      </c>
      <c r="PAN21" s="229">
        <v>0</v>
      </c>
      <c r="PAO21" s="229">
        <v>0</v>
      </c>
      <c r="PAP21" s="229">
        <v>0</v>
      </c>
      <c r="PAQ21" s="229">
        <v>0</v>
      </c>
      <c r="PAR21" s="229">
        <v>0</v>
      </c>
      <c r="PAS21" s="229">
        <v>0</v>
      </c>
      <c r="PAT21" s="229">
        <v>0</v>
      </c>
      <c r="PAU21" s="229">
        <v>0</v>
      </c>
      <c r="PAV21" s="229">
        <v>0</v>
      </c>
      <c r="PAW21" s="229">
        <v>0</v>
      </c>
      <c r="PAX21" s="229">
        <v>0</v>
      </c>
      <c r="PAY21" s="229">
        <v>0</v>
      </c>
      <c r="PAZ21" s="229">
        <v>0</v>
      </c>
      <c r="PBA21" s="229">
        <v>0</v>
      </c>
      <c r="PBB21" s="229">
        <v>0</v>
      </c>
      <c r="PBC21" s="229">
        <v>0</v>
      </c>
      <c r="PBD21" s="229">
        <v>0</v>
      </c>
      <c r="PBE21" s="229">
        <v>0</v>
      </c>
      <c r="PBF21" s="229">
        <v>0</v>
      </c>
      <c r="PBG21" s="229">
        <v>0</v>
      </c>
      <c r="PBH21" s="229">
        <v>0</v>
      </c>
      <c r="PBI21" s="229">
        <v>0</v>
      </c>
      <c r="PBJ21" s="229">
        <v>0</v>
      </c>
      <c r="PBK21" s="229">
        <v>0</v>
      </c>
      <c r="PBL21" s="229">
        <v>0</v>
      </c>
      <c r="PBM21" s="229">
        <v>0</v>
      </c>
      <c r="PBN21" s="229">
        <v>0</v>
      </c>
      <c r="PBO21" s="229">
        <v>0</v>
      </c>
      <c r="PBP21" s="229">
        <v>0</v>
      </c>
      <c r="PBQ21" s="229">
        <v>0</v>
      </c>
      <c r="PBR21" s="229">
        <v>0</v>
      </c>
      <c r="PBS21" s="229">
        <v>0</v>
      </c>
      <c r="PBT21" s="229">
        <v>0</v>
      </c>
      <c r="PBU21" s="229">
        <v>0</v>
      </c>
      <c r="PBV21" s="229">
        <v>0</v>
      </c>
      <c r="PBW21" s="229">
        <v>0</v>
      </c>
      <c r="PBX21" s="229">
        <v>0</v>
      </c>
      <c r="PBY21" s="229">
        <v>0</v>
      </c>
      <c r="PBZ21" s="229">
        <v>0</v>
      </c>
      <c r="PCA21" s="229">
        <v>0</v>
      </c>
      <c r="PCB21" s="229">
        <v>0</v>
      </c>
      <c r="PCC21" s="229">
        <v>0</v>
      </c>
      <c r="PCD21" s="229">
        <v>0</v>
      </c>
      <c r="PCE21" s="229">
        <v>0</v>
      </c>
      <c r="PCF21" s="229">
        <v>0</v>
      </c>
      <c r="PCG21" s="229">
        <v>0</v>
      </c>
      <c r="PCH21" s="229">
        <v>0</v>
      </c>
      <c r="PCI21" s="229">
        <v>0</v>
      </c>
      <c r="PCJ21" s="229">
        <v>0</v>
      </c>
      <c r="PCK21" s="229">
        <v>0</v>
      </c>
      <c r="PCL21" s="229">
        <v>0</v>
      </c>
      <c r="PCM21" s="229">
        <v>0</v>
      </c>
      <c r="PCN21" s="229">
        <v>0</v>
      </c>
      <c r="PCO21" s="229">
        <v>0</v>
      </c>
      <c r="PCP21" s="229">
        <v>0</v>
      </c>
      <c r="PCQ21" s="229">
        <v>0</v>
      </c>
      <c r="PCR21" s="229">
        <v>0</v>
      </c>
      <c r="PCS21" s="229">
        <v>0</v>
      </c>
      <c r="PCT21" s="229">
        <v>0</v>
      </c>
      <c r="PCU21" s="229">
        <v>0</v>
      </c>
      <c r="PCV21" s="229">
        <v>0</v>
      </c>
      <c r="PCW21" s="229">
        <v>0</v>
      </c>
      <c r="PCX21" s="229">
        <v>0</v>
      </c>
      <c r="PCY21" s="229">
        <v>0</v>
      </c>
      <c r="PCZ21" s="229">
        <v>0</v>
      </c>
      <c r="PDA21" s="229">
        <v>0</v>
      </c>
      <c r="PDB21" s="229">
        <v>0</v>
      </c>
      <c r="PDC21" s="229">
        <v>0</v>
      </c>
      <c r="PDD21" s="229">
        <v>0</v>
      </c>
      <c r="PDE21" s="229">
        <v>0</v>
      </c>
      <c r="PDF21" s="229">
        <v>0</v>
      </c>
      <c r="PDG21" s="229">
        <v>0</v>
      </c>
      <c r="PDH21" s="229">
        <v>0</v>
      </c>
      <c r="PDI21" s="229">
        <v>0</v>
      </c>
      <c r="PDJ21" s="229">
        <v>0</v>
      </c>
      <c r="PDK21" s="229">
        <v>0</v>
      </c>
      <c r="PDL21" s="229">
        <v>0</v>
      </c>
      <c r="PDM21" s="229">
        <v>0</v>
      </c>
      <c r="PDN21" s="229">
        <v>0</v>
      </c>
      <c r="PDO21" s="229">
        <v>0</v>
      </c>
      <c r="PDP21" s="229">
        <v>0</v>
      </c>
      <c r="PDQ21" s="229">
        <v>0</v>
      </c>
      <c r="PDR21" s="229">
        <v>0</v>
      </c>
      <c r="PDS21" s="229">
        <v>0</v>
      </c>
      <c r="PDT21" s="229">
        <v>0</v>
      </c>
      <c r="PDU21" s="229">
        <v>0</v>
      </c>
      <c r="PDV21" s="229">
        <v>0</v>
      </c>
      <c r="PDW21" s="229">
        <v>0</v>
      </c>
      <c r="PDX21" s="229">
        <v>0</v>
      </c>
      <c r="PDY21" s="229">
        <v>0</v>
      </c>
      <c r="PDZ21" s="229">
        <v>0</v>
      </c>
      <c r="PEA21" s="229">
        <v>0</v>
      </c>
      <c r="PEB21" s="229">
        <v>0</v>
      </c>
      <c r="PEC21" s="229">
        <v>0</v>
      </c>
      <c r="PED21" s="229">
        <v>0</v>
      </c>
      <c r="PEE21" s="229">
        <v>0</v>
      </c>
      <c r="PEF21" s="229">
        <v>0</v>
      </c>
      <c r="PEG21" s="229">
        <v>0</v>
      </c>
      <c r="PEH21" s="229">
        <v>0</v>
      </c>
      <c r="PEI21" s="229">
        <v>0</v>
      </c>
      <c r="PEJ21" s="229">
        <v>0</v>
      </c>
      <c r="PEK21" s="229">
        <v>0</v>
      </c>
      <c r="PEL21" s="229">
        <v>0</v>
      </c>
      <c r="PEM21" s="229">
        <v>0</v>
      </c>
      <c r="PEN21" s="229">
        <v>0</v>
      </c>
      <c r="PEO21" s="229">
        <v>0</v>
      </c>
      <c r="PEP21" s="229">
        <v>0</v>
      </c>
      <c r="PEQ21" s="229">
        <v>0</v>
      </c>
      <c r="PER21" s="229">
        <v>0</v>
      </c>
      <c r="PES21" s="229">
        <v>0</v>
      </c>
      <c r="PET21" s="229">
        <v>0</v>
      </c>
      <c r="PEU21" s="229">
        <v>0</v>
      </c>
      <c r="PEV21" s="229">
        <v>0</v>
      </c>
      <c r="PEW21" s="229">
        <v>0</v>
      </c>
      <c r="PEX21" s="229">
        <v>0</v>
      </c>
      <c r="PEY21" s="229">
        <v>0</v>
      </c>
      <c r="PEZ21" s="229">
        <v>0</v>
      </c>
      <c r="PFA21" s="229">
        <v>0</v>
      </c>
      <c r="PFB21" s="229">
        <v>0</v>
      </c>
      <c r="PFC21" s="229">
        <v>0</v>
      </c>
      <c r="PFD21" s="229">
        <v>0</v>
      </c>
      <c r="PFE21" s="229">
        <v>0</v>
      </c>
      <c r="PFF21" s="229">
        <v>0</v>
      </c>
      <c r="PFG21" s="229">
        <v>0</v>
      </c>
      <c r="PFH21" s="229">
        <v>0</v>
      </c>
      <c r="PFI21" s="229">
        <v>0</v>
      </c>
      <c r="PFJ21" s="229">
        <v>0</v>
      </c>
      <c r="PFK21" s="229">
        <v>0</v>
      </c>
      <c r="PFL21" s="229">
        <v>0</v>
      </c>
      <c r="PFM21" s="229">
        <v>0</v>
      </c>
      <c r="PFN21" s="229">
        <v>0</v>
      </c>
      <c r="PFO21" s="229">
        <v>0</v>
      </c>
      <c r="PFP21" s="229">
        <v>0</v>
      </c>
      <c r="PFQ21" s="229">
        <v>0</v>
      </c>
      <c r="PFR21" s="229">
        <v>0</v>
      </c>
      <c r="PFS21" s="229">
        <v>0</v>
      </c>
      <c r="PFT21" s="229">
        <v>0</v>
      </c>
      <c r="PFU21" s="229">
        <v>0</v>
      </c>
      <c r="PFV21" s="229">
        <v>0</v>
      </c>
      <c r="PFW21" s="229">
        <v>0</v>
      </c>
      <c r="PFX21" s="229">
        <v>0</v>
      </c>
      <c r="PFY21" s="229">
        <v>0</v>
      </c>
      <c r="PFZ21" s="229">
        <v>0</v>
      </c>
      <c r="PGA21" s="229">
        <v>0</v>
      </c>
      <c r="PGB21" s="229">
        <v>0</v>
      </c>
      <c r="PGC21" s="229">
        <v>0</v>
      </c>
      <c r="PGD21" s="229">
        <v>0</v>
      </c>
      <c r="PGE21" s="229">
        <v>0</v>
      </c>
      <c r="PGF21" s="229">
        <v>0</v>
      </c>
      <c r="PGG21" s="229">
        <v>0</v>
      </c>
      <c r="PGH21" s="229">
        <v>0</v>
      </c>
      <c r="PGI21" s="229">
        <v>0</v>
      </c>
      <c r="PGJ21" s="229">
        <v>0</v>
      </c>
      <c r="PGK21" s="229">
        <v>0</v>
      </c>
      <c r="PGL21" s="229">
        <v>0</v>
      </c>
      <c r="PGM21" s="229">
        <v>0</v>
      </c>
      <c r="PGN21" s="229">
        <v>0</v>
      </c>
      <c r="PGO21" s="229">
        <v>0</v>
      </c>
      <c r="PGP21" s="229">
        <v>0</v>
      </c>
      <c r="PGQ21" s="229">
        <v>0</v>
      </c>
      <c r="PGR21" s="229">
        <v>0</v>
      </c>
      <c r="PGS21" s="229">
        <v>0</v>
      </c>
      <c r="PGT21" s="229">
        <v>0</v>
      </c>
      <c r="PGU21" s="229">
        <v>0</v>
      </c>
      <c r="PGV21" s="229">
        <v>0</v>
      </c>
      <c r="PGW21" s="229">
        <v>0</v>
      </c>
      <c r="PGX21" s="229">
        <v>0</v>
      </c>
      <c r="PGY21" s="229">
        <v>0</v>
      </c>
      <c r="PGZ21" s="229">
        <v>0</v>
      </c>
      <c r="PHA21" s="229">
        <v>0</v>
      </c>
      <c r="PHB21" s="229">
        <v>0</v>
      </c>
      <c r="PHC21" s="229">
        <v>0</v>
      </c>
      <c r="PHD21" s="229">
        <v>0</v>
      </c>
      <c r="PHE21" s="229">
        <v>0</v>
      </c>
      <c r="PHF21" s="229">
        <v>0</v>
      </c>
      <c r="PHG21" s="229">
        <v>0</v>
      </c>
      <c r="PHH21" s="229">
        <v>0</v>
      </c>
      <c r="PHI21" s="229">
        <v>0</v>
      </c>
      <c r="PHJ21" s="229">
        <v>0</v>
      </c>
      <c r="PHK21" s="229">
        <v>0</v>
      </c>
      <c r="PHL21" s="229">
        <v>0</v>
      </c>
      <c r="PHM21" s="229">
        <v>0</v>
      </c>
      <c r="PHN21" s="229">
        <v>0</v>
      </c>
      <c r="PHO21" s="229">
        <v>0</v>
      </c>
      <c r="PHP21" s="229">
        <v>0</v>
      </c>
      <c r="PHQ21" s="229">
        <v>0</v>
      </c>
      <c r="PHR21" s="229">
        <v>0</v>
      </c>
      <c r="PHS21" s="229">
        <v>0</v>
      </c>
      <c r="PHT21" s="229">
        <v>0</v>
      </c>
      <c r="PHU21" s="229">
        <v>0</v>
      </c>
      <c r="PHV21" s="229">
        <v>0</v>
      </c>
      <c r="PHW21" s="229">
        <v>0</v>
      </c>
      <c r="PHX21" s="229">
        <v>0</v>
      </c>
      <c r="PHY21" s="229">
        <v>0</v>
      </c>
      <c r="PHZ21" s="229">
        <v>0</v>
      </c>
      <c r="PIA21" s="229">
        <v>0</v>
      </c>
      <c r="PIB21" s="229">
        <v>0</v>
      </c>
      <c r="PIC21" s="229">
        <v>0</v>
      </c>
      <c r="PID21" s="229">
        <v>0</v>
      </c>
      <c r="PIE21" s="229">
        <v>0</v>
      </c>
      <c r="PIF21" s="229">
        <v>0</v>
      </c>
      <c r="PIG21" s="229">
        <v>0</v>
      </c>
      <c r="PIH21" s="229">
        <v>0</v>
      </c>
      <c r="PII21" s="229">
        <v>0</v>
      </c>
      <c r="PIJ21" s="229">
        <v>0</v>
      </c>
      <c r="PIK21" s="229">
        <v>0</v>
      </c>
      <c r="PIL21" s="229">
        <v>0</v>
      </c>
      <c r="PIM21" s="229">
        <v>0</v>
      </c>
      <c r="PIN21" s="229">
        <v>0</v>
      </c>
      <c r="PIO21" s="229">
        <v>0</v>
      </c>
      <c r="PIP21" s="229">
        <v>0</v>
      </c>
      <c r="PIQ21" s="229">
        <v>0</v>
      </c>
      <c r="PIR21" s="229">
        <v>0</v>
      </c>
      <c r="PIS21" s="229">
        <v>0</v>
      </c>
      <c r="PIT21" s="229">
        <v>0</v>
      </c>
      <c r="PIU21" s="229">
        <v>0</v>
      </c>
      <c r="PIV21" s="229">
        <v>0</v>
      </c>
      <c r="PIW21" s="229">
        <v>0</v>
      </c>
      <c r="PIX21" s="229">
        <v>0</v>
      </c>
      <c r="PIY21" s="229">
        <v>0</v>
      </c>
      <c r="PIZ21" s="229">
        <v>0</v>
      </c>
      <c r="PJA21" s="229">
        <v>0</v>
      </c>
      <c r="PJB21" s="229">
        <v>0</v>
      </c>
      <c r="PJC21" s="229">
        <v>0</v>
      </c>
      <c r="PJD21" s="229">
        <v>0</v>
      </c>
      <c r="PJE21" s="229">
        <v>0</v>
      </c>
      <c r="PJF21" s="229">
        <v>0</v>
      </c>
      <c r="PJG21" s="229">
        <v>0</v>
      </c>
      <c r="PJH21" s="229">
        <v>0</v>
      </c>
      <c r="PJI21" s="229">
        <v>0</v>
      </c>
      <c r="PJJ21" s="229">
        <v>0</v>
      </c>
      <c r="PJK21" s="229">
        <v>0</v>
      </c>
      <c r="PJL21" s="229">
        <v>0</v>
      </c>
      <c r="PJM21" s="229">
        <v>0</v>
      </c>
      <c r="PJN21" s="229">
        <v>0</v>
      </c>
      <c r="PJO21" s="229">
        <v>0</v>
      </c>
      <c r="PJP21" s="229">
        <v>0</v>
      </c>
      <c r="PJQ21" s="229">
        <v>0</v>
      </c>
      <c r="PJR21" s="229">
        <v>0</v>
      </c>
      <c r="PJS21" s="229">
        <v>0</v>
      </c>
      <c r="PJT21" s="229">
        <v>0</v>
      </c>
      <c r="PJU21" s="229">
        <v>0</v>
      </c>
      <c r="PJV21" s="229">
        <v>0</v>
      </c>
      <c r="PJW21" s="229">
        <v>0</v>
      </c>
      <c r="PJX21" s="229">
        <v>0</v>
      </c>
      <c r="PJY21" s="229">
        <v>0</v>
      </c>
      <c r="PJZ21" s="229">
        <v>0</v>
      </c>
      <c r="PKA21" s="229">
        <v>0</v>
      </c>
      <c r="PKB21" s="229">
        <v>0</v>
      </c>
      <c r="PKC21" s="229">
        <v>0</v>
      </c>
      <c r="PKD21" s="229">
        <v>0</v>
      </c>
      <c r="PKE21" s="229">
        <v>0</v>
      </c>
      <c r="PKF21" s="229">
        <v>0</v>
      </c>
      <c r="PKG21" s="229">
        <v>0</v>
      </c>
      <c r="PKH21" s="229">
        <v>0</v>
      </c>
      <c r="PKI21" s="229">
        <v>0</v>
      </c>
      <c r="PKJ21" s="229">
        <v>0</v>
      </c>
      <c r="PKK21" s="229">
        <v>0</v>
      </c>
      <c r="PKL21" s="229">
        <v>0</v>
      </c>
      <c r="PKM21" s="229">
        <v>0</v>
      </c>
      <c r="PKN21" s="229">
        <v>0</v>
      </c>
      <c r="PKO21" s="229">
        <v>0</v>
      </c>
      <c r="PKP21" s="229">
        <v>0</v>
      </c>
      <c r="PKQ21" s="229">
        <v>0</v>
      </c>
      <c r="PKR21" s="229">
        <v>0</v>
      </c>
      <c r="PKS21" s="229">
        <v>0</v>
      </c>
      <c r="PKT21" s="229">
        <v>0</v>
      </c>
      <c r="PKU21" s="229">
        <v>0</v>
      </c>
      <c r="PKV21" s="229">
        <v>0</v>
      </c>
      <c r="PKW21" s="229">
        <v>0</v>
      </c>
      <c r="PKX21" s="229">
        <v>0</v>
      </c>
      <c r="PKY21" s="229">
        <v>0</v>
      </c>
      <c r="PKZ21" s="229">
        <v>0</v>
      </c>
      <c r="PLA21" s="229">
        <v>0</v>
      </c>
      <c r="PLB21" s="229">
        <v>0</v>
      </c>
      <c r="PLC21" s="229">
        <v>0</v>
      </c>
      <c r="PLD21" s="229">
        <v>0</v>
      </c>
      <c r="PLE21" s="229">
        <v>0</v>
      </c>
      <c r="PLF21" s="229">
        <v>0</v>
      </c>
      <c r="PLG21" s="229">
        <v>0</v>
      </c>
      <c r="PLH21" s="229">
        <v>0</v>
      </c>
      <c r="PLI21" s="229">
        <v>0</v>
      </c>
      <c r="PLJ21" s="229">
        <v>0</v>
      </c>
      <c r="PLK21" s="229">
        <v>0</v>
      </c>
      <c r="PLL21" s="229">
        <v>0</v>
      </c>
      <c r="PLM21" s="229">
        <v>0</v>
      </c>
      <c r="PLN21" s="229">
        <v>0</v>
      </c>
      <c r="PLO21" s="229">
        <v>0</v>
      </c>
      <c r="PLP21" s="229">
        <v>0</v>
      </c>
      <c r="PLQ21" s="229">
        <v>0</v>
      </c>
      <c r="PLR21" s="229">
        <v>0</v>
      </c>
      <c r="PLS21" s="229">
        <v>0</v>
      </c>
      <c r="PLT21" s="229">
        <v>0</v>
      </c>
      <c r="PLU21" s="229">
        <v>0</v>
      </c>
      <c r="PLV21" s="229">
        <v>0</v>
      </c>
      <c r="PLW21" s="229">
        <v>0</v>
      </c>
      <c r="PLX21" s="229">
        <v>0</v>
      </c>
      <c r="PLY21" s="229">
        <v>0</v>
      </c>
      <c r="PLZ21" s="229">
        <v>0</v>
      </c>
      <c r="PMA21" s="229">
        <v>0</v>
      </c>
      <c r="PMB21" s="229">
        <v>0</v>
      </c>
      <c r="PMC21" s="229">
        <v>0</v>
      </c>
      <c r="PMD21" s="229">
        <v>0</v>
      </c>
      <c r="PME21" s="229">
        <v>0</v>
      </c>
      <c r="PMF21" s="229">
        <v>0</v>
      </c>
      <c r="PMG21" s="229">
        <v>0</v>
      </c>
      <c r="PMH21" s="229">
        <v>0</v>
      </c>
      <c r="PMI21" s="229">
        <v>0</v>
      </c>
      <c r="PMJ21" s="229">
        <v>0</v>
      </c>
      <c r="PMK21" s="229">
        <v>0</v>
      </c>
      <c r="PML21" s="229">
        <v>0</v>
      </c>
      <c r="PMM21" s="229">
        <v>0</v>
      </c>
      <c r="PMN21" s="229">
        <v>0</v>
      </c>
      <c r="PMO21" s="229">
        <v>0</v>
      </c>
      <c r="PMP21" s="229">
        <v>0</v>
      </c>
      <c r="PMQ21" s="229">
        <v>0</v>
      </c>
      <c r="PMR21" s="229">
        <v>0</v>
      </c>
      <c r="PMS21" s="229">
        <v>0</v>
      </c>
      <c r="PMT21" s="229">
        <v>0</v>
      </c>
      <c r="PMU21" s="229">
        <v>0</v>
      </c>
      <c r="PMV21" s="229">
        <v>0</v>
      </c>
      <c r="PMW21" s="229">
        <v>0</v>
      </c>
      <c r="PMX21" s="229">
        <v>0</v>
      </c>
      <c r="PMY21" s="229">
        <v>0</v>
      </c>
      <c r="PMZ21" s="229">
        <v>0</v>
      </c>
      <c r="PNA21" s="229">
        <v>0</v>
      </c>
      <c r="PNB21" s="229">
        <v>0</v>
      </c>
      <c r="PNC21" s="229">
        <v>0</v>
      </c>
      <c r="PND21" s="229">
        <v>0</v>
      </c>
      <c r="PNE21" s="229">
        <v>0</v>
      </c>
      <c r="PNF21" s="229">
        <v>0</v>
      </c>
      <c r="PNG21" s="229">
        <v>0</v>
      </c>
      <c r="PNH21" s="229">
        <v>0</v>
      </c>
      <c r="PNI21" s="229">
        <v>0</v>
      </c>
      <c r="PNJ21" s="229">
        <v>0</v>
      </c>
      <c r="PNK21" s="229">
        <v>0</v>
      </c>
      <c r="PNL21" s="229">
        <v>0</v>
      </c>
      <c r="PNM21" s="229">
        <v>0</v>
      </c>
      <c r="PNN21" s="229">
        <v>0</v>
      </c>
      <c r="PNO21" s="229">
        <v>0</v>
      </c>
      <c r="PNP21" s="229">
        <v>0</v>
      </c>
      <c r="PNQ21" s="229">
        <v>0</v>
      </c>
      <c r="PNR21" s="229">
        <v>0</v>
      </c>
      <c r="PNS21" s="229">
        <v>0</v>
      </c>
      <c r="PNT21" s="229">
        <v>0</v>
      </c>
      <c r="PNU21" s="229">
        <v>0</v>
      </c>
      <c r="PNV21" s="229">
        <v>0</v>
      </c>
      <c r="PNW21" s="229">
        <v>0</v>
      </c>
      <c r="PNX21" s="229">
        <v>0</v>
      </c>
      <c r="PNY21" s="229">
        <v>0</v>
      </c>
      <c r="PNZ21" s="229">
        <v>0</v>
      </c>
      <c r="POA21" s="229">
        <v>0</v>
      </c>
      <c r="POB21" s="229">
        <v>0</v>
      </c>
      <c r="POC21" s="229">
        <v>0</v>
      </c>
      <c r="POD21" s="229">
        <v>0</v>
      </c>
      <c r="POE21" s="229">
        <v>0</v>
      </c>
      <c r="POF21" s="229">
        <v>0</v>
      </c>
      <c r="POG21" s="229">
        <v>0</v>
      </c>
      <c r="POH21" s="229">
        <v>0</v>
      </c>
      <c r="POI21" s="229">
        <v>0</v>
      </c>
      <c r="POJ21" s="229">
        <v>0</v>
      </c>
      <c r="POK21" s="229">
        <v>0</v>
      </c>
      <c r="POL21" s="229">
        <v>0</v>
      </c>
      <c r="POM21" s="229">
        <v>0</v>
      </c>
      <c r="PON21" s="229">
        <v>0</v>
      </c>
      <c r="POO21" s="229">
        <v>0</v>
      </c>
      <c r="POP21" s="229">
        <v>0</v>
      </c>
      <c r="POQ21" s="229">
        <v>0</v>
      </c>
      <c r="POR21" s="229">
        <v>0</v>
      </c>
      <c r="POS21" s="229">
        <v>0</v>
      </c>
      <c r="POT21" s="229">
        <v>0</v>
      </c>
      <c r="POU21" s="229">
        <v>0</v>
      </c>
      <c r="POV21" s="229">
        <v>0</v>
      </c>
      <c r="POW21" s="229">
        <v>0</v>
      </c>
      <c r="POX21" s="229">
        <v>0</v>
      </c>
      <c r="POY21" s="229">
        <v>0</v>
      </c>
      <c r="POZ21" s="229">
        <v>0</v>
      </c>
      <c r="PPA21" s="229">
        <v>0</v>
      </c>
      <c r="PPB21" s="229">
        <v>0</v>
      </c>
      <c r="PPC21" s="229">
        <v>0</v>
      </c>
      <c r="PPD21" s="229">
        <v>0</v>
      </c>
      <c r="PPE21" s="229">
        <v>0</v>
      </c>
      <c r="PPF21" s="229">
        <v>0</v>
      </c>
      <c r="PPG21" s="229">
        <v>0</v>
      </c>
      <c r="PPH21" s="229">
        <v>0</v>
      </c>
      <c r="PPI21" s="229">
        <v>0</v>
      </c>
      <c r="PPJ21" s="229">
        <v>0</v>
      </c>
      <c r="PPK21" s="229">
        <v>0</v>
      </c>
      <c r="PPL21" s="229">
        <v>0</v>
      </c>
      <c r="PPM21" s="229">
        <v>0</v>
      </c>
      <c r="PPN21" s="229">
        <v>0</v>
      </c>
      <c r="PPO21" s="229">
        <v>0</v>
      </c>
      <c r="PPP21" s="229">
        <v>0</v>
      </c>
      <c r="PPQ21" s="229">
        <v>0</v>
      </c>
      <c r="PPR21" s="229">
        <v>0</v>
      </c>
      <c r="PPS21" s="229">
        <v>0</v>
      </c>
      <c r="PPT21" s="229">
        <v>0</v>
      </c>
      <c r="PPU21" s="229">
        <v>0</v>
      </c>
      <c r="PPV21" s="229">
        <v>0</v>
      </c>
      <c r="PPW21" s="229">
        <v>0</v>
      </c>
      <c r="PPX21" s="229">
        <v>0</v>
      </c>
      <c r="PPY21" s="229">
        <v>0</v>
      </c>
      <c r="PPZ21" s="229">
        <v>0</v>
      </c>
      <c r="PQA21" s="229">
        <v>0</v>
      </c>
      <c r="PQB21" s="229">
        <v>0</v>
      </c>
      <c r="PQC21" s="229">
        <v>0</v>
      </c>
      <c r="PQD21" s="229">
        <v>0</v>
      </c>
      <c r="PQE21" s="229">
        <v>0</v>
      </c>
      <c r="PQF21" s="229">
        <v>0</v>
      </c>
      <c r="PQG21" s="229">
        <v>0</v>
      </c>
      <c r="PQH21" s="229">
        <v>0</v>
      </c>
      <c r="PQI21" s="229">
        <v>0</v>
      </c>
      <c r="PQJ21" s="229">
        <v>0</v>
      </c>
      <c r="PQK21" s="229">
        <v>0</v>
      </c>
      <c r="PQL21" s="229">
        <v>0</v>
      </c>
      <c r="PQM21" s="229">
        <v>0</v>
      </c>
      <c r="PQN21" s="229">
        <v>0</v>
      </c>
      <c r="PQO21" s="229">
        <v>0</v>
      </c>
      <c r="PQP21" s="229">
        <v>0</v>
      </c>
      <c r="PQQ21" s="229">
        <v>0</v>
      </c>
      <c r="PQR21" s="229">
        <v>0</v>
      </c>
      <c r="PQS21" s="229">
        <v>0</v>
      </c>
      <c r="PQT21" s="229">
        <v>0</v>
      </c>
      <c r="PQU21" s="229">
        <v>0</v>
      </c>
      <c r="PQV21" s="229">
        <v>0</v>
      </c>
      <c r="PQW21" s="229">
        <v>0</v>
      </c>
      <c r="PQX21" s="229">
        <v>0</v>
      </c>
      <c r="PQY21" s="229">
        <v>0</v>
      </c>
      <c r="PQZ21" s="229">
        <v>0</v>
      </c>
      <c r="PRA21" s="229">
        <v>0</v>
      </c>
      <c r="PRB21" s="229">
        <v>0</v>
      </c>
      <c r="PRC21" s="229">
        <v>0</v>
      </c>
      <c r="PRD21" s="229">
        <v>0</v>
      </c>
      <c r="PRE21" s="229">
        <v>0</v>
      </c>
      <c r="PRF21" s="229">
        <v>0</v>
      </c>
      <c r="PRG21" s="229">
        <v>0</v>
      </c>
      <c r="PRH21" s="229">
        <v>0</v>
      </c>
      <c r="PRI21" s="229">
        <v>0</v>
      </c>
      <c r="PRJ21" s="229">
        <v>0</v>
      </c>
      <c r="PRK21" s="229">
        <v>0</v>
      </c>
      <c r="PRL21" s="229">
        <v>0</v>
      </c>
      <c r="PRM21" s="229">
        <v>0</v>
      </c>
      <c r="PRN21" s="229">
        <v>0</v>
      </c>
      <c r="PRO21" s="229">
        <v>0</v>
      </c>
      <c r="PRP21" s="229">
        <v>0</v>
      </c>
      <c r="PRQ21" s="229">
        <v>0</v>
      </c>
      <c r="PRR21" s="229">
        <v>0</v>
      </c>
      <c r="PRS21" s="229">
        <v>0</v>
      </c>
      <c r="PRT21" s="229">
        <v>0</v>
      </c>
      <c r="PRU21" s="229">
        <v>0</v>
      </c>
      <c r="PRV21" s="229">
        <v>0</v>
      </c>
      <c r="PRW21" s="229">
        <v>0</v>
      </c>
      <c r="PRX21" s="229">
        <v>0</v>
      </c>
      <c r="PRY21" s="229">
        <v>0</v>
      </c>
      <c r="PRZ21" s="229">
        <v>0</v>
      </c>
      <c r="PSA21" s="229">
        <v>0</v>
      </c>
      <c r="PSB21" s="229">
        <v>0</v>
      </c>
      <c r="PSC21" s="229">
        <v>0</v>
      </c>
      <c r="PSD21" s="229">
        <v>0</v>
      </c>
      <c r="PSE21" s="229">
        <v>0</v>
      </c>
      <c r="PSF21" s="229">
        <v>0</v>
      </c>
      <c r="PSG21" s="229">
        <v>0</v>
      </c>
      <c r="PSH21" s="229">
        <v>0</v>
      </c>
      <c r="PSI21" s="229">
        <v>0</v>
      </c>
      <c r="PSJ21" s="229">
        <v>0</v>
      </c>
      <c r="PSK21" s="229">
        <v>0</v>
      </c>
      <c r="PSL21" s="229">
        <v>0</v>
      </c>
      <c r="PSM21" s="229">
        <v>0</v>
      </c>
      <c r="PSN21" s="229">
        <v>0</v>
      </c>
      <c r="PSO21" s="229">
        <v>0</v>
      </c>
      <c r="PSP21" s="229">
        <v>0</v>
      </c>
      <c r="PSQ21" s="229">
        <v>0</v>
      </c>
      <c r="PSR21" s="229">
        <v>0</v>
      </c>
      <c r="PSS21" s="229">
        <v>0</v>
      </c>
      <c r="PST21" s="229">
        <v>0</v>
      </c>
      <c r="PSU21" s="229">
        <v>0</v>
      </c>
      <c r="PSV21" s="229">
        <v>0</v>
      </c>
      <c r="PSW21" s="229">
        <v>0</v>
      </c>
      <c r="PSX21" s="229">
        <v>0</v>
      </c>
      <c r="PSY21" s="229">
        <v>0</v>
      </c>
      <c r="PSZ21" s="229">
        <v>0</v>
      </c>
      <c r="PTA21" s="229">
        <v>0</v>
      </c>
      <c r="PTB21" s="229">
        <v>0</v>
      </c>
      <c r="PTC21" s="229">
        <v>0</v>
      </c>
      <c r="PTD21" s="229">
        <v>0</v>
      </c>
      <c r="PTE21" s="229">
        <v>0</v>
      </c>
      <c r="PTF21" s="229">
        <v>0</v>
      </c>
      <c r="PTG21" s="229">
        <v>0</v>
      </c>
      <c r="PTH21" s="229">
        <v>0</v>
      </c>
      <c r="PTI21" s="229">
        <v>0</v>
      </c>
      <c r="PTJ21" s="229">
        <v>0</v>
      </c>
      <c r="PTK21" s="229">
        <v>0</v>
      </c>
      <c r="PTL21" s="229">
        <v>0</v>
      </c>
      <c r="PTM21" s="229">
        <v>0</v>
      </c>
      <c r="PTN21" s="229">
        <v>0</v>
      </c>
      <c r="PTO21" s="229">
        <v>0</v>
      </c>
      <c r="PTP21" s="229">
        <v>0</v>
      </c>
      <c r="PTQ21" s="229">
        <v>0</v>
      </c>
      <c r="PTR21" s="229">
        <v>0</v>
      </c>
      <c r="PTS21" s="229">
        <v>0</v>
      </c>
      <c r="PTT21" s="229">
        <v>0</v>
      </c>
      <c r="PTU21" s="229">
        <v>0</v>
      </c>
      <c r="PTV21" s="229">
        <v>0</v>
      </c>
      <c r="PTW21" s="229">
        <v>0</v>
      </c>
      <c r="PTX21" s="229">
        <v>0</v>
      </c>
      <c r="PTY21" s="229">
        <v>0</v>
      </c>
      <c r="PTZ21" s="229">
        <v>0</v>
      </c>
      <c r="PUA21" s="229">
        <v>0</v>
      </c>
      <c r="PUB21" s="229">
        <v>0</v>
      </c>
      <c r="PUC21" s="229">
        <v>0</v>
      </c>
      <c r="PUD21" s="229">
        <v>0</v>
      </c>
      <c r="PUE21" s="229">
        <v>0</v>
      </c>
      <c r="PUF21" s="229">
        <v>0</v>
      </c>
      <c r="PUG21" s="229">
        <v>0</v>
      </c>
      <c r="PUH21" s="229">
        <v>0</v>
      </c>
      <c r="PUI21" s="229">
        <v>0</v>
      </c>
      <c r="PUJ21" s="229">
        <v>0</v>
      </c>
      <c r="PUK21" s="229">
        <v>0</v>
      </c>
      <c r="PUL21" s="229">
        <v>0</v>
      </c>
      <c r="PUM21" s="229">
        <v>0</v>
      </c>
      <c r="PUN21" s="229">
        <v>0</v>
      </c>
      <c r="PUO21" s="229">
        <v>0</v>
      </c>
      <c r="PUP21" s="229">
        <v>0</v>
      </c>
      <c r="PUQ21" s="229">
        <v>0</v>
      </c>
      <c r="PUR21" s="229">
        <v>0</v>
      </c>
      <c r="PUS21" s="229">
        <v>0</v>
      </c>
      <c r="PUT21" s="229">
        <v>0</v>
      </c>
      <c r="PUU21" s="229">
        <v>0</v>
      </c>
      <c r="PUV21" s="229">
        <v>0</v>
      </c>
      <c r="PUW21" s="229">
        <v>0</v>
      </c>
      <c r="PUX21" s="229">
        <v>0</v>
      </c>
      <c r="PUY21" s="229">
        <v>0</v>
      </c>
      <c r="PUZ21" s="229">
        <v>0</v>
      </c>
      <c r="PVA21" s="229">
        <v>0</v>
      </c>
      <c r="PVB21" s="229">
        <v>0</v>
      </c>
      <c r="PVC21" s="229">
        <v>0</v>
      </c>
      <c r="PVD21" s="229">
        <v>0</v>
      </c>
      <c r="PVE21" s="229">
        <v>0</v>
      </c>
      <c r="PVF21" s="229">
        <v>0</v>
      </c>
      <c r="PVG21" s="229">
        <v>0</v>
      </c>
      <c r="PVH21" s="229">
        <v>0</v>
      </c>
      <c r="PVI21" s="229">
        <v>0</v>
      </c>
      <c r="PVJ21" s="229">
        <v>0</v>
      </c>
      <c r="PVK21" s="229">
        <v>0</v>
      </c>
      <c r="PVL21" s="229">
        <v>0</v>
      </c>
      <c r="PVM21" s="229">
        <v>0</v>
      </c>
      <c r="PVN21" s="229">
        <v>0</v>
      </c>
      <c r="PVO21" s="229">
        <v>0</v>
      </c>
      <c r="PVP21" s="229">
        <v>0</v>
      </c>
      <c r="PVQ21" s="229">
        <v>0</v>
      </c>
      <c r="PVR21" s="229">
        <v>0</v>
      </c>
      <c r="PVS21" s="229">
        <v>0</v>
      </c>
      <c r="PVT21" s="229">
        <v>0</v>
      </c>
      <c r="PVU21" s="229">
        <v>0</v>
      </c>
      <c r="PVV21" s="229">
        <v>0</v>
      </c>
      <c r="PVW21" s="229">
        <v>0</v>
      </c>
      <c r="PVX21" s="229">
        <v>0</v>
      </c>
      <c r="PVY21" s="229">
        <v>0</v>
      </c>
      <c r="PVZ21" s="229">
        <v>0</v>
      </c>
      <c r="PWA21" s="229">
        <v>0</v>
      </c>
      <c r="PWB21" s="229">
        <v>0</v>
      </c>
      <c r="PWC21" s="229">
        <v>0</v>
      </c>
      <c r="PWD21" s="229">
        <v>0</v>
      </c>
      <c r="PWE21" s="229">
        <v>0</v>
      </c>
      <c r="PWF21" s="229">
        <v>0</v>
      </c>
      <c r="PWG21" s="229">
        <v>0</v>
      </c>
      <c r="PWH21" s="229">
        <v>0</v>
      </c>
      <c r="PWI21" s="229">
        <v>0</v>
      </c>
      <c r="PWJ21" s="229">
        <v>0</v>
      </c>
      <c r="PWK21" s="229">
        <v>0</v>
      </c>
      <c r="PWL21" s="229">
        <v>0</v>
      </c>
      <c r="PWM21" s="229">
        <v>0</v>
      </c>
      <c r="PWN21" s="229">
        <v>0</v>
      </c>
      <c r="PWO21" s="229">
        <v>0</v>
      </c>
      <c r="PWP21" s="229">
        <v>0</v>
      </c>
      <c r="PWQ21" s="229">
        <v>0</v>
      </c>
      <c r="PWR21" s="229">
        <v>0</v>
      </c>
      <c r="PWS21" s="229">
        <v>0</v>
      </c>
      <c r="PWT21" s="229">
        <v>0</v>
      </c>
      <c r="PWU21" s="229">
        <v>0</v>
      </c>
      <c r="PWV21" s="229">
        <v>0</v>
      </c>
      <c r="PWW21" s="229">
        <v>0</v>
      </c>
      <c r="PWX21" s="229">
        <v>0</v>
      </c>
      <c r="PWY21" s="229">
        <v>0</v>
      </c>
      <c r="PWZ21" s="229">
        <v>0</v>
      </c>
      <c r="PXA21" s="229">
        <v>0</v>
      </c>
      <c r="PXB21" s="229">
        <v>0</v>
      </c>
      <c r="PXC21" s="229">
        <v>0</v>
      </c>
      <c r="PXD21" s="229">
        <v>0</v>
      </c>
      <c r="PXE21" s="229">
        <v>0</v>
      </c>
      <c r="PXF21" s="229">
        <v>0</v>
      </c>
      <c r="PXG21" s="229">
        <v>0</v>
      </c>
      <c r="PXH21" s="229">
        <v>0</v>
      </c>
      <c r="PXI21" s="229">
        <v>0</v>
      </c>
      <c r="PXJ21" s="229">
        <v>0</v>
      </c>
      <c r="PXK21" s="229">
        <v>0</v>
      </c>
      <c r="PXL21" s="229">
        <v>0</v>
      </c>
      <c r="PXM21" s="229">
        <v>0</v>
      </c>
      <c r="PXN21" s="229">
        <v>0</v>
      </c>
      <c r="PXO21" s="229">
        <v>0</v>
      </c>
      <c r="PXP21" s="229">
        <v>0</v>
      </c>
      <c r="PXQ21" s="229">
        <v>0</v>
      </c>
      <c r="PXR21" s="229">
        <v>0</v>
      </c>
      <c r="PXS21" s="229">
        <v>0</v>
      </c>
      <c r="PXT21" s="229">
        <v>0</v>
      </c>
      <c r="PXU21" s="229">
        <v>0</v>
      </c>
      <c r="PXV21" s="229">
        <v>0</v>
      </c>
      <c r="PXW21" s="229">
        <v>0</v>
      </c>
      <c r="PXX21" s="229">
        <v>0</v>
      </c>
      <c r="PXY21" s="229">
        <v>0</v>
      </c>
      <c r="PXZ21" s="229">
        <v>0</v>
      </c>
      <c r="PYA21" s="229">
        <v>0</v>
      </c>
      <c r="PYB21" s="229">
        <v>0</v>
      </c>
      <c r="PYC21" s="229">
        <v>0</v>
      </c>
      <c r="PYD21" s="229">
        <v>0</v>
      </c>
      <c r="PYE21" s="229">
        <v>0</v>
      </c>
      <c r="PYF21" s="229">
        <v>0</v>
      </c>
      <c r="PYG21" s="229">
        <v>0</v>
      </c>
      <c r="PYH21" s="229">
        <v>0</v>
      </c>
      <c r="PYI21" s="229">
        <v>0</v>
      </c>
      <c r="PYJ21" s="229">
        <v>0</v>
      </c>
      <c r="PYK21" s="229">
        <v>0</v>
      </c>
      <c r="PYL21" s="229">
        <v>0</v>
      </c>
      <c r="PYM21" s="229">
        <v>0</v>
      </c>
      <c r="PYN21" s="229">
        <v>0</v>
      </c>
      <c r="PYO21" s="229">
        <v>0</v>
      </c>
      <c r="PYP21" s="229">
        <v>0</v>
      </c>
      <c r="PYQ21" s="229">
        <v>0</v>
      </c>
      <c r="PYR21" s="229">
        <v>0</v>
      </c>
      <c r="PYS21" s="229">
        <v>0</v>
      </c>
      <c r="PYT21" s="229">
        <v>0</v>
      </c>
      <c r="PYU21" s="229">
        <v>0</v>
      </c>
      <c r="PYV21" s="229">
        <v>0</v>
      </c>
      <c r="PYW21" s="229">
        <v>0</v>
      </c>
      <c r="PYX21" s="229">
        <v>0</v>
      </c>
      <c r="PYY21" s="229">
        <v>0</v>
      </c>
      <c r="PYZ21" s="229">
        <v>0</v>
      </c>
      <c r="PZA21" s="229">
        <v>0</v>
      </c>
      <c r="PZB21" s="229">
        <v>0</v>
      </c>
      <c r="PZC21" s="229">
        <v>0</v>
      </c>
      <c r="PZD21" s="229">
        <v>0</v>
      </c>
      <c r="PZE21" s="229">
        <v>0</v>
      </c>
      <c r="PZF21" s="229">
        <v>0</v>
      </c>
      <c r="PZG21" s="229">
        <v>0</v>
      </c>
      <c r="PZH21" s="229">
        <v>0</v>
      </c>
      <c r="PZI21" s="229">
        <v>0</v>
      </c>
      <c r="PZJ21" s="229">
        <v>0</v>
      </c>
      <c r="PZK21" s="229">
        <v>0</v>
      </c>
      <c r="PZL21" s="229">
        <v>0</v>
      </c>
      <c r="PZM21" s="229">
        <v>0</v>
      </c>
      <c r="PZN21" s="229">
        <v>0</v>
      </c>
      <c r="PZO21" s="229">
        <v>0</v>
      </c>
      <c r="PZP21" s="229">
        <v>0</v>
      </c>
      <c r="PZQ21" s="229">
        <v>0</v>
      </c>
      <c r="PZR21" s="229">
        <v>0</v>
      </c>
      <c r="PZS21" s="229">
        <v>0</v>
      </c>
      <c r="PZT21" s="229">
        <v>0</v>
      </c>
      <c r="PZU21" s="229">
        <v>0</v>
      </c>
      <c r="PZV21" s="229">
        <v>0</v>
      </c>
      <c r="PZW21" s="229">
        <v>0</v>
      </c>
      <c r="PZX21" s="229">
        <v>0</v>
      </c>
      <c r="PZY21" s="229">
        <v>0</v>
      </c>
      <c r="PZZ21" s="229">
        <v>0</v>
      </c>
      <c r="QAA21" s="229">
        <v>0</v>
      </c>
      <c r="QAB21" s="229">
        <v>0</v>
      </c>
      <c r="QAC21" s="229">
        <v>0</v>
      </c>
      <c r="QAD21" s="229">
        <v>0</v>
      </c>
      <c r="QAE21" s="229">
        <v>0</v>
      </c>
      <c r="QAF21" s="229">
        <v>0</v>
      </c>
      <c r="QAG21" s="229">
        <v>0</v>
      </c>
      <c r="QAH21" s="229">
        <v>0</v>
      </c>
      <c r="QAI21" s="229">
        <v>0</v>
      </c>
      <c r="QAJ21" s="229">
        <v>0</v>
      </c>
      <c r="QAK21" s="229">
        <v>0</v>
      </c>
      <c r="QAL21" s="229">
        <v>0</v>
      </c>
      <c r="QAM21" s="229">
        <v>0</v>
      </c>
      <c r="QAN21" s="229">
        <v>0</v>
      </c>
      <c r="QAO21" s="229">
        <v>0</v>
      </c>
      <c r="QAP21" s="229">
        <v>0</v>
      </c>
      <c r="QAQ21" s="229">
        <v>0</v>
      </c>
      <c r="QAR21" s="229">
        <v>0</v>
      </c>
      <c r="QAS21" s="229">
        <v>0</v>
      </c>
      <c r="QAT21" s="229">
        <v>0</v>
      </c>
      <c r="QAU21" s="229">
        <v>0</v>
      </c>
      <c r="QAV21" s="229">
        <v>0</v>
      </c>
      <c r="QAW21" s="229">
        <v>0</v>
      </c>
      <c r="QAX21" s="229">
        <v>0</v>
      </c>
      <c r="QAY21" s="229">
        <v>0</v>
      </c>
      <c r="QAZ21" s="229">
        <v>0</v>
      </c>
      <c r="QBA21" s="229">
        <v>0</v>
      </c>
      <c r="QBB21" s="229">
        <v>0</v>
      </c>
      <c r="QBC21" s="229">
        <v>0</v>
      </c>
      <c r="QBD21" s="229">
        <v>0</v>
      </c>
      <c r="QBE21" s="229">
        <v>0</v>
      </c>
      <c r="QBF21" s="229">
        <v>0</v>
      </c>
      <c r="QBG21" s="229">
        <v>0</v>
      </c>
      <c r="QBH21" s="229">
        <v>0</v>
      </c>
      <c r="QBI21" s="229">
        <v>0</v>
      </c>
      <c r="QBJ21" s="229">
        <v>0</v>
      </c>
      <c r="QBK21" s="229">
        <v>0</v>
      </c>
      <c r="QBL21" s="229">
        <v>0</v>
      </c>
      <c r="QBM21" s="229">
        <v>0</v>
      </c>
      <c r="QBN21" s="229">
        <v>0</v>
      </c>
      <c r="QBO21" s="229">
        <v>0</v>
      </c>
      <c r="QBP21" s="229">
        <v>0</v>
      </c>
      <c r="QBQ21" s="229">
        <v>0</v>
      </c>
      <c r="QBR21" s="229">
        <v>0</v>
      </c>
      <c r="QBS21" s="229">
        <v>0</v>
      </c>
      <c r="QBT21" s="229">
        <v>0</v>
      </c>
      <c r="QBU21" s="229">
        <v>0</v>
      </c>
      <c r="QBV21" s="229">
        <v>0</v>
      </c>
      <c r="QBW21" s="229">
        <v>0</v>
      </c>
      <c r="QBX21" s="229">
        <v>0</v>
      </c>
      <c r="QBY21" s="229">
        <v>0</v>
      </c>
      <c r="QBZ21" s="229">
        <v>0</v>
      </c>
      <c r="QCA21" s="229">
        <v>0</v>
      </c>
      <c r="QCB21" s="229">
        <v>0</v>
      </c>
      <c r="QCC21" s="229">
        <v>0</v>
      </c>
      <c r="QCD21" s="229">
        <v>0</v>
      </c>
      <c r="QCE21" s="229">
        <v>0</v>
      </c>
      <c r="QCF21" s="229">
        <v>0</v>
      </c>
      <c r="QCG21" s="229">
        <v>0</v>
      </c>
      <c r="QCH21" s="229">
        <v>0</v>
      </c>
      <c r="QCI21" s="229">
        <v>0</v>
      </c>
      <c r="QCJ21" s="229">
        <v>0</v>
      </c>
      <c r="QCK21" s="229">
        <v>0</v>
      </c>
      <c r="QCL21" s="229">
        <v>0</v>
      </c>
      <c r="QCM21" s="229">
        <v>0</v>
      </c>
      <c r="QCN21" s="229">
        <v>0</v>
      </c>
      <c r="QCO21" s="229">
        <v>0</v>
      </c>
      <c r="QCP21" s="229">
        <v>0</v>
      </c>
      <c r="QCQ21" s="229">
        <v>0</v>
      </c>
      <c r="QCR21" s="229">
        <v>0</v>
      </c>
      <c r="QCS21" s="229">
        <v>0</v>
      </c>
      <c r="QCT21" s="229">
        <v>0</v>
      </c>
      <c r="QCU21" s="229">
        <v>0</v>
      </c>
      <c r="QCV21" s="229">
        <v>0</v>
      </c>
      <c r="QCW21" s="229">
        <v>0</v>
      </c>
      <c r="QCX21" s="229">
        <v>0</v>
      </c>
      <c r="QCY21" s="229">
        <v>0</v>
      </c>
      <c r="QCZ21" s="229">
        <v>0</v>
      </c>
      <c r="QDA21" s="229">
        <v>0</v>
      </c>
      <c r="QDB21" s="229">
        <v>0</v>
      </c>
      <c r="QDC21" s="229">
        <v>0</v>
      </c>
      <c r="QDD21" s="229">
        <v>0</v>
      </c>
      <c r="QDE21" s="229">
        <v>0</v>
      </c>
      <c r="QDF21" s="229">
        <v>0</v>
      </c>
      <c r="QDG21" s="229">
        <v>0</v>
      </c>
      <c r="QDH21" s="229">
        <v>0</v>
      </c>
      <c r="QDI21" s="229">
        <v>0</v>
      </c>
      <c r="QDJ21" s="229">
        <v>0</v>
      </c>
      <c r="QDK21" s="229">
        <v>0</v>
      </c>
      <c r="QDL21" s="229">
        <v>0</v>
      </c>
      <c r="QDM21" s="229">
        <v>0</v>
      </c>
      <c r="QDN21" s="229">
        <v>0</v>
      </c>
      <c r="QDO21" s="229">
        <v>0</v>
      </c>
      <c r="QDP21" s="229">
        <v>0</v>
      </c>
      <c r="QDQ21" s="229">
        <v>0</v>
      </c>
      <c r="QDR21" s="229">
        <v>0</v>
      </c>
      <c r="QDS21" s="229">
        <v>0</v>
      </c>
      <c r="QDT21" s="229">
        <v>0</v>
      </c>
      <c r="QDU21" s="229">
        <v>0</v>
      </c>
      <c r="QDV21" s="229">
        <v>0</v>
      </c>
      <c r="QDW21" s="229">
        <v>0</v>
      </c>
      <c r="QDX21" s="229">
        <v>0</v>
      </c>
      <c r="QDY21" s="229">
        <v>0</v>
      </c>
      <c r="QDZ21" s="229">
        <v>0</v>
      </c>
      <c r="QEA21" s="229">
        <v>0</v>
      </c>
      <c r="QEB21" s="229">
        <v>0</v>
      </c>
      <c r="QEC21" s="229">
        <v>0</v>
      </c>
      <c r="QED21" s="229">
        <v>0</v>
      </c>
      <c r="QEE21" s="229">
        <v>0</v>
      </c>
      <c r="QEF21" s="229">
        <v>0</v>
      </c>
      <c r="QEG21" s="229">
        <v>0</v>
      </c>
      <c r="QEH21" s="229">
        <v>0</v>
      </c>
      <c r="QEI21" s="229">
        <v>0</v>
      </c>
      <c r="QEJ21" s="229">
        <v>0</v>
      </c>
      <c r="QEK21" s="229">
        <v>0</v>
      </c>
      <c r="QEL21" s="229">
        <v>0</v>
      </c>
      <c r="QEM21" s="229">
        <v>0</v>
      </c>
      <c r="QEN21" s="229">
        <v>0</v>
      </c>
      <c r="QEO21" s="229">
        <v>0</v>
      </c>
      <c r="QEP21" s="229">
        <v>0</v>
      </c>
      <c r="QEQ21" s="229">
        <v>0</v>
      </c>
      <c r="QER21" s="229">
        <v>0</v>
      </c>
      <c r="QES21" s="229">
        <v>0</v>
      </c>
      <c r="QET21" s="229">
        <v>0</v>
      </c>
      <c r="QEU21" s="229">
        <v>0</v>
      </c>
      <c r="QEV21" s="229">
        <v>0</v>
      </c>
      <c r="QEW21" s="229">
        <v>0</v>
      </c>
      <c r="QEX21" s="229">
        <v>0</v>
      </c>
      <c r="QEY21" s="229">
        <v>0</v>
      </c>
      <c r="QEZ21" s="229">
        <v>0</v>
      </c>
      <c r="QFA21" s="229">
        <v>0</v>
      </c>
      <c r="QFB21" s="229">
        <v>0</v>
      </c>
      <c r="QFC21" s="229">
        <v>0</v>
      </c>
      <c r="QFD21" s="229">
        <v>0</v>
      </c>
      <c r="QFE21" s="229">
        <v>0</v>
      </c>
      <c r="QFF21" s="229">
        <v>0</v>
      </c>
      <c r="QFG21" s="229">
        <v>0</v>
      </c>
      <c r="QFH21" s="229">
        <v>0</v>
      </c>
      <c r="QFI21" s="229">
        <v>0</v>
      </c>
      <c r="QFJ21" s="229">
        <v>0</v>
      </c>
      <c r="QFK21" s="229">
        <v>0</v>
      </c>
      <c r="QFL21" s="229">
        <v>0</v>
      </c>
      <c r="QFM21" s="229">
        <v>0</v>
      </c>
      <c r="QFN21" s="229">
        <v>0</v>
      </c>
      <c r="QFO21" s="229">
        <v>0</v>
      </c>
      <c r="QFP21" s="229">
        <v>0</v>
      </c>
      <c r="QFQ21" s="229">
        <v>0</v>
      </c>
      <c r="QFR21" s="229">
        <v>0</v>
      </c>
      <c r="QFS21" s="229">
        <v>0</v>
      </c>
      <c r="QFT21" s="229">
        <v>0</v>
      </c>
      <c r="QFU21" s="229">
        <v>0</v>
      </c>
      <c r="QFV21" s="229">
        <v>0</v>
      </c>
      <c r="QFW21" s="229">
        <v>0</v>
      </c>
      <c r="QFX21" s="229">
        <v>0</v>
      </c>
      <c r="QFY21" s="229">
        <v>0</v>
      </c>
      <c r="QFZ21" s="229">
        <v>0</v>
      </c>
      <c r="QGA21" s="229">
        <v>0</v>
      </c>
      <c r="QGB21" s="229">
        <v>0</v>
      </c>
      <c r="QGC21" s="229">
        <v>0</v>
      </c>
      <c r="QGD21" s="229">
        <v>0</v>
      </c>
      <c r="QGE21" s="229">
        <v>0</v>
      </c>
      <c r="QGF21" s="229">
        <v>0</v>
      </c>
      <c r="QGG21" s="229">
        <v>0</v>
      </c>
      <c r="QGH21" s="229">
        <v>0</v>
      </c>
      <c r="QGI21" s="229">
        <v>0</v>
      </c>
      <c r="QGJ21" s="229">
        <v>0</v>
      </c>
      <c r="QGK21" s="229">
        <v>0</v>
      </c>
      <c r="QGL21" s="229">
        <v>0</v>
      </c>
      <c r="QGM21" s="229">
        <v>0</v>
      </c>
      <c r="QGN21" s="229">
        <v>0</v>
      </c>
      <c r="QGO21" s="229">
        <v>0</v>
      </c>
      <c r="QGP21" s="229">
        <v>0</v>
      </c>
      <c r="QGQ21" s="229">
        <v>0</v>
      </c>
      <c r="QGR21" s="229">
        <v>0</v>
      </c>
      <c r="QGS21" s="229">
        <v>0</v>
      </c>
      <c r="QGT21" s="229">
        <v>0</v>
      </c>
      <c r="QGU21" s="229">
        <v>0</v>
      </c>
      <c r="QGV21" s="229">
        <v>0</v>
      </c>
      <c r="QGW21" s="229">
        <v>0</v>
      </c>
      <c r="QGX21" s="229">
        <v>0</v>
      </c>
      <c r="QGY21" s="229">
        <v>0</v>
      </c>
      <c r="QGZ21" s="229">
        <v>0</v>
      </c>
      <c r="QHA21" s="229">
        <v>0</v>
      </c>
      <c r="QHB21" s="229">
        <v>0</v>
      </c>
      <c r="QHC21" s="229">
        <v>0</v>
      </c>
      <c r="QHD21" s="229">
        <v>0</v>
      </c>
      <c r="QHE21" s="229">
        <v>0</v>
      </c>
      <c r="QHF21" s="229">
        <v>0</v>
      </c>
      <c r="QHG21" s="229">
        <v>0</v>
      </c>
      <c r="QHH21" s="229">
        <v>0</v>
      </c>
      <c r="QHI21" s="229">
        <v>0</v>
      </c>
      <c r="QHJ21" s="229">
        <v>0</v>
      </c>
      <c r="QHK21" s="229">
        <v>0</v>
      </c>
      <c r="QHL21" s="229">
        <v>0</v>
      </c>
      <c r="QHM21" s="229">
        <v>0</v>
      </c>
      <c r="QHN21" s="229">
        <v>0</v>
      </c>
      <c r="QHO21" s="229">
        <v>0</v>
      </c>
      <c r="QHP21" s="229">
        <v>0</v>
      </c>
      <c r="QHQ21" s="229">
        <v>0</v>
      </c>
      <c r="QHR21" s="229">
        <v>0</v>
      </c>
      <c r="QHS21" s="229">
        <v>0</v>
      </c>
      <c r="QHT21" s="229">
        <v>0</v>
      </c>
      <c r="QHU21" s="229">
        <v>0</v>
      </c>
      <c r="QHV21" s="229">
        <v>0</v>
      </c>
      <c r="QHW21" s="229">
        <v>0</v>
      </c>
      <c r="QHX21" s="229">
        <v>0</v>
      </c>
      <c r="QHY21" s="229">
        <v>0</v>
      </c>
      <c r="QHZ21" s="229">
        <v>0</v>
      </c>
      <c r="QIA21" s="229">
        <v>0</v>
      </c>
      <c r="QIB21" s="229">
        <v>0</v>
      </c>
      <c r="QIC21" s="229">
        <v>0</v>
      </c>
      <c r="QID21" s="229">
        <v>0</v>
      </c>
      <c r="QIE21" s="229">
        <v>0</v>
      </c>
      <c r="QIF21" s="229">
        <v>0</v>
      </c>
      <c r="QIG21" s="229">
        <v>0</v>
      </c>
      <c r="QIH21" s="229">
        <v>0</v>
      </c>
      <c r="QII21" s="229">
        <v>0</v>
      </c>
      <c r="QIJ21" s="229">
        <v>0</v>
      </c>
      <c r="QIK21" s="229">
        <v>0</v>
      </c>
      <c r="QIL21" s="229">
        <v>0</v>
      </c>
      <c r="QIM21" s="229">
        <v>0</v>
      </c>
      <c r="QIN21" s="229">
        <v>0</v>
      </c>
      <c r="QIO21" s="229">
        <v>0</v>
      </c>
      <c r="QIP21" s="229">
        <v>0</v>
      </c>
      <c r="QIQ21" s="229">
        <v>0</v>
      </c>
      <c r="QIR21" s="229">
        <v>0</v>
      </c>
      <c r="QIS21" s="229">
        <v>0</v>
      </c>
      <c r="QIT21" s="229">
        <v>0</v>
      </c>
      <c r="QIU21" s="229">
        <v>0</v>
      </c>
      <c r="QIV21" s="229">
        <v>0</v>
      </c>
      <c r="QIW21" s="229">
        <v>0</v>
      </c>
      <c r="QIX21" s="229">
        <v>0</v>
      </c>
      <c r="QIY21" s="229">
        <v>0</v>
      </c>
      <c r="QIZ21" s="229">
        <v>0</v>
      </c>
      <c r="QJA21" s="229">
        <v>0</v>
      </c>
      <c r="QJB21" s="229">
        <v>0</v>
      </c>
      <c r="QJC21" s="229">
        <v>0</v>
      </c>
      <c r="QJD21" s="229">
        <v>0</v>
      </c>
      <c r="QJE21" s="229">
        <v>0</v>
      </c>
      <c r="QJF21" s="229">
        <v>0</v>
      </c>
      <c r="QJG21" s="229">
        <v>0</v>
      </c>
      <c r="QJH21" s="229">
        <v>0</v>
      </c>
      <c r="QJI21" s="229">
        <v>0</v>
      </c>
      <c r="QJJ21" s="229">
        <v>0</v>
      </c>
      <c r="QJK21" s="229">
        <v>0</v>
      </c>
      <c r="QJL21" s="229">
        <v>0</v>
      </c>
      <c r="QJM21" s="229">
        <v>0</v>
      </c>
      <c r="QJN21" s="229">
        <v>0</v>
      </c>
      <c r="QJO21" s="229">
        <v>0</v>
      </c>
      <c r="QJP21" s="229">
        <v>0</v>
      </c>
      <c r="QJQ21" s="229">
        <v>0</v>
      </c>
      <c r="QJR21" s="229">
        <v>0</v>
      </c>
      <c r="QJS21" s="229">
        <v>0</v>
      </c>
      <c r="QJT21" s="229">
        <v>0</v>
      </c>
      <c r="QJU21" s="229">
        <v>0</v>
      </c>
      <c r="QJV21" s="229">
        <v>0</v>
      </c>
      <c r="QJW21" s="229">
        <v>0</v>
      </c>
      <c r="QJX21" s="229">
        <v>0</v>
      </c>
      <c r="QJY21" s="229">
        <v>0</v>
      </c>
      <c r="QJZ21" s="229">
        <v>0</v>
      </c>
      <c r="QKA21" s="229">
        <v>0</v>
      </c>
      <c r="QKB21" s="229">
        <v>0</v>
      </c>
      <c r="QKC21" s="229">
        <v>0</v>
      </c>
      <c r="QKD21" s="229">
        <v>0</v>
      </c>
      <c r="QKE21" s="229">
        <v>0</v>
      </c>
      <c r="QKF21" s="229">
        <v>0</v>
      </c>
      <c r="QKG21" s="229">
        <v>0</v>
      </c>
      <c r="QKH21" s="229">
        <v>0</v>
      </c>
      <c r="QKI21" s="229">
        <v>0</v>
      </c>
      <c r="QKJ21" s="229">
        <v>0</v>
      </c>
      <c r="QKK21" s="229">
        <v>0</v>
      </c>
      <c r="QKL21" s="229">
        <v>0</v>
      </c>
      <c r="QKM21" s="229">
        <v>0</v>
      </c>
      <c r="QKN21" s="229">
        <v>0</v>
      </c>
      <c r="QKO21" s="229">
        <v>0</v>
      </c>
      <c r="QKP21" s="229">
        <v>0</v>
      </c>
      <c r="QKQ21" s="229">
        <v>0</v>
      </c>
      <c r="QKR21" s="229">
        <v>0</v>
      </c>
      <c r="QKS21" s="229">
        <v>0</v>
      </c>
      <c r="QKT21" s="229">
        <v>0</v>
      </c>
      <c r="QKU21" s="229">
        <v>0</v>
      </c>
      <c r="QKV21" s="229">
        <v>0</v>
      </c>
      <c r="QKW21" s="229">
        <v>0</v>
      </c>
      <c r="QKX21" s="229">
        <v>0</v>
      </c>
      <c r="QKY21" s="229">
        <v>0</v>
      </c>
      <c r="QKZ21" s="229">
        <v>0</v>
      </c>
      <c r="QLA21" s="229">
        <v>0</v>
      </c>
      <c r="QLB21" s="229">
        <v>0</v>
      </c>
      <c r="QLC21" s="229">
        <v>0</v>
      </c>
      <c r="QLD21" s="229">
        <v>0</v>
      </c>
      <c r="QLE21" s="229">
        <v>0</v>
      </c>
      <c r="QLF21" s="229">
        <v>0</v>
      </c>
      <c r="QLG21" s="229">
        <v>0</v>
      </c>
      <c r="QLH21" s="229">
        <v>0</v>
      </c>
      <c r="QLI21" s="229">
        <v>0</v>
      </c>
      <c r="QLJ21" s="229">
        <v>0</v>
      </c>
      <c r="QLK21" s="229">
        <v>0</v>
      </c>
      <c r="QLL21" s="229">
        <v>0</v>
      </c>
      <c r="QLM21" s="229">
        <v>0</v>
      </c>
      <c r="QLN21" s="229">
        <v>0</v>
      </c>
      <c r="QLO21" s="229">
        <v>0</v>
      </c>
      <c r="QLP21" s="229">
        <v>0</v>
      </c>
      <c r="QLQ21" s="229">
        <v>0</v>
      </c>
      <c r="QLR21" s="229">
        <v>0</v>
      </c>
      <c r="QLS21" s="229">
        <v>0</v>
      </c>
      <c r="QLT21" s="229">
        <v>0</v>
      </c>
      <c r="QLU21" s="229">
        <v>0</v>
      </c>
      <c r="QLV21" s="229">
        <v>0</v>
      </c>
      <c r="QLW21" s="229">
        <v>0</v>
      </c>
      <c r="QLX21" s="229">
        <v>0</v>
      </c>
      <c r="QLY21" s="229">
        <v>0</v>
      </c>
      <c r="QLZ21" s="229">
        <v>0</v>
      </c>
      <c r="QMA21" s="229">
        <v>0</v>
      </c>
      <c r="QMB21" s="229">
        <v>0</v>
      </c>
      <c r="QMC21" s="229">
        <v>0</v>
      </c>
      <c r="QMD21" s="229">
        <v>0</v>
      </c>
      <c r="QME21" s="229">
        <v>0</v>
      </c>
      <c r="QMF21" s="229">
        <v>0</v>
      </c>
      <c r="QMG21" s="229">
        <v>0</v>
      </c>
      <c r="QMH21" s="229">
        <v>0</v>
      </c>
      <c r="QMI21" s="229">
        <v>0</v>
      </c>
      <c r="QMJ21" s="229">
        <v>0</v>
      </c>
      <c r="QMK21" s="229">
        <v>0</v>
      </c>
      <c r="QML21" s="229">
        <v>0</v>
      </c>
      <c r="QMM21" s="229">
        <v>0</v>
      </c>
      <c r="QMN21" s="229">
        <v>0</v>
      </c>
      <c r="QMO21" s="229">
        <v>0</v>
      </c>
      <c r="QMP21" s="229">
        <v>0</v>
      </c>
      <c r="QMQ21" s="229">
        <v>0</v>
      </c>
      <c r="QMR21" s="229">
        <v>0</v>
      </c>
      <c r="QMS21" s="229">
        <v>0</v>
      </c>
      <c r="QMT21" s="229">
        <v>0</v>
      </c>
      <c r="QMU21" s="229">
        <v>0</v>
      </c>
      <c r="QMV21" s="229">
        <v>0</v>
      </c>
      <c r="QMW21" s="229">
        <v>0</v>
      </c>
      <c r="QMX21" s="229">
        <v>0</v>
      </c>
      <c r="QMY21" s="229">
        <v>0</v>
      </c>
      <c r="QMZ21" s="229">
        <v>0</v>
      </c>
      <c r="QNA21" s="229">
        <v>0</v>
      </c>
      <c r="QNB21" s="229">
        <v>0</v>
      </c>
      <c r="QNC21" s="229">
        <v>0</v>
      </c>
      <c r="QND21" s="229">
        <v>0</v>
      </c>
      <c r="QNE21" s="229">
        <v>0</v>
      </c>
      <c r="QNF21" s="229">
        <v>0</v>
      </c>
      <c r="QNG21" s="229">
        <v>0</v>
      </c>
      <c r="QNH21" s="229">
        <v>0</v>
      </c>
      <c r="QNI21" s="229">
        <v>0</v>
      </c>
      <c r="QNJ21" s="229">
        <v>0</v>
      </c>
      <c r="QNK21" s="229">
        <v>0</v>
      </c>
      <c r="QNL21" s="229">
        <v>0</v>
      </c>
      <c r="QNM21" s="229">
        <v>0</v>
      </c>
      <c r="QNN21" s="229">
        <v>0</v>
      </c>
      <c r="QNO21" s="229">
        <v>0</v>
      </c>
      <c r="QNP21" s="229">
        <v>0</v>
      </c>
      <c r="QNQ21" s="229">
        <v>0</v>
      </c>
      <c r="QNR21" s="229">
        <v>0</v>
      </c>
      <c r="QNS21" s="229">
        <v>0</v>
      </c>
      <c r="QNT21" s="229">
        <v>0</v>
      </c>
      <c r="QNU21" s="229">
        <v>0</v>
      </c>
      <c r="QNV21" s="229">
        <v>0</v>
      </c>
      <c r="QNW21" s="229">
        <v>0</v>
      </c>
      <c r="QNX21" s="229">
        <v>0</v>
      </c>
      <c r="QNY21" s="229">
        <v>0</v>
      </c>
      <c r="QNZ21" s="229">
        <v>0</v>
      </c>
      <c r="QOA21" s="229">
        <v>0</v>
      </c>
      <c r="QOB21" s="229">
        <v>0</v>
      </c>
      <c r="QOC21" s="229">
        <v>0</v>
      </c>
      <c r="QOD21" s="229">
        <v>0</v>
      </c>
      <c r="QOE21" s="229">
        <v>0</v>
      </c>
      <c r="QOF21" s="229">
        <v>0</v>
      </c>
      <c r="QOG21" s="229">
        <v>0</v>
      </c>
      <c r="QOH21" s="229">
        <v>0</v>
      </c>
      <c r="QOI21" s="229">
        <v>0</v>
      </c>
      <c r="QOJ21" s="229">
        <v>0</v>
      </c>
      <c r="QOK21" s="229">
        <v>0</v>
      </c>
      <c r="QOL21" s="229">
        <v>0</v>
      </c>
      <c r="QOM21" s="229">
        <v>0</v>
      </c>
      <c r="QON21" s="229">
        <v>0</v>
      </c>
      <c r="QOO21" s="229">
        <v>0</v>
      </c>
      <c r="QOP21" s="229">
        <v>0</v>
      </c>
      <c r="QOQ21" s="229">
        <v>0</v>
      </c>
      <c r="QOR21" s="229">
        <v>0</v>
      </c>
      <c r="QOS21" s="229">
        <v>0</v>
      </c>
      <c r="QOT21" s="229">
        <v>0</v>
      </c>
      <c r="QOU21" s="229">
        <v>0</v>
      </c>
      <c r="QOV21" s="229">
        <v>0</v>
      </c>
      <c r="QOW21" s="229">
        <v>0</v>
      </c>
      <c r="QOX21" s="229">
        <v>0</v>
      </c>
      <c r="QOY21" s="229">
        <v>0</v>
      </c>
      <c r="QOZ21" s="229">
        <v>0</v>
      </c>
      <c r="QPA21" s="229">
        <v>0</v>
      </c>
      <c r="QPB21" s="229">
        <v>0</v>
      </c>
      <c r="QPC21" s="229">
        <v>0</v>
      </c>
      <c r="QPD21" s="229">
        <v>0</v>
      </c>
      <c r="QPE21" s="229">
        <v>0</v>
      </c>
      <c r="QPF21" s="229">
        <v>0</v>
      </c>
      <c r="QPG21" s="229">
        <v>0</v>
      </c>
      <c r="QPH21" s="229">
        <v>0</v>
      </c>
      <c r="QPI21" s="229">
        <v>0</v>
      </c>
      <c r="QPJ21" s="229">
        <v>0</v>
      </c>
      <c r="QPK21" s="229">
        <v>0</v>
      </c>
      <c r="QPL21" s="229">
        <v>0</v>
      </c>
      <c r="QPM21" s="229">
        <v>0</v>
      </c>
      <c r="QPN21" s="229">
        <v>0</v>
      </c>
      <c r="QPO21" s="229">
        <v>0</v>
      </c>
      <c r="QPP21" s="229">
        <v>0</v>
      </c>
      <c r="QPQ21" s="229">
        <v>0</v>
      </c>
      <c r="QPR21" s="229">
        <v>0</v>
      </c>
      <c r="QPS21" s="229">
        <v>0</v>
      </c>
      <c r="QPT21" s="229">
        <v>0</v>
      </c>
      <c r="QPU21" s="229">
        <v>0</v>
      </c>
      <c r="QPV21" s="229">
        <v>0</v>
      </c>
      <c r="QPW21" s="229">
        <v>0</v>
      </c>
      <c r="QPX21" s="229">
        <v>0</v>
      </c>
      <c r="QPY21" s="229">
        <v>0</v>
      </c>
      <c r="QPZ21" s="229">
        <v>0</v>
      </c>
      <c r="QQA21" s="229">
        <v>0</v>
      </c>
      <c r="QQB21" s="229">
        <v>0</v>
      </c>
      <c r="QQC21" s="229">
        <v>0</v>
      </c>
      <c r="QQD21" s="229">
        <v>0</v>
      </c>
      <c r="QQE21" s="229">
        <v>0</v>
      </c>
      <c r="QQF21" s="229">
        <v>0</v>
      </c>
      <c r="QQG21" s="229">
        <v>0</v>
      </c>
      <c r="QQH21" s="229">
        <v>0</v>
      </c>
      <c r="QQI21" s="229">
        <v>0</v>
      </c>
      <c r="QQJ21" s="229">
        <v>0</v>
      </c>
      <c r="QQK21" s="229">
        <v>0</v>
      </c>
      <c r="QQL21" s="229">
        <v>0</v>
      </c>
      <c r="QQM21" s="229">
        <v>0</v>
      </c>
      <c r="QQN21" s="229">
        <v>0</v>
      </c>
      <c r="QQO21" s="229">
        <v>0</v>
      </c>
      <c r="QQP21" s="229">
        <v>0</v>
      </c>
      <c r="QQQ21" s="229">
        <v>0</v>
      </c>
      <c r="QQR21" s="229">
        <v>0</v>
      </c>
      <c r="QQS21" s="229">
        <v>0</v>
      </c>
      <c r="QQT21" s="229">
        <v>0</v>
      </c>
      <c r="QQU21" s="229">
        <v>0</v>
      </c>
      <c r="QQV21" s="229">
        <v>0</v>
      </c>
      <c r="QQW21" s="229">
        <v>0</v>
      </c>
      <c r="QQX21" s="229">
        <v>0</v>
      </c>
      <c r="QQY21" s="229">
        <v>0</v>
      </c>
      <c r="QQZ21" s="229">
        <v>0</v>
      </c>
      <c r="QRA21" s="229">
        <v>0</v>
      </c>
      <c r="QRB21" s="229">
        <v>0</v>
      </c>
      <c r="QRC21" s="229">
        <v>0</v>
      </c>
      <c r="QRD21" s="229">
        <v>0</v>
      </c>
      <c r="QRE21" s="229">
        <v>0</v>
      </c>
      <c r="QRF21" s="229">
        <v>0</v>
      </c>
      <c r="QRG21" s="229">
        <v>0</v>
      </c>
      <c r="QRH21" s="229">
        <v>0</v>
      </c>
      <c r="QRI21" s="229">
        <v>0</v>
      </c>
      <c r="QRJ21" s="229">
        <v>0</v>
      </c>
      <c r="QRK21" s="229">
        <v>0</v>
      </c>
      <c r="QRL21" s="229">
        <v>0</v>
      </c>
      <c r="QRM21" s="229">
        <v>0</v>
      </c>
      <c r="QRN21" s="229">
        <v>0</v>
      </c>
      <c r="QRO21" s="229">
        <v>0</v>
      </c>
      <c r="QRP21" s="229">
        <v>0</v>
      </c>
      <c r="QRQ21" s="229">
        <v>0</v>
      </c>
      <c r="QRR21" s="229">
        <v>0</v>
      </c>
      <c r="QRS21" s="229">
        <v>0</v>
      </c>
      <c r="QRT21" s="229">
        <v>0</v>
      </c>
      <c r="QRU21" s="229">
        <v>0</v>
      </c>
      <c r="QRV21" s="229">
        <v>0</v>
      </c>
      <c r="QRW21" s="229">
        <v>0</v>
      </c>
      <c r="QRX21" s="229">
        <v>0</v>
      </c>
      <c r="QRY21" s="229">
        <v>0</v>
      </c>
      <c r="QRZ21" s="229">
        <v>0</v>
      </c>
      <c r="QSA21" s="229">
        <v>0</v>
      </c>
      <c r="QSB21" s="229">
        <v>0</v>
      </c>
      <c r="QSC21" s="229">
        <v>0</v>
      </c>
      <c r="QSD21" s="229">
        <v>0</v>
      </c>
      <c r="QSE21" s="229">
        <v>0</v>
      </c>
      <c r="QSF21" s="229">
        <v>0</v>
      </c>
      <c r="QSG21" s="229">
        <v>0</v>
      </c>
      <c r="QSH21" s="229">
        <v>0</v>
      </c>
      <c r="QSI21" s="229">
        <v>0</v>
      </c>
      <c r="QSJ21" s="229">
        <v>0</v>
      </c>
      <c r="QSK21" s="229">
        <v>0</v>
      </c>
      <c r="QSL21" s="229">
        <v>0</v>
      </c>
      <c r="QSM21" s="229">
        <v>0</v>
      </c>
      <c r="QSN21" s="229">
        <v>0</v>
      </c>
      <c r="QSO21" s="229">
        <v>0</v>
      </c>
      <c r="QSP21" s="229">
        <v>0</v>
      </c>
      <c r="QSQ21" s="229">
        <v>0</v>
      </c>
      <c r="QSR21" s="229">
        <v>0</v>
      </c>
      <c r="QSS21" s="229">
        <v>0</v>
      </c>
      <c r="QST21" s="229">
        <v>0</v>
      </c>
      <c r="QSU21" s="229">
        <v>0</v>
      </c>
      <c r="QSV21" s="229">
        <v>0</v>
      </c>
      <c r="QSW21" s="229">
        <v>0</v>
      </c>
      <c r="QSX21" s="229">
        <v>0</v>
      </c>
      <c r="QSY21" s="229">
        <v>0</v>
      </c>
      <c r="QSZ21" s="229">
        <v>0</v>
      </c>
      <c r="QTA21" s="229">
        <v>0</v>
      </c>
      <c r="QTB21" s="229">
        <v>0</v>
      </c>
      <c r="QTC21" s="229">
        <v>0</v>
      </c>
      <c r="QTD21" s="229">
        <v>0</v>
      </c>
      <c r="QTE21" s="229">
        <v>0</v>
      </c>
      <c r="QTF21" s="229">
        <v>0</v>
      </c>
      <c r="QTG21" s="229">
        <v>0</v>
      </c>
      <c r="QTH21" s="229">
        <v>0</v>
      </c>
      <c r="QTI21" s="229">
        <v>0</v>
      </c>
      <c r="QTJ21" s="229">
        <v>0</v>
      </c>
      <c r="QTK21" s="229">
        <v>0</v>
      </c>
      <c r="QTL21" s="229">
        <v>0</v>
      </c>
      <c r="QTM21" s="229">
        <v>0</v>
      </c>
      <c r="QTN21" s="229">
        <v>0</v>
      </c>
      <c r="QTO21" s="229">
        <v>0</v>
      </c>
      <c r="QTP21" s="229">
        <v>0</v>
      </c>
      <c r="QTQ21" s="229">
        <v>0</v>
      </c>
      <c r="QTR21" s="229">
        <v>0</v>
      </c>
      <c r="QTS21" s="229">
        <v>0</v>
      </c>
      <c r="QTT21" s="229">
        <v>0</v>
      </c>
      <c r="QTU21" s="229">
        <v>0</v>
      </c>
      <c r="QTV21" s="229">
        <v>0</v>
      </c>
      <c r="QTW21" s="229">
        <v>0</v>
      </c>
      <c r="QTX21" s="229">
        <v>0</v>
      </c>
      <c r="QTY21" s="229">
        <v>0</v>
      </c>
      <c r="QTZ21" s="229">
        <v>0</v>
      </c>
      <c r="QUA21" s="229">
        <v>0</v>
      </c>
      <c r="QUB21" s="229">
        <v>0</v>
      </c>
      <c r="QUC21" s="229">
        <v>0</v>
      </c>
      <c r="QUD21" s="229">
        <v>0</v>
      </c>
      <c r="QUE21" s="229">
        <v>0</v>
      </c>
      <c r="QUF21" s="229">
        <v>0</v>
      </c>
      <c r="QUG21" s="229">
        <v>0</v>
      </c>
      <c r="QUH21" s="229">
        <v>0</v>
      </c>
      <c r="QUI21" s="229">
        <v>0</v>
      </c>
      <c r="QUJ21" s="229">
        <v>0</v>
      </c>
      <c r="QUK21" s="229">
        <v>0</v>
      </c>
      <c r="QUL21" s="229">
        <v>0</v>
      </c>
      <c r="QUM21" s="229">
        <v>0</v>
      </c>
      <c r="QUN21" s="229">
        <v>0</v>
      </c>
      <c r="QUO21" s="229">
        <v>0</v>
      </c>
      <c r="QUP21" s="229">
        <v>0</v>
      </c>
      <c r="QUQ21" s="229">
        <v>0</v>
      </c>
      <c r="QUR21" s="229">
        <v>0</v>
      </c>
      <c r="QUS21" s="229">
        <v>0</v>
      </c>
      <c r="QUT21" s="229">
        <v>0</v>
      </c>
      <c r="QUU21" s="229">
        <v>0</v>
      </c>
      <c r="QUV21" s="229">
        <v>0</v>
      </c>
      <c r="QUW21" s="229">
        <v>0</v>
      </c>
      <c r="QUX21" s="229">
        <v>0</v>
      </c>
      <c r="QUY21" s="229">
        <v>0</v>
      </c>
      <c r="QUZ21" s="229">
        <v>0</v>
      </c>
      <c r="QVA21" s="229">
        <v>0</v>
      </c>
      <c r="QVB21" s="229">
        <v>0</v>
      </c>
      <c r="QVC21" s="229">
        <v>0</v>
      </c>
      <c r="QVD21" s="229">
        <v>0</v>
      </c>
      <c r="QVE21" s="229">
        <v>0</v>
      </c>
      <c r="QVF21" s="229">
        <v>0</v>
      </c>
      <c r="QVG21" s="229">
        <v>0</v>
      </c>
      <c r="QVH21" s="229">
        <v>0</v>
      </c>
      <c r="QVI21" s="229">
        <v>0</v>
      </c>
      <c r="QVJ21" s="229">
        <v>0</v>
      </c>
      <c r="QVK21" s="229">
        <v>0</v>
      </c>
      <c r="QVL21" s="229">
        <v>0</v>
      </c>
      <c r="QVM21" s="229">
        <v>0</v>
      </c>
      <c r="QVN21" s="229">
        <v>0</v>
      </c>
      <c r="QVO21" s="229">
        <v>0</v>
      </c>
      <c r="QVP21" s="229">
        <v>0</v>
      </c>
      <c r="QVQ21" s="229">
        <v>0</v>
      </c>
      <c r="QVR21" s="229">
        <v>0</v>
      </c>
      <c r="QVS21" s="229">
        <v>0</v>
      </c>
      <c r="QVT21" s="229">
        <v>0</v>
      </c>
      <c r="QVU21" s="229">
        <v>0</v>
      </c>
      <c r="QVV21" s="229">
        <v>0</v>
      </c>
      <c r="QVW21" s="229">
        <v>0</v>
      </c>
      <c r="QVX21" s="229">
        <v>0</v>
      </c>
      <c r="QVY21" s="229">
        <v>0</v>
      </c>
      <c r="QVZ21" s="229">
        <v>0</v>
      </c>
      <c r="QWA21" s="229">
        <v>0</v>
      </c>
      <c r="QWB21" s="229">
        <v>0</v>
      </c>
      <c r="QWC21" s="229">
        <v>0</v>
      </c>
      <c r="QWD21" s="229">
        <v>0</v>
      </c>
      <c r="QWE21" s="229">
        <v>0</v>
      </c>
      <c r="QWF21" s="229">
        <v>0</v>
      </c>
      <c r="QWG21" s="229">
        <v>0</v>
      </c>
      <c r="QWH21" s="229">
        <v>0</v>
      </c>
      <c r="QWI21" s="229">
        <v>0</v>
      </c>
      <c r="QWJ21" s="229">
        <v>0</v>
      </c>
      <c r="QWK21" s="229">
        <v>0</v>
      </c>
      <c r="QWL21" s="229">
        <v>0</v>
      </c>
      <c r="QWM21" s="229">
        <v>0</v>
      </c>
      <c r="QWN21" s="229">
        <v>0</v>
      </c>
      <c r="QWO21" s="229">
        <v>0</v>
      </c>
      <c r="QWP21" s="229">
        <v>0</v>
      </c>
      <c r="QWQ21" s="229">
        <v>0</v>
      </c>
      <c r="QWR21" s="229">
        <v>0</v>
      </c>
      <c r="QWS21" s="229">
        <v>0</v>
      </c>
      <c r="QWT21" s="229">
        <v>0</v>
      </c>
      <c r="QWU21" s="229">
        <v>0</v>
      </c>
      <c r="QWV21" s="229">
        <v>0</v>
      </c>
      <c r="QWW21" s="229">
        <v>0</v>
      </c>
      <c r="QWX21" s="229">
        <v>0</v>
      </c>
      <c r="QWY21" s="229">
        <v>0</v>
      </c>
      <c r="QWZ21" s="229">
        <v>0</v>
      </c>
      <c r="QXA21" s="229">
        <v>0</v>
      </c>
      <c r="QXB21" s="229">
        <v>0</v>
      </c>
      <c r="QXC21" s="229">
        <v>0</v>
      </c>
      <c r="QXD21" s="229">
        <v>0</v>
      </c>
      <c r="QXE21" s="229">
        <v>0</v>
      </c>
      <c r="QXF21" s="229">
        <v>0</v>
      </c>
      <c r="QXG21" s="229">
        <v>0</v>
      </c>
      <c r="QXH21" s="229">
        <v>0</v>
      </c>
      <c r="QXI21" s="229">
        <v>0</v>
      </c>
      <c r="QXJ21" s="229">
        <v>0</v>
      </c>
      <c r="QXK21" s="229">
        <v>0</v>
      </c>
      <c r="QXL21" s="229">
        <v>0</v>
      </c>
      <c r="QXM21" s="229">
        <v>0</v>
      </c>
      <c r="QXN21" s="229">
        <v>0</v>
      </c>
      <c r="QXO21" s="229">
        <v>0</v>
      </c>
      <c r="QXP21" s="229">
        <v>0</v>
      </c>
      <c r="QXQ21" s="229">
        <v>0</v>
      </c>
      <c r="QXR21" s="229">
        <v>0</v>
      </c>
      <c r="QXS21" s="229">
        <v>0</v>
      </c>
      <c r="QXT21" s="229">
        <v>0</v>
      </c>
      <c r="QXU21" s="229">
        <v>0</v>
      </c>
      <c r="QXV21" s="229">
        <v>0</v>
      </c>
      <c r="QXW21" s="229">
        <v>0</v>
      </c>
      <c r="QXX21" s="229">
        <v>0</v>
      </c>
      <c r="QXY21" s="229">
        <v>0</v>
      </c>
      <c r="QXZ21" s="229">
        <v>0</v>
      </c>
      <c r="QYA21" s="229">
        <v>0</v>
      </c>
      <c r="QYB21" s="229">
        <v>0</v>
      </c>
      <c r="QYC21" s="229">
        <v>0</v>
      </c>
      <c r="QYD21" s="229">
        <v>0</v>
      </c>
      <c r="QYE21" s="229">
        <v>0</v>
      </c>
      <c r="QYF21" s="229">
        <v>0</v>
      </c>
      <c r="QYG21" s="229">
        <v>0</v>
      </c>
      <c r="QYH21" s="229">
        <v>0</v>
      </c>
      <c r="QYI21" s="229">
        <v>0</v>
      </c>
      <c r="QYJ21" s="229">
        <v>0</v>
      </c>
      <c r="QYK21" s="229">
        <v>0</v>
      </c>
      <c r="QYL21" s="229">
        <v>0</v>
      </c>
      <c r="QYM21" s="229">
        <v>0</v>
      </c>
      <c r="QYN21" s="229">
        <v>0</v>
      </c>
      <c r="QYO21" s="229">
        <v>0</v>
      </c>
      <c r="QYP21" s="229">
        <v>0</v>
      </c>
      <c r="QYQ21" s="229">
        <v>0</v>
      </c>
      <c r="QYR21" s="229">
        <v>0</v>
      </c>
      <c r="QYS21" s="229">
        <v>0</v>
      </c>
      <c r="QYT21" s="229">
        <v>0</v>
      </c>
      <c r="QYU21" s="229">
        <v>0</v>
      </c>
      <c r="QYV21" s="229">
        <v>0</v>
      </c>
      <c r="QYW21" s="229">
        <v>0</v>
      </c>
      <c r="QYX21" s="229">
        <v>0</v>
      </c>
      <c r="QYY21" s="229">
        <v>0</v>
      </c>
      <c r="QYZ21" s="229">
        <v>0</v>
      </c>
      <c r="QZA21" s="229">
        <v>0</v>
      </c>
      <c r="QZB21" s="229">
        <v>0</v>
      </c>
      <c r="QZC21" s="229">
        <v>0</v>
      </c>
      <c r="QZD21" s="229">
        <v>0</v>
      </c>
      <c r="QZE21" s="229">
        <v>0</v>
      </c>
      <c r="QZF21" s="229">
        <v>0</v>
      </c>
      <c r="QZG21" s="229">
        <v>0</v>
      </c>
      <c r="QZH21" s="229">
        <v>0</v>
      </c>
      <c r="QZI21" s="229">
        <v>0</v>
      </c>
      <c r="QZJ21" s="229">
        <v>0</v>
      </c>
      <c r="QZK21" s="229">
        <v>0</v>
      </c>
      <c r="QZL21" s="229">
        <v>0</v>
      </c>
      <c r="QZM21" s="229">
        <v>0</v>
      </c>
      <c r="QZN21" s="229">
        <v>0</v>
      </c>
      <c r="QZO21" s="229">
        <v>0</v>
      </c>
      <c r="QZP21" s="229">
        <v>0</v>
      </c>
      <c r="QZQ21" s="229">
        <v>0</v>
      </c>
      <c r="QZR21" s="229">
        <v>0</v>
      </c>
      <c r="QZS21" s="229">
        <v>0</v>
      </c>
      <c r="QZT21" s="229">
        <v>0</v>
      </c>
      <c r="QZU21" s="229">
        <v>0</v>
      </c>
      <c r="QZV21" s="229">
        <v>0</v>
      </c>
      <c r="QZW21" s="229">
        <v>0</v>
      </c>
      <c r="QZX21" s="229">
        <v>0</v>
      </c>
      <c r="QZY21" s="229">
        <v>0</v>
      </c>
      <c r="QZZ21" s="229">
        <v>0</v>
      </c>
      <c r="RAA21" s="229">
        <v>0</v>
      </c>
      <c r="RAB21" s="229">
        <v>0</v>
      </c>
      <c r="RAC21" s="229">
        <v>0</v>
      </c>
      <c r="RAD21" s="229">
        <v>0</v>
      </c>
      <c r="RAE21" s="229">
        <v>0</v>
      </c>
      <c r="RAF21" s="229">
        <v>0</v>
      </c>
      <c r="RAG21" s="229">
        <v>0</v>
      </c>
      <c r="RAH21" s="229">
        <v>0</v>
      </c>
      <c r="RAI21" s="229">
        <v>0</v>
      </c>
      <c r="RAJ21" s="229">
        <v>0</v>
      </c>
      <c r="RAK21" s="229">
        <v>0</v>
      </c>
      <c r="RAL21" s="229">
        <v>0</v>
      </c>
      <c r="RAM21" s="229">
        <v>0</v>
      </c>
      <c r="RAN21" s="229">
        <v>0</v>
      </c>
      <c r="RAO21" s="229">
        <v>0</v>
      </c>
      <c r="RAP21" s="229">
        <v>0</v>
      </c>
      <c r="RAQ21" s="229">
        <v>0</v>
      </c>
      <c r="RAR21" s="229">
        <v>0</v>
      </c>
      <c r="RAS21" s="229">
        <v>0</v>
      </c>
      <c r="RAT21" s="229">
        <v>0</v>
      </c>
      <c r="RAU21" s="229">
        <v>0</v>
      </c>
      <c r="RAV21" s="229">
        <v>0</v>
      </c>
      <c r="RAW21" s="229">
        <v>0</v>
      </c>
      <c r="RAX21" s="229">
        <v>0</v>
      </c>
      <c r="RAY21" s="229">
        <v>0</v>
      </c>
      <c r="RAZ21" s="229">
        <v>0</v>
      </c>
      <c r="RBA21" s="229">
        <v>0</v>
      </c>
      <c r="RBB21" s="229">
        <v>0</v>
      </c>
      <c r="RBC21" s="229">
        <v>0</v>
      </c>
      <c r="RBD21" s="229">
        <v>0</v>
      </c>
      <c r="RBE21" s="229">
        <v>0</v>
      </c>
      <c r="RBF21" s="229">
        <v>0</v>
      </c>
      <c r="RBG21" s="229">
        <v>0</v>
      </c>
      <c r="RBH21" s="229">
        <v>0</v>
      </c>
      <c r="RBI21" s="229">
        <v>0</v>
      </c>
      <c r="RBJ21" s="229">
        <v>0</v>
      </c>
      <c r="RBK21" s="229">
        <v>0</v>
      </c>
      <c r="RBL21" s="229">
        <v>0</v>
      </c>
      <c r="RBM21" s="229">
        <v>0</v>
      </c>
      <c r="RBN21" s="229">
        <v>0</v>
      </c>
      <c r="RBO21" s="229">
        <v>0</v>
      </c>
      <c r="RBP21" s="229">
        <v>0</v>
      </c>
      <c r="RBQ21" s="229">
        <v>0</v>
      </c>
      <c r="RBR21" s="229">
        <v>0</v>
      </c>
      <c r="RBS21" s="229">
        <v>0</v>
      </c>
      <c r="RBT21" s="229">
        <v>0</v>
      </c>
      <c r="RBU21" s="229">
        <v>0</v>
      </c>
      <c r="RBV21" s="229">
        <v>0</v>
      </c>
      <c r="RBW21" s="229">
        <v>0</v>
      </c>
      <c r="RBX21" s="229">
        <v>0</v>
      </c>
      <c r="RBY21" s="229">
        <v>0</v>
      </c>
      <c r="RBZ21" s="229">
        <v>0</v>
      </c>
      <c r="RCA21" s="229">
        <v>0</v>
      </c>
      <c r="RCB21" s="229">
        <v>0</v>
      </c>
      <c r="RCC21" s="229">
        <v>0</v>
      </c>
      <c r="RCD21" s="229">
        <v>0</v>
      </c>
      <c r="RCE21" s="229">
        <v>0</v>
      </c>
      <c r="RCF21" s="229">
        <v>0</v>
      </c>
      <c r="RCG21" s="229">
        <v>0</v>
      </c>
      <c r="RCH21" s="229">
        <v>0</v>
      </c>
      <c r="RCI21" s="229">
        <v>0</v>
      </c>
      <c r="RCJ21" s="229">
        <v>0</v>
      </c>
      <c r="RCK21" s="229">
        <v>0</v>
      </c>
      <c r="RCL21" s="229">
        <v>0</v>
      </c>
      <c r="RCM21" s="229">
        <v>0</v>
      </c>
      <c r="RCN21" s="229">
        <v>0</v>
      </c>
      <c r="RCO21" s="229">
        <v>0</v>
      </c>
      <c r="RCP21" s="229">
        <v>0</v>
      </c>
      <c r="RCQ21" s="229">
        <v>0</v>
      </c>
      <c r="RCR21" s="229">
        <v>0</v>
      </c>
      <c r="RCS21" s="229">
        <v>0</v>
      </c>
      <c r="RCT21" s="229">
        <v>0</v>
      </c>
      <c r="RCU21" s="229">
        <v>0</v>
      </c>
      <c r="RCV21" s="229">
        <v>0</v>
      </c>
      <c r="RCW21" s="229">
        <v>0</v>
      </c>
      <c r="RCX21" s="229">
        <v>0</v>
      </c>
      <c r="RCY21" s="229">
        <v>0</v>
      </c>
      <c r="RCZ21" s="229">
        <v>0</v>
      </c>
      <c r="RDA21" s="229">
        <v>0</v>
      </c>
      <c r="RDB21" s="229">
        <v>0</v>
      </c>
      <c r="RDC21" s="229">
        <v>0</v>
      </c>
      <c r="RDD21" s="229">
        <v>0</v>
      </c>
      <c r="RDE21" s="229">
        <v>0</v>
      </c>
      <c r="RDF21" s="229">
        <v>0</v>
      </c>
      <c r="RDG21" s="229">
        <v>0</v>
      </c>
      <c r="RDH21" s="229">
        <v>0</v>
      </c>
      <c r="RDI21" s="229">
        <v>0</v>
      </c>
      <c r="RDJ21" s="229">
        <v>0</v>
      </c>
      <c r="RDK21" s="229">
        <v>0</v>
      </c>
      <c r="RDL21" s="229">
        <v>0</v>
      </c>
      <c r="RDM21" s="229">
        <v>0</v>
      </c>
      <c r="RDN21" s="229">
        <v>0</v>
      </c>
      <c r="RDO21" s="229">
        <v>0</v>
      </c>
      <c r="RDP21" s="229">
        <v>0</v>
      </c>
      <c r="RDQ21" s="229">
        <v>0</v>
      </c>
      <c r="RDR21" s="229">
        <v>0</v>
      </c>
      <c r="RDS21" s="229">
        <v>0</v>
      </c>
      <c r="RDT21" s="229">
        <v>0</v>
      </c>
      <c r="RDU21" s="229">
        <v>0</v>
      </c>
      <c r="RDV21" s="229">
        <v>0</v>
      </c>
      <c r="RDW21" s="229">
        <v>0</v>
      </c>
      <c r="RDX21" s="229">
        <v>0</v>
      </c>
      <c r="RDY21" s="229">
        <v>0</v>
      </c>
      <c r="RDZ21" s="229">
        <v>0</v>
      </c>
      <c r="REA21" s="229">
        <v>0</v>
      </c>
      <c r="REB21" s="229">
        <v>0</v>
      </c>
      <c r="REC21" s="229">
        <v>0</v>
      </c>
      <c r="RED21" s="229">
        <v>0</v>
      </c>
      <c r="REE21" s="229">
        <v>0</v>
      </c>
      <c r="REF21" s="229">
        <v>0</v>
      </c>
      <c r="REG21" s="229">
        <v>0</v>
      </c>
      <c r="REH21" s="229">
        <v>0</v>
      </c>
      <c r="REI21" s="229">
        <v>0</v>
      </c>
      <c r="REJ21" s="229">
        <v>0</v>
      </c>
      <c r="REK21" s="229">
        <v>0</v>
      </c>
      <c r="REL21" s="229">
        <v>0</v>
      </c>
      <c r="REM21" s="229">
        <v>0</v>
      </c>
      <c r="REN21" s="229">
        <v>0</v>
      </c>
      <c r="REO21" s="229">
        <v>0</v>
      </c>
      <c r="REP21" s="229">
        <v>0</v>
      </c>
      <c r="REQ21" s="229">
        <v>0</v>
      </c>
      <c r="RER21" s="229">
        <v>0</v>
      </c>
      <c r="RES21" s="229">
        <v>0</v>
      </c>
      <c r="RET21" s="229">
        <v>0</v>
      </c>
      <c r="REU21" s="229">
        <v>0</v>
      </c>
      <c r="REV21" s="229">
        <v>0</v>
      </c>
      <c r="REW21" s="229">
        <v>0</v>
      </c>
      <c r="REX21" s="229">
        <v>0</v>
      </c>
      <c r="REY21" s="229">
        <v>0</v>
      </c>
      <c r="REZ21" s="229">
        <v>0</v>
      </c>
      <c r="RFA21" s="229">
        <v>0</v>
      </c>
      <c r="RFB21" s="229">
        <v>0</v>
      </c>
      <c r="RFC21" s="229">
        <v>0</v>
      </c>
      <c r="RFD21" s="229">
        <v>0</v>
      </c>
      <c r="RFE21" s="229">
        <v>0</v>
      </c>
      <c r="RFF21" s="229">
        <v>0</v>
      </c>
      <c r="RFG21" s="229">
        <v>0</v>
      </c>
      <c r="RFH21" s="229">
        <v>0</v>
      </c>
      <c r="RFI21" s="229">
        <v>0</v>
      </c>
      <c r="RFJ21" s="229">
        <v>0</v>
      </c>
      <c r="RFK21" s="229">
        <v>0</v>
      </c>
      <c r="RFL21" s="229">
        <v>0</v>
      </c>
      <c r="RFM21" s="229">
        <v>0</v>
      </c>
      <c r="RFN21" s="229">
        <v>0</v>
      </c>
      <c r="RFO21" s="229">
        <v>0</v>
      </c>
      <c r="RFP21" s="229">
        <v>0</v>
      </c>
      <c r="RFQ21" s="229">
        <v>0</v>
      </c>
      <c r="RFR21" s="229">
        <v>0</v>
      </c>
      <c r="RFS21" s="229">
        <v>0</v>
      </c>
      <c r="RFT21" s="229">
        <v>0</v>
      </c>
      <c r="RFU21" s="229">
        <v>0</v>
      </c>
      <c r="RFV21" s="229">
        <v>0</v>
      </c>
      <c r="RFW21" s="229">
        <v>0</v>
      </c>
      <c r="RFX21" s="229">
        <v>0</v>
      </c>
      <c r="RFY21" s="229">
        <v>0</v>
      </c>
      <c r="RFZ21" s="229">
        <v>0</v>
      </c>
      <c r="RGA21" s="229">
        <v>0</v>
      </c>
      <c r="RGB21" s="229">
        <v>0</v>
      </c>
      <c r="RGC21" s="229">
        <v>0</v>
      </c>
      <c r="RGD21" s="229">
        <v>0</v>
      </c>
      <c r="RGE21" s="229">
        <v>0</v>
      </c>
      <c r="RGF21" s="229">
        <v>0</v>
      </c>
      <c r="RGG21" s="229">
        <v>0</v>
      </c>
      <c r="RGH21" s="229">
        <v>0</v>
      </c>
      <c r="RGI21" s="229">
        <v>0</v>
      </c>
      <c r="RGJ21" s="229">
        <v>0</v>
      </c>
      <c r="RGK21" s="229">
        <v>0</v>
      </c>
      <c r="RGL21" s="229">
        <v>0</v>
      </c>
      <c r="RGM21" s="229">
        <v>0</v>
      </c>
      <c r="RGN21" s="229">
        <v>0</v>
      </c>
      <c r="RGO21" s="229">
        <v>0</v>
      </c>
      <c r="RGP21" s="229">
        <v>0</v>
      </c>
      <c r="RGQ21" s="229">
        <v>0</v>
      </c>
      <c r="RGR21" s="229">
        <v>0</v>
      </c>
      <c r="RGS21" s="229">
        <v>0</v>
      </c>
      <c r="RGT21" s="229">
        <v>0</v>
      </c>
      <c r="RGU21" s="229">
        <v>0</v>
      </c>
      <c r="RGV21" s="229">
        <v>0</v>
      </c>
      <c r="RGW21" s="229">
        <v>0</v>
      </c>
      <c r="RGX21" s="229">
        <v>0</v>
      </c>
      <c r="RGY21" s="229">
        <v>0</v>
      </c>
      <c r="RGZ21" s="229">
        <v>0</v>
      </c>
      <c r="RHA21" s="229">
        <v>0</v>
      </c>
      <c r="RHB21" s="229">
        <v>0</v>
      </c>
      <c r="RHC21" s="229">
        <v>0</v>
      </c>
      <c r="RHD21" s="229">
        <v>0</v>
      </c>
      <c r="RHE21" s="229">
        <v>0</v>
      </c>
      <c r="RHF21" s="229">
        <v>0</v>
      </c>
      <c r="RHG21" s="229">
        <v>0</v>
      </c>
      <c r="RHH21" s="229">
        <v>0</v>
      </c>
      <c r="RHI21" s="229">
        <v>0</v>
      </c>
      <c r="RHJ21" s="229">
        <v>0</v>
      </c>
      <c r="RHK21" s="229">
        <v>0</v>
      </c>
      <c r="RHL21" s="229">
        <v>0</v>
      </c>
      <c r="RHM21" s="229">
        <v>0</v>
      </c>
      <c r="RHN21" s="229">
        <v>0</v>
      </c>
      <c r="RHO21" s="229">
        <v>0</v>
      </c>
      <c r="RHP21" s="229">
        <v>0</v>
      </c>
      <c r="RHQ21" s="229">
        <v>0</v>
      </c>
      <c r="RHR21" s="229">
        <v>0</v>
      </c>
      <c r="RHS21" s="229">
        <v>0</v>
      </c>
      <c r="RHT21" s="229">
        <v>0</v>
      </c>
      <c r="RHU21" s="229">
        <v>0</v>
      </c>
      <c r="RHV21" s="229">
        <v>0</v>
      </c>
      <c r="RHW21" s="229">
        <v>0</v>
      </c>
      <c r="RHX21" s="229">
        <v>0</v>
      </c>
      <c r="RHY21" s="229">
        <v>0</v>
      </c>
      <c r="RHZ21" s="229">
        <v>0</v>
      </c>
      <c r="RIA21" s="229">
        <v>0</v>
      </c>
      <c r="RIB21" s="229">
        <v>0</v>
      </c>
      <c r="RIC21" s="229">
        <v>0</v>
      </c>
      <c r="RID21" s="229">
        <v>0</v>
      </c>
      <c r="RIE21" s="229">
        <v>0</v>
      </c>
      <c r="RIF21" s="229">
        <v>0</v>
      </c>
      <c r="RIG21" s="229">
        <v>0</v>
      </c>
      <c r="RIH21" s="229">
        <v>0</v>
      </c>
      <c r="RII21" s="229">
        <v>0</v>
      </c>
      <c r="RIJ21" s="229">
        <v>0</v>
      </c>
      <c r="RIK21" s="229">
        <v>0</v>
      </c>
      <c r="RIL21" s="229">
        <v>0</v>
      </c>
      <c r="RIM21" s="229">
        <v>0</v>
      </c>
      <c r="RIN21" s="229">
        <v>0</v>
      </c>
      <c r="RIO21" s="229">
        <v>0</v>
      </c>
      <c r="RIP21" s="229">
        <v>0</v>
      </c>
      <c r="RIQ21" s="229">
        <v>0</v>
      </c>
      <c r="RIR21" s="229">
        <v>0</v>
      </c>
      <c r="RIS21" s="229">
        <v>0</v>
      </c>
      <c r="RIT21" s="229">
        <v>0</v>
      </c>
      <c r="RIU21" s="229">
        <v>0</v>
      </c>
      <c r="RIV21" s="229">
        <v>0</v>
      </c>
      <c r="RIW21" s="229">
        <v>0</v>
      </c>
      <c r="RIX21" s="229">
        <v>0</v>
      </c>
      <c r="RIY21" s="229">
        <v>0</v>
      </c>
      <c r="RIZ21" s="229">
        <v>0</v>
      </c>
      <c r="RJA21" s="229">
        <v>0</v>
      </c>
      <c r="RJB21" s="229">
        <v>0</v>
      </c>
      <c r="RJC21" s="229">
        <v>0</v>
      </c>
      <c r="RJD21" s="229">
        <v>0</v>
      </c>
      <c r="RJE21" s="229">
        <v>0</v>
      </c>
      <c r="RJF21" s="229">
        <v>0</v>
      </c>
      <c r="RJG21" s="229">
        <v>0</v>
      </c>
      <c r="RJH21" s="229">
        <v>0</v>
      </c>
      <c r="RJI21" s="229">
        <v>0</v>
      </c>
      <c r="RJJ21" s="229">
        <v>0</v>
      </c>
      <c r="RJK21" s="229">
        <v>0</v>
      </c>
      <c r="RJL21" s="229">
        <v>0</v>
      </c>
      <c r="RJM21" s="229">
        <v>0</v>
      </c>
      <c r="RJN21" s="229">
        <v>0</v>
      </c>
      <c r="RJO21" s="229">
        <v>0</v>
      </c>
      <c r="RJP21" s="229">
        <v>0</v>
      </c>
      <c r="RJQ21" s="229">
        <v>0</v>
      </c>
      <c r="RJR21" s="229">
        <v>0</v>
      </c>
      <c r="RJS21" s="229">
        <v>0</v>
      </c>
      <c r="RJT21" s="229">
        <v>0</v>
      </c>
      <c r="RJU21" s="229">
        <v>0</v>
      </c>
      <c r="RJV21" s="229">
        <v>0</v>
      </c>
      <c r="RJW21" s="229">
        <v>0</v>
      </c>
      <c r="RJX21" s="229">
        <v>0</v>
      </c>
      <c r="RJY21" s="229">
        <v>0</v>
      </c>
      <c r="RJZ21" s="229">
        <v>0</v>
      </c>
      <c r="RKA21" s="229">
        <v>0</v>
      </c>
      <c r="RKB21" s="229">
        <v>0</v>
      </c>
      <c r="RKC21" s="229">
        <v>0</v>
      </c>
      <c r="RKD21" s="229">
        <v>0</v>
      </c>
      <c r="RKE21" s="229">
        <v>0</v>
      </c>
      <c r="RKF21" s="229">
        <v>0</v>
      </c>
      <c r="RKG21" s="229">
        <v>0</v>
      </c>
      <c r="RKH21" s="229">
        <v>0</v>
      </c>
      <c r="RKI21" s="229">
        <v>0</v>
      </c>
      <c r="RKJ21" s="229">
        <v>0</v>
      </c>
      <c r="RKK21" s="229">
        <v>0</v>
      </c>
      <c r="RKL21" s="229">
        <v>0</v>
      </c>
      <c r="RKM21" s="229">
        <v>0</v>
      </c>
      <c r="RKN21" s="229">
        <v>0</v>
      </c>
      <c r="RKO21" s="229">
        <v>0</v>
      </c>
      <c r="RKP21" s="229">
        <v>0</v>
      </c>
      <c r="RKQ21" s="229">
        <v>0</v>
      </c>
      <c r="RKR21" s="229">
        <v>0</v>
      </c>
      <c r="RKS21" s="229">
        <v>0</v>
      </c>
      <c r="RKT21" s="229">
        <v>0</v>
      </c>
      <c r="RKU21" s="229">
        <v>0</v>
      </c>
      <c r="RKV21" s="229">
        <v>0</v>
      </c>
      <c r="RKW21" s="229">
        <v>0</v>
      </c>
      <c r="RKX21" s="229">
        <v>0</v>
      </c>
      <c r="RKY21" s="229">
        <v>0</v>
      </c>
      <c r="RKZ21" s="229">
        <v>0</v>
      </c>
      <c r="RLA21" s="229">
        <v>0</v>
      </c>
      <c r="RLB21" s="229">
        <v>0</v>
      </c>
      <c r="RLC21" s="229">
        <v>0</v>
      </c>
      <c r="RLD21" s="229">
        <v>0</v>
      </c>
      <c r="RLE21" s="229">
        <v>0</v>
      </c>
      <c r="RLF21" s="229">
        <v>0</v>
      </c>
      <c r="RLG21" s="229">
        <v>0</v>
      </c>
      <c r="RLH21" s="229">
        <v>0</v>
      </c>
      <c r="RLI21" s="229">
        <v>0</v>
      </c>
      <c r="RLJ21" s="229">
        <v>0</v>
      </c>
      <c r="RLK21" s="229">
        <v>0</v>
      </c>
      <c r="RLL21" s="229">
        <v>0</v>
      </c>
      <c r="RLM21" s="229">
        <v>0</v>
      </c>
      <c r="RLN21" s="229">
        <v>0</v>
      </c>
      <c r="RLO21" s="229">
        <v>0</v>
      </c>
      <c r="RLP21" s="229">
        <v>0</v>
      </c>
      <c r="RLQ21" s="229">
        <v>0</v>
      </c>
      <c r="RLR21" s="229">
        <v>0</v>
      </c>
      <c r="RLS21" s="229">
        <v>0</v>
      </c>
      <c r="RLT21" s="229">
        <v>0</v>
      </c>
      <c r="RLU21" s="229">
        <v>0</v>
      </c>
      <c r="RLV21" s="229">
        <v>0</v>
      </c>
      <c r="RLW21" s="229">
        <v>0</v>
      </c>
      <c r="RLX21" s="229">
        <v>0</v>
      </c>
      <c r="RLY21" s="229">
        <v>0</v>
      </c>
      <c r="RLZ21" s="229">
        <v>0</v>
      </c>
      <c r="RMA21" s="229">
        <v>0</v>
      </c>
      <c r="RMB21" s="229">
        <v>0</v>
      </c>
      <c r="RMC21" s="229">
        <v>0</v>
      </c>
      <c r="RMD21" s="229">
        <v>0</v>
      </c>
      <c r="RME21" s="229">
        <v>0</v>
      </c>
      <c r="RMF21" s="229">
        <v>0</v>
      </c>
      <c r="RMG21" s="229">
        <v>0</v>
      </c>
      <c r="RMH21" s="229">
        <v>0</v>
      </c>
      <c r="RMI21" s="229">
        <v>0</v>
      </c>
      <c r="RMJ21" s="229">
        <v>0</v>
      </c>
      <c r="RMK21" s="229">
        <v>0</v>
      </c>
      <c r="RML21" s="229">
        <v>0</v>
      </c>
      <c r="RMM21" s="229">
        <v>0</v>
      </c>
      <c r="RMN21" s="229">
        <v>0</v>
      </c>
      <c r="RMO21" s="229">
        <v>0</v>
      </c>
      <c r="RMP21" s="229">
        <v>0</v>
      </c>
      <c r="RMQ21" s="229">
        <v>0</v>
      </c>
      <c r="RMR21" s="229">
        <v>0</v>
      </c>
      <c r="RMS21" s="229">
        <v>0</v>
      </c>
      <c r="RMT21" s="229">
        <v>0</v>
      </c>
      <c r="RMU21" s="229">
        <v>0</v>
      </c>
      <c r="RMV21" s="229">
        <v>0</v>
      </c>
      <c r="RMW21" s="229">
        <v>0</v>
      </c>
      <c r="RMX21" s="229">
        <v>0</v>
      </c>
      <c r="RMY21" s="229">
        <v>0</v>
      </c>
      <c r="RMZ21" s="229">
        <v>0</v>
      </c>
      <c r="RNA21" s="229">
        <v>0</v>
      </c>
      <c r="RNB21" s="229">
        <v>0</v>
      </c>
      <c r="RNC21" s="229">
        <v>0</v>
      </c>
      <c r="RND21" s="229">
        <v>0</v>
      </c>
      <c r="RNE21" s="229">
        <v>0</v>
      </c>
      <c r="RNF21" s="229">
        <v>0</v>
      </c>
      <c r="RNG21" s="229">
        <v>0</v>
      </c>
      <c r="RNH21" s="229">
        <v>0</v>
      </c>
      <c r="RNI21" s="229">
        <v>0</v>
      </c>
      <c r="RNJ21" s="229">
        <v>0</v>
      </c>
      <c r="RNK21" s="229">
        <v>0</v>
      </c>
      <c r="RNL21" s="229">
        <v>0</v>
      </c>
      <c r="RNM21" s="229">
        <v>0</v>
      </c>
      <c r="RNN21" s="229">
        <v>0</v>
      </c>
      <c r="RNO21" s="229">
        <v>0</v>
      </c>
      <c r="RNP21" s="229">
        <v>0</v>
      </c>
      <c r="RNQ21" s="229">
        <v>0</v>
      </c>
      <c r="RNR21" s="229">
        <v>0</v>
      </c>
      <c r="RNS21" s="229">
        <v>0</v>
      </c>
      <c r="RNT21" s="229">
        <v>0</v>
      </c>
      <c r="RNU21" s="229">
        <v>0</v>
      </c>
      <c r="RNV21" s="229">
        <v>0</v>
      </c>
      <c r="RNW21" s="229">
        <v>0</v>
      </c>
      <c r="RNX21" s="229">
        <v>0</v>
      </c>
      <c r="RNY21" s="229">
        <v>0</v>
      </c>
      <c r="RNZ21" s="229">
        <v>0</v>
      </c>
      <c r="ROA21" s="229">
        <v>0</v>
      </c>
      <c r="ROB21" s="229">
        <v>0</v>
      </c>
      <c r="ROC21" s="229">
        <v>0</v>
      </c>
      <c r="ROD21" s="229">
        <v>0</v>
      </c>
      <c r="ROE21" s="229">
        <v>0</v>
      </c>
      <c r="ROF21" s="229">
        <v>0</v>
      </c>
      <c r="ROG21" s="229">
        <v>0</v>
      </c>
      <c r="ROH21" s="229">
        <v>0</v>
      </c>
      <c r="ROI21" s="229">
        <v>0</v>
      </c>
      <c r="ROJ21" s="229">
        <v>0</v>
      </c>
      <c r="ROK21" s="229">
        <v>0</v>
      </c>
      <c r="ROL21" s="229">
        <v>0</v>
      </c>
      <c r="ROM21" s="229">
        <v>0</v>
      </c>
      <c r="RON21" s="229">
        <v>0</v>
      </c>
      <c r="ROO21" s="229">
        <v>0</v>
      </c>
      <c r="ROP21" s="229">
        <v>0</v>
      </c>
      <c r="ROQ21" s="229">
        <v>0</v>
      </c>
      <c r="ROR21" s="229">
        <v>0</v>
      </c>
      <c r="ROS21" s="229">
        <v>0</v>
      </c>
      <c r="ROT21" s="229">
        <v>0</v>
      </c>
      <c r="ROU21" s="229">
        <v>0</v>
      </c>
      <c r="ROV21" s="229">
        <v>0</v>
      </c>
      <c r="ROW21" s="229">
        <v>0</v>
      </c>
      <c r="ROX21" s="229">
        <v>0</v>
      </c>
      <c r="ROY21" s="229">
        <v>0</v>
      </c>
      <c r="ROZ21" s="229">
        <v>0</v>
      </c>
      <c r="RPA21" s="229">
        <v>0</v>
      </c>
      <c r="RPB21" s="229">
        <v>0</v>
      </c>
      <c r="RPC21" s="229">
        <v>0</v>
      </c>
      <c r="RPD21" s="229">
        <v>0</v>
      </c>
      <c r="RPE21" s="229">
        <v>0</v>
      </c>
      <c r="RPF21" s="229">
        <v>0</v>
      </c>
      <c r="RPG21" s="229">
        <v>0</v>
      </c>
      <c r="RPH21" s="229">
        <v>0</v>
      </c>
      <c r="RPI21" s="229">
        <v>0</v>
      </c>
      <c r="RPJ21" s="229">
        <v>0</v>
      </c>
      <c r="RPK21" s="229">
        <v>0</v>
      </c>
      <c r="RPL21" s="229">
        <v>0</v>
      </c>
      <c r="RPM21" s="229">
        <v>0</v>
      </c>
      <c r="RPN21" s="229">
        <v>0</v>
      </c>
      <c r="RPO21" s="229">
        <v>0</v>
      </c>
      <c r="RPP21" s="229">
        <v>0</v>
      </c>
      <c r="RPQ21" s="229">
        <v>0</v>
      </c>
      <c r="RPR21" s="229">
        <v>0</v>
      </c>
      <c r="RPS21" s="229">
        <v>0</v>
      </c>
      <c r="RPT21" s="229">
        <v>0</v>
      </c>
      <c r="RPU21" s="229">
        <v>0</v>
      </c>
      <c r="RPV21" s="229">
        <v>0</v>
      </c>
      <c r="RPW21" s="229">
        <v>0</v>
      </c>
      <c r="RPX21" s="229">
        <v>0</v>
      </c>
      <c r="RPY21" s="229">
        <v>0</v>
      </c>
      <c r="RPZ21" s="229">
        <v>0</v>
      </c>
      <c r="RQA21" s="229">
        <v>0</v>
      </c>
      <c r="RQB21" s="229">
        <v>0</v>
      </c>
      <c r="RQC21" s="229">
        <v>0</v>
      </c>
      <c r="RQD21" s="229">
        <v>0</v>
      </c>
      <c r="RQE21" s="229">
        <v>0</v>
      </c>
      <c r="RQF21" s="229">
        <v>0</v>
      </c>
      <c r="RQG21" s="229">
        <v>0</v>
      </c>
      <c r="RQH21" s="229">
        <v>0</v>
      </c>
      <c r="RQI21" s="229">
        <v>0</v>
      </c>
      <c r="RQJ21" s="229">
        <v>0</v>
      </c>
      <c r="RQK21" s="229">
        <v>0</v>
      </c>
      <c r="RQL21" s="229">
        <v>0</v>
      </c>
      <c r="RQM21" s="229">
        <v>0</v>
      </c>
      <c r="RQN21" s="229">
        <v>0</v>
      </c>
      <c r="RQO21" s="229">
        <v>0</v>
      </c>
      <c r="RQP21" s="229">
        <v>0</v>
      </c>
      <c r="RQQ21" s="229">
        <v>0</v>
      </c>
      <c r="RQR21" s="229">
        <v>0</v>
      </c>
      <c r="RQS21" s="229">
        <v>0</v>
      </c>
      <c r="RQT21" s="229">
        <v>0</v>
      </c>
      <c r="RQU21" s="229">
        <v>0</v>
      </c>
      <c r="RQV21" s="229">
        <v>0</v>
      </c>
      <c r="RQW21" s="229">
        <v>0</v>
      </c>
      <c r="RQX21" s="229">
        <v>0</v>
      </c>
      <c r="RQY21" s="229">
        <v>0</v>
      </c>
      <c r="RQZ21" s="229">
        <v>0</v>
      </c>
      <c r="RRA21" s="229">
        <v>0</v>
      </c>
      <c r="RRB21" s="229">
        <v>0</v>
      </c>
      <c r="RRC21" s="229">
        <v>0</v>
      </c>
      <c r="RRD21" s="229">
        <v>0</v>
      </c>
      <c r="RRE21" s="229">
        <v>0</v>
      </c>
      <c r="RRF21" s="229">
        <v>0</v>
      </c>
      <c r="RRG21" s="229">
        <v>0</v>
      </c>
      <c r="RRH21" s="229">
        <v>0</v>
      </c>
      <c r="RRI21" s="229">
        <v>0</v>
      </c>
      <c r="RRJ21" s="229">
        <v>0</v>
      </c>
      <c r="RRK21" s="229">
        <v>0</v>
      </c>
      <c r="RRL21" s="229">
        <v>0</v>
      </c>
      <c r="RRM21" s="229">
        <v>0</v>
      </c>
      <c r="RRN21" s="229">
        <v>0</v>
      </c>
      <c r="RRO21" s="229">
        <v>0</v>
      </c>
      <c r="RRP21" s="229">
        <v>0</v>
      </c>
      <c r="RRQ21" s="229">
        <v>0</v>
      </c>
      <c r="RRR21" s="229">
        <v>0</v>
      </c>
      <c r="RRS21" s="229">
        <v>0</v>
      </c>
      <c r="RRT21" s="229">
        <v>0</v>
      </c>
      <c r="RRU21" s="229">
        <v>0</v>
      </c>
      <c r="RRV21" s="229">
        <v>0</v>
      </c>
      <c r="RRW21" s="229">
        <v>0</v>
      </c>
      <c r="RRX21" s="229">
        <v>0</v>
      </c>
      <c r="RRY21" s="229">
        <v>0</v>
      </c>
      <c r="RRZ21" s="229">
        <v>0</v>
      </c>
      <c r="RSA21" s="229">
        <v>0</v>
      </c>
      <c r="RSB21" s="229">
        <v>0</v>
      </c>
      <c r="RSC21" s="229">
        <v>0</v>
      </c>
      <c r="RSD21" s="229">
        <v>0</v>
      </c>
      <c r="RSE21" s="229">
        <v>0</v>
      </c>
      <c r="RSF21" s="229">
        <v>0</v>
      </c>
      <c r="RSG21" s="229">
        <v>0</v>
      </c>
      <c r="RSH21" s="229">
        <v>0</v>
      </c>
      <c r="RSI21" s="229">
        <v>0</v>
      </c>
      <c r="RSJ21" s="229">
        <v>0</v>
      </c>
      <c r="RSK21" s="229">
        <v>0</v>
      </c>
      <c r="RSL21" s="229">
        <v>0</v>
      </c>
      <c r="RSM21" s="229">
        <v>0</v>
      </c>
      <c r="RSN21" s="229">
        <v>0</v>
      </c>
      <c r="RSO21" s="229">
        <v>0</v>
      </c>
      <c r="RSP21" s="229">
        <v>0</v>
      </c>
      <c r="RSQ21" s="229">
        <v>0</v>
      </c>
      <c r="RSR21" s="229">
        <v>0</v>
      </c>
      <c r="RSS21" s="229">
        <v>0</v>
      </c>
      <c r="RST21" s="229">
        <v>0</v>
      </c>
      <c r="RSU21" s="229">
        <v>0</v>
      </c>
      <c r="RSV21" s="229">
        <v>0</v>
      </c>
      <c r="RSW21" s="229">
        <v>0</v>
      </c>
      <c r="RSX21" s="229">
        <v>0</v>
      </c>
      <c r="RSY21" s="229">
        <v>0</v>
      </c>
      <c r="RSZ21" s="229">
        <v>0</v>
      </c>
      <c r="RTA21" s="229">
        <v>0</v>
      </c>
      <c r="RTB21" s="229">
        <v>0</v>
      </c>
      <c r="RTC21" s="229">
        <v>0</v>
      </c>
      <c r="RTD21" s="229">
        <v>0</v>
      </c>
      <c r="RTE21" s="229">
        <v>0</v>
      </c>
      <c r="RTF21" s="229">
        <v>0</v>
      </c>
      <c r="RTG21" s="229">
        <v>0</v>
      </c>
      <c r="RTH21" s="229">
        <v>0</v>
      </c>
      <c r="RTI21" s="229">
        <v>0</v>
      </c>
      <c r="RTJ21" s="229">
        <v>0</v>
      </c>
      <c r="RTK21" s="229">
        <v>0</v>
      </c>
      <c r="RTL21" s="229">
        <v>0</v>
      </c>
      <c r="RTM21" s="229">
        <v>0</v>
      </c>
      <c r="RTN21" s="229">
        <v>0</v>
      </c>
      <c r="RTO21" s="229">
        <v>0</v>
      </c>
      <c r="RTP21" s="229">
        <v>0</v>
      </c>
      <c r="RTQ21" s="229">
        <v>0</v>
      </c>
      <c r="RTR21" s="229">
        <v>0</v>
      </c>
      <c r="RTS21" s="229">
        <v>0</v>
      </c>
      <c r="RTT21" s="229">
        <v>0</v>
      </c>
      <c r="RTU21" s="229">
        <v>0</v>
      </c>
      <c r="RTV21" s="229">
        <v>0</v>
      </c>
      <c r="RTW21" s="229">
        <v>0</v>
      </c>
      <c r="RTX21" s="229">
        <v>0</v>
      </c>
      <c r="RTY21" s="229">
        <v>0</v>
      </c>
      <c r="RTZ21" s="229">
        <v>0</v>
      </c>
      <c r="RUA21" s="229">
        <v>0</v>
      </c>
      <c r="RUB21" s="229">
        <v>0</v>
      </c>
      <c r="RUC21" s="229">
        <v>0</v>
      </c>
      <c r="RUD21" s="229">
        <v>0</v>
      </c>
      <c r="RUE21" s="229">
        <v>0</v>
      </c>
      <c r="RUF21" s="229">
        <v>0</v>
      </c>
      <c r="RUG21" s="229">
        <v>0</v>
      </c>
      <c r="RUH21" s="229">
        <v>0</v>
      </c>
      <c r="RUI21" s="229">
        <v>0</v>
      </c>
      <c r="RUJ21" s="229">
        <v>0</v>
      </c>
      <c r="RUK21" s="229">
        <v>0</v>
      </c>
      <c r="RUL21" s="229">
        <v>0</v>
      </c>
      <c r="RUM21" s="229">
        <v>0</v>
      </c>
      <c r="RUN21" s="229">
        <v>0</v>
      </c>
      <c r="RUO21" s="229">
        <v>0</v>
      </c>
      <c r="RUP21" s="229">
        <v>0</v>
      </c>
      <c r="RUQ21" s="229">
        <v>0</v>
      </c>
      <c r="RUR21" s="229">
        <v>0</v>
      </c>
      <c r="RUS21" s="229">
        <v>0</v>
      </c>
      <c r="RUT21" s="229">
        <v>0</v>
      </c>
      <c r="RUU21" s="229">
        <v>0</v>
      </c>
      <c r="RUV21" s="229">
        <v>0</v>
      </c>
      <c r="RUW21" s="229">
        <v>0</v>
      </c>
      <c r="RUX21" s="229">
        <v>0</v>
      </c>
      <c r="RUY21" s="229">
        <v>0</v>
      </c>
      <c r="RUZ21" s="229">
        <v>0</v>
      </c>
      <c r="RVA21" s="229">
        <v>0</v>
      </c>
      <c r="RVB21" s="229">
        <v>0</v>
      </c>
      <c r="RVC21" s="229">
        <v>0</v>
      </c>
      <c r="RVD21" s="229">
        <v>0</v>
      </c>
      <c r="RVE21" s="229">
        <v>0</v>
      </c>
      <c r="RVF21" s="229">
        <v>0</v>
      </c>
      <c r="RVG21" s="229">
        <v>0</v>
      </c>
      <c r="RVH21" s="229">
        <v>0</v>
      </c>
      <c r="RVI21" s="229">
        <v>0</v>
      </c>
      <c r="RVJ21" s="229">
        <v>0</v>
      </c>
      <c r="RVK21" s="229">
        <v>0</v>
      </c>
      <c r="RVL21" s="229">
        <v>0</v>
      </c>
      <c r="RVM21" s="229">
        <v>0</v>
      </c>
      <c r="RVN21" s="229">
        <v>0</v>
      </c>
      <c r="RVO21" s="229">
        <v>0</v>
      </c>
      <c r="RVP21" s="229">
        <v>0</v>
      </c>
      <c r="RVQ21" s="229">
        <v>0</v>
      </c>
      <c r="RVR21" s="229">
        <v>0</v>
      </c>
      <c r="RVS21" s="229">
        <v>0</v>
      </c>
      <c r="RVT21" s="229">
        <v>0</v>
      </c>
      <c r="RVU21" s="229">
        <v>0</v>
      </c>
      <c r="RVV21" s="229">
        <v>0</v>
      </c>
      <c r="RVW21" s="229">
        <v>0</v>
      </c>
      <c r="RVX21" s="229">
        <v>0</v>
      </c>
      <c r="RVY21" s="229">
        <v>0</v>
      </c>
      <c r="RVZ21" s="229">
        <v>0</v>
      </c>
      <c r="RWA21" s="229">
        <v>0</v>
      </c>
      <c r="RWB21" s="229">
        <v>0</v>
      </c>
      <c r="RWC21" s="229">
        <v>0</v>
      </c>
      <c r="RWD21" s="229">
        <v>0</v>
      </c>
      <c r="RWE21" s="229">
        <v>0</v>
      </c>
      <c r="RWF21" s="229">
        <v>0</v>
      </c>
      <c r="RWG21" s="229">
        <v>0</v>
      </c>
      <c r="RWH21" s="229">
        <v>0</v>
      </c>
      <c r="RWI21" s="229">
        <v>0</v>
      </c>
      <c r="RWJ21" s="229">
        <v>0</v>
      </c>
      <c r="RWK21" s="229">
        <v>0</v>
      </c>
      <c r="RWL21" s="229">
        <v>0</v>
      </c>
      <c r="RWM21" s="229">
        <v>0</v>
      </c>
      <c r="RWN21" s="229">
        <v>0</v>
      </c>
      <c r="RWO21" s="229">
        <v>0</v>
      </c>
      <c r="RWP21" s="229">
        <v>0</v>
      </c>
      <c r="RWQ21" s="229">
        <v>0</v>
      </c>
      <c r="RWR21" s="229">
        <v>0</v>
      </c>
      <c r="RWS21" s="229">
        <v>0</v>
      </c>
      <c r="RWT21" s="229">
        <v>0</v>
      </c>
      <c r="RWU21" s="229">
        <v>0</v>
      </c>
      <c r="RWV21" s="229">
        <v>0</v>
      </c>
      <c r="RWW21" s="229">
        <v>0</v>
      </c>
      <c r="RWX21" s="229">
        <v>0</v>
      </c>
      <c r="RWY21" s="229">
        <v>0</v>
      </c>
      <c r="RWZ21" s="229">
        <v>0</v>
      </c>
      <c r="RXA21" s="229">
        <v>0</v>
      </c>
      <c r="RXB21" s="229">
        <v>0</v>
      </c>
      <c r="RXC21" s="229">
        <v>0</v>
      </c>
      <c r="RXD21" s="229">
        <v>0</v>
      </c>
      <c r="RXE21" s="229">
        <v>0</v>
      </c>
      <c r="RXF21" s="229">
        <v>0</v>
      </c>
      <c r="RXG21" s="229">
        <v>0</v>
      </c>
      <c r="RXH21" s="229">
        <v>0</v>
      </c>
      <c r="RXI21" s="229">
        <v>0</v>
      </c>
      <c r="RXJ21" s="229">
        <v>0</v>
      </c>
      <c r="RXK21" s="229">
        <v>0</v>
      </c>
      <c r="RXL21" s="229">
        <v>0</v>
      </c>
      <c r="RXM21" s="229">
        <v>0</v>
      </c>
      <c r="RXN21" s="229">
        <v>0</v>
      </c>
      <c r="RXO21" s="229">
        <v>0</v>
      </c>
      <c r="RXP21" s="229">
        <v>0</v>
      </c>
      <c r="RXQ21" s="229">
        <v>0</v>
      </c>
      <c r="RXR21" s="229">
        <v>0</v>
      </c>
      <c r="RXS21" s="229">
        <v>0</v>
      </c>
      <c r="RXT21" s="229">
        <v>0</v>
      </c>
      <c r="RXU21" s="229">
        <v>0</v>
      </c>
      <c r="RXV21" s="229">
        <v>0</v>
      </c>
      <c r="RXW21" s="229">
        <v>0</v>
      </c>
      <c r="RXX21" s="229">
        <v>0</v>
      </c>
      <c r="RXY21" s="229">
        <v>0</v>
      </c>
      <c r="RXZ21" s="229">
        <v>0</v>
      </c>
      <c r="RYA21" s="229">
        <v>0</v>
      </c>
      <c r="RYB21" s="229">
        <v>0</v>
      </c>
      <c r="RYC21" s="229">
        <v>0</v>
      </c>
      <c r="RYD21" s="229">
        <v>0</v>
      </c>
      <c r="RYE21" s="229">
        <v>0</v>
      </c>
      <c r="RYF21" s="229">
        <v>0</v>
      </c>
      <c r="RYG21" s="229">
        <v>0</v>
      </c>
      <c r="RYH21" s="229">
        <v>0</v>
      </c>
      <c r="RYI21" s="229">
        <v>0</v>
      </c>
      <c r="RYJ21" s="229">
        <v>0</v>
      </c>
      <c r="RYK21" s="229">
        <v>0</v>
      </c>
      <c r="RYL21" s="229">
        <v>0</v>
      </c>
      <c r="RYM21" s="229">
        <v>0</v>
      </c>
      <c r="RYN21" s="229">
        <v>0</v>
      </c>
      <c r="RYO21" s="229">
        <v>0</v>
      </c>
      <c r="RYP21" s="229">
        <v>0</v>
      </c>
      <c r="RYQ21" s="229">
        <v>0</v>
      </c>
      <c r="RYR21" s="229">
        <v>0</v>
      </c>
      <c r="RYS21" s="229">
        <v>0</v>
      </c>
      <c r="RYT21" s="229">
        <v>0</v>
      </c>
      <c r="RYU21" s="229">
        <v>0</v>
      </c>
      <c r="RYV21" s="229">
        <v>0</v>
      </c>
      <c r="RYW21" s="229">
        <v>0</v>
      </c>
      <c r="RYX21" s="229">
        <v>0</v>
      </c>
      <c r="RYY21" s="229">
        <v>0</v>
      </c>
      <c r="RYZ21" s="229">
        <v>0</v>
      </c>
      <c r="RZA21" s="229">
        <v>0</v>
      </c>
      <c r="RZB21" s="229">
        <v>0</v>
      </c>
      <c r="RZC21" s="229">
        <v>0</v>
      </c>
      <c r="RZD21" s="229">
        <v>0</v>
      </c>
      <c r="RZE21" s="229">
        <v>0</v>
      </c>
      <c r="RZF21" s="229">
        <v>0</v>
      </c>
      <c r="RZG21" s="229">
        <v>0</v>
      </c>
      <c r="RZH21" s="229">
        <v>0</v>
      </c>
      <c r="RZI21" s="229">
        <v>0</v>
      </c>
      <c r="RZJ21" s="229">
        <v>0</v>
      </c>
      <c r="RZK21" s="229">
        <v>0</v>
      </c>
      <c r="RZL21" s="229">
        <v>0</v>
      </c>
      <c r="RZM21" s="229">
        <v>0</v>
      </c>
      <c r="RZN21" s="229">
        <v>0</v>
      </c>
      <c r="RZO21" s="229">
        <v>0</v>
      </c>
      <c r="RZP21" s="229">
        <v>0</v>
      </c>
      <c r="RZQ21" s="229">
        <v>0</v>
      </c>
      <c r="RZR21" s="229">
        <v>0</v>
      </c>
      <c r="RZS21" s="229">
        <v>0</v>
      </c>
      <c r="RZT21" s="229">
        <v>0</v>
      </c>
      <c r="RZU21" s="229">
        <v>0</v>
      </c>
      <c r="RZV21" s="229">
        <v>0</v>
      </c>
      <c r="RZW21" s="229">
        <v>0</v>
      </c>
      <c r="RZX21" s="229">
        <v>0</v>
      </c>
      <c r="RZY21" s="229">
        <v>0</v>
      </c>
      <c r="RZZ21" s="229">
        <v>0</v>
      </c>
      <c r="SAA21" s="229">
        <v>0</v>
      </c>
      <c r="SAB21" s="229">
        <v>0</v>
      </c>
      <c r="SAC21" s="229">
        <v>0</v>
      </c>
      <c r="SAD21" s="229">
        <v>0</v>
      </c>
      <c r="SAE21" s="229">
        <v>0</v>
      </c>
      <c r="SAF21" s="229">
        <v>0</v>
      </c>
      <c r="SAG21" s="229">
        <v>0</v>
      </c>
      <c r="SAH21" s="229">
        <v>0</v>
      </c>
      <c r="SAI21" s="229">
        <v>0</v>
      </c>
      <c r="SAJ21" s="229">
        <v>0</v>
      </c>
      <c r="SAK21" s="229">
        <v>0</v>
      </c>
      <c r="SAL21" s="229">
        <v>0</v>
      </c>
      <c r="SAM21" s="229">
        <v>0</v>
      </c>
      <c r="SAN21" s="229">
        <v>0</v>
      </c>
      <c r="SAO21" s="229">
        <v>0</v>
      </c>
      <c r="SAP21" s="229">
        <v>0</v>
      </c>
      <c r="SAQ21" s="229">
        <v>0</v>
      </c>
      <c r="SAR21" s="229">
        <v>0</v>
      </c>
      <c r="SAS21" s="229">
        <v>0</v>
      </c>
      <c r="SAT21" s="229">
        <v>0</v>
      </c>
      <c r="SAU21" s="229">
        <v>0</v>
      </c>
      <c r="SAV21" s="229">
        <v>0</v>
      </c>
      <c r="SAW21" s="229">
        <v>0</v>
      </c>
      <c r="SAX21" s="229">
        <v>0</v>
      </c>
      <c r="SAY21" s="229">
        <v>0</v>
      </c>
      <c r="SAZ21" s="229">
        <v>0</v>
      </c>
      <c r="SBA21" s="229">
        <v>0</v>
      </c>
      <c r="SBB21" s="229">
        <v>0</v>
      </c>
      <c r="SBC21" s="229">
        <v>0</v>
      </c>
      <c r="SBD21" s="229">
        <v>0</v>
      </c>
      <c r="SBE21" s="229">
        <v>0</v>
      </c>
      <c r="SBF21" s="229">
        <v>0</v>
      </c>
      <c r="SBG21" s="229">
        <v>0</v>
      </c>
      <c r="SBH21" s="229">
        <v>0</v>
      </c>
      <c r="SBI21" s="229">
        <v>0</v>
      </c>
      <c r="SBJ21" s="229">
        <v>0</v>
      </c>
      <c r="SBK21" s="229">
        <v>0</v>
      </c>
      <c r="SBL21" s="229">
        <v>0</v>
      </c>
      <c r="SBM21" s="229">
        <v>0</v>
      </c>
      <c r="SBN21" s="229">
        <v>0</v>
      </c>
      <c r="SBO21" s="229">
        <v>0</v>
      </c>
      <c r="SBP21" s="229">
        <v>0</v>
      </c>
      <c r="SBQ21" s="229">
        <v>0</v>
      </c>
      <c r="SBR21" s="229">
        <v>0</v>
      </c>
      <c r="SBS21" s="229">
        <v>0</v>
      </c>
      <c r="SBT21" s="229">
        <v>0</v>
      </c>
      <c r="SBU21" s="229">
        <v>0</v>
      </c>
      <c r="SBV21" s="229">
        <v>0</v>
      </c>
      <c r="SBW21" s="229">
        <v>0</v>
      </c>
      <c r="SBX21" s="229">
        <v>0</v>
      </c>
      <c r="SBY21" s="229">
        <v>0</v>
      </c>
      <c r="SBZ21" s="229">
        <v>0</v>
      </c>
      <c r="SCA21" s="229">
        <v>0</v>
      </c>
      <c r="SCB21" s="229">
        <v>0</v>
      </c>
      <c r="SCC21" s="229">
        <v>0</v>
      </c>
      <c r="SCD21" s="229">
        <v>0</v>
      </c>
      <c r="SCE21" s="229">
        <v>0</v>
      </c>
      <c r="SCF21" s="229">
        <v>0</v>
      </c>
      <c r="SCG21" s="229">
        <v>0</v>
      </c>
      <c r="SCH21" s="229">
        <v>0</v>
      </c>
      <c r="SCI21" s="229">
        <v>0</v>
      </c>
      <c r="SCJ21" s="229">
        <v>0</v>
      </c>
      <c r="SCK21" s="229">
        <v>0</v>
      </c>
      <c r="SCL21" s="229">
        <v>0</v>
      </c>
      <c r="SCM21" s="229">
        <v>0</v>
      </c>
      <c r="SCN21" s="229">
        <v>0</v>
      </c>
      <c r="SCO21" s="229">
        <v>0</v>
      </c>
      <c r="SCP21" s="229">
        <v>0</v>
      </c>
      <c r="SCQ21" s="229">
        <v>0</v>
      </c>
      <c r="SCR21" s="229">
        <v>0</v>
      </c>
      <c r="SCS21" s="229">
        <v>0</v>
      </c>
      <c r="SCT21" s="229">
        <v>0</v>
      </c>
      <c r="SCU21" s="229">
        <v>0</v>
      </c>
      <c r="SCV21" s="229">
        <v>0</v>
      </c>
      <c r="SCW21" s="229">
        <v>0</v>
      </c>
      <c r="SCX21" s="229">
        <v>0</v>
      </c>
      <c r="SCY21" s="229">
        <v>0</v>
      </c>
      <c r="SCZ21" s="229">
        <v>0</v>
      </c>
      <c r="SDA21" s="229">
        <v>0</v>
      </c>
      <c r="SDB21" s="229">
        <v>0</v>
      </c>
      <c r="SDC21" s="229">
        <v>0</v>
      </c>
      <c r="SDD21" s="229">
        <v>0</v>
      </c>
      <c r="SDE21" s="229">
        <v>0</v>
      </c>
      <c r="SDF21" s="229">
        <v>0</v>
      </c>
      <c r="SDG21" s="229">
        <v>0</v>
      </c>
      <c r="SDH21" s="229">
        <v>0</v>
      </c>
      <c r="SDI21" s="229">
        <v>0</v>
      </c>
      <c r="SDJ21" s="229">
        <v>0</v>
      </c>
      <c r="SDK21" s="229">
        <v>0</v>
      </c>
      <c r="SDL21" s="229">
        <v>0</v>
      </c>
      <c r="SDM21" s="229">
        <v>0</v>
      </c>
      <c r="SDN21" s="229">
        <v>0</v>
      </c>
      <c r="SDO21" s="229">
        <v>0</v>
      </c>
      <c r="SDP21" s="229">
        <v>0</v>
      </c>
      <c r="SDQ21" s="229">
        <v>0</v>
      </c>
      <c r="SDR21" s="229">
        <v>0</v>
      </c>
      <c r="SDS21" s="229">
        <v>0</v>
      </c>
      <c r="SDT21" s="229">
        <v>0</v>
      </c>
      <c r="SDU21" s="229">
        <v>0</v>
      </c>
      <c r="SDV21" s="229">
        <v>0</v>
      </c>
      <c r="SDW21" s="229">
        <v>0</v>
      </c>
      <c r="SDX21" s="229">
        <v>0</v>
      </c>
      <c r="SDY21" s="229">
        <v>0</v>
      </c>
      <c r="SDZ21" s="229">
        <v>0</v>
      </c>
      <c r="SEA21" s="229">
        <v>0</v>
      </c>
      <c r="SEB21" s="229">
        <v>0</v>
      </c>
      <c r="SEC21" s="229">
        <v>0</v>
      </c>
      <c r="SED21" s="229">
        <v>0</v>
      </c>
      <c r="SEE21" s="229">
        <v>0</v>
      </c>
      <c r="SEF21" s="229">
        <v>0</v>
      </c>
      <c r="SEG21" s="229">
        <v>0</v>
      </c>
      <c r="SEH21" s="229">
        <v>0</v>
      </c>
      <c r="SEI21" s="229">
        <v>0</v>
      </c>
      <c r="SEJ21" s="229">
        <v>0</v>
      </c>
      <c r="SEK21" s="229">
        <v>0</v>
      </c>
      <c r="SEL21" s="229">
        <v>0</v>
      </c>
      <c r="SEM21" s="229">
        <v>0</v>
      </c>
      <c r="SEN21" s="229">
        <v>0</v>
      </c>
      <c r="SEO21" s="229">
        <v>0</v>
      </c>
      <c r="SEP21" s="229">
        <v>0</v>
      </c>
      <c r="SEQ21" s="229">
        <v>0</v>
      </c>
      <c r="SER21" s="229">
        <v>0</v>
      </c>
      <c r="SES21" s="229">
        <v>0</v>
      </c>
      <c r="SET21" s="229">
        <v>0</v>
      </c>
      <c r="SEU21" s="229">
        <v>0</v>
      </c>
      <c r="SEV21" s="229">
        <v>0</v>
      </c>
      <c r="SEW21" s="229">
        <v>0</v>
      </c>
      <c r="SEX21" s="229">
        <v>0</v>
      </c>
      <c r="SEY21" s="229">
        <v>0</v>
      </c>
      <c r="SEZ21" s="229">
        <v>0</v>
      </c>
      <c r="SFA21" s="229">
        <v>0</v>
      </c>
      <c r="SFB21" s="229">
        <v>0</v>
      </c>
      <c r="SFC21" s="229">
        <v>0</v>
      </c>
      <c r="SFD21" s="229">
        <v>0</v>
      </c>
      <c r="SFE21" s="229">
        <v>0</v>
      </c>
      <c r="SFF21" s="229">
        <v>0</v>
      </c>
      <c r="SFG21" s="229">
        <v>0</v>
      </c>
      <c r="SFH21" s="229">
        <v>0</v>
      </c>
      <c r="SFI21" s="229">
        <v>0</v>
      </c>
      <c r="SFJ21" s="229">
        <v>0</v>
      </c>
      <c r="SFK21" s="229">
        <v>0</v>
      </c>
      <c r="SFL21" s="229">
        <v>0</v>
      </c>
      <c r="SFM21" s="229">
        <v>0</v>
      </c>
      <c r="SFN21" s="229">
        <v>0</v>
      </c>
      <c r="SFO21" s="229">
        <v>0</v>
      </c>
      <c r="SFP21" s="229">
        <v>0</v>
      </c>
      <c r="SFQ21" s="229">
        <v>0</v>
      </c>
      <c r="SFR21" s="229">
        <v>0</v>
      </c>
      <c r="SFS21" s="229">
        <v>0</v>
      </c>
      <c r="SFT21" s="229">
        <v>0</v>
      </c>
      <c r="SFU21" s="229">
        <v>0</v>
      </c>
      <c r="SFV21" s="229">
        <v>0</v>
      </c>
      <c r="SFW21" s="229">
        <v>0</v>
      </c>
      <c r="SFX21" s="229">
        <v>0</v>
      </c>
      <c r="SFY21" s="229">
        <v>0</v>
      </c>
      <c r="SFZ21" s="229">
        <v>0</v>
      </c>
      <c r="SGA21" s="229">
        <v>0</v>
      </c>
      <c r="SGB21" s="229">
        <v>0</v>
      </c>
      <c r="SGC21" s="229">
        <v>0</v>
      </c>
      <c r="SGD21" s="229">
        <v>0</v>
      </c>
      <c r="SGE21" s="229">
        <v>0</v>
      </c>
      <c r="SGF21" s="229">
        <v>0</v>
      </c>
      <c r="SGG21" s="229">
        <v>0</v>
      </c>
      <c r="SGH21" s="229">
        <v>0</v>
      </c>
      <c r="SGI21" s="229">
        <v>0</v>
      </c>
      <c r="SGJ21" s="229">
        <v>0</v>
      </c>
      <c r="SGK21" s="229">
        <v>0</v>
      </c>
      <c r="SGL21" s="229">
        <v>0</v>
      </c>
      <c r="SGM21" s="229">
        <v>0</v>
      </c>
      <c r="SGN21" s="229">
        <v>0</v>
      </c>
      <c r="SGO21" s="229">
        <v>0</v>
      </c>
      <c r="SGP21" s="229">
        <v>0</v>
      </c>
      <c r="SGQ21" s="229">
        <v>0</v>
      </c>
      <c r="SGR21" s="229">
        <v>0</v>
      </c>
      <c r="SGS21" s="229">
        <v>0</v>
      </c>
      <c r="SGT21" s="229">
        <v>0</v>
      </c>
      <c r="SGU21" s="229">
        <v>0</v>
      </c>
      <c r="SGV21" s="229">
        <v>0</v>
      </c>
      <c r="SGW21" s="229">
        <v>0</v>
      </c>
      <c r="SGX21" s="229">
        <v>0</v>
      </c>
      <c r="SGY21" s="229">
        <v>0</v>
      </c>
      <c r="SGZ21" s="229">
        <v>0</v>
      </c>
      <c r="SHA21" s="229">
        <v>0</v>
      </c>
      <c r="SHB21" s="229">
        <v>0</v>
      </c>
      <c r="SHC21" s="229">
        <v>0</v>
      </c>
      <c r="SHD21" s="229">
        <v>0</v>
      </c>
      <c r="SHE21" s="229">
        <v>0</v>
      </c>
      <c r="SHF21" s="229">
        <v>0</v>
      </c>
      <c r="SHG21" s="229">
        <v>0</v>
      </c>
      <c r="SHH21" s="229">
        <v>0</v>
      </c>
      <c r="SHI21" s="229">
        <v>0</v>
      </c>
      <c r="SHJ21" s="229">
        <v>0</v>
      </c>
      <c r="SHK21" s="229">
        <v>0</v>
      </c>
      <c r="SHL21" s="229">
        <v>0</v>
      </c>
      <c r="SHM21" s="229">
        <v>0</v>
      </c>
      <c r="SHN21" s="229">
        <v>0</v>
      </c>
      <c r="SHO21" s="229">
        <v>0</v>
      </c>
      <c r="SHP21" s="229">
        <v>0</v>
      </c>
      <c r="SHQ21" s="229">
        <v>0</v>
      </c>
      <c r="SHR21" s="229">
        <v>0</v>
      </c>
      <c r="SHS21" s="229">
        <v>0</v>
      </c>
      <c r="SHT21" s="229">
        <v>0</v>
      </c>
      <c r="SHU21" s="229">
        <v>0</v>
      </c>
      <c r="SHV21" s="229">
        <v>0</v>
      </c>
      <c r="SHW21" s="229">
        <v>0</v>
      </c>
      <c r="SHX21" s="229">
        <v>0</v>
      </c>
      <c r="SHY21" s="229">
        <v>0</v>
      </c>
      <c r="SHZ21" s="229">
        <v>0</v>
      </c>
      <c r="SIA21" s="229">
        <v>0</v>
      </c>
      <c r="SIB21" s="229">
        <v>0</v>
      </c>
      <c r="SIC21" s="229">
        <v>0</v>
      </c>
      <c r="SID21" s="229">
        <v>0</v>
      </c>
      <c r="SIE21" s="229">
        <v>0</v>
      </c>
      <c r="SIF21" s="229">
        <v>0</v>
      </c>
      <c r="SIG21" s="229">
        <v>0</v>
      </c>
      <c r="SIH21" s="229">
        <v>0</v>
      </c>
      <c r="SII21" s="229">
        <v>0</v>
      </c>
      <c r="SIJ21" s="229">
        <v>0</v>
      </c>
      <c r="SIK21" s="229">
        <v>0</v>
      </c>
      <c r="SIL21" s="229">
        <v>0</v>
      </c>
      <c r="SIM21" s="229">
        <v>0</v>
      </c>
      <c r="SIN21" s="229">
        <v>0</v>
      </c>
      <c r="SIO21" s="229">
        <v>0</v>
      </c>
      <c r="SIP21" s="229">
        <v>0</v>
      </c>
      <c r="SIQ21" s="229">
        <v>0</v>
      </c>
      <c r="SIR21" s="229">
        <v>0</v>
      </c>
      <c r="SIS21" s="229">
        <v>0</v>
      </c>
      <c r="SIT21" s="229">
        <v>0</v>
      </c>
      <c r="SIU21" s="229">
        <v>0</v>
      </c>
      <c r="SIV21" s="229">
        <v>0</v>
      </c>
      <c r="SIW21" s="229">
        <v>0</v>
      </c>
      <c r="SIX21" s="229">
        <v>0</v>
      </c>
      <c r="SIY21" s="229">
        <v>0</v>
      </c>
      <c r="SIZ21" s="229">
        <v>0</v>
      </c>
      <c r="SJA21" s="229">
        <v>0</v>
      </c>
      <c r="SJB21" s="229">
        <v>0</v>
      </c>
      <c r="SJC21" s="229">
        <v>0</v>
      </c>
      <c r="SJD21" s="229">
        <v>0</v>
      </c>
      <c r="SJE21" s="229">
        <v>0</v>
      </c>
      <c r="SJF21" s="229">
        <v>0</v>
      </c>
      <c r="SJG21" s="229">
        <v>0</v>
      </c>
      <c r="SJH21" s="229">
        <v>0</v>
      </c>
      <c r="SJI21" s="229">
        <v>0</v>
      </c>
      <c r="SJJ21" s="229">
        <v>0</v>
      </c>
      <c r="SJK21" s="229">
        <v>0</v>
      </c>
      <c r="SJL21" s="229">
        <v>0</v>
      </c>
      <c r="SJM21" s="229">
        <v>0</v>
      </c>
      <c r="SJN21" s="229">
        <v>0</v>
      </c>
      <c r="SJO21" s="229">
        <v>0</v>
      </c>
      <c r="SJP21" s="229">
        <v>0</v>
      </c>
      <c r="SJQ21" s="229">
        <v>0</v>
      </c>
      <c r="SJR21" s="229">
        <v>0</v>
      </c>
      <c r="SJS21" s="229">
        <v>0</v>
      </c>
      <c r="SJT21" s="229">
        <v>0</v>
      </c>
      <c r="SJU21" s="229">
        <v>0</v>
      </c>
      <c r="SJV21" s="229">
        <v>0</v>
      </c>
      <c r="SJW21" s="229">
        <v>0</v>
      </c>
      <c r="SJX21" s="229">
        <v>0</v>
      </c>
      <c r="SJY21" s="229">
        <v>0</v>
      </c>
      <c r="SJZ21" s="229">
        <v>0</v>
      </c>
      <c r="SKA21" s="229">
        <v>0</v>
      </c>
      <c r="SKB21" s="229">
        <v>0</v>
      </c>
      <c r="SKC21" s="229">
        <v>0</v>
      </c>
      <c r="SKD21" s="229">
        <v>0</v>
      </c>
      <c r="SKE21" s="229">
        <v>0</v>
      </c>
      <c r="SKF21" s="229">
        <v>0</v>
      </c>
      <c r="SKG21" s="229">
        <v>0</v>
      </c>
      <c r="SKH21" s="229">
        <v>0</v>
      </c>
      <c r="SKI21" s="229">
        <v>0</v>
      </c>
      <c r="SKJ21" s="229">
        <v>0</v>
      </c>
      <c r="SKK21" s="229">
        <v>0</v>
      </c>
      <c r="SKL21" s="229">
        <v>0</v>
      </c>
      <c r="SKM21" s="229">
        <v>0</v>
      </c>
      <c r="SKN21" s="229">
        <v>0</v>
      </c>
      <c r="SKO21" s="229">
        <v>0</v>
      </c>
      <c r="SKP21" s="229">
        <v>0</v>
      </c>
      <c r="SKQ21" s="229">
        <v>0</v>
      </c>
      <c r="SKR21" s="229">
        <v>0</v>
      </c>
      <c r="SKS21" s="229">
        <v>0</v>
      </c>
      <c r="SKT21" s="229">
        <v>0</v>
      </c>
      <c r="SKU21" s="229">
        <v>0</v>
      </c>
      <c r="SKV21" s="229">
        <v>0</v>
      </c>
      <c r="SKW21" s="229">
        <v>0</v>
      </c>
      <c r="SKX21" s="229">
        <v>0</v>
      </c>
      <c r="SKY21" s="229">
        <v>0</v>
      </c>
      <c r="SKZ21" s="229">
        <v>0</v>
      </c>
      <c r="SLA21" s="229">
        <v>0</v>
      </c>
      <c r="SLB21" s="229">
        <v>0</v>
      </c>
      <c r="SLC21" s="229">
        <v>0</v>
      </c>
      <c r="SLD21" s="229">
        <v>0</v>
      </c>
      <c r="SLE21" s="229">
        <v>0</v>
      </c>
      <c r="SLF21" s="229">
        <v>0</v>
      </c>
      <c r="SLG21" s="229">
        <v>0</v>
      </c>
      <c r="SLH21" s="229">
        <v>0</v>
      </c>
      <c r="SLI21" s="229">
        <v>0</v>
      </c>
      <c r="SLJ21" s="229">
        <v>0</v>
      </c>
      <c r="SLK21" s="229">
        <v>0</v>
      </c>
      <c r="SLL21" s="229">
        <v>0</v>
      </c>
      <c r="SLM21" s="229">
        <v>0</v>
      </c>
      <c r="SLN21" s="229">
        <v>0</v>
      </c>
      <c r="SLO21" s="229">
        <v>0</v>
      </c>
      <c r="SLP21" s="229">
        <v>0</v>
      </c>
      <c r="SLQ21" s="229">
        <v>0</v>
      </c>
      <c r="SLR21" s="229">
        <v>0</v>
      </c>
      <c r="SLS21" s="229">
        <v>0</v>
      </c>
      <c r="SLT21" s="229">
        <v>0</v>
      </c>
      <c r="SLU21" s="229">
        <v>0</v>
      </c>
      <c r="SLV21" s="229">
        <v>0</v>
      </c>
      <c r="SLW21" s="229">
        <v>0</v>
      </c>
      <c r="SLX21" s="229">
        <v>0</v>
      </c>
      <c r="SLY21" s="229">
        <v>0</v>
      </c>
      <c r="SLZ21" s="229">
        <v>0</v>
      </c>
      <c r="SMA21" s="229">
        <v>0</v>
      </c>
      <c r="SMB21" s="229">
        <v>0</v>
      </c>
      <c r="SMC21" s="229">
        <v>0</v>
      </c>
      <c r="SMD21" s="229">
        <v>0</v>
      </c>
      <c r="SME21" s="229">
        <v>0</v>
      </c>
      <c r="SMF21" s="229">
        <v>0</v>
      </c>
      <c r="SMG21" s="229">
        <v>0</v>
      </c>
      <c r="SMH21" s="229">
        <v>0</v>
      </c>
      <c r="SMI21" s="229">
        <v>0</v>
      </c>
      <c r="SMJ21" s="229">
        <v>0</v>
      </c>
      <c r="SMK21" s="229">
        <v>0</v>
      </c>
      <c r="SML21" s="229">
        <v>0</v>
      </c>
      <c r="SMM21" s="229">
        <v>0</v>
      </c>
      <c r="SMN21" s="229">
        <v>0</v>
      </c>
      <c r="SMO21" s="229">
        <v>0</v>
      </c>
      <c r="SMP21" s="229">
        <v>0</v>
      </c>
      <c r="SMQ21" s="229">
        <v>0</v>
      </c>
      <c r="SMR21" s="229">
        <v>0</v>
      </c>
      <c r="SMS21" s="229">
        <v>0</v>
      </c>
      <c r="SMT21" s="229">
        <v>0</v>
      </c>
      <c r="SMU21" s="229">
        <v>0</v>
      </c>
      <c r="SMV21" s="229">
        <v>0</v>
      </c>
      <c r="SMW21" s="229">
        <v>0</v>
      </c>
      <c r="SMX21" s="229">
        <v>0</v>
      </c>
      <c r="SMY21" s="229">
        <v>0</v>
      </c>
      <c r="SMZ21" s="229">
        <v>0</v>
      </c>
      <c r="SNA21" s="229">
        <v>0</v>
      </c>
      <c r="SNB21" s="229">
        <v>0</v>
      </c>
      <c r="SNC21" s="229">
        <v>0</v>
      </c>
      <c r="SND21" s="229">
        <v>0</v>
      </c>
      <c r="SNE21" s="229">
        <v>0</v>
      </c>
      <c r="SNF21" s="229">
        <v>0</v>
      </c>
      <c r="SNG21" s="229">
        <v>0</v>
      </c>
      <c r="SNH21" s="229">
        <v>0</v>
      </c>
      <c r="SNI21" s="229">
        <v>0</v>
      </c>
      <c r="SNJ21" s="229">
        <v>0</v>
      </c>
      <c r="SNK21" s="229">
        <v>0</v>
      </c>
      <c r="SNL21" s="229">
        <v>0</v>
      </c>
      <c r="SNM21" s="229">
        <v>0</v>
      </c>
      <c r="SNN21" s="229">
        <v>0</v>
      </c>
      <c r="SNO21" s="229">
        <v>0</v>
      </c>
      <c r="SNP21" s="229">
        <v>0</v>
      </c>
      <c r="SNQ21" s="229">
        <v>0</v>
      </c>
      <c r="SNR21" s="229">
        <v>0</v>
      </c>
      <c r="SNS21" s="229">
        <v>0</v>
      </c>
      <c r="SNT21" s="229">
        <v>0</v>
      </c>
      <c r="SNU21" s="229">
        <v>0</v>
      </c>
      <c r="SNV21" s="229">
        <v>0</v>
      </c>
      <c r="SNW21" s="229">
        <v>0</v>
      </c>
      <c r="SNX21" s="229">
        <v>0</v>
      </c>
      <c r="SNY21" s="229">
        <v>0</v>
      </c>
      <c r="SNZ21" s="229">
        <v>0</v>
      </c>
      <c r="SOA21" s="229">
        <v>0</v>
      </c>
      <c r="SOB21" s="229">
        <v>0</v>
      </c>
      <c r="SOC21" s="229">
        <v>0</v>
      </c>
      <c r="SOD21" s="229">
        <v>0</v>
      </c>
      <c r="SOE21" s="229">
        <v>0</v>
      </c>
      <c r="SOF21" s="229">
        <v>0</v>
      </c>
      <c r="SOG21" s="229">
        <v>0</v>
      </c>
      <c r="SOH21" s="229">
        <v>0</v>
      </c>
      <c r="SOI21" s="229">
        <v>0</v>
      </c>
      <c r="SOJ21" s="229">
        <v>0</v>
      </c>
      <c r="SOK21" s="229">
        <v>0</v>
      </c>
      <c r="SOL21" s="229">
        <v>0</v>
      </c>
      <c r="SOM21" s="229">
        <v>0</v>
      </c>
      <c r="SON21" s="229">
        <v>0</v>
      </c>
      <c r="SOO21" s="229">
        <v>0</v>
      </c>
      <c r="SOP21" s="229">
        <v>0</v>
      </c>
      <c r="SOQ21" s="229">
        <v>0</v>
      </c>
      <c r="SOR21" s="229">
        <v>0</v>
      </c>
      <c r="SOS21" s="229">
        <v>0</v>
      </c>
      <c r="SOT21" s="229">
        <v>0</v>
      </c>
      <c r="SOU21" s="229">
        <v>0</v>
      </c>
      <c r="SOV21" s="229">
        <v>0</v>
      </c>
      <c r="SOW21" s="229">
        <v>0</v>
      </c>
      <c r="SOX21" s="229">
        <v>0</v>
      </c>
      <c r="SOY21" s="229">
        <v>0</v>
      </c>
      <c r="SOZ21" s="229">
        <v>0</v>
      </c>
      <c r="SPA21" s="229">
        <v>0</v>
      </c>
      <c r="SPB21" s="229">
        <v>0</v>
      </c>
      <c r="SPC21" s="229">
        <v>0</v>
      </c>
      <c r="SPD21" s="229">
        <v>0</v>
      </c>
      <c r="SPE21" s="229">
        <v>0</v>
      </c>
      <c r="SPF21" s="229">
        <v>0</v>
      </c>
      <c r="SPG21" s="229">
        <v>0</v>
      </c>
      <c r="SPH21" s="229">
        <v>0</v>
      </c>
      <c r="SPI21" s="229">
        <v>0</v>
      </c>
      <c r="SPJ21" s="229">
        <v>0</v>
      </c>
      <c r="SPK21" s="229">
        <v>0</v>
      </c>
      <c r="SPL21" s="229">
        <v>0</v>
      </c>
      <c r="SPM21" s="229">
        <v>0</v>
      </c>
      <c r="SPN21" s="229">
        <v>0</v>
      </c>
      <c r="SPO21" s="229">
        <v>0</v>
      </c>
      <c r="SPP21" s="229">
        <v>0</v>
      </c>
      <c r="SPQ21" s="229">
        <v>0</v>
      </c>
      <c r="SPR21" s="229">
        <v>0</v>
      </c>
      <c r="SPS21" s="229">
        <v>0</v>
      </c>
      <c r="SPT21" s="229">
        <v>0</v>
      </c>
      <c r="SPU21" s="229">
        <v>0</v>
      </c>
      <c r="SPV21" s="229">
        <v>0</v>
      </c>
      <c r="SPW21" s="229">
        <v>0</v>
      </c>
      <c r="SPX21" s="229">
        <v>0</v>
      </c>
      <c r="SPY21" s="229">
        <v>0</v>
      </c>
      <c r="SPZ21" s="229">
        <v>0</v>
      </c>
      <c r="SQA21" s="229">
        <v>0</v>
      </c>
      <c r="SQB21" s="229">
        <v>0</v>
      </c>
      <c r="SQC21" s="229">
        <v>0</v>
      </c>
      <c r="SQD21" s="229">
        <v>0</v>
      </c>
      <c r="SQE21" s="229">
        <v>0</v>
      </c>
      <c r="SQF21" s="229">
        <v>0</v>
      </c>
      <c r="SQG21" s="229">
        <v>0</v>
      </c>
      <c r="SQH21" s="229">
        <v>0</v>
      </c>
      <c r="SQI21" s="229">
        <v>0</v>
      </c>
      <c r="SQJ21" s="229">
        <v>0</v>
      </c>
      <c r="SQK21" s="229">
        <v>0</v>
      </c>
      <c r="SQL21" s="229">
        <v>0</v>
      </c>
      <c r="SQM21" s="229">
        <v>0</v>
      </c>
      <c r="SQN21" s="229">
        <v>0</v>
      </c>
      <c r="SQO21" s="229">
        <v>0</v>
      </c>
      <c r="SQP21" s="229">
        <v>0</v>
      </c>
      <c r="SQQ21" s="229">
        <v>0</v>
      </c>
      <c r="SQR21" s="229">
        <v>0</v>
      </c>
      <c r="SQS21" s="229">
        <v>0</v>
      </c>
      <c r="SQT21" s="229">
        <v>0</v>
      </c>
      <c r="SQU21" s="229">
        <v>0</v>
      </c>
      <c r="SQV21" s="229">
        <v>0</v>
      </c>
      <c r="SQW21" s="229">
        <v>0</v>
      </c>
      <c r="SQX21" s="229">
        <v>0</v>
      </c>
      <c r="SQY21" s="229">
        <v>0</v>
      </c>
      <c r="SQZ21" s="229">
        <v>0</v>
      </c>
      <c r="SRA21" s="229">
        <v>0</v>
      </c>
      <c r="SRB21" s="229">
        <v>0</v>
      </c>
      <c r="SRC21" s="229">
        <v>0</v>
      </c>
      <c r="SRD21" s="229">
        <v>0</v>
      </c>
      <c r="SRE21" s="229">
        <v>0</v>
      </c>
      <c r="SRF21" s="229">
        <v>0</v>
      </c>
      <c r="SRG21" s="229">
        <v>0</v>
      </c>
      <c r="SRH21" s="229">
        <v>0</v>
      </c>
      <c r="SRI21" s="229">
        <v>0</v>
      </c>
      <c r="SRJ21" s="229">
        <v>0</v>
      </c>
      <c r="SRK21" s="229">
        <v>0</v>
      </c>
      <c r="SRL21" s="229">
        <v>0</v>
      </c>
      <c r="SRM21" s="229">
        <v>0</v>
      </c>
      <c r="SRN21" s="229">
        <v>0</v>
      </c>
      <c r="SRO21" s="229">
        <v>0</v>
      </c>
      <c r="SRP21" s="229">
        <v>0</v>
      </c>
      <c r="SRQ21" s="229">
        <v>0</v>
      </c>
      <c r="SRR21" s="229">
        <v>0</v>
      </c>
      <c r="SRS21" s="229">
        <v>0</v>
      </c>
      <c r="SRT21" s="229">
        <v>0</v>
      </c>
      <c r="SRU21" s="229">
        <v>0</v>
      </c>
      <c r="SRV21" s="229">
        <v>0</v>
      </c>
      <c r="SRW21" s="229">
        <v>0</v>
      </c>
      <c r="SRX21" s="229">
        <v>0</v>
      </c>
      <c r="SRY21" s="229">
        <v>0</v>
      </c>
      <c r="SRZ21" s="229">
        <v>0</v>
      </c>
      <c r="SSA21" s="229">
        <v>0</v>
      </c>
      <c r="SSB21" s="229">
        <v>0</v>
      </c>
      <c r="SSC21" s="229">
        <v>0</v>
      </c>
      <c r="SSD21" s="229">
        <v>0</v>
      </c>
      <c r="SSE21" s="229">
        <v>0</v>
      </c>
      <c r="SSF21" s="229">
        <v>0</v>
      </c>
      <c r="SSG21" s="229">
        <v>0</v>
      </c>
      <c r="SSH21" s="229">
        <v>0</v>
      </c>
      <c r="SSI21" s="229">
        <v>0</v>
      </c>
      <c r="SSJ21" s="229">
        <v>0</v>
      </c>
      <c r="SSK21" s="229">
        <v>0</v>
      </c>
      <c r="SSL21" s="229">
        <v>0</v>
      </c>
      <c r="SSM21" s="229">
        <v>0</v>
      </c>
      <c r="SSN21" s="229">
        <v>0</v>
      </c>
      <c r="SSO21" s="229">
        <v>0</v>
      </c>
      <c r="SSP21" s="229">
        <v>0</v>
      </c>
      <c r="SSQ21" s="229">
        <v>0</v>
      </c>
      <c r="SSR21" s="229">
        <v>0</v>
      </c>
      <c r="SSS21" s="229">
        <v>0</v>
      </c>
      <c r="SST21" s="229">
        <v>0</v>
      </c>
      <c r="SSU21" s="229">
        <v>0</v>
      </c>
      <c r="SSV21" s="229">
        <v>0</v>
      </c>
      <c r="SSW21" s="229">
        <v>0</v>
      </c>
      <c r="SSX21" s="229">
        <v>0</v>
      </c>
      <c r="SSY21" s="229">
        <v>0</v>
      </c>
      <c r="SSZ21" s="229">
        <v>0</v>
      </c>
      <c r="STA21" s="229">
        <v>0</v>
      </c>
      <c r="STB21" s="229">
        <v>0</v>
      </c>
      <c r="STC21" s="229">
        <v>0</v>
      </c>
      <c r="STD21" s="229">
        <v>0</v>
      </c>
      <c r="STE21" s="229">
        <v>0</v>
      </c>
      <c r="STF21" s="229">
        <v>0</v>
      </c>
      <c r="STG21" s="229">
        <v>0</v>
      </c>
      <c r="STH21" s="229">
        <v>0</v>
      </c>
      <c r="STI21" s="229">
        <v>0</v>
      </c>
      <c r="STJ21" s="229">
        <v>0</v>
      </c>
      <c r="STK21" s="229">
        <v>0</v>
      </c>
      <c r="STL21" s="229">
        <v>0</v>
      </c>
      <c r="STM21" s="229">
        <v>0</v>
      </c>
      <c r="STN21" s="229">
        <v>0</v>
      </c>
      <c r="STO21" s="229">
        <v>0</v>
      </c>
      <c r="STP21" s="229">
        <v>0</v>
      </c>
      <c r="STQ21" s="229">
        <v>0</v>
      </c>
      <c r="STR21" s="229">
        <v>0</v>
      </c>
      <c r="STS21" s="229">
        <v>0</v>
      </c>
      <c r="STT21" s="229">
        <v>0</v>
      </c>
      <c r="STU21" s="229">
        <v>0</v>
      </c>
      <c r="STV21" s="229">
        <v>0</v>
      </c>
      <c r="STW21" s="229">
        <v>0</v>
      </c>
      <c r="STX21" s="229">
        <v>0</v>
      </c>
      <c r="STY21" s="229">
        <v>0</v>
      </c>
      <c r="STZ21" s="229">
        <v>0</v>
      </c>
      <c r="SUA21" s="229">
        <v>0</v>
      </c>
      <c r="SUB21" s="229">
        <v>0</v>
      </c>
      <c r="SUC21" s="229">
        <v>0</v>
      </c>
      <c r="SUD21" s="229">
        <v>0</v>
      </c>
      <c r="SUE21" s="229">
        <v>0</v>
      </c>
      <c r="SUF21" s="229">
        <v>0</v>
      </c>
      <c r="SUG21" s="229">
        <v>0</v>
      </c>
      <c r="SUH21" s="229">
        <v>0</v>
      </c>
      <c r="SUI21" s="229">
        <v>0</v>
      </c>
      <c r="SUJ21" s="229">
        <v>0</v>
      </c>
      <c r="SUK21" s="229">
        <v>0</v>
      </c>
      <c r="SUL21" s="229">
        <v>0</v>
      </c>
      <c r="SUM21" s="229">
        <v>0</v>
      </c>
      <c r="SUN21" s="229">
        <v>0</v>
      </c>
      <c r="SUO21" s="229">
        <v>0</v>
      </c>
      <c r="SUP21" s="229">
        <v>0</v>
      </c>
      <c r="SUQ21" s="229">
        <v>0</v>
      </c>
      <c r="SUR21" s="229">
        <v>0</v>
      </c>
      <c r="SUS21" s="229">
        <v>0</v>
      </c>
      <c r="SUT21" s="229">
        <v>0</v>
      </c>
      <c r="SUU21" s="229">
        <v>0</v>
      </c>
      <c r="SUV21" s="229">
        <v>0</v>
      </c>
      <c r="SUW21" s="229">
        <v>0</v>
      </c>
      <c r="SUX21" s="229">
        <v>0</v>
      </c>
      <c r="SUY21" s="229">
        <v>0</v>
      </c>
      <c r="SUZ21" s="229">
        <v>0</v>
      </c>
      <c r="SVA21" s="229">
        <v>0</v>
      </c>
      <c r="SVB21" s="229">
        <v>0</v>
      </c>
      <c r="SVC21" s="229">
        <v>0</v>
      </c>
      <c r="SVD21" s="229">
        <v>0</v>
      </c>
      <c r="SVE21" s="229">
        <v>0</v>
      </c>
      <c r="SVF21" s="229">
        <v>0</v>
      </c>
      <c r="SVG21" s="229">
        <v>0</v>
      </c>
      <c r="SVH21" s="229">
        <v>0</v>
      </c>
      <c r="SVI21" s="229">
        <v>0</v>
      </c>
      <c r="SVJ21" s="229">
        <v>0</v>
      </c>
      <c r="SVK21" s="229">
        <v>0</v>
      </c>
      <c r="SVL21" s="229">
        <v>0</v>
      </c>
      <c r="SVM21" s="229">
        <v>0</v>
      </c>
      <c r="SVN21" s="229">
        <v>0</v>
      </c>
      <c r="SVO21" s="229">
        <v>0</v>
      </c>
      <c r="SVP21" s="229">
        <v>0</v>
      </c>
      <c r="SVQ21" s="229">
        <v>0</v>
      </c>
      <c r="SVR21" s="229">
        <v>0</v>
      </c>
      <c r="SVS21" s="229">
        <v>0</v>
      </c>
      <c r="SVT21" s="229">
        <v>0</v>
      </c>
      <c r="SVU21" s="229">
        <v>0</v>
      </c>
      <c r="SVV21" s="229">
        <v>0</v>
      </c>
      <c r="SVW21" s="229">
        <v>0</v>
      </c>
      <c r="SVX21" s="229">
        <v>0</v>
      </c>
      <c r="SVY21" s="229">
        <v>0</v>
      </c>
      <c r="SVZ21" s="229">
        <v>0</v>
      </c>
      <c r="SWA21" s="229">
        <v>0</v>
      </c>
      <c r="SWB21" s="229">
        <v>0</v>
      </c>
      <c r="SWC21" s="229">
        <v>0</v>
      </c>
      <c r="SWD21" s="229">
        <v>0</v>
      </c>
      <c r="SWE21" s="229">
        <v>0</v>
      </c>
      <c r="SWF21" s="229">
        <v>0</v>
      </c>
      <c r="SWG21" s="229">
        <v>0</v>
      </c>
      <c r="SWH21" s="229">
        <v>0</v>
      </c>
      <c r="SWI21" s="229">
        <v>0</v>
      </c>
      <c r="SWJ21" s="229">
        <v>0</v>
      </c>
      <c r="SWK21" s="229">
        <v>0</v>
      </c>
      <c r="SWL21" s="229">
        <v>0</v>
      </c>
      <c r="SWM21" s="229">
        <v>0</v>
      </c>
      <c r="SWN21" s="229">
        <v>0</v>
      </c>
      <c r="SWO21" s="229">
        <v>0</v>
      </c>
      <c r="SWP21" s="229">
        <v>0</v>
      </c>
      <c r="SWQ21" s="229">
        <v>0</v>
      </c>
      <c r="SWR21" s="229">
        <v>0</v>
      </c>
      <c r="SWS21" s="229">
        <v>0</v>
      </c>
      <c r="SWT21" s="229">
        <v>0</v>
      </c>
      <c r="SWU21" s="229">
        <v>0</v>
      </c>
      <c r="SWV21" s="229">
        <v>0</v>
      </c>
      <c r="SWW21" s="229">
        <v>0</v>
      </c>
      <c r="SWX21" s="229">
        <v>0</v>
      </c>
      <c r="SWY21" s="229">
        <v>0</v>
      </c>
      <c r="SWZ21" s="229">
        <v>0</v>
      </c>
      <c r="SXA21" s="229">
        <v>0</v>
      </c>
      <c r="SXB21" s="229">
        <v>0</v>
      </c>
      <c r="SXC21" s="229">
        <v>0</v>
      </c>
      <c r="SXD21" s="229">
        <v>0</v>
      </c>
      <c r="SXE21" s="229">
        <v>0</v>
      </c>
      <c r="SXF21" s="229">
        <v>0</v>
      </c>
      <c r="SXG21" s="229">
        <v>0</v>
      </c>
      <c r="SXH21" s="229">
        <v>0</v>
      </c>
      <c r="SXI21" s="229">
        <v>0</v>
      </c>
      <c r="SXJ21" s="229">
        <v>0</v>
      </c>
      <c r="SXK21" s="229">
        <v>0</v>
      </c>
      <c r="SXL21" s="229">
        <v>0</v>
      </c>
      <c r="SXM21" s="229">
        <v>0</v>
      </c>
      <c r="SXN21" s="229">
        <v>0</v>
      </c>
      <c r="SXO21" s="229">
        <v>0</v>
      </c>
      <c r="SXP21" s="229">
        <v>0</v>
      </c>
      <c r="SXQ21" s="229">
        <v>0</v>
      </c>
      <c r="SXR21" s="229">
        <v>0</v>
      </c>
      <c r="SXS21" s="229">
        <v>0</v>
      </c>
      <c r="SXT21" s="229">
        <v>0</v>
      </c>
      <c r="SXU21" s="229">
        <v>0</v>
      </c>
      <c r="SXV21" s="229">
        <v>0</v>
      </c>
      <c r="SXW21" s="229">
        <v>0</v>
      </c>
      <c r="SXX21" s="229">
        <v>0</v>
      </c>
      <c r="SXY21" s="229">
        <v>0</v>
      </c>
      <c r="SXZ21" s="229">
        <v>0</v>
      </c>
      <c r="SYA21" s="229">
        <v>0</v>
      </c>
      <c r="SYB21" s="229">
        <v>0</v>
      </c>
      <c r="SYC21" s="229">
        <v>0</v>
      </c>
      <c r="SYD21" s="229">
        <v>0</v>
      </c>
      <c r="SYE21" s="229">
        <v>0</v>
      </c>
      <c r="SYF21" s="229">
        <v>0</v>
      </c>
      <c r="SYG21" s="229">
        <v>0</v>
      </c>
      <c r="SYH21" s="229">
        <v>0</v>
      </c>
      <c r="SYI21" s="229">
        <v>0</v>
      </c>
      <c r="SYJ21" s="229">
        <v>0</v>
      </c>
      <c r="SYK21" s="229">
        <v>0</v>
      </c>
      <c r="SYL21" s="229">
        <v>0</v>
      </c>
      <c r="SYM21" s="229">
        <v>0</v>
      </c>
      <c r="SYN21" s="229">
        <v>0</v>
      </c>
      <c r="SYO21" s="229">
        <v>0</v>
      </c>
      <c r="SYP21" s="229">
        <v>0</v>
      </c>
      <c r="SYQ21" s="229">
        <v>0</v>
      </c>
      <c r="SYR21" s="229">
        <v>0</v>
      </c>
      <c r="SYS21" s="229">
        <v>0</v>
      </c>
      <c r="SYT21" s="229">
        <v>0</v>
      </c>
      <c r="SYU21" s="229">
        <v>0</v>
      </c>
      <c r="SYV21" s="229">
        <v>0</v>
      </c>
      <c r="SYW21" s="229">
        <v>0</v>
      </c>
      <c r="SYX21" s="229">
        <v>0</v>
      </c>
      <c r="SYY21" s="229">
        <v>0</v>
      </c>
      <c r="SYZ21" s="229">
        <v>0</v>
      </c>
      <c r="SZA21" s="229">
        <v>0</v>
      </c>
      <c r="SZB21" s="229">
        <v>0</v>
      </c>
      <c r="SZC21" s="229">
        <v>0</v>
      </c>
      <c r="SZD21" s="229">
        <v>0</v>
      </c>
      <c r="SZE21" s="229">
        <v>0</v>
      </c>
      <c r="SZF21" s="229">
        <v>0</v>
      </c>
      <c r="SZG21" s="229">
        <v>0</v>
      </c>
      <c r="SZH21" s="229">
        <v>0</v>
      </c>
      <c r="SZI21" s="229">
        <v>0</v>
      </c>
      <c r="SZJ21" s="229">
        <v>0</v>
      </c>
      <c r="SZK21" s="229">
        <v>0</v>
      </c>
      <c r="SZL21" s="229">
        <v>0</v>
      </c>
      <c r="SZM21" s="229">
        <v>0</v>
      </c>
      <c r="SZN21" s="229">
        <v>0</v>
      </c>
      <c r="SZO21" s="229">
        <v>0</v>
      </c>
      <c r="SZP21" s="229">
        <v>0</v>
      </c>
      <c r="SZQ21" s="229">
        <v>0</v>
      </c>
      <c r="SZR21" s="229">
        <v>0</v>
      </c>
      <c r="SZS21" s="229">
        <v>0</v>
      </c>
      <c r="SZT21" s="229">
        <v>0</v>
      </c>
      <c r="SZU21" s="229">
        <v>0</v>
      </c>
      <c r="SZV21" s="229">
        <v>0</v>
      </c>
      <c r="SZW21" s="229">
        <v>0</v>
      </c>
      <c r="SZX21" s="229">
        <v>0</v>
      </c>
      <c r="SZY21" s="229">
        <v>0</v>
      </c>
      <c r="SZZ21" s="229">
        <v>0</v>
      </c>
      <c r="TAA21" s="229">
        <v>0</v>
      </c>
      <c r="TAB21" s="229">
        <v>0</v>
      </c>
      <c r="TAC21" s="229">
        <v>0</v>
      </c>
      <c r="TAD21" s="229">
        <v>0</v>
      </c>
      <c r="TAE21" s="229">
        <v>0</v>
      </c>
      <c r="TAF21" s="229">
        <v>0</v>
      </c>
      <c r="TAG21" s="229">
        <v>0</v>
      </c>
      <c r="TAH21" s="229">
        <v>0</v>
      </c>
      <c r="TAI21" s="229">
        <v>0</v>
      </c>
      <c r="TAJ21" s="229">
        <v>0</v>
      </c>
      <c r="TAK21" s="229">
        <v>0</v>
      </c>
      <c r="TAL21" s="229">
        <v>0</v>
      </c>
      <c r="TAM21" s="229">
        <v>0</v>
      </c>
      <c r="TAN21" s="229">
        <v>0</v>
      </c>
      <c r="TAO21" s="229">
        <v>0</v>
      </c>
      <c r="TAP21" s="229">
        <v>0</v>
      </c>
      <c r="TAQ21" s="229">
        <v>0</v>
      </c>
      <c r="TAR21" s="229">
        <v>0</v>
      </c>
      <c r="TAS21" s="229">
        <v>0</v>
      </c>
      <c r="TAT21" s="229">
        <v>0</v>
      </c>
      <c r="TAU21" s="229">
        <v>0</v>
      </c>
      <c r="TAV21" s="229">
        <v>0</v>
      </c>
      <c r="TAW21" s="229">
        <v>0</v>
      </c>
      <c r="TAX21" s="229">
        <v>0</v>
      </c>
      <c r="TAY21" s="229">
        <v>0</v>
      </c>
      <c r="TAZ21" s="229">
        <v>0</v>
      </c>
      <c r="TBA21" s="229">
        <v>0</v>
      </c>
      <c r="TBB21" s="229">
        <v>0</v>
      </c>
      <c r="TBC21" s="229">
        <v>0</v>
      </c>
      <c r="TBD21" s="229">
        <v>0</v>
      </c>
      <c r="TBE21" s="229">
        <v>0</v>
      </c>
      <c r="TBF21" s="229">
        <v>0</v>
      </c>
      <c r="TBG21" s="229">
        <v>0</v>
      </c>
      <c r="TBH21" s="229">
        <v>0</v>
      </c>
      <c r="TBI21" s="229">
        <v>0</v>
      </c>
      <c r="TBJ21" s="229">
        <v>0</v>
      </c>
      <c r="TBK21" s="229">
        <v>0</v>
      </c>
      <c r="TBL21" s="229">
        <v>0</v>
      </c>
      <c r="TBM21" s="229">
        <v>0</v>
      </c>
      <c r="TBN21" s="229">
        <v>0</v>
      </c>
      <c r="TBO21" s="229">
        <v>0</v>
      </c>
      <c r="TBP21" s="229">
        <v>0</v>
      </c>
      <c r="TBQ21" s="229">
        <v>0</v>
      </c>
      <c r="TBR21" s="229">
        <v>0</v>
      </c>
      <c r="TBS21" s="229">
        <v>0</v>
      </c>
      <c r="TBT21" s="229">
        <v>0</v>
      </c>
      <c r="TBU21" s="229">
        <v>0</v>
      </c>
      <c r="TBV21" s="229">
        <v>0</v>
      </c>
      <c r="TBW21" s="229">
        <v>0</v>
      </c>
      <c r="TBX21" s="229">
        <v>0</v>
      </c>
      <c r="TBY21" s="229">
        <v>0</v>
      </c>
      <c r="TBZ21" s="229">
        <v>0</v>
      </c>
      <c r="TCA21" s="229">
        <v>0</v>
      </c>
      <c r="TCB21" s="229">
        <v>0</v>
      </c>
      <c r="TCC21" s="229">
        <v>0</v>
      </c>
      <c r="TCD21" s="229">
        <v>0</v>
      </c>
      <c r="TCE21" s="229">
        <v>0</v>
      </c>
      <c r="TCF21" s="229">
        <v>0</v>
      </c>
      <c r="TCG21" s="229">
        <v>0</v>
      </c>
      <c r="TCH21" s="229">
        <v>0</v>
      </c>
      <c r="TCI21" s="229">
        <v>0</v>
      </c>
      <c r="TCJ21" s="229">
        <v>0</v>
      </c>
      <c r="TCK21" s="229">
        <v>0</v>
      </c>
      <c r="TCL21" s="229">
        <v>0</v>
      </c>
      <c r="TCM21" s="229">
        <v>0</v>
      </c>
      <c r="TCN21" s="229">
        <v>0</v>
      </c>
      <c r="TCO21" s="229">
        <v>0</v>
      </c>
      <c r="TCP21" s="229">
        <v>0</v>
      </c>
      <c r="TCQ21" s="229">
        <v>0</v>
      </c>
      <c r="TCR21" s="229">
        <v>0</v>
      </c>
      <c r="TCS21" s="229">
        <v>0</v>
      </c>
      <c r="TCT21" s="229">
        <v>0</v>
      </c>
      <c r="TCU21" s="229">
        <v>0</v>
      </c>
      <c r="TCV21" s="229">
        <v>0</v>
      </c>
      <c r="TCW21" s="229">
        <v>0</v>
      </c>
      <c r="TCX21" s="229">
        <v>0</v>
      </c>
      <c r="TCY21" s="229">
        <v>0</v>
      </c>
      <c r="TCZ21" s="229">
        <v>0</v>
      </c>
      <c r="TDA21" s="229">
        <v>0</v>
      </c>
      <c r="TDB21" s="229">
        <v>0</v>
      </c>
      <c r="TDC21" s="229">
        <v>0</v>
      </c>
      <c r="TDD21" s="229">
        <v>0</v>
      </c>
      <c r="TDE21" s="229">
        <v>0</v>
      </c>
      <c r="TDF21" s="229">
        <v>0</v>
      </c>
      <c r="TDG21" s="229">
        <v>0</v>
      </c>
      <c r="TDH21" s="229">
        <v>0</v>
      </c>
      <c r="TDI21" s="229">
        <v>0</v>
      </c>
      <c r="TDJ21" s="229">
        <v>0</v>
      </c>
      <c r="TDK21" s="229">
        <v>0</v>
      </c>
      <c r="TDL21" s="229">
        <v>0</v>
      </c>
      <c r="TDM21" s="229">
        <v>0</v>
      </c>
      <c r="TDN21" s="229">
        <v>0</v>
      </c>
      <c r="TDO21" s="229">
        <v>0</v>
      </c>
      <c r="TDP21" s="229">
        <v>0</v>
      </c>
      <c r="TDQ21" s="229">
        <v>0</v>
      </c>
      <c r="TDR21" s="229">
        <v>0</v>
      </c>
      <c r="TDS21" s="229">
        <v>0</v>
      </c>
      <c r="TDT21" s="229">
        <v>0</v>
      </c>
      <c r="TDU21" s="229">
        <v>0</v>
      </c>
      <c r="TDV21" s="229">
        <v>0</v>
      </c>
      <c r="TDW21" s="229">
        <v>0</v>
      </c>
      <c r="TDX21" s="229">
        <v>0</v>
      </c>
      <c r="TDY21" s="229">
        <v>0</v>
      </c>
      <c r="TDZ21" s="229">
        <v>0</v>
      </c>
      <c r="TEA21" s="229">
        <v>0</v>
      </c>
      <c r="TEB21" s="229">
        <v>0</v>
      </c>
      <c r="TEC21" s="229">
        <v>0</v>
      </c>
      <c r="TED21" s="229">
        <v>0</v>
      </c>
      <c r="TEE21" s="229">
        <v>0</v>
      </c>
      <c r="TEF21" s="229">
        <v>0</v>
      </c>
      <c r="TEG21" s="229">
        <v>0</v>
      </c>
      <c r="TEH21" s="229">
        <v>0</v>
      </c>
      <c r="TEI21" s="229">
        <v>0</v>
      </c>
      <c r="TEJ21" s="229">
        <v>0</v>
      </c>
      <c r="TEK21" s="229">
        <v>0</v>
      </c>
      <c r="TEL21" s="229">
        <v>0</v>
      </c>
      <c r="TEM21" s="229">
        <v>0</v>
      </c>
      <c r="TEN21" s="229">
        <v>0</v>
      </c>
      <c r="TEO21" s="229">
        <v>0</v>
      </c>
      <c r="TEP21" s="229">
        <v>0</v>
      </c>
      <c r="TEQ21" s="229">
        <v>0</v>
      </c>
      <c r="TER21" s="229">
        <v>0</v>
      </c>
      <c r="TES21" s="229">
        <v>0</v>
      </c>
      <c r="TET21" s="229">
        <v>0</v>
      </c>
      <c r="TEU21" s="229">
        <v>0</v>
      </c>
      <c r="TEV21" s="229">
        <v>0</v>
      </c>
      <c r="TEW21" s="229">
        <v>0</v>
      </c>
      <c r="TEX21" s="229">
        <v>0</v>
      </c>
      <c r="TEY21" s="229">
        <v>0</v>
      </c>
      <c r="TEZ21" s="229">
        <v>0</v>
      </c>
      <c r="TFA21" s="229">
        <v>0</v>
      </c>
      <c r="TFB21" s="229">
        <v>0</v>
      </c>
      <c r="TFC21" s="229">
        <v>0</v>
      </c>
      <c r="TFD21" s="229">
        <v>0</v>
      </c>
      <c r="TFE21" s="229">
        <v>0</v>
      </c>
      <c r="TFF21" s="229">
        <v>0</v>
      </c>
      <c r="TFG21" s="229">
        <v>0</v>
      </c>
      <c r="TFH21" s="229">
        <v>0</v>
      </c>
      <c r="TFI21" s="229">
        <v>0</v>
      </c>
      <c r="TFJ21" s="229">
        <v>0</v>
      </c>
      <c r="TFK21" s="229">
        <v>0</v>
      </c>
      <c r="TFL21" s="229">
        <v>0</v>
      </c>
      <c r="TFM21" s="229">
        <v>0</v>
      </c>
      <c r="TFN21" s="229">
        <v>0</v>
      </c>
      <c r="TFO21" s="229">
        <v>0</v>
      </c>
      <c r="TFP21" s="229">
        <v>0</v>
      </c>
      <c r="TFQ21" s="229">
        <v>0</v>
      </c>
      <c r="TFR21" s="229">
        <v>0</v>
      </c>
      <c r="TFS21" s="229">
        <v>0</v>
      </c>
      <c r="TFT21" s="229">
        <v>0</v>
      </c>
      <c r="TFU21" s="229">
        <v>0</v>
      </c>
      <c r="TFV21" s="229">
        <v>0</v>
      </c>
      <c r="TFW21" s="229">
        <v>0</v>
      </c>
      <c r="TFX21" s="229">
        <v>0</v>
      </c>
      <c r="TFY21" s="229">
        <v>0</v>
      </c>
      <c r="TFZ21" s="229">
        <v>0</v>
      </c>
      <c r="TGA21" s="229">
        <v>0</v>
      </c>
      <c r="TGB21" s="229">
        <v>0</v>
      </c>
      <c r="TGC21" s="229">
        <v>0</v>
      </c>
      <c r="TGD21" s="229">
        <v>0</v>
      </c>
      <c r="TGE21" s="229">
        <v>0</v>
      </c>
      <c r="TGF21" s="229">
        <v>0</v>
      </c>
      <c r="TGG21" s="229">
        <v>0</v>
      </c>
      <c r="TGH21" s="229">
        <v>0</v>
      </c>
      <c r="TGI21" s="229">
        <v>0</v>
      </c>
      <c r="TGJ21" s="229">
        <v>0</v>
      </c>
      <c r="TGK21" s="229">
        <v>0</v>
      </c>
      <c r="TGL21" s="229">
        <v>0</v>
      </c>
      <c r="TGM21" s="229">
        <v>0</v>
      </c>
      <c r="TGN21" s="229">
        <v>0</v>
      </c>
      <c r="TGO21" s="229">
        <v>0</v>
      </c>
      <c r="TGP21" s="229">
        <v>0</v>
      </c>
      <c r="TGQ21" s="229">
        <v>0</v>
      </c>
      <c r="TGR21" s="229">
        <v>0</v>
      </c>
      <c r="TGS21" s="229">
        <v>0</v>
      </c>
      <c r="TGT21" s="229">
        <v>0</v>
      </c>
      <c r="TGU21" s="229">
        <v>0</v>
      </c>
      <c r="TGV21" s="229">
        <v>0</v>
      </c>
      <c r="TGW21" s="229">
        <v>0</v>
      </c>
      <c r="TGX21" s="229">
        <v>0</v>
      </c>
      <c r="TGY21" s="229">
        <v>0</v>
      </c>
      <c r="TGZ21" s="229">
        <v>0</v>
      </c>
      <c r="THA21" s="229">
        <v>0</v>
      </c>
      <c r="THB21" s="229">
        <v>0</v>
      </c>
      <c r="THC21" s="229">
        <v>0</v>
      </c>
      <c r="THD21" s="229">
        <v>0</v>
      </c>
      <c r="THE21" s="229">
        <v>0</v>
      </c>
      <c r="THF21" s="229">
        <v>0</v>
      </c>
      <c r="THG21" s="229">
        <v>0</v>
      </c>
      <c r="THH21" s="229">
        <v>0</v>
      </c>
      <c r="THI21" s="229">
        <v>0</v>
      </c>
      <c r="THJ21" s="229">
        <v>0</v>
      </c>
      <c r="THK21" s="229">
        <v>0</v>
      </c>
      <c r="THL21" s="229">
        <v>0</v>
      </c>
      <c r="THM21" s="229">
        <v>0</v>
      </c>
      <c r="THN21" s="229">
        <v>0</v>
      </c>
      <c r="THO21" s="229">
        <v>0</v>
      </c>
      <c r="THP21" s="229">
        <v>0</v>
      </c>
      <c r="THQ21" s="229">
        <v>0</v>
      </c>
      <c r="THR21" s="229">
        <v>0</v>
      </c>
      <c r="THS21" s="229">
        <v>0</v>
      </c>
      <c r="THT21" s="229">
        <v>0</v>
      </c>
      <c r="THU21" s="229">
        <v>0</v>
      </c>
      <c r="THV21" s="229">
        <v>0</v>
      </c>
      <c r="THW21" s="229">
        <v>0</v>
      </c>
      <c r="THX21" s="229">
        <v>0</v>
      </c>
      <c r="THY21" s="229">
        <v>0</v>
      </c>
      <c r="THZ21" s="229">
        <v>0</v>
      </c>
      <c r="TIA21" s="229">
        <v>0</v>
      </c>
      <c r="TIB21" s="229">
        <v>0</v>
      </c>
      <c r="TIC21" s="229">
        <v>0</v>
      </c>
      <c r="TID21" s="229">
        <v>0</v>
      </c>
      <c r="TIE21" s="229">
        <v>0</v>
      </c>
      <c r="TIF21" s="229">
        <v>0</v>
      </c>
      <c r="TIG21" s="229">
        <v>0</v>
      </c>
      <c r="TIH21" s="229">
        <v>0</v>
      </c>
      <c r="TII21" s="229">
        <v>0</v>
      </c>
      <c r="TIJ21" s="229">
        <v>0</v>
      </c>
      <c r="TIK21" s="229">
        <v>0</v>
      </c>
      <c r="TIL21" s="229">
        <v>0</v>
      </c>
      <c r="TIM21" s="229">
        <v>0</v>
      </c>
      <c r="TIN21" s="229">
        <v>0</v>
      </c>
      <c r="TIO21" s="229">
        <v>0</v>
      </c>
      <c r="TIP21" s="229">
        <v>0</v>
      </c>
      <c r="TIQ21" s="229">
        <v>0</v>
      </c>
      <c r="TIR21" s="229">
        <v>0</v>
      </c>
      <c r="TIS21" s="229">
        <v>0</v>
      </c>
      <c r="TIT21" s="229">
        <v>0</v>
      </c>
      <c r="TIU21" s="229">
        <v>0</v>
      </c>
      <c r="TIV21" s="229">
        <v>0</v>
      </c>
      <c r="TIW21" s="229">
        <v>0</v>
      </c>
      <c r="TIX21" s="229">
        <v>0</v>
      </c>
      <c r="TIY21" s="229">
        <v>0</v>
      </c>
      <c r="TIZ21" s="229">
        <v>0</v>
      </c>
      <c r="TJA21" s="229">
        <v>0</v>
      </c>
      <c r="TJB21" s="229">
        <v>0</v>
      </c>
      <c r="TJC21" s="229">
        <v>0</v>
      </c>
      <c r="TJD21" s="229">
        <v>0</v>
      </c>
      <c r="TJE21" s="229">
        <v>0</v>
      </c>
      <c r="TJF21" s="229">
        <v>0</v>
      </c>
      <c r="TJG21" s="229">
        <v>0</v>
      </c>
      <c r="TJH21" s="229">
        <v>0</v>
      </c>
      <c r="TJI21" s="229">
        <v>0</v>
      </c>
      <c r="TJJ21" s="229">
        <v>0</v>
      </c>
      <c r="TJK21" s="229">
        <v>0</v>
      </c>
      <c r="TJL21" s="229">
        <v>0</v>
      </c>
      <c r="TJM21" s="229">
        <v>0</v>
      </c>
      <c r="TJN21" s="229">
        <v>0</v>
      </c>
      <c r="TJO21" s="229">
        <v>0</v>
      </c>
      <c r="TJP21" s="229">
        <v>0</v>
      </c>
      <c r="TJQ21" s="229">
        <v>0</v>
      </c>
      <c r="TJR21" s="229">
        <v>0</v>
      </c>
      <c r="TJS21" s="229">
        <v>0</v>
      </c>
      <c r="TJT21" s="229">
        <v>0</v>
      </c>
      <c r="TJU21" s="229">
        <v>0</v>
      </c>
      <c r="TJV21" s="229">
        <v>0</v>
      </c>
      <c r="TJW21" s="229">
        <v>0</v>
      </c>
      <c r="TJX21" s="229">
        <v>0</v>
      </c>
      <c r="TJY21" s="229">
        <v>0</v>
      </c>
      <c r="TJZ21" s="229">
        <v>0</v>
      </c>
      <c r="TKA21" s="229">
        <v>0</v>
      </c>
      <c r="TKB21" s="229">
        <v>0</v>
      </c>
      <c r="TKC21" s="229">
        <v>0</v>
      </c>
      <c r="TKD21" s="229">
        <v>0</v>
      </c>
      <c r="TKE21" s="229">
        <v>0</v>
      </c>
      <c r="TKF21" s="229">
        <v>0</v>
      </c>
      <c r="TKG21" s="229">
        <v>0</v>
      </c>
      <c r="TKH21" s="229">
        <v>0</v>
      </c>
      <c r="TKI21" s="229">
        <v>0</v>
      </c>
      <c r="TKJ21" s="229">
        <v>0</v>
      </c>
      <c r="TKK21" s="229">
        <v>0</v>
      </c>
      <c r="TKL21" s="229">
        <v>0</v>
      </c>
      <c r="TKM21" s="229">
        <v>0</v>
      </c>
      <c r="TKN21" s="229">
        <v>0</v>
      </c>
      <c r="TKO21" s="229">
        <v>0</v>
      </c>
      <c r="TKP21" s="229">
        <v>0</v>
      </c>
      <c r="TKQ21" s="229">
        <v>0</v>
      </c>
      <c r="TKR21" s="229">
        <v>0</v>
      </c>
      <c r="TKS21" s="229">
        <v>0</v>
      </c>
      <c r="TKT21" s="229">
        <v>0</v>
      </c>
      <c r="TKU21" s="229">
        <v>0</v>
      </c>
      <c r="TKV21" s="229">
        <v>0</v>
      </c>
      <c r="TKW21" s="229">
        <v>0</v>
      </c>
      <c r="TKX21" s="229">
        <v>0</v>
      </c>
      <c r="TKY21" s="229">
        <v>0</v>
      </c>
      <c r="TKZ21" s="229">
        <v>0</v>
      </c>
      <c r="TLA21" s="229">
        <v>0</v>
      </c>
      <c r="TLB21" s="229">
        <v>0</v>
      </c>
      <c r="TLC21" s="229">
        <v>0</v>
      </c>
      <c r="TLD21" s="229">
        <v>0</v>
      </c>
      <c r="TLE21" s="229">
        <v>0</v>
      </c>
      <c r="TLF21" s="229">
        <v>0</v>
      </c>
      <c r="TLG21" s="229">
        <v>0</v>
      </c>
      <c r="TLH21" s="229">
        <v>0</v>
      </c>
      <c r="TLI21" s="229">
        <v>0</v>
      </c>
      <c r="TLJ21" s="229">
        <v>0</v>
      </c>
      <c r="TLK21" s="229">
        <v>0</v>
      </c>
      <c r="TLL21" s="229">
        <v>0</v>
      </c>
      <c r="TLM21" s="229">
        <v>0</v>
      </c>
      <c r="TLN21" s="229">
        <v>0</v>
      </c>
      <c r="TLO21" s="229">
        <v>0</v>
      </c>
      <c r="TLP21" s="229">
        <v>0</v>
      </c>
      <c r="TLQ21" s="229">
        <v>0</v>
      </c>
      <c r="TLR21" s="229">
        <v>0</v>
      </c>
      <c r="TLS21" s="229">
        <v>0</v>
      </c>
      <c r="TLT21" s="229">
        <v>0</v>
      </c>
      <c r="TLU21" s="229">
        <v>0</v>
      </c>
      <c r="TLV21" s="229">
        <v>0</v>
      </c>
      <c r="TLW21" s="229">
        <v>0</v>
      </c>
      <c r="TLX21" s="229">
        <v>0</v>
      </c>
      <c r="TLY21" s="229">
        <v>0</v>
      </c>
      <c r="TLZ21" s="229">
        <v>0</v>
      </c>
      <c r="TMA21" s="229">
        <v>0</v>
      </c>
      <c r="TMB21" s="229">
        <v>0</v>
      </c>
      <c r="TMC21" s="229">
        <v>0</v>
      </c>
      <c r="TMD21" s="229">
        <v>0</v>
      </c>
      <c r="TME21" s="229">
        <v>0</v>
      </c>
      <c r="TMF21" s="229">
        <v>0</v>
      </c>
      <c r="TMG21" s="229">
        <v>0</v>
      </c>
      <c r="TMH21" s="229">
        <v>0</v>
      </c>
      <c r="TMI21" s="229">
        <v>0</v>
      </c>
      <c r="TMJ21" s="229">
        <v>0</v>
      </c>
      <c r="TMK21" s="229">
        <v>0</v>
      </c>
      <c r="TML21" s="229">
        <v>0</v>
      </c>
      <c r="TMM21" s="229">
        <v>0</v>
      </c>
      <c r="TMN21" s="229">
        <v>0</v>
      </c>
      <c r="TMO21" s="229">
        <v>0</v>
      </c>
      <c r="TMP21" s="229">
        <v>0</v>
      </c>
      <c r="TMQ21" s="229">
        <v>0</v>
      </c>
      <c r="TMR21" s="229">
        <v>0</v>
      </c>
      <c r="TMS21" s="229">
        <v>0</v>
      </c>
      <c r="TMT21" s="229">
        <v>0</v>
      </c>
      <c r="TMU21" s="229">
        <v>0</v>
      </c>
      <c r="TMV21" s="229">
        <v>0</v>
      </c>
      <c r="TMW21" s="229">
        <v>0</v>
      </c>
      <c r="TMX21" s="229">
        <v>0</v>
      </c>
      <c r="TMY21" s="229">
        <v>0</v>
      </c>
      <c r="TMZ21" s="229">
        <v>0</v>
      </c>
      <c r="TNA21" s="229">
        <v>0</v>
      </c>
      <c r="TNB21" s="229">
        <v>0</v>
      </c>
      <c r="TNC21" s="229">
        <v>0</v>
      </c>
      <c r="TND21" s="229">
        <v>0</v>
      </c>
      <c r="TNE21" s="229">
        <v>0</v>
      </c>
      <c r="TNF21" s="229">
        <v>0</v>
      </c>
      <c r="TNG21" s="229">
        <v>0</v>
      </c>
      <c r="TNH21" s="229">
        <v>0</v>
      </c>
      <c r="TNI21" s="229">
        <v>0</v>
      </c>
      <c r="TNJ21" s="229">
        <v>0</v>
      </c>
      <c r="TNK21" s="229">
        <v>0</v>
      </c>
      <c r="TNL21" s="229">
        <v>0</v>
      </c>
      <c r="TNM21" s="229">
        <v>0</v>
      </c>
      <c r="TNN21" s="229">
        <v>0</v>
      </c>
      <c r="TNO21" s="229">
        <v>0</v>
      </c>
      <c r="TNP21" s="229">
        <v>0</v>
      </c>
      <c r="TNQ21" s="229">
        <v>0</v>
      </c>
      <c r="TNR21" s="229">
        <v>0</v>
      </c>
      <c r="TNS21" s="229">
        <v>0</v>
      </c>
      <c r="TNT21" s="229">
        <v>0</v>
      </c>
      <c r="TNU21" s="229">
        <v>0</v>
      </c>
      <c r="TNV21" s="229">
        <v>0</v>
      </c>
      <c r="TNW21" s="229">
        <v>0</v>
      </c>
      <c r="TNX21" s="229">
        <v>0</v>
      </c>
      <c r="TNY21" s="229">
        <v>0</v>
      </c>
      <c r="TNZ21" s="229">
        <v>0</v>
      </c>
      <c r="TOA21" s="229">
        <v>0</v>
      </c>
      <c r="TOB21" s="229">
        <v>0</v>
      </c>
      <c r="TOC21" s="229">
        <v>0</v>
      </c>
      <c r="TOD21" s="229">
        <v>0</v>
      </c>
      <c r="TOE21" s="229">
        <v>0</v>
      </c>
      <c r="TOF21" s="229">
        <v>0</v>
      </c>
      <c r="TOG21" s="229">
        <v>0</v>
      </c>
      <c r="TOH21" s="229">
        <v>0</v>
      </c>
      <c r="TOI21" s="229">
        <v>0</v>
      </c>
      <c r="TOJ21" s="229">
        <v>0</v>
      </c>
      <c r="TOK21" s="229">
        <v>0</v>
      </c>
      <c r="TOL21" s="229">
        <v>0</v>
      </c>
      <c r="TOM21" s="229">
        <v>0</v>
      </c>
      <c r="TON21" s="229">
        <v>0</v>
      </c>
      <c r="TOO21" s="229">
        <v>0</v>
      </c>
      <c r="TOP21" s="229">
        <v>0</v>
      </c>
      <c r="TOQ21" s="229">
        <v>0</v>
      </c>
      <c r="TOR21" s="229">
        <v>0</v>
      </c>
      <c r="TOS21" s="229">
        <v>0</v>
      </c>
      <c r="TOT21" s="229">
        <v>0</v>
      </c>
      <c r="TOU21" s="229">
        <v>0</v>
      </c>
      <c r="TOV21" s="229">
        <v>0</v>
      </c>
      <c r="TOW21" s="229">
        <v>0</v>
      </c>
      <c r="TOX21" s="229">
        <v>0</v>
      </c>
      <c r="TOY21" s="229">
        <v>0</v>
      </c>
      <c r="TOZ21" s="229">
        <v>0</v>
      </c>
      <c r="TPA21" s="229">
        <v>0</v>
      </c>
      <c r="TPB21" s="229">
        <v>0</v>
      </c>
      <c r="TPC21" s="229">
        <v>0</v>
      </c>
      <c r="TPD21" s="229">
        <v>0</v>
      </c>
      <c r="TPE21" s="229">
        <v>0</v>
      </c>
      <c r="TPF21" s="229">
        <v>0</v>
      </c>
      <c r="TPG21" s="229">
        <v>0</v>
      </c>
      <c r="TPH21" s="229">
        <v>0</v>
      </c>
      <c r="TPI21" s="229">
        <v>0</v>
      </c>
      <c r="TPJ21" s="229">
        <v>0</v>
      </c>
      <c r="TPK21" s="229">
        <v>0</v>
      </c>
      <c r="TPL21" s="229">
        <v>0</v>
      </c>
      <c r="TPM21" s="229">
        <v>0</v>
      </c>
      <c r="TPN21" s="229">
        <v>0</v>
      </c>
      <c r="TPO21" s="229">
        <v>0</v>
      </c>
      <c r="TPP21" s="229">
        <v>0</v>
      </c>
      <c r="TPQ21" s="229">
        <v>0</v>
      </c>
      <c r="TPR21" s="229">
        <v>0</v>
      </c>
      <c r="TPS21" s="229">
        <v>0</v>
      </c>
      <c r="TPT21" s="229">
        <v>0</v>
      </c>
      <c r="TPU21" s="229">
        <v>0</v>
      </c>
      <c r="TPV21" s="229">
        <v>0</v>
      </c>
      <c r="TPW21" s="229">
        <v>0</v>
      </c>
      <c r="TPX21" s="229">
        <v>0</v>
      </c>
      <c r="TPY21" s="229">
        <v>0</v>
      </c>
      <c r="TPZ21" s="229">
        <v>0</v>
      </c>
      <c r="TQA21" s="229">
        <v>0</v>
      </c>
      <c r="TQB21" s="229">
        <v>0</v>
      </c>
      <c r="TQC21" s="229">
        <v>0</v>
      </c>
      <c r="TQD21" s="229">
        <v>0</v>
      </c>
      <c r="TQE21" s="229">
        <v>0</v>
      </c>
      <c r="TQF21" s="229">
        <v>0</v>
      </c>
      <c r="TQG21" s="229">
        <v>0</v>
      </c>
      <c r="TQH21" s="229">
        <v>0</v>
      </c>
      <c r="TQI21" s="229">
        <v>0</v>
      </c>
      <c r="TQJ21" s="229">
        <v>0</v>
      </c>
      <c r="TQK21" s="229">
        <v>0</v>
      </c>
      <c r="TQL21" s="229">
        <v>0</v>
      </c>
      <c r="TQM21" s="229">
        <v>0</v>
      </c>
      <c r="TQN21" s="229">
        <v>0</v>
      </c>
      <c r="TQO21" s="229">
        <v>0</v>
      </c>
      <c r="TQP21" s="229">
        <v>0</v>
      </c>
      <c r="TQQ21" s="229">
        <v>0</v>
      </c>
      <c r="TQR21" s="229">
        <v>0</v>
      </c>
      <c r="TQS21" s="229">
        <v>0</v>
      </c>
      <c r="TQT21" s="229">
        <v>0</v>
      </c>
      <c r="TQU21" s="229">
        <v>0</v>
      </c>
      <c r="TQV21" s="229">
        <v>0</v>
      </c>
      <c r="TQW21" s="229">
        <v>0</v>
      </c>
      <c r="TQX21" s="229">
        <v>0</v>
      </c>
      <c r="TQY21" s="229">
        <v>0</v>
      </c>
      <c r="TQZ21" s="229">
        <v>0</v>
      </c>
      <c r="TRA21" s="229">
        <v>0</v>
      </c>
      <c r="TRB21" s="229">
        <v>0</v>
      </c>
      <c r="TRC21" s="229">
        <v>0</v>
      </c>
      <c r="TRD21" s="229">
        <v>0</v>
      </c>
      <c r="TRE21" s="229">
        <v>0</v>
      </c>
      <c r="TRF21" s="229">
        <v>0</v>
      </c>
      <c r="TRG21" s="229">
        <v>0</v>
      </c>
      <c r="TRH21" s="229">
        <v>0</v>
      </c>
      <c r="TRI21" s="229">
        <v>0</v>
      </c>
      <c r="TRJ21" s="229">
        <v>0</v>
      </c>
      <c r="TRK21" s="229">
        <v>0</v>
      </c>
      <c r="TRL21" s="229">
        <v>0</v>
      </c>
      <c r="TRM21" s="229">
        <v>0</v>
      </c>
      <c r="TRN21" s="229">
        <v>0</v>
      </c>
      <c r="TRO21" s="229">
        <v>0</v>
      </c>
      <c r="TRP21" s="229">
        <v>0</v>
      </c>
      <c r="TRQ21" s="229">
        <v>0</v>
      </c>
      <c r="TRR21" s="229">
        <v>0</v>
      </c>
      <c r="TRS21" s="229">
        <v>0</v>
      </c>
      <c r="TRT21" s="229">
        <v>0</v>
      </c>
      <c r="TRU21" s="229">
        <v>0</v>
      </c>
      <c r="TRV21" s="229">
        <v>0</v>
      </c>
      <c r="TRW21" s="229">
        <v>0</v>
      </c>
      <c r="TRX21" s="229">
        <v>0</v>
      </c>
      <c r="TRY21" s="229">
        <v>0</v>
      </c>
      <c r="TRZ21" s="229">
        <v>0</v>
      </c>
      <c r="TSA21" s="229">
        <v>0</v>
      </c>
      <c r="TSB21" s="229">
        <v>0</v>
      </c>
      <c r="TSC21" s="229">
        <v>0</v>
      </c>
      <c r="TSD21" s="229">
        <v>0</v>
      </c>
      <c r="TSE21" s="229">
        <v>0</v>
      </c>
      <c r="TSF21" s="229">
        <v>0</v>
      </c>
      <c r="TSG21" s="229">
        <v>0</v>
      </c>
      <c r="TSH21" s="229">
        <v>0</v>
      </c>
      <c r="TSI21" s="229">
        <v>0</v>
      </c>
      <c r="TSJ21" s="229">
        <v>0</v>
      </c>
      <c r="TSK21" s="229">
        <v>0</v>
      </c>
      <c r="TSL21" s="229">
        <v>0</v>
      </c>
      <c r="TSM21" s="229">
        <v>0</v>
      </c>
      <c r="TSN21" s="229">
        <v>0</v>
      </c>
      <c r="TSO21" s="229">
        <v>0</v>
      </c>
      <c r="TSP21" s="229">
        <v>0</v>
      </c>
      <c r="TSQ21" s="229">
        <v>0</v>
      </c>
      <c r="TSR21" s="229">
        <v>0</v>
      </c>
      <c r="TSS21" s="229">
        <v>0</v>
      </c>
      <c r="TST21" s="229">
        <v>0</v>
      </c>
      <c r="TSU21" s="229">
        <v>0</v>
      </c>
      <c r="TSV21" s="229">
        <v>0</v>
      </c>
      <c r="TSW21" s="229">
        <v>0</v>
      </c>
      <c r="TSX21" s="229">
        <v>0</v>
      </c>
      <c r="TSY21" s="229">
        <v>0</v>
      </c>
      <c r="TSZ21" s="229">
        <v>0</v>
      </c>
      <c r="TTA21" s="229">
        <v>0</v>
      </c>
      <c r="TTB21" s="229">
        <v>0</v>
      </c>
      <c r="TTC21" s="229">
        <v>0</v>
      </c>
      <c r="TTD21" s="229">
        <v>0</v>
      </c>
      <c r="TTE21" s="229">
        <v>0</v>
      </c>
      <c r="TTF21" s="229">
        <v>0</v>
      </c>
      <c r="TTG21" s="229">
        <v>0</v>
      </c>
      <c r="TTH21" s="229">
        <v>0</v>
      </c>
      <c r="TTI21" s="229">
        <v>0</v>
      </c>
      <c r="TTJ21" s="229">
        <v>0</v>
      </c>
      <c r="TTK21" s="229">
        <v>0</v>
      </c>
      <c r="TTL21" s="229">
        <v>0</v>
      </c>
      <c r="TTM21" s="229">
        <v>0</v>
      </c>
      <c r="TTN21" s="229">
        <v>0</v>
      </c>
      <c r="TTO21" s="229">
        <v>0</v>
      </c>
      <c r="TTP21" s="229">
        <v>0</v>
      </c>
      <c r="TTQ21" s="229">
        <v>0</v>
      </c>
      <c r="TTR21" s="229">
        <v>0</v>
      </c>
      <c r="TTS21" s="229">
        <v>0</v>
      </c>
      <c r="TTT21" s="229">
        <v>0</v>
      </c>
      <c r="TTU21" s="229">
        <v>0</v>
      </c>
      <c r="TTV21" s="229">
        <v>0</v>
      </c>
      <c r="TTW21" s="229">
        <v>0</v>
      </c>
      <c r="TTX21" s="229">
        <v>0</v>
      </c>
      <c r="TTY21" s="229">
        <v>0</v>
      </c>
      <c r="TTZ21" s="229">
        <v>0</v>
      </c>
      <c r="TUA21" s="229">
        <v>0</v>
      </c>
      <c r="TUB21" s="229">
        <v>0</v>
      </c>
      <c r="TUC21" s="229">
        <v>0</v>
      </c>
      <c r="TUD21" s="229">
        <v>0</v>
      </c>
      <c r="TUE21" s="229">
        <v>0</v>
      </c>
      <c r="TUF21" s="229">
        <v>0</v>
      </c>
      <c r="TUG21" s="229">
        <v>0</v>
      </c>
      <c r="TUH21" s="229">
        <v>0</v>
      </c>
      <c r="TUI21" s="229">
        <v>0</v>
      </c>
      <c r="TUJ21" s="229">
        <v>0</v>
      </c>
      <c r="TUK21" s="229">
        <v>0</v>
      </c>
      <c r="TUL21" s="229">
        <v>0</v>
      </c>
      <c r="TUM21" s="229">
        <v>0</v>
      </c>
      <c r="TUN21" s="229">
        <v>0</v>
      </c>
      <c r="TUO21" s="229">
        <v>0</v>
      </c>
      <c r="TUP21" s="229">
        <v>0</v>
      </c>
      <c r="TUQ21" s="229">
        <v>0</v>
      </c>
      <c r="TUR21" s="229">
        <v>0</v>
      </c>
      <c r="TUS21" s="229">
        <v>0</v>
      </c>
      <c r="TUT21" s="229">
        <v>0</v>
      </c>
      <c r="TUU21" s="229">
        <v>0</v>
      </c>
      <c r="TUV21" s="229">
        <v>0</v>
      </c>
      <c r="TUW21" s="229">
        <v>0</v>
      </c>
      <c r="TUX21" s="229">
        <v>0</v>
      </c>
      <c r="TUY21" s="229">
        <v>0</v>
      </c>
      <c r="TUZ21" s="229">
        <v>0</v>
      </c>
      <c r="TVA21" s="229">
        <v>0</v>
      </c>
      <c r="TVB21" s="229">
        <v>0</v>
      </c>
      <c r="TVC21" s="229">
        <v>0</v>
      </c>
      <c r="TVD21" s="229">
        <v>0</v>
      </c>
      <c r="TVE21" s="229">
        <v>0</v>
      </c>
      <c r="TVF21" s="229">
        <v>0</v>
      </c>
      <c r="TVG21" s="229">
        <v>0</v>
      </c>
      <c r="TVH21" s="229">
        <v>0</v>
      </c>
      <c r="TVI21" s="229">
        <v>0</v>
      </c>
      <c r="TVJ21" s="229">
        <v>0</v>
      </c>
      <c r="TVK21" s="229">
        <v>0</v>
      </c>
      <c r="TVL21" s="229">
        <v>0</v>
      </c>
      <c r="TVM21" s="229">
        <v>0</v>
      </c>
      <c r="TVN21" s="229">
        <v>0</v>
      </c>
      <c r="TVO21" s="229">
        <v>0</v>
      </c>
      <c r="TVP21" s="229">
        <v>0</v>
      </c>
      <c r="TVQ21" s="229">
        <v>0</v>
      </c>
      <c r="TVR21" s="229">
        <v>0</v>
      </c>
      <c r="TVS21" s="229">
        <v>0</v>
      </c>
      <c r="TVT21" s="229">
        <v>0</v>
      </c>
      <c r="TVU21" s="229">
        <v>0</v>
      </c>
      <c r="TVV21" s="229">
        <v>0</v>
      </c>
      <c r="TVW21" s="229">
        <v>0</v>
      </c>
      <c r="TVX21" s="229">
        <v>0</v>
      </c>
      <c r="TVY21" s="229">
        <v>0</v>
      </c>
      <c r="TVZ21" s="229">
        <v>0</v>
      </c>
      <c r="TWA21" s="229">
        <v>0</v>
      </c>
      <c r="TWB21" s="229">
        <v>0</v>
      </c>
      <c r="TWC21" s="229">
        <v>0</v>
      </c>
      <c r="TWD21" s="229">
        <v>0</v>
      </c>
      <c r="TWE21" s="229">
        <v>0</v>
      </c>
      <c r="TWF21" s="229">
        <v>0</v>
      </c>
      <c r="TWG21" s="229">
        <v>0</v>
      </c>
      <c r="TWH21" s="229">
        <v>0</v>
      </c>
      <c r="TWI21" s="229">
        <v>0</v>
      </c>
      <c r="TWJ21" s="229">
        <v>0</v>
      </c>
      <c r="TWK21" s="229">
        <v>0</v>
      </c>
      <c r="TWL21" s="229">
        <v>0</v>
      </c>
      <c r="TWM21" s="229">
        <v>0</v>
      </c>
      <c r="TWN21" s="229">
        <v>0</v>
      </c>
      <c r="TWO21" s="229">
        <v>0</v>
      </c>
      <c r="TWP21" s="229">
        <v>0</v>
      </c>
      <c r="TWQ21" s="229">
        <v>0</v>
      </c>
      <c r="TWR21" s="229">
        <v>0</v>
      </c>
      <c r="TWS21" s="229">
        <v>0</v>
      </c>
      <c r="TWT21" s="229">
        <v>0</v>
      </c>
      <c r="TWU21" s="229">
        <v>0</v>
      </c>
      <c r="TWV21" s="229">
        <v>0</v>
      </c>
      <c r="TWW21" s="229">
        <v>0</v>
      </c>
      <c r="TWX21" s="229">
        <v>0</v>
      </c>
      <c r="TWY21" s="229">
        <v>0</v>
      </c>
      <c r="TWZ21" s="229">
        <v>0</v>
      </c>
      <c r="TXA21" s="229">
        <v>0</v>
      </c>
      <c r="TXB21" s="229">
        <v>0</v>
      </c>
      <c r="TXC21" s="229">
        <v>0</v>
      </c>
      <c r="TXD21" s="229">
        <v>0</v>
      </c>
      <c r="TXE21" s="229">
        <v>0</v>
      </c>
      <c r="TXF21" s="229">
        <v>0</v>
      </c>
      <c r="TXG21" s="229">
        <v>0</v>
      </c>
      <c r="TXH21" s="229">
        <v>0</v>
      </c>
      <c r="TXI21" s="229">
        <v>0</v>
      </c>
      <c r="TXJ21" s="229">
        <v>0</v>
      </c>
      <c r="TXK21" s="229">
        <v>0</v>
      </c>
      <c r="TXL21" s="229">
        <v>0</v>
      </c>
      <c r="TXM21" s="229">
        <v>0</v>
      </c>
      <c r="TXN21" s="229">
        <v>0</v>
      </c>
      <c r="TXO21" s="229">
        <v>0</v>
      </c>
      <c r="TXP21" s="229">
        <v>0</v>
      </c>
      <c r="TXQ21" s="229">
        <v>0</v>
      </c>
      <c r="TXR21" s="229">
        <v>0</v>
      </c>
      <c r="TXS21" s="229">
        <v>0</v>
      </c>
      <c r="TXT21" s="229">
        <v>0</v>
      </c>
      <c r="TXU21" s="229">
        <v>0</v>
      </c>
      <c r="TXV21" s="229">
        <v>0</v>
      </c>
      <c r="TXW21" s="229">
        <v>0</v>
      </c>
      <c r="TXX21" s="229">
        <v>0</v>
      </c>
      <c r="TXY21" s="229">
        <v>0</v>
      </c>
      <c r="TXZ21" s="229">
        <v>0</v>
      </c>
      <c r="TYA21" s="229">
        <v>0</v>
      </c>
      <c r="TYB21" s="229">
        <v>0</v>
      </c>
      <c r="TYC21" s="229">
        <v>0</v>
      </c>
      <c r="TYD21" s="229">
        <v>0</v>
      </c>
      <c r="TYE21" s="229">
        <v>0</v>
      </c>
      <c r="TYF21" s="229">
        <v>0</v>
      </c>
      <c r="TYG21" s="229">
        <v>0</v>
      </c>
      <c r="TYH21" s="229">
        <v>0</v>
      </c>
      <c r="TYI21" s="229">
        <v>0</v>
      </c>
      <c r="TYJ21" s="229">
        <v>0</v>
      </c>
      <c r="TYK21" s="229">
        <v>0</v>
      </c>
      <c r="TYL21" s="229">
        <v>0</v>
      </c>
      <c r="TYM21" s="229">
        <v>0</v>
      </c>
      <c r="TYN21" s="229">
        <v>0</v>
      </c>
      <c r="TYO21" s="229">
        <v>0</v>
      </c>
      <c r="TYP21" s="229">
        <v>0</v>
      </c>
      <c r="TYQ21" s="229">
        <v>0</v>
      </c>
      <c r="TYR21" s="229">
        <v>0</v>
      </c>
      <c r="TYS21" s="229">
        <v>0</v>
      </c>
      <c r="TYT21" s="229">
        <v>0</v>
      </c>
      <c r="TYU21" s="229">
        <v>0</v>
      </c>
      <c r="TYV21" s="229">
        <v>0</v>
      </c>
      <c r="TYW21" s="229">
        <v>0</v>
      </c>
      <c r="TYX21" s="229">
        <v>0</v>
      </c>
      <c r="TYY21" s="229">
        <v>0</v>
      </c>
      <c r="TYZ21" s="229">
        <v>0</v>
      </c>
      <c r="TZA21" s="229">
        <v>0</v>
      </c>
      <c r="TZB21" s="229">
        <v>0</v>
      </c>
      <c r="TZC21" s="229">
        <v>0</v>
      </c>
      <c r="TZD21" s="229">
        <v>0</v>
      </c>
      <c r="TZE21" s="229">
        <v>0</v>
      </c>
      <c r="TZF21" s="229">
        <v>0</v>
      </c>
      <c r="TZG21" s="229">
        <v>0</v>
      </c>
      <c r="TZH21" s="229">
        <v>0</v>
      </c>
      <c r="TZI21" s="229">
        <v>0</v>
      </c>
      <c r="TZJ21" s="229">
        <v>0</v>
      </c>
      <c r="TZK21" s="229">
        <v>0</v>
      </c>
      <c r="TZL21" s="229">
        <v>0</v>
      </c>
      <c r="TZM21" s="229">
        <v>0</v>
      </c>
      <c r="TZN21" s="229">
        <v>0</v>
      </c>
      <c r="TZO21" s="229">
        <v>0</v>
      </c>
      <c r="TZP21" s="229">
        <v>0</v>
      </c>
      <c r="TZQ21" s="229">
        <v>0</v>
      </c>
      <c r="TZR21" s="229">
        <v>0</v>
      </c>
      <c r="TZS21" s="229">
        <v>0</v>
      </c>
      <c r="TZT21" s="229">
        <v>0</v>
      </c>
      <c r="TZU21" s="229">
        <v>0</v>
      </c>
      <c r="TZV21" s="229">
        <v>0</v>
      </c>
      <c r="TZW21" s="229">
        <v>0</v>
      </c>
      <c r="TZX21" s="229">
        <v>0</v>
      </c>
      <c r="TZY21" s="229">
        <v>0</v>
      </c>
      <c r="TZZ21" s="229">
        <v>0</v>
      </c>
      <c r="UAA21" s="229">
        <v>0</v>
      </c>
      <c r="UAB21" s="229">
        <v>0</v>
      </c>
      <c r="UAC21" s="229">
        <v>0</v>
      </c>
      <c r="UAD21" s="229">
        <v>0</v>
      </c>
      <c r="UAE21" s="229">
        <v>0</v>
      </c>
      <c r="UAF21" s="229">
        <v>0</v>
      </c>
      <c r="UAG21" s="229">
        <v>0</v>
      </c>
      <c r="UAH21" s="229">
        <v>0</v>
      </c>
      <c r="UAI21" s="229">
        <v>0</v>
      </c>
      <c r="UAJ21" s="229">
        <v>0</v>
      </c>
      <c r="UAK21" s="229">
        <v>0</v>
      </c>
      <c r="UAL21" s="229">
        <v>0</v>
      </c>
      <c r="UAM21" s="229">
        <v>0</v>
      </c>
      <c r="UAN21" s="229">
        <v>0</v>
      </c>
      <c r="UAO21" s="229">
        <v>0</v>
      </c>
      <c r="UAP21" s="229">
        <v>0</v>
      </c>
      <c r="UAQ21" s="229">
        <v>0</v>
      </c>
      <c r="UAR21" s="229">
        <v>0</v>
      </c>
      <c r="UAS21" s="229">
        <v>0</v>
      </c>
      <c r="UAT21" s="229">
        <v>0</v>
      </c>
      <c r="UAU21" s="229">
        <v>0</v>
      </c>
      <c r="UAV21" s="229">
        <v>0</v>
      </c>
      <c r="UAW21" s="229">
        <v>0</v>
      </c>
      <c r="UAX21" s="229">
        <v>0</v>
      </c>
      <c r="UAY21" s="229">
        <v>0</v>
      </c>
      <c r="UAZ21" s="229">
        <v>0</v>
      </c>
      <c r="UBA21" s="229">
        <v>0</v>
      </c>
      <c r="UBB21" s="229">
        <v>0</v>
      </c>
      <c r="UBC21" s="229">
        <v>0</v>
      </c>
      <c r="UBD21" s="229">
        <v>0</v>
      </c>
      <c r="UBE21" s="229">
        <v>0</v>
      </c>
      <c r="UBF21" s="229">
        <v>0</v>
      </c>
      <c r="UBG21" s="229">
        <v>0</v>
      </c>
      <c r="UBH21" s="229">
        <v>0</v>
      </c>
      <c r="UBI21" s="229">
        <v>0</v>
      </c>
      <c r="UBJ21" s="229">
        <v>0</v>
      </c>
      <c r="UBK21" s="229">
        <v>0</v>
      </c>
      <c r="UBL21" s="229">
        <v>0</v>
      </c>
      <c r="UBM21" s="229">
        <v>0</v>
      </c>
      <c r="UBN21" s="229">
        <v>0</v>
      </c>
      <c r="UBO21" s="229">
        <v>0</v>
      </c>
      <c r="UBP21" s="229">
        <v>0</v>
      </c>
      <c r="UBQ21" s="229">
        <v>0</v>
      </c>
      <c r="UBR21" s="229">
        <v>0</v>
      </c>
      <c r="UBS21" s="229">
        <v>0</v>
      </c>
      <c r="UBT21" s="229">
        <v>0</v>
      </c>
      <c r="UBU21" s="229">
        <v>0</v>
      </c>
      <c r="UBV21" s="229">
        <v>0</v>
      </c>
      <c r="UBW21" s="229">
        <v>0</v>
      </c>
      <c r="UBX21" s="229">
        <v>0</v>
      </c>
      <c r="UBY21" s="229">
        <v>0</v>
      </c>
      <c r="UBZ21" s="229">
        <v>0</v>
      </c>
      <c r="UCA21" s="229">
        <v>0</v>
      </c>
      <c r="UCB21" s="229">
        <v>0</v>
      </c>
      <c r="UCC21" s="229">
        <v>0</v>
      </c>
      <c r="UCD21" s="229">
        <v>0</v>
      </c>
      <c r="UCE21" s="229">
        <v>0</v>
      </c>
      <c r="UCF21" s="229">
        <v>0</v>
      </c>
      <c r="UCG21" s="229">
        <v>0</v>
      </c>
      <c r="UCH21" s="229">
        <v>0</v>
      </c>
      <c r="UCI21" s="229">
        <v>0</v>
      </c>
      <c r="UCJ21" s="229">
        <v>0</v>
      </c>
      <c r="UCK21" s="229">
        <v>0</v>
      </c>
      <c r="UCL21" s="229">
        <v>0</v>
      </c>
      <c r="UCM21" s="229">
        <v>0</v>
      </c>
      <c r="UCN21" s="229">
        <v>0</v>
      </c>
      <c r="UCO21" s="229">
        <v>0</v>
      </c>
      <c r="UCP21" s="229">
        <v>0</v>
      </c>
      <c r="UCQ21" s="229">
        <v>0</v>
      </c>
      <c r="UCR21" s="229">
        <v>0</v>
      </c>
      <c r="UCS21" s="229">
        <v>0</v>
      </c>
      <c r="UCT21" s="229">
        <v>0</v>
      </c>
      <c r="UCU21" s="229">
        <v>0</v>
      </c>
      <c r="UCV21" s="229">
        <v>0</v>
      </c>
      <c r="UCW21" s="229">
        <v>0</v>
      </c>
      <c r="UCX21" s="229">
        <v>0</v>
      </c>
      <c r="UCY21" s="229">
        <v>0</v>
      </c>
      <c r="UCZ21" s="229">
        <v>0</v>
      </c>
      <c r="UDA21" s="229">
        <v>0</v>
      </c>
      <c r="UDB21" s="229">
        <v>0</v>
      </c>
      <c r="UDC21" s="229">
        <v>0</v>
      </c>
      <c r="UDD21" s="229">
        <v>0</v>
      </c>
      <c r="UDE21" s="229">
        <v>0</v>
      </c>
      <c r="UDF21" s="229">
        <v>0</v>
      </c>
      <c r="UDG21" s="229">
        <v>0</v>
      </c>
      <c r="UDH21" s="229">
        <v>0</v>
      </c>
      <c r="UDI21" s="229">
        <v>0</v>
      </c>
      <c r="UDJ21" s="229">
        <v>0</v>
      </c>
      <c r="UDK21" s="229">
        <v>0</v>
      </c>
      <c r="UDL21" s="229">
        <v>0</v>
      </c>
      <c r="UDM21" s="229">
        <v>0</v>
      </c>
      <c r="UDN21" s="229">
        <v>0</v>
      </c>
      <c r="UDO21" s="229">
        <v>0</v>
      </c>
      <c r="UDP21" s="229">
        <v>0</v>
      </c>
      <c r="UDQ21" s="229">
        <v>0</v>
      </c>
      <c r="UDR21" s="229">
        <v>0</v>
      </c>
      <c r="UDS21" s="229">
        <v>0</v>
      </c>
      <c r="UDT21" s="229">
        <v>0</v>
      </c>
      <c r="UDU21" s="229">
        <v>0</v>
      </c>
      <c r="UDV21" s="229">
        <v>0</v>
      </c>
      <c r="UDW21" s="229">
        <v>0</v>
      </c>
      <c r="UDX21" s="229">
        <v>0</v>
      </c>
      <c r="UDY21" s="229">
        <v>0</v>
      </c>
      <c r="UDZ21" s="229">
        <v>0</v>
      </c>
      <c r="UEA21" s="229">
        <v>0</v>
      </c>
      <c r="UEB21" s="229">
        <v>0</v>
      </c>
      <c r="UEC21" s="229">
        <v>0</v>
      </c>
      <c r="UED21" s="229">
        <v>0</v>
      </c>
      <c r="UEE21" s="229">
        <v>0</v>
      </c>
      <c r="UEF21" s="229">
        <v>0</v>
      </c>
      <c r="UEG21" s="229">
        <v>0</v>
      </c>
      <c r="UEH21" s="229">
        <v>0</v>
      </c>
      <c r="UEI21" s="229">
        <v>0</v>
      </c>
      <c r="UEJ21" s="229">
        <v>0</v>
      </c>
      <c r="UEK21" s="229">
        <v>0</v>
      </c>
      <c r="UEL21" s="229">
        <v>0</v>
      </c>
      <c r="UEM21" s="229">
        <v>0</v>
      </c>
      <c r="UEN21" s="229">
        <v>0</v>
      </c>
      <c r="UEO21" s="229">
        <v>0</v>
      </c>
      <c r="UEP21" s="229">
        <v>0</v>
      </c>
      <c r="UEQ21" s="229">
        <v>0</v>
      </c>
      <c r="UER21" s="229">
        <v>0</v>
      </c>
      <c r="UES21" s="229">
        <v>0</v>
      </c>
      <c r="UET21" s="229">
        <v>0</v>
      </c>
      <c r="UEU21" s="229">
        <v>0</v>
      </c>
      <c r="UEV21" s="229">
        <v>0</v>
      </c>
      <c r="UEW21" s="229">
        <v>0</v>
      </c>
      <c r="UEX21" s="229">
        <v>0</v>
      </c>
      <c r="UEY21" s="229">
        <v>0</v>
      </c>
      <c r="UEZ21" s="229">
        <v>0</v>
      </c>
      <c r="UFA21" s="229">
        <v>0</v>
      </c>
      <c r="UFB21" s="229">
        <v>0</v>
      </c>
      <c r="UFC21" s="229">
        <v>0</v>
      </c>
      <c r="UFD21" s="229">
        <v>0</v>
      </c>
      <c r="UFE21" s="229">
        <v>0</v>
      </c>
      <c r="UFF21" s="229">
        <v>0</v>
      </c>
      <c r="UFG21" s="229">
        <v>0</v>
      </c>
      <c r="UFH21" s="229">
        <v>0</v>
      </c>
      <c r="UFI21" s="229">
        <v>0</v>
      </c>
      <c r="UFJ21" s="229">
        <v>0</v>
      </c>
      <c r="UFK21" s="229">
        <v>0</v>
      </c>
      <c r="UFL21" s="229">
        <v>0</v>
      </c>
      <c r="UFM21" s="229">
        <v>0</v>
      </c>
      <c r="UFN21" s="229">
        <v>0</v>
      </c>
      <c r="UFO21" s="229">
        <v>0</v>
      </c>
      <c r="UFP21" s="229">
        <v>0</v>
      </c>
      <c r="UFQ21" s="229">
        <v>0</v>
      </c>
      <c r="UFR21" s="229">
        <v>0</v>
      </c>
      <c r="UFS21" s="229">
        <v>0</v>
      </c>
      <c r="UFT21" s="229">
        <v>0</v>
      </c>
      <c r="UFU21" s="229">
        <v>0</v>
      </c>
      <c r="UFV21" s="229">
        <v>0</v>
      </c>
      <c r="UFW21" s="229">
        <v>0</v>
      </c>
      <c r="UFX21" s="229">
        <v>0</v>
      </c>
      <c r="UFY21" s="229">
        <v>0</v>
      </c>
      <c r="UFZ21" s="229">
        <v>0</v>
      </c>
      <c r="UGA21" s="229">
        <v>0</v>
      </c>
      <c r="UGB21" s="229">
        <v>0</v>
      </c>
      <c r="UGC21" s="229">
        <v>0</v>
      </c>
      <c r="UGD21" s="229">
        <v>0</v>
      </c>
      <c r="UGE21" s="229">
        <v>0</v>
      </c>
      <c r="UGF21" s="229">
        <v>0</v>
      </c>
      <c r="UGG21" s="229">
        <v>0</v>
      </c>
      <c r="UGH21" s="229">
        <v>0</v>
      </c>
      <c r="UGI21" s="229">
        <v>0</v>
      </c>
      <c r="UGJ21" s="229">
        <v>0</v>
      </c>
      <c r="UGK21" s="229">
        <v>0</v>
      </c>
      <c r="UGL21" s="229">
        <v>0</v>
      </c>
      <c r="UGM21" s="229">
        <v>0</v>
      </c>
      <c r="UGN21" s="229">
        <v>0</v>
      </c>
      <c r="UGO21" s="229">
        <v>0</v>
      </c>
      <c r="UGP21" s="229">
        <v>0</v>
      </c>
      <c r="UGQ21" s="229">
        <v>0</v>
      </c>
      <c r="UGR21" s="229">
        <v>0</v>
      </c>
      <c r="UGS21" s="229">
        <v>0</v>
      </c>
      <c r="UGT21" s="229">
        <v>0</v>
      </c>
      <c r="UGU21" s="229">
        <v>0</v>
      </c>
      <c r="UGV21" s="229">
        <v>0</v>
      </c>
      <c r="UGW21" s="229">
        <v>0</v>
      </c>
      <c r="UGX21" s="229">
        <v>0</v>
      </c>
      <c r="UGY21" s="229">
        <v>0</v>
      </c>
      <c r="UGZ21" s="229">
        <v>0</v>
      </c>
      <c r="UHA21" s="229">
        <v>0</v>
      </c>
      <c r="UHB21" s="229">
        <v>0</v>
      </c>
      <c r="UHC21" s="229">
        <v>0</v>
      </c>
      <c r="UHD21" s="229">
        <v>0</v>
      </c>
      <c r="UHE21" s="229">
        <v>0</v>
      </c>
      <c r="UHF21" s="229">
        <v>0</v>
      </c>
      <c r="UHG21" s="229">
        <v>0</v>
      </c>
      <c r="UHH21" s="229">
        <v>0</v>
      </c>
      <c r="UHI21" s="229">
        <v>0</v>
      </c>
      <c r="UHJ21" s="229">
        <v>0</v>
      </c>
      <c r="UHK21" s="229">
        <v>0</v>
      </c>
      <c r="UHL21" s="229">
        <v>0</v>
      </c>
      <c r="UHM21" s="229">
        <v>0</v>
      </c>
      <c r="UHN21" s="229">
        <v>0</v>
      </c>
      <c r="UHO21" s="229">
        <v>0</v>
      </c>
      <c r="UHP21" s="229">
        <v>0</v>
      </c>
      <c r="UHQ21" s="229">
        <v>0</v>
      </c>
      <c r="UHR21" s="229">
        <v>0</v>
      </c>
      <c r="UHS21" s="229">
        <v>0</v>
      </c>
      <c r="UHT21" s="229">
        <v>0</v>
      </c>
      <c r="UHU21" s="229">
        <v>0</v>
      </c>
      <c r="UHV21" s="229">
        <v>0</v>
      </c>
      <c r="UHW21" s="229">
        <v>0</v>
      </c>
      <c r="UHX21" s="229">
        <v>0</v>
      </c>
      <c r="UHY21" s="229">
        <v>0</v>
      </c>
      <c r="UHZ21" s="229">
        <v>0</v>
      </c>
      <c r="UIA21" s="229">
        <v>0</v>
      </c>
      <c r="UIB21" s="229">
        <v>0</v>
      </c>
      <c r="UIC21" s="229">
        <v>0</v>
      </c>
      <c r="UID21" s="229">
        <v>0</v>
      </c>
      <c r="UIE21" s="229">
        <v>0</v>
      </c>
      <c r="UIF21" s="229">
        <v>0</v>
      </c>
      <c r="UIG21" s="229">
        <v>0</v>
      </c>
      <c r="UIH21" s="229">
        <v>0</v>
      </c>
      <c r="UII21" s="229">
        <v>0</v>
      </c>
      <c r="UIJ21" s="229">
        <v>0</v>
      </c>
      <c r="UIK21" s="229">
        <v>0</v>
      </c>
      <c r="UIL21" s="229">
        <v>0</v>
      </c>
      <c r="UIM21" s="229">
        <v>0</v>
      </c>
      <c r="UIN21" s="229">
        <v>0</v>
      </c>
      <c r="UIO21" s="229">
        <v>0</v>
      </c>
      <c r="UIP21" s="229">
        <v>0</v>
      </c>
      <c r="UIQ21" s="229">
        <v>0</v>
      </c>
      <c r="UIR21" s="229">
        <v>0</v>
      </c>
      <c r="UIS21" s="229">
        <v>0</v>
      </c>
      <c r="UIT21" s="229">
        <v>0</v>
      </c>
      <c r="UIU21" s="229">
        <v>0</v>
      </c>
      <c r="UIV21" s="229">
        <v>0</v>
      </c>
      <c r="UIW21" s="229">
        <v>0</v>
      </c>
      <c r="UIX21" s="229">
        <v>0</v>
      </c>
      <c r="UIY21" s="229">
        <v>0</v>
      </c>
      <c r="UIZ21" s="229">
        <v>0</v>
      </c>
      <c r="UJA21" s="229">
        <v>0</v>
      </c>
      <c r="UJB21" s="229">
        <v>0</v>
      </c>
      <c r="UJC21" s="229">
        <v>0</v>
      </c>
      <c r="UJD21" s="229">
        <v>0</v>
      </c>
      <c r="UJE21" s="229">
        <v>0</v>
      </c>
      <c r="UJF21" s="229">
        <v>0</v>
      </c>
      <c r="UJG21" s="229">
        <v>0</v>
      </c>
      <c r="UJH21" s="229">
        <v>0</v>
      </c>
      <c r="UJI21" s="229">
        <v>0</v>
      </c>
      <c r="UJJ21" s="229">
        <v>0</v>
      </c>
      <c r="UJK21" s="229">
        <v>0</v>
      </c>
      <c r="UJL21" s="229">
        <v>0</v>
      </c>
      <c r="UJM21" s="229">
        <v>0</v>
      </c>
      <c r="UJN21" s="229">
        <v>0</v>
      </c>
      <c r="UJO21" s="229">
        <v>0</v>
      </c>
      <c r="UJP21" s="229">
        <v>0</v>
      </c>
      <c r="UJQ21" s="229">
        <v>0</v>
      </c>
      <c r="UJR21" s="229">
        <v>0</v>
      </c>
      <c r="UJS21" s="229">
        <v>0</v>
      </c>
      <c r="UJT21" s="229">
        <v>0</v>
      </c>
      <c r="UJU21" s="229">
        <v>0</v>
      </c>
      <c r="UJV21" s="229">
        <v>0</v>
      </c>
      <c r="UJW21" s="229">
        <v>0</v>
      </c>
      <c r="UJX21" s="229">
        <v>0</v>
      </c>
      <c r="UJY21" s="229">
        <v>0</v>
      </c>
      <c r="UJZ21" s="229">
        <v>0</v>
      </c>
      <c r="UKA21" s="229">
        <v>0</v>
      </c>
      <c r="UKB21" s="229">
        <v>0</v>
      </c>
      <c r="UKC21" s="229">
        <v>0</v>
      </c>
      <c r="UKD21" s="229">
        <v>0</v>
      </c>
      <c r="UKE21" s="229">
        <v>0</v>
      </c>
      <c r="UKF21" s="229">
        <v>0</v>
      </c>
      <c r="UKG21" s="229">
        <v>0</v>
      </c>
      <c r="UKH21" s="229">
        <v>0</v>
      </c>
      <c r="UKI21" s="229">
        <v>0</v>
      </c>
      <c r="UKJ21" s="229">
        <v>0</v>
      </c>
      <c r="UKK21" s="229">
        <v>0</v>
      </c>
      <c r="UKL21" s="229">
        <v>0</v>
      </c>
      <c r="UKM21" s="229">
        <v>0</v>
      </c>
      <c r="UKN21" s="229">
        <v>0</v>
      </c>
      <c r="UKO21" s="229">
        <v>0</v>
      </c>
      <c r="UKP21" s="229">
        <v>0</v>
      </c>
      <c r="UKQ21" s="229">
        <v>0</v>
      </c>
      <c r="UKR21" s="229">
        <v>0</v>
      </c>
      <c r="UKS21" s="229">
        <v>0</v>
      </c>
      <c r="UKT21" s="229">
        <v>0</v>
      </c>
      <c r="UKU21" s="229">
        <v>0</v>
      </c>
      <c r="UKV21" s="229">
        <v>0</v>
      </c>
      <c r="UKW21" s="229">
        <v>0</v>
      </c>
      <c r="UKX21" s="229">
        <v>0</v>
      </c>
      <c r="UKY21" s="229">
        <v>0</v>
      </c>
      <c r="UKZ21" s="229">
        <v>0</v>
      </c>
      <c r="ULA21" s="229">
        <v>0</v>
      </c>
      <c r="ULB21" s="229">
        <v>0</v>
      </c>
      <c r="ULC21" s="229">
        <v>0</v>
      </c>
      <c r="ULD21" s="229">
        <v>0</v>
      </c>
      <c r="ULE21" s="229">
        <v>0</v>
      </c>
      <c r="ULF21" s="229">
        <v>0</v>
      </c>
      <c r="ULG21" s="229">
        <v>0</v>
      </c>
      <c r="ULH21" s="229">
        <v>0</v>
      </c>
      <c r="ULI21" s="229">
        <v>0</v>
      </c>
      <c r="ULJ21" s="229">
        <v>0</v>
      </c>
      <c r="ULK21" s="229">
        <v>0</v>
      </c>
      <c r="ULL21" s="229">
        <v>0</v>
      </c>
      <c r="ULM21" s="229">
        <v>0</v>
      </c>
      <c r="ULN21" s="229">
        <v>0</v>
      </c>
      <c r="ULO21" s="229">
        <v>0</v>
      </c>
      <c r="ULP21" s="229">
        <v>0</v>
      </c>
      <c r="ULQ21" s="229">
        <v>0</v>
      </c>
      <c r="ULR21" s="229">
        <v>0</v>
      </c>
      <c r="ULS21" s="229">
        <v>0</v>
      </c>
      <c r="ULT21" s="229">
        <v>0</v>
      </c>
      <c r="ULU21" s="229">
        <v>0</v>
      </c>
      <c r="ULV21" s="229">
        <v>0</v>
      </c>
      <c r="ULW21" s="229">
        <v>0</v>
      </c>
      <c r="ULX21" s="229">
        <v>0</v>
      </c>
      <c r="ULY21" s="229">
        <v>0</v>
      </c>
      <c r="ULZ21" s="229">
        <v>0</v>
      </c>
      <c r="UMA21" s="229">
        <v>0</v>
      </c>
      <c r="UMB21" s="229">
        <v>0</v>
      </c>
      <c r="UMC21" s="229">
        <v>0</v>
      </c>
      <c r="UMD21" s="229">
        <v>0</v>
      </c>
      <c r="UME21" s="229">
        <v>0</v>
      </c>
      <c r="UMF21" s="229">
        <v>0</v>
      </c>
      <c r="UMG21" s="229">
        <v>0</v>
      </c>
      <c r="UMH21" s="229">
        <v>0</v>
      </c>
      <c r="UMI21" s="229">
        <v>0</v>
      </c>
      <c r="UMJ21" s="229">
        <v>0</v>
      </c>
      <c r="UMK21" s="229">
        <v>0</v>
      </c>
      <c r="UML21" s="229">
        <v>0</v>
      </c>
      <c r="UMM21" s="229">
        <v>0</v>
      </c>
      <c r="UMN21" s="229">
        <v>0</v>
      </c>
      <c r="UMO21" s="229">
        <v>0</v>
      </c>
      <c r="UMP21" s="229">
        <v>0</v>
      </c>
      <c r="UMQ21" s="229">
        <v>0</v>
      </c>
      <c r="UMR21" s="229">
        <v>0</v>
      </c>
      <c r="UMS21" s="229">
        <v>0</v>
      </c>
      <c r="UMT21" s="229">
        <v>0</v>
      </c>
      <c r="UMU21" s="229">
        <v>0</v>
      </c>
      <c r="UMV21" s="229">
        <v>0</v>
      </c>
      <c r="UMW21" s="229">
        <v>0</v>
      </c>
      <c r="UMX21" s="229">
        <v>0</v>
      </c>
      <c r="UMY21" s="229">
        <v>0</v>
      </c>
      <c r="UMZ21" s="229">
        <v>0</v>
      </c>
      <c r="UNA21" s="229">
        <v>0</v>
      </c>
      <c r="UNB21" s="229">
        <v>0</v>
      </c>
      <c r="UNC21" s="229">
        <v>0</v>
      </c>
      <c r="UND21" s="229">
        <v>0</v>
      </c>
      <c r="UNE21" s="229">
        <v>0</v>
      </c>
      <c r="UNF21" s="229">
        <v>0</v>
      </c>
      <c r="UNG21" s="229">
        <v>0</v>
      </c>
      <c r="UNH21" s="229">
        <v>0</v>
      </c>
      <c r="UNI21" s="229">
        <v>0</v>
      </c>
      <c r="UNJ21" s="229">
        <v>0</v>
      </c>
      <c r="UNK21" s="229">
        <v>0</v>
      </c>
      <c r="UNL21" s="229">
        <v>0</v>
      </c>
      <c r="UNM21" s="229">
        <v>0</v>
      </c>
      <c r="UNN21" s="229">
        <v>0</v>
      </c>
      <c r="UNO21" s="229">
        <v>0</v>
      </c>
      <c r="UNP21" s="229">
        <v>0</v>
      </c>
      <c r="UNQ21" s="229">
        <v>0</v>
      </c>
      <c r="UNR21" s="229">
        <v>0</v>
      </c>
      <c r="UNS21" s="229">
        <v>0</v>
      </c>
      <c r="UNT21" s="229">
        <v>0</v>
      </c>
      <c r="UNU21" s="229">
        <v>0</v>
      </c>
      <c r="UNV21" s="229">
        <v>0</v>
      </c>
      <c r="UNW21" s="229">
        <v>0</v>
      </c>
      <c r="UNX21" s="229">
        <v>0</v>
      </c>
      <c r="UNY21" s="229">
        <v>0</v>
      </c>
      <c r="UNZ21" s="229">
        <v>0</v>
      </c>
      <c r="UOA21" s="229">
        <v>0</v>
      </c>
      <c r="UOB21" s="229">
        <v>0</v>
      </c>
      <c r="UOC21" s="229">
        <v>0</v>
      </c>
      <c r="UOD21" s="229">
        <v>0</v>
      </c>
      <c r="UOE21" s="229">
        <v>0</v>
      </c>
      <c r="UOF21" s="229">
        <v>0</v>
      </c>
      <c r="UOG21" s="229">
        <v>0</v>
      </c>
      <c r="UOH21" s="229">
        <v>0</v>
      </c>
      <c r="UOI21" s="229">
        <v>0</v>
      </c>
      <c r="UOJ21" s="229">
        <v>0</v>
      </c>
      <c r="UOK21" s="229">
        <v>0</v>
      </c>
      <c r="UOL21" s="229">
        <v>0</v>
      </c>
      <c r="UOM21" s="229">
        <v>0</v>
      </c>
      <c r="UON21" s="229">
        <v>0</v>
      </c>
      <c r="UOO21" s="229">
        <v>0</v>
      </c>
      <c r="UOP21" s="229">
        <v>0</v>
      </c>
      <c r="UOQ21" s="229">
        <v>0</v>
      </c>
      <c r="UOR21" s="229">
        <v>0</v>
      </c>
      <c r="UOS21" s="229">
        <v>0</v>
      </c>
      <c r="UOT21" s="229">
        <v>0</v>
      </c>
      <c r="UOU21" s="229">
        <v>0</v>
      </c>
      <c r="UOV21" s="229">
        <v>0</v>
      </c>
      <c r="UOW21" s="229">
        <v>0</v>
      </c>
      <c r="UOX21" s="229">
        <v>0</v>
      </c>
      <c r="UOY21" s="229">
        <v>0</v>
      </c>
      <c r="UOZ21" s="229">
        <v>0</v>
      </c>
      <c r="UPA21" s="229">
        <v>0</v>
      </c>
      <c r="UPB21" s="229">
        <v>0</v>
      </c>
      <c r="UPC21" s="229">
        <v>0</v>
      </c>
      <c r="UPD21" s="229">
        <v>0</v>
      </c>
      <c r="UPE21" s="229">
        <v>0</v>
      </c>
      <c r="UPF21" s="229">
        <v>0</v>
      </c>
      <c r="UPG21" s="229">
        <v>0</v>
      </c>
      <c r="UPH21" s="229">
        <v>0</v>
      </c>
      <c r="UPI21" s="229">
        <v>0</v>
      </c>
      <c r="UPJ21" s="229">
        <v>0</v>
      </c>
      <c r="UPK21" s="229">
        <v>0</v>
      </c>
      <c r="UPL21" s="229">
        <v>0</v>
      </c>
      <c r="UPM21" s="229">
        <v>0</v>
      </c>
      <c r="UPN21" s="229">
        <v>0</v>
      </c>
      <c r="UPO21" s="229">
        <v>0</v>
      </c>
      <c r="UPP21" s="229">
        <v>0</v>
      </c>
      <c r="UPQ21" s="229">
        <v>0</v>
      </c>
      <c r="UPR21" s="229">
        <v>0</v>
      </c>
      <c r="UPS21" s="229">
        <v>0</v>
      </c>
      <c r="UPT21" s="229">
        <v>0</v>
      </c>
      <c r="UPU21" s="229">
        <v>0</v>
      </c>
      <c r="UPV21" s="229">
        <v>0</v>
      </c>
      <c r="UPW21" s="229">
        <v>0</v>
      </c>
      <c r="UPX21" s="229">
        <v>0</v>
      </c>
      <c r="UPY21" s="229">
        <v>0</v>
      </c>
      <c r="UPZ21" s="229">
        <v>0</v>
      </c>
      <c r="UQA21" s="229">
        <v>0</v>
      </c>
      <c r="UQB21" s="229">
        <v>0</v>
      </c>
      <c r="UQC21" s="229">
        <v>0</v>
      </c>
      <c r="UQD21" s="229">
        <v>0</v>
      </c>
      <c r="UQE21" s="229">
        <v>0</v>
      </c>
      <c r="UQF21" s="229">
        <v>0</v>
      </c>
      <c r="UQG21" s="229">
        <v>0</v>
      </c>
      <c r="UQH21" s="229">
        <v>0</v>
      </c>
      <c r="UQI21" s="229">
        <v>0</v>
      </c>
      <c r="UQJ21" s="229">
        <v>0</v>
      </c>
      <c r="UQK21" s="229">
        <v>0</v>
      </c>
      <c r="UQL21" s="229">
        <v>0</v>
      </c>
      <c r="UQM21" s="229">
        <v>0</v>
      </c>
      <c r="UQN21" s="229">
        <v>0</v>
      </c>
      <c r="UQO21" s="229">
        <v>0</v>
      </c>
      <c r="UQP21" s="229">
        <v>0</v>
      </c>
      <c r="UQQ21" s="229">
        <v>0</v>
      </c>
      <c r="UQR21" s="229">
        <v>0</v>
      </c>
      <c r="UQS21" s="229">
        <v>0</v>
      </c>
      <c r="UQT21" s="229">
        <v>0</v>
      </c>
      <c r="UQU21" s="229">
        <v>0</v>
      </c>
      <c r="UQV21" s="229">
        <v>0</v>
      </c>
      <c r="UQW21" s="229">
        <v>0</v>
      </c>
      <c r="UQX21" s="229">
        <v>0</v>
      </c>
      <c r="UQY21" s="229">
        <v>0</v>
      </c>
      <c r="UQZ21" s="229">
        <v>0</v>
      </c>
      <c r="URA21" s="229">
        <v>0</v>
      </c>
      <c r="URB21" s="229">
        <v>0</v>
      </c>
      <c r="URC21" s="229">
        <v>0</v>
      </c>
      <c r="URD21" s="229">
        <v>0</v>
      </c>
      <c r="URE21" s="229">
        <v>0</v>
      </c>
      <c r="URF21" s="229">
        <v>0</v>
      </c>
      <c r="URG21" s="229">
        <v>0</v>
      </c>
      <c r="URH21" s="229">
        <v>0</v>
      </c>
      <c r="URI21" s="229">
        <v>0</v>
      </c>
      <c r="URJ21" s="229">
        <v>0</v>
      </c>
      <c r="URK21" s="229">
        <v>0</v>
      </c>
      <c r="URL21" s="229">
        <v>0</v>
      </c>
      <c r="URM21" s="229">
        <v>0</v>
      </c>
      <c r="URN21" s="229">
        <v>0</v>
      </c>
      <c r="URO21" s="229">
        <v>0</v>
      </c>
      <c r="URP21" s="229">
        <v>0</v>
      </c>
      <c r="URQ21" s="229">
        <v>0</v>
      </c>
      <c r="URR21" s="229">
        <v>0</v>
      </c>
      <c r="URS21" s="229">
        <v>0</v>
      </c>
      <c r="URT21" s="229">
        <v>0</v>
      </c>
      <c r="URU21" s="229">
        <v>0</v>
      </c>
      <c r="URV21" s="229">
        <v>0</v>
      </c>
      <c r="URW21" s="229">
        <v>0</v>
      </c>
      <c r="URX21" s="229">
        <v>0</v>
      </c>
      <c r="URY21" s="229">
        <v>0</v>
      </c>
      <c r="URZ21" s="229">
        <v>0</v>
      </c>
      <c r="USA21" s="229">
        <v>0</v>
      </c>
      <c r="USB21" s="229">
        <v>0</v>
      </c>
      <c r="USC21" s="229">
        <v>0</v>
      </c>
      <c r="USD21" s="229">
        <v>0</v>
      </c>
      <c r="USE21" s="229">
        <v>0</v>
      </c>
      <c r="USF21" s="229">
        <v>0</v>
      </c>
      <c r="USG21" s="229">
        <v>0</v>
      </c>
      <c r="USH21" s="229">
        <v>0</v>
      </c>
      <c r="USI21" s="229">
        <v>0</v>
      </c>
      <c r="USJ21" s="229">
        <v>0</v>
      </c>
      <c r="USK21" s="229">
        <v>0</v>
      </c>
      <c r="USL21" s="229">
        <v>0</v>
      </c>
      <c r="USM21" s="229">
        <v>0</v>
      </c>
      <c r="USN21" s="229">
        <v>0</v>
      </c>
      <c r="USO21" s="229">
        <v>0</v>
      </c>
      <c r="USP21" s="229">
        <v>0</v>
      </c>
      <c r="USQ21" s="229">
        <v>0</v>
      </c>
      <c r="USR21" s="229">
        <v>0</v>
      </c>
      <c r="USS21" s="229">
        <v>0</v>
      </c>
      <c r="UST21" s="229">
        <v>0</v>
      </c>
      <c r="USU21" s="229">
        <v>0</v>
      </c>
      <c r="USV21" s="229">
        <v>0</v>
      </c>
      <c r="USW21" s="229">
        <v>0</v>
      </c>
      <c r="USX21" s="229">
        <v>0</v>
      </c>
      <c r="USY21" s="229">
        <v>0</v>
      </c>
      <c r="USZ21" s="229">
        <v>0</v>
      </c>
      <c r="UTA21" s="229">
        <v>0</v>
      </c>
      <c r="UTB21" s="229">
        <v>0</v>
      </c>
      <c r="UTC21" s="229">
        <v>0</v>
      </c>
      <c r="UTD21" s="229">
        <v>0</v>
      </c>
      <c r="UTE21" s="229">
        <v>0</v>
      </c>
      <c r="UTF21" s="229">
        <v>0</v>
      </c>
      <c r="UTG21" s="229">
        <v>0</v>
      </c>
      <c r="UTH21" s="229">
        <v>0</v>
      </c>
      <c r="UTI21" s="229">
        <v>0</v>
      </c>
      <c r="UTJ21" s="229">
        <v>0</v>
      </c>
      <c r="UTK21" s="229">
        <v>0</v>
      </c>
      <c r="UTL21" s="229">
        <v>0</v>
      </c>
      <c r="UTM21" s="229">
        <v>0</v>
      </c>
      <c r="UTN21" s="229">
        <v>0</v>
      </c>
      <c r="UTO21" s="229">
        <v>0</v>
      </c>
      <c r="UTP21" s="229">
        <v>0</v>
      </c>
      <c r="UTQ21" s="229">
        <v>0</v>
      </c>
      <c r="UTR21" s="229">
        <v>0</v>
      </c>
      <c r="UTS21" s="229">
        <v>0</v>
      </c>
      <c r="UTT21" s="229">
        <v>0</v>
      </c>
      <c r="UTU21" s="229">
        <v>0</v>
      </c>
      <c r="UTV21" s="229">
        <v>0</v>
      </c>
      <c r="UTW21" s="229">
        <v>0</v>
      </c>
      <c r="UTX21" s="229">
        <v>0</v>
      </c>
      <c r="UTY21" s="229">
        <v>0</v>
      </c>
      <c r="UTZ21" s="229">
        <v>0</v>
      </c>
      <c r="UUA21" s="229">
        <v>0</v>
      </c>
      <c r="UUB21" s="229">
        <v>0</v>
      </c>
      <c r="UUC21" s="229">
        <v>0</v>
      </c>
      <c r="UUD21" s="229">
        <v>0</v>
      </c>
      <c r="UUE21" s="229">
        <v>0</v>
      </c>
      <c r="UUF21" s="229">
        <v>0</v>
      </c>
      <c r="UUG21" s="229">
        <v>0</v>
      </c>
      <c r="UUH21" s="229">
        <v>0</v>
      </c>
      <c r="UUI21" s="229">
        <v>0</v>
      </c>
      <c r="UUJ21" s="229">
        <v>0</v>
      </c>
      <c r="UUK21" s="229">
        <v>0</v>
      </c>
      <c r="UUL21" s="229">
        <v>0</v>
      </c>
      <c r="UUM21" s="229">
        <v>0</v>
      </c>
      <c r="UUN21" s="229">
        <v>0</v>
      </c>
      <c r="UUO21" s="229">
        <v>0</v>
      </c>
      <c r="UUP21" s="229">
        <v>0</v>
      </c>
      <c r="UUQ21" s="229">
        <v>0</v>
      </c>
      <c r="UUR21" s="229">
        <v>0</v>
      </c>
      <c r="UUS21" s="229">
        <v>0</v>
      </c>
      <c r="UUT21" s="229">
        <v>0</v>
      </c>
      <c r="UUU21" s="229">
        <v>0</v>
      </c>
      <c r="UUV21" s="229">
        <v>0</v>
      </c>
      <c r="UUW21" s="229">
        <v>0</v>
      </c>
      <c r="UUX21" s="229">
        <v>0</v>
      </c>
      <c r="UUY21" s="229">
        <v>0</v>
      </c>
      <c r="UUZ21" s="229">
        <v>0</v>
      </c>
      <c r="UVA21" s="229">
        <v>0</v>
      </c>
      <c r="UVB21" s="229">
        <v>0</v>
      </c>
      <c r="UVC21" s="229">
        <v>0</v>
      </c>
      <c r="UVD21" s="229">
        <v>0</v>
      </c>
      <c r="UVE21" s="229">
        <v>0</v>
      </c>
      <c r="UVF21" s="229">
        <v>0</v>
      </c>
      <c r="UVG21" s="229">
        <v>0</v>
      </c>
      <c r="UVH21" s="229">
        <v>0</v>
      </c>
      <c r="UVI21" s="229">
        <v>0</v>
      </c>
      <c r="UVJ21" s="229">
        <v>0</v>
      </c>
      <c r="UVK21" s="229">
        <v>0</v>
      </c>
      <c r="UVL21" s="229">
        <v>0</v>
      </c>
      <c r="UVM21" s="229">
        <v>0</v>
      </c>
      <c r="UVN21" s="229">
        <v>0</v>
      </c>
      <c r="UVO21" s="229">
        <v>0</v>
      </c>
      <c r="UVP21" s="229">
        <v>0</v>
      </c>
      <c r="UVQ21" s="229">
        <v>0</v>
      </c>
      <c r="UVR21" s="229">
        <v>0</v>
      </c>
      <c r="UVS21" s="229">
        <v>0</v>
      </c>
      <c r="UVT21" s="229">
        <v>0</v>
      </c>
      <c r="UVU21" s="229">
        <v>0</v>
      </c>
      <c r="UVV21" s="229">
        <v>0</v>
      </c>
      <c r="UVW21" s="229">
        <v>0</v>
      </c>
      <c r="UVX21" s="229">
        <v>0</v>
      </c>
      <c r="UVY21" s="229">
        <v>0</v>
      </c>
      <c r="UVZ21" s="229">
        <v>0</v>
      </c>
      <c r="UWA21" s="229">
        <v>0</v>
      </c>
      <c r="UWB21" s="229">
        <v>0</v>
      </c>
      <c r="UWC21" s="229">
        <v>0</v>
      </c>
      <c r="UWD21" s="229">
        <v>0</v>
      </c>
      <c r="UWE21" s="229">
        <v>0</v>
      </c>
      <c r="UWF21" s="229">
        <v>0</v>
      </c>
      <c r="UWG21" s="229">
        <v>0</v>
      </c>
      <c r="UWH21" s="229">
        <v>0</v>
      </c>
      <c r="UWI21" s="229">
        <v>0</v>
      </c>
      <c r="UWJ21" s="229">
        <v>0</v>
      </c>
      <c r="UWK21" s="229">
        <v>0</v>
      </c>
      <c r="UWL21" s="229">
        <v>0</v>
      </c>
      <c r="UWM21" s="229">
        <v>0</v>
      </c>
      <c r="UWN21" s="229">
        <v>0</v>
      </c>
      <c r="UWO21" s="229">
        <v>0</v>
      </c>
      <c r="UWP21" s="229">
        <v>0</v>
      </c>
      <c r="UWQ21" s="229">
        <v>0</v>
      </c>
      <c r="UWR21" s="229">
        <v>0</v>
      </c>
      <c r="UWS21" s="229">
        <v>0</v>
      </c>
      <c r="UWT21" s="229">
        <v>0</v>
      </c>
      <c r="UWU21" s="229">
        <v>0</v>
      </c>
      <c r="UWV21" s="229">
        <v>0</v>
      </c>
      <c r="UWW21" s="229">
        <v>0</v>
      </c>
      <c r="UWX21" s="229">
        <v>0</v>
      </c>
      <c r="UWY21" s="229">
        <v>0</v>
      </c>
      <c r="UWZ21" s="229">
        <v>0</v>
      </c>
      <c r="UXA21" s="229">
        <v>0</v>
      </c>
      <c r="UXB21" s="229">
        <v>0</v>
      </c>
      <c r="UXC21" s="229">
        <v>0</v>
      </c>
      <c r="UXD21" s="229">
        <v>0</v>
      </c>
      <c r="UXE21" s="229">
        <v>0</v>
      </c>
      <c r="UXF21" s="229">
        <v>0</v>
      </c>
      <c r="UXG21" s="229">
        <v>0</v>
      </c>
      <c r="UXH21" s="229">
        <v>0</v>
      </c>
      <c r="UXI21" s="229">
        <v>0</v>
      </c>
      <c r="UXJ21" s="229">
        <v>0</v>
      </c>
      <c r="UXK21" s="229">
        <v>0</v>
      </c>
      <c r="UXL21" s="229">
        <v>0</v>
      </c>
      <c r="UXM21" s="229">
        <v>0</v>
      </c>
      <c r="UXN21" s="229">
        <v>0</v>
      </c>
      <c r="UXO21" s="229">
        <v>0</v>
      </c>
      <c r="UXP21" s="229">
        <v>0</v>
      </c>
      <c r="UXQ21" s="229">
        <v>0</v>
      </c>
      <c r="UXR21" s="229">
        <v>0</v>
      </c>
      <c r="UXS21" s="229">
        <v>0</v>
      </c>
      <c r="UXT21" s="229">
        <v>0</v>
      </c>
      <c r="UXU21" s="229">
        <v>0</v>
      </c>
      <c r="UXV21" s="229">
        <v>0</v>
      </c>
      <c r="UXW21" s="229">
        <v>0</v>
      </c>
      <c r="UXX21" s="229">
        <v>0</v>
      </c>
      <c r="UXY21" s="229">
        <v>0</v>
      </c>
      <c r="UXZ21" s="229">
        <v>0</v>
      </c>
      <c r="UYA21" s="229">
        <v>0</v>
      </c>
      <c r="UYB21" s="229">
        <v>0</v>
      </c>
      <c r="UYC21" s="229">
        <v>0</v>
      </c>
      <c r="UYD21" s="229">
        <v>0</v>
      </c>
      <c r="UYE21" s="229">
        <v>0</v>
      </c>
      <c r="UYF21" s="229">
        <v>0</v>
      </c>
      <c r="UYG21" s="229">
        <v>0</v>
      </c>
      <c r="UYH21" s="229">
        <v>0</v>
      </c>
      <c r="UYI21" s="229">
        <v>0</v>
      </c>
      <c r="UYJ21" s="229">
        <v>0</v>
      </c>
      <c r="UYK21" s="229">
        <v>0</v>
      </c>
      <c r="UYL21" s="229">
        <v>0</v>
      </c>
      <c r="UYM21" s="229">
        <v>0</v>
      </c>
      <c r="UYN21" s="229">
        <v>0</v>
      </c>
      <c r="UYO21" s="229">
        <v>0</v>
      </c>
      <c r="UYP21" s="229">
        <v>0</v>
      </c>
      <c r="UYQ21" s="229">
        <v>0</v>
      </c>
      <c r="UYR21" s="229">
        <v>0</v>
      </c>
      <c r="UYS21" s="229">
        <v>0</v>
      </c>
      <c r="UYT21" s="229">
        <v>0</v>
      </c>
      <c r="UYU21" s="229">
        <v>0</v>
      </c>
      <c r="UYV21" s="229">
        <v>0</v>
      </c>
      <c r="UYW21" s="229">
        <v>0</v>
      </c>
      <c r="UYX21" s="229">
        <v>0</v>
      </c>
      <c r="UYY21" s="229">
        <v>0</v>
      </c>
      <c r="UYZ21" s="229">
        <v>0</v>
      </c>
      <c r="UZA21" s="229">
        <v>0</v>
      </c>
      <c r="UZB21" s="229">
        <v>0</v>
      </c>
      <c r="UZC21" s="229">
        <v>0</v>
      </c>
      <c r="UZD21" s="229">
        <v>0</v>
      </c>
      <c r="UZE21" s="229">
        <v>0</v>
      </c>
      <c r="UZF21" s="229">
        <v>0</v>
      </c>
      <c r="UZG21" s="229">
        <v>0</v>
      </c>
      <c r="UZH21" s="229">
        <v>0</v>
      </c>
      <c r="UZI21" s="229">
        <v>0</v>
      </c>
      <c r="UZJ21" s="229">
        <v>0</v>
      </c>
      <c r="UZK21" s="229">
        <v>0</v>
      </c>
      <c r="UZL21" s="229">
        <v>0</v>
      </c>
      <c r="UZM21" s="229">
        <v>0</v>
      </c>
      <c r="UZN21" s="229">
        <v>0</v>
      </c>
      <c r="UZO21" s="229">
        <v>0</v>
      </c>
      <c r="UZP21" s="229">
        <v>0</v>
      </c>
      <c r="UZQ21" s="229">
        <v>0</v>
      </c>
      <c r="UZR21" s="229">
        <v>0</v>
      </c>
      <c r="UZS21" s="229">
        <v>0</v>
      </c>
      <c r="UZT21" s="229">
        <v>0</v>
      </c>
      <c r="UZU21" s="229">
        <v>0</v>
      </c>
      <c r="UZV21" s="229">
        <v>0</v>
      </c>
      <c r="UZW21" s="229">
        <v>0</v>
      </c>
      <c r="UZX21" s="229">
        <v>0</v>
      </c>
      <c r="UZY21" s="229">
        <v>0</v>
      </c>
      <c r="UZZ21" s="229">
        <v>0</v>
      </c>
      <c r="VAA21" s="229">
        <v>0</v>
      </c>
      <c r="VAB21" s="229">
        <v>0</v>
      </c>
      <c r="VAC21" s="229">
        <v>0</v>
      </c>
      <c r="VAD21" s="229">
        <v>0</v>
      </c>
      <c r="VAE21" s="229">
        <v>0</v>
      </c>
      <c r="VAF21" s="229">
        <v>0</v>
      </c>
      <c r="VAG21" s="229">
        <v>0</v>
      </c>
      <c r="VAH21" s="229">
        <v>0</v>
      </c>
      <c r="VAI21" s="229">
        <v>0</v>
      </c>
      <c r="VAJ21" s="229">
        <v>0</v>
      </c>
      <c r="VAK21" s="229">
        <v>0</v>
      </c>
      <c r="VAL21" s="229">
        <v>0</v>
      </c>
      <c r="VAM21" s="229">
        <v>0</v>
      </c>
      <c r="VAN21" s="229">
        <v>0</v>
      </c>
      <c r="VAO21" s="229">
        <v>0</v>
      </c>
      <c r="VAP21" s="229">
        <v>0</v>
      </c>
      <c r="VAQ21" s="229">
        <v>0</v>
      </c>
      <c r="VAR21" s="229">
        <v>0</v>
      </c>
      <c r="VAS21" s="229">
        <v>0</v>
      </c>
      <c r="VAT21" s="229">
        <v>0</v>
      </c>
      <c r="VAU21" s="229">
        <v>0</v>
      </c>
      <c r="VAV21" s="229">
        <v>0</v>
      </c>
      <c r="VAW21" s="229">
        <v>0</v>
      </c>
      <c r="VAX21" s="229">
        <v>0</v>
      </c>
      <c r="VAY21" s="229">
        <v>0</v>
      </c>
      <c r="VAZ21" s="229">
        <v>0</v>
      </c>
      <c r="VBA21" s="229">
        <v>0</v>
      </c>
      <c r="VBB21" s="229">
        <v>0</v>
      </c>
      <c r="VBC21" s="229">
        <v>0</v>
      </c>
      <c r="VBD21" s="229">
        <v>0</v>
      </c>
      <c r="VBE21" s="229">
        <v>0</v>
      </c>
      <c r="VBF21" s="229">
        <v>0</v>
      </c>
      <c r="VBG21" s="229">
        <v>0</v>
      </c>
      <c r="VBH21" s="229">
        <v>0</v>
      </c>
      <c r="VBI21" s="229">
        <v>0</v>
      </c>
      <c r="VBJ21" s="229">
        <v>0</v>
      </c>
      <c r="VBK21" s="229">
        <v>0</v>
      </c>
      <c r="VBL21" s="229">
        <v>0</v>
      </c>
      <c r="VBM21" s="229">
        <v>0</v>
      </c>
      <c r="VBN21" s="229">
        <v>0</v>
      </c>
      <c r="VBO21" s="229">
        <v>0</v>
      </c>
      <c r="VBP21" s="229">
        <v>0</v>
      </c>
      <c r="VBQ21" s="229">
        <v>0</v>
      </c>
      <c r="VBR21" s="229">
        <v>0</v>
      </c>
      <c r="VBS21" s="229">
        <v>0</v>
      </c>
      <c r="VBT21" s="229">
        <v>0</v>
      </c>
      <c r="VBU21" s="229">
        <v>0</v>
      </c>
      <c r="VBV21" s="229">
        <v>0</v>
      </c>
      <c r="VBW21" s="229">
        <v>0</v>
      </c>
      <c r="VBX21" s="229">
        <v>0</v>
      </c>
      <c r="VBY21" s="229">
        <v>0</v>
      </c>
      <c r="VBZ21" s="229">
        <v>0</v>
      </c>
      <c r="VCA21" s="229">
        <v>0</v>
      </c>
      <c r="VCB21" s="229">
        <v>0</v>
      </c>
      <c r="VCC21" s="229">
        <v>0</v>
      </c>
      <c r="VCD21" s="229">
        <v>0</v>
      </c>
      <c r="VCE21" s="229">
        <v>0</v>
      </c>
      <c r="VCF21" s="229">
        <v>0</v>
      </c>
      <c r="VCG21" s="229">
        <v>0</v>
      </c>
      <c r="VCH21" s="229">
        <v>0</v>
      </c>
      <c r="VCI21" s="229">
        <v>0</v>
      </c>
      <c r="VCJ21" s="229">
        <v>0</v>
      </c>
      <c r="VCK21" s="229">
        <v>0</v>
      </c>
      <c r="VCL21" s="229">
        <v>0</v>
      </c>
      <c r="VCM21" s="229">
        <v>0</v>
      </c>
      <c r="VCN21" s="229">
        <v>0</v>
      </c>
      <c r="VCO21" s="229">
        <v>0</v>
      </c>
      <c r="VCP21" s="229">
        <v>0</v>
      </c>
      <c r="VCQ21" s="229">
        <v>0</v>
      </c>
      <c r="VCR21" s="229">
        <v>0</v>
      </c>
      <c r="VCS21" s="229">
        <v>0</v>
      </c>
      <c r="VCT21" s="229">
        <v>0</v>
      </c>
      <c r="VCU21" s="229">
        <v>0</v>
      </c>
      <c r="VCV21" s="229">
        <v>0</v>
      </c>
      <c r="VCW21" s="229">
        <v>0</v>
      </c>
      <c r="VCX21" s="229">
        <v>0</v>
      </c>
      <c r="VCY21" s="229">
        <v>0</v>
      </c>
      <c r="VCZ21" s="229">
        <v>0</v>
      </c>
      <c r="VDA21" s="229">
        <v>0</v>
      </c>
      <c r="VDB21" s="229">
        <v>0</v>
      </c>
      <c r="VDC21" s="229">
        <v>0</v>
      </c>
      <c r="VDD21" s="229">
        <v>0</v>
      </c>
      <c r="VDE21" s="229">
        <v>0</v>
      </c>
      <c r="VDF21" s="229">
        <v>0</v>
      </c>
      <c r="VDG21" s="229">
        <v>0</v>
      </c>
      <c r="VDH21" s="229">
        <v>0</v>
      </c>
      <c r="VDI21" s="229">
        <v>0</v>
      </c>
      <c r="VDJ21" s="229">
        <v>0</v>
      </c>
      <c r="VDK21" s="229">
        <v>0</v>
      </c>
      <c r="VDL21" s="229">
        <v>0</v>
      </c>
      <c r="VDM21" s="229">
        <v>0</v>
      </c>
      <c r="VDN21" s="229">
        <v>0</v>
      </c>
      <c r="VDO21" s="229">
        <v>0</v>
      </c>
      <c r="VDP21" s="229">
        <v>0</v>
      </c>
      <c r="VDQ21" s="229">
        <v>0</v>
      </c>
      <c r="VDR21" s="229">
        <v>0</v>
      </c>
      <c r="VDS21" s="229">
        <v>0</v>
      </c>
      <c r="VDT21" s="229">
        <v>0</v>
      </c>
      <c r="VDU21" s="229">
        <v>0</v>
      </c>
      <c r="VDV21" s="229">
        <v>0</v>
      </c>
      <c r="VDW21" s="229">
        <v>0</v>
      </c>
      <c r="VDX21" s="229">
        <v>0</v>
      </c>
      <c r="VDY21" s="229">
        <v>0</v>
      </c>
      <c r="VDZ21" s="229">
        <v>0</v>
      </c>
      <c r="VEA21" s="229">
        <v>0</v>
      </c>
      <c r="VEB21" s="229">
        <v>0</v>
      </c>
      <c r="VEC21" s="229">
        <v>0</v>
      </c>
      <c r="VED21" s="229">
        <v>0</v>
      </c>
      <c r="VEE21" s="229">
        <v>0</v>
      </c>
      <c r="VEF21" s="229">
        <v>0</v>
      </c>
      <c r="VEG21" s="229">
        <v>0</v>
      </c>
      <c r="VEH21" s="229">
        <v>0</v>
      </c>
      <c r="VEI21" s="229">
        <v>0</v>
      </c>
      <c r="VEJ21" s="229">
        <v>0</v>
      </c>
      <c r="VEK21" s="229">
        <v>0</v>
      </c>
      <c r="VEL21" s="229">
        <v>0</v>
      </c>
      <c r="VEM21" s="229">
        <v>0</v>
      </c>
      <c r="VEN21" s="229">
        <v>0</v>
      </c>
      <c r="VEO21" s="229">
        <v>0</v>
      </c>
      <c r="VEP21" s="229">
        <v>0</v>
      </c>
      <c r="VEQ21" s="229">
        <v>0</v>
      </c>
      <c r="VER21" s="229">
        <v>0</v>
      </c>
      <c r="VES21" s="229">
        <v>0</v>
      </c>
      <c r="VET21" s="229">
        <v>0</v>
      </c>
      <c r="VEU21" s="229">
        <v>0</v>
      </c>
      <c r="VEV21" s="229">
        <v>0</v>
      </c>
      <c r="VEW21" s="229">
        <v>0</v>
      </c>
      <c r="VEX21" s="229">
        <v>0</v>
      </c>
      <c r="VEY21" s="229">
        <v>0</v>
      </c>
      <c r="VEZ21" s="229">
        <v>0</v>
      </c>
      <c r="VFA21" s="229">
        <v>0</v>
      </c>
      <c r="VFB21" s="229">
        <v>0</v>
      </c>
      <c r="VFC21" s="229">
        <v>0</v>
      </c>
      <c r="VFD21" s="229">
        <v>0</v>
      </c>
      <c r="VFE21" s="229">
        <v>0</v>
      </c>
      <c r="VFF21" s="229">
        <v>0</v>
      </c>
      <c r="VFG21" s="229">
        <v>0</v>
      </c>
      <c r="VFH21" s="229">
        <v>0</v>
      </c>
      <c r="VFI21" s="229">
        <v>0</v>
      </c>
      <c r="VFJ21" s="229">
        <v>0</v>
      </c>
      <c r="VFK21" s="229">
        <v>0</v>
      </c>
      <c r="VFL21" s="229">
        <v>0</v>
      </c>
      <c r="VFM21" s="229">
        <v>0</v>
      </c>
      <c r="VFN21" s="229">
        <v>0</v>
      </c>
      <c r="VFO21" s="229">
        <v>0</v>
      </c>
      <c r="VFP21" s="229">
        <v>0</v>
      </c>
      <c r="VFQ21" s="229">
        <v>0</v>
      </c>
      <c r="VFR21" s="229">
        <v>0</v>
      </c>
      <c r="VFS21" s="229">
        <v>0</v>
      </c>
      <c r="VFT21" s="229">
        <v>0</v>
      </c>
      <c r="VFU21" s="229">
        <v>0</v>
      </c>
      <c r="VFV21" s="229">
        <v>0</v>
      </c>
      <c r="VFW21" s="229">
        <v>0</v>
      </c>
      <c r="VFX21" s="229">
        <v>0</v>
      </c>
      <c r="VFY21" s="229">
        <v>0</v>
      </c>
      <c r="VFZ21" s="229">
        <v>0</v>
      </c>
      <c r="VGA21" s="229">
        <v>0</v>
      </c>
      <c r="VGB21" s="229">
        <v>0</v>
      </c>
      <c r="VGC21" s="229">
        <v>0</v>
      </c>
      <c r="VGD21" s="229">
        <v>0</v>
      </c>
      <c r="VGE21" s="229">
        <v>0</v>
      </c>
      <c r="VGF21" s="229">
        <v>0</v>
      </c>
      <c r="VGG21" s="229">
        <v>0</v>
      </c>
      <c r="VGH21" s="229">
        <v>0</v>
      </c>
      <c r="VGI21" s="229">
        <v>0</v>
      </c>
      <c r="VGJ21" s="229">
        <v>0</v>
      </c>
      <c r="VGK21" s="229">
        <v>0</v>
      </c>
      <c r="VGL21" s="229">
        <v>0</v>
      </c>
      <c r="VGM21" s="229">
        <v>0</v>
      </c>
      <c r="VGN21" s="229">
        <v>0</v>
      </c>
      <c r="VGO21" s="229">
        <v>0</v>
      </c>
      <c r="VGP21" s="229">
        <v>0</v>
      </c>
      <c r="VGQ21" s="229">
        <v>0</v>
      </c>
      <c r="VGR21" s="229">
        <v>0</v>
      </c>
      <c r="VGS21" s="229">
        <v>0</v>
      </c>
      <c r="VGT21" s="229">
        <v>0</v>
      </c>
      <c r="VGU21" s="229">
        <v>0</v>
      </c>
      <c r="VGV21" s="229">
        <v>0</v>
      </c>
      <c r="VGW21" s="229">
        <v>0</v>
      </c>
      <c r="VGX21" s="229">
        <v>0</v>
      </c>
      <c r="VGY21" s="229">
        <v>0</v>
      </c>
      <c r="VGZ21" s="229">
        <v>0</v>
      </c>
      <c r="VHA21" s="229">
        <v>0</v>
      </c>
      <c r="VHB21" s="229">
        <v>0</v>
      </c>
      <c r="VHC21" s="229">
        <v>0</v>
      </c>
      <c r="VHD21" s="229">
        <v>0</v>
      </c>
      <c r="VHE21" s="229">
        <v>0</v>
      </c>
      <c r="VHF21" s="229">
        <v>0</v>
      </c>
      <c r="VHG21" s="229">
        <v>0</v>
      </c>
      <c r="VHH21" s="229">
        <v>0</v>
      </c>
      <c r="VHI21" s="229">
        <v>0</v>
      </c>
      <c r="VHJ21" s="229">
        <v>0</v>
      </c>
      <c r="VHK21" s="229">
        <v>0</v>
      </c>
      <c r="VHL21" s="229">
        <v>0</v>
      </c>
      <c r="VHM21" s="229">
        <v>0</v>
      </c>
      <c r="VHN21" s="229">
        <v>0</v>
      </c>
      <c r="VHO21" s="229">
        <v>0</v>
      </c>
      <c r="VHP21" s="229">
        <v>0</v>
      </c>
      <c r="VHQ21" s="229">
        <v>0</v>
      </c>
      <c r="VHR21" s="229">
        <v>0</v>
      </c>
      <c r="VHS21" s="229">
        <v>0</v>
      </c>
      <c r="VHT21" s="229">
        <v>0</v>
      </c>
      <c r="VHU21" s="229">
        <v>0</v>
      </c>
      <c r="VHV21" s="229">
        <v>0</v>
      </c>
      <c r="VHW21" s="229">
        <v>0</v>
      </c>
      <c r="VHX21" s="229">
        <v>0</v>
      </c>
      <c r="VHY21" s="229">
        <v>0</v>
      </c>
      <c r="VHZ21" s="229">
        <v>0</v>
      </c>
      <c r="VIA21" s="229">
        <v>0</v>
      </c>
      <c r="VIB21" s="229">
        <v>0</v>
      </c>
      <c r="VIC21" s="229">
        <v>0</v>
      </c>
      <c r="VID21" s="229">
        <v>0</v>
      </c>
      <c r="VIE21" s="229">
        <v>0</v>
      </c>
      <c r="VIF21" s="229">
        <v>0</v>
      </c>
      <c r="VIG21" s="229">
        <v>0</v>
      </c>
      <c r="VIH21" s="229">
        <v>0</v>
      </c>
      <c r="VII21" s="229">
        <v>0</v>
      </c>
      <c r="VIJ21" s="229">
        <v>0</v>
      </c>
      <c r="VIK21" s="229">
        <v>0</v>
      </c>
      <c r="VIL21" s="229">
        <v>0</v>
      </c>
      <c r="VIM21" s="229">
        <v>0</v>
      </c>
      <c r="VIN21" s="229">
        <v>0</v>
      </c>
      <c r="VIO21" s="229">
        <v>0</v>
      </c>
      <c r="VIP21" s="229">
        <v>0</v>
      </c>
      <c r="VIQ21" s="229">
        <v>0</v>
      </c>
      <c r="VIR21" s="229">
        <v>0</v>
      </c>
      <c r="VIS21" s="229">
        <v>0</v>
      </c>
      <c r="VIT21" s="229">
        <v>0</v>
      </c>
      <c r="VIU21" s="229">
        <v>0</v>
      </c>
      <c r="VIV21" s="229">
        <v>0</v>
      </c>
      <c r="VIW21" s="229">
        <v>0</v>
      </c>
      <c r="VIX21" s="229">
        <v>0</v>
      </c>
      <c r="VIY21" s="229">
        <v>0</v>
      </c>
      <c r="VIZ21" s="229">
        <v>0</v>
      </c>
      <c r="VJA21" s="229">
        <v>0</v>
      </c>
      <c r="VJB21" s="229">
        <v>0</v>
      </c>
      <c r="VJC21" s="229">
        <v>0</v>
      </c>
      <c r="VJD21" s="229">
        <v>0</v>
      </c>
      <c r="VJE21" s="229">
        <v>0</v>
      </c>
      <c r="VJF21" s="229">
        <v>0</v>
      </c>
      <c r="VJG21" s="229">
        <v>0</v>
      </c>
      <c r="VJH21" s="229">
        <v>0</v>
      </c>
      <c r="VJI21" s="229">
        <v>0</v>
      </c>
      <c r="VJJ21" s="229">
        <v>0</v>
      </c>
      <c r="VJK21" s="229">
        <v>0</v>
      </c>
      <c r="VJL21" s="229">
        <v>0</v>
      </c>
      <c r="VJM21" s="229">
        <v>0</v>
      </c>
      <c r="VJN21" s="229">
        <v>0</v>
      </c>
      <c r="VJO21" s="229">
        <v>0</v>
      </c>
      <c r="VJP21" s="229">
        <v>0</v>
      </c>
      <c r="VJQ21" s="229">
        <v>0</v>
      </c>
      <c r="VJR21" s="229">
        <v>0</v>
      </c>
      <c r="VJS21" s="229">
        <v>0</v>
      </c>
      <c r="VJT21" s="229">
        <v>0</v>
      </c>
      <c r="VJU21" s="229">
        <v>0</v>
      </c>
      <c r="VJV21" s="229">
        <v>0</v>
      </c>
      <c r="VJW21" s="229">
        <v>0</v>
      </c>
      <c r="VJX21" s="229">
        <v>0</v>
      </c>
      <c r="VJY21" s="229">
        <v>0</v>
      </c>
      <c r="VJZ21" s="229">
        <v>0</v>
      </c>
      <c r="VKA21" s="229">
        <v>0</v>
      </c>
      <c r="VKB21" s="229">
        <v>0</v>
      </c>
      <c r="VKC21" s="229">
        <v>0</v>
      </c>
      <c r="VKD21" s="229">
        <v>0</v>
      </c>
      <c r="VKE21" s="229">
        <v>0</v>
      </c>
      <c r="VKF21" s="229">
        <v>0</v>
      </c>
      <c r="VKG21" s="229">
        <v>0</v>
      </c>
      <c r="VKH21" s="229">
        <v>0</v>
      </c>
      <c r="VKI21" s="229">
        <v>0</v>
      </c>
      <c r="VKJ21" s="229">
        <v>0</v>
      </c>
      <c r="VKK21" s="229">
        <v>0</v>
      </c>
      <c r="VKL21" s="229">
        <v>0</v>
      </c>
      <c r="VKM21" s="229">
        <v>0</v>
      </c>
      <c r="VKN21" s="229">
        <v>0</v>
      </c>
      <c r="VKO21" s="229">
        <v>0</v>
      </c>
      <c r="VKP21" s="229">
        <v>0</v>
      </c>
      <c r="VKQ21" s="229">
        <v>0</v>
      </c>
      <c r="VKR21" s="229">
        <v>0</v>
      </c>
      <c r="VKS21" s="229">
        <v>0</v>
      </c>
      <c r="VKT21" s="229">
        <v>0</v>
      </c>
      <c r="VKU21" s="229">
        <v>0</v>
      </c>
      <c r="VKV21" s="229">
        <v>0</v>
      </c>
      <c r="VKW21" s="229">
        <v>0</v>
      </c>
      <c r="VKX21" s="229">
        <v>0</v>
      </c>
      <c r="VKY21" s="229">
        <v>0</v>
      </c>
      <c r="VKZ21" s="229">
        <v>0</v>
      </c>
      <c r="VLA21" s="229">
        <v>0</v>
      </c>
      <c r="VLB21" s="229">
        <v>0</v>
      </c>
      <c r="VLC21" s="229">
        <v>0</v>
      </c>
      <c r="VLD21" s="229">
        <v>0</v>
      </c>
      <c r="VLE21" s="229">
        <v>0</v>
      </c>
      <c r="VLF21" s="229">
        <v>0</v>
      </c>
      <c r="VLG21" s="229">
        <v>0</v>
      </c>
      <c r="VLH21" s="229">
        <v>0</v>
      </c>
      <c r="VLI21" s="229">
        <v>0</v>
      </c>
      <c r="VLJ21" s="229">
        <v>0</v>
      </c>
      <c r="VLK21" s="229">
        <v>0</v>
      </c>
      <c r="VLL21" s="229">
        <v>0</v>
      </c>
      <c r="VLM21" s="229">
        <v>0</v>
      </c>
      <c r="VLN21" s="229">
        <v>0</v>
      </c>
      <c r="VLO21" s="229">
        <v>0</v>
      </c>
      <c r="VLP21" s="229">
        <v>0</v>
      </c>
      <c r="VLQ21" s="229">
        <v>0</v>
      </c>
      <c r="VLR21" s="229">
        <v>0</v>
      </c>
      <c r="VLS21" s="229">
        <v>0</v>
      </c>
      <c r="VLT21" s="229">
        <v>0</v>
      </c>
      <c r="VLU21" s="229">
        <v>0</v>
      </c>
      <c r="VLV21" s="229">
        <v>0</v>
      </c>
      <c r="VLW21" s="229">
        <v>0</v>
      </c>
      <c r="VLX21" s="229">
        <v>0</v>
      </c>
      <c r="VLY21" s="229">
        <v>0</v>
      </c>
      <c r="VLZ21" s="229">
        <v>0</v>
      </c>
      <c r="VMA21" s="229">
        <v>0</v>
      </c>
      <c r="VMB21" s="229">
        <v>0</v>
      </c>
      <c r="VMC21" s="229">
        <v>0</v>
      </c>
      <c r="VMD21" s="229">
        <v>0</v>
      </c>
      <c r="VME21" s="229">
        <v>0</v>
      </c>
      <c r="VMF21" s="229">
        <v>0</v>
      </c>
      <c r="VMG21" s="229">
        <v>0</v>
      </c>
      <c r="VMH21" s="229">
        <v>0</v>
      </c>
      <c r="VMI21" s="229">
        <v>0</v>
      </c>
      <c r="VMJ21" s="229">
        <v>0</v>
      </c>
      <c r="VMK21" s="229">
        <v>0</v>
      </c>
      <c r="VML21" s="229">
        <v>0</v>
      </c>
      <c r="VMM21" s="229">
        <v>0</v>
      </c>
      <c r="VMN21" s="229">
        <v>0</v>
      </c>
      <c r="VMO21" s="229">
        <v>0</v>
      </c>
      <c r="VMP21" s="229">
        <v>0</v>
      </c>
      <c r="VMQ21" s="229">
        <v>0</v>
      </c>
      <c r="VMR21" s="229">
        <v>0</v>
      </c>
      <c r="VMS21" s="229">
        <v>0</v>
      </c>
      <c r="VMT21" s="229">
        <v>0</v>
      </c>
      <c r="VMU21" s="229">
        <v>0</v>
      </c>
      <c r="VMV21" s="229">
        <v>0</v>
      </c>
      <c r="VMW21" s="229">
        <v>0</v>
      </c>
      <c r="VMX21" s="229">
        <v>0</v>
      </c>
      <c r="VMY21" s="229">
        <v>0</v>
      </c>
      <c r="VMZ21" s="229">
        <v>0</v>
      </c>
      <c r="VNA21" s="229">
        <v>0</v>
      </c>
      <c r="VNB21" s="229">
        <v>0</v>
      </c>
      <c r="VNC21" s="229">
        <v>0</v>
      </c>
      <c r="VND21" s="229">
        <v>0</v>
      </c>
      <c r="VNE21" s="229">
        <v>0</v>
      </c>
      <c r="VNF21" s="229">
        <v>0</v>
      </c>
      <c r="VNG21" s="229">
        <v>0</v>
      </c>
      <c r="VNH21" s="229">
        <v>0</v>
      </c>
      <c r="VNI21" s="229">
        <v>0</v>
      </c>
      <c r="VNJ21" s="229">
        <v>0</v>
      </c>
      <c r="VNK21" s="229">
        <v>0</v>
      </c>
      <c r="VNL21" s="229">
        <v>0</v>
      </c>
      <c r="VNM21" s="229">
        <v>0</v>
      </c>
      <c r="VNN21" s="229">
        <v>0</v>
      </c>
      <c r="VNO21" s="229">
        <v>0</v>
      </c>
      <c r="VNP21" s="229">
        <v>0</v>
      </c>
      <c r="VNQ21" s="229">
        <v>0</v>
      </c>
      <c r="VNR21" s="229">
        <v>0</v>
      </c>
      <c r="VNS21" s="229">
        <v>0</v>
      </c>
      <c r="VNT21" s="229">
        <v>0</v>
      </c>
      <c r="VNU21" s="229">
        <v>0</v>
      </c>
      <c r="VNV21" s="229">
        <v>0</v>
      </c>
      <c r="VNW21" s="229">
        <v>0</v>
      </c>
      <c r="VNX21" s="229">
        <v>0</v>
      </c>
      <c r="VNY21" s="229">
        <v>0</v>
      </c>
      <c r="VNZ21" s="229">
        <v>0</v>
      </c>
      <c r="VOA21" s="229">
        <v>0</v>
      </c>
      <c r="VOB21" s="229">
        <v>0</v>
      </c>
      <c r="VOC21" s="229">
        <v>0</v>
      </c>
      <c r="VOD21" s="229">
        <v>0</v>
      </c>
      <c r="VOE21" s="229">
        <v>0</v>
      </c>
      <c r="VOF21" s="229">
        <v>0</v>
      </c>
      <c r="VOG21" s="229">
        <v>0</v>
      </c>
      <c r="VOH21" s="229">
        <v>0</v>
      </c>
      <c r="VOI21" s="229">
        <v>0</v>
      </c>
      <c r="VOJ21" s="229">
        <v>0</v>
      </c>
      <c r="VOK21" s="229">
        <v>0</v>
      </c>
      <c r="VOL21" s="229">
        <v>0</v>
      </c>
      <c r="VOM21" s="229">
        <v>0</v>
      </c>
      <c r="VON21" s="229">
        <v>0</v>
      </c>
      <c r="VOO21" s="229">
        <v>0</v>
      </c>
      <c r="VOP21" s="229">
        <v>0</v>
      </c>
      <c r="VOQ21" s="229">
        <v>0</v>
      </c>
      <c r="VOR21" s="229">
        <v>0</v>
      </c>
      <c r="VOS21" s="229">
        <v>0</v>
      </c>
      <c r="VOT21" s="229">
        <v>0</v>
      </c>
      <c r="VOU21" s="229">
        <v>0</v>
      </c>
      <c r="VOV21" s="229">
        <v>0</v>
      </c>
      <c r="VOW21" s="229">
        <v>0</v>
      </c>
      <c r="VOX21" s="229">
        <v>0</v>
      </c>
      <c r="VOY21" s="229">
        <v>0</v>
      </c>
      <c r="VOZ21" s="229">
        <v>0</v>
      </c>
      <c r="VPA21" s="229">
        <v>0</v>
      </c>
      <c r="VPB21" s="229">
        <v>0</v>
      </c>
      <c r="VPC21" s="229">
        <v>0</v>
      </c>
      <c r="VPD21" s="229">
        <v>0</v>
      </c>
      <c r="VPE21" s="229">
        <v>0</v>
      </c>
      <c r="VPF21" s="229">
        <v>0</v>
      </c>
      <c r="VPG21" s="229">
        <v>0</v>
      </c>
      <c r="VPH21" s="229">
        <v>0</v>
      </c>
      <c r="VPI21" s="229">
        <v>0</v>
      </c>
      <c r="VPJ21" s="229">
        <v>0</v>
      </c>
      <c r="VPK21" s="229">
        <v>0</v>
      </c>
      <c r="VPL21" s="229">
        <v>0</v>
      </c>
      <c r="VPM21" s="229">
        <v>0</v>
      </c>
      <c r="VPN21" s="229">
        <v>0</v>
      </c>
      <c r="VPO21" s="229">
        <v>0</v>
      </c>
      <c r="VPP21" s="229">
        <v>0</v>
      </c>
      <c r="VPQ21" s="229">
        <v>0</v>
      </c>
      <c r="VPR21" s="229">
        <v>0</v>
      </c>
      <c r="VPS21" s="229">
        <v>0</v>
      </c>
      <c r="VPT21" s="229">
        <v>0</v>
      </c>
      <c r="VPU21" s="229">
        <v>0</v>
      </c>
      <c r="VPV21" s="229">
        <v>0</v>
      </c>
      <c r="VPW21" s="229">
        <v>0</v>
      </c>
      <c r="VPX21" s="229">
        <v>0</v>
      </c>
      <c r="VPY21" s="229">
        <v>0</v>
      </c>
      <c r="VPZ21" s="229">
        <v>0</v>
      </c>
      <c r="VQA21" s="229">
        <v>0</v>
      </c>
      <c r="VQB21" s="229">
        <v>0</v>
      </c>
      <c r="VQC21" s="229">
        <v>0</v>
      </c>
      <c r="VQD21" s="229">
        <v>0</v>
      </c>
      <c r="VQE21" s="229">
        <v>0</v>
      </c>
      <c r="VQF21" s="229">
        <v>0</v>
      </c>
      <c r="VQG21" s="229">
        <v>0</v>
      </c>
      <c r="VQH21" s="229">
        <v>0</v>
      </c>
      <c r="VQI21" s="229">
        <v>0</v>
      </c>
      <c r="VQJ21" s="229">
        <v>0</v>
      </c>
      <c r="VQK21" s="229">
        <v>0</v>
      </c>
      <c r="VQL21" s="229">
        <v>0</v>
      </c>
      <c r="VQM21" s="229">
        <v>0</v>
      </c>
      <c r="VQN21" s="229">
        <v>0</v>
      </c>
      <c r="VQO21" s="229">
        <v>0</v>
      </c>
      <c r="VQP21" s="229">
        <v>0</v>
      </c>
      <c r="VQQ21" s="229">
        <v>0</v>
      </c>
      <c r="VQR21" s="229">
        <v>0</v>
      </c>
      <c r="VQS21" s="229">
        <v>0</v>
      </c>
      <c r="VQT21" s="229">
        <v>0</v>
      </c>
      <c r="VQU21" s="229">
        <v>0</v>
      </c>
      <c r="VQV21" s="229">
        <v>0</v>
      </c>
      <c r="VQW21" s="229">
        <v>0</v>
      </c>
      <c r="VQX21" s="229">
        <v>0</v>
      </c>
      <c r="VQY21" s="229">
        <v>0</v>
      </c>
      <c r="VQZ21" s="229">
        <v>0</v>
      </c>
      <c r="VRA21" s="229">
        <v>0</v>
      </c>
      <c r="VRB21" s="229">
        <v>0</v>
      </c>
      <c r="VRC21" s="229">
        <v>0</v>
      </c>
      <c r="VRD21" s="229">
        <v>0</v>
      </c>
      <c r="VRE21" s="229">
        <v>0</v>
      </c>
      <c r="VRF21" s="229">
        <v>0</v>
      </c>
      <c r="VRG21" s="229">
        <v>0</v>
      </c>
      <c r="VRH21" s="229">
        <v>0</v>
      </c>
      <c r="VRI21" s="229">
        <v>0</v>
      </c>
      <c r="VRJ21" s="229">
        <v>0</v>
      </c>
      <c r="VRK21" s="229">
        <v>0</v>
      </c>
      <c r="VRL21" s="229">
        <v>0</v>
      </c>
      <c r="VRM21" s="229">
        <v>0</v>
      </c>
      <c r="VRN21" s="229">
        <v>0</v>
      </c>
      <c r="VRO21" s="229">
        <v>0</v>
      </c>
      <c r="VRP21" s="229">
        <v>0</v>
      </c>
      <c r="VRQ21" s="229">
        <v>0</v>
      </c>
      <c r="VRR21" s="229">
        <v>0</v>
      </c>
      <c r="VRS21" s="229">
        <v>0</v>
      </c>
      <c r="VRT21" s="229">
        <v>0</v>
      </c>
      <c r="VRU21" s="229">
        <v>0</v>
      </c>
      <c r="VRV21" s="229">
        <v>0</v>
      </c>
      <c r="VRW21" s="229">
        <v>0</v>
      </c>
      <c r="VRX21" s="229">
        <v>0</v>
      </c>
      <c r="VRY21" s="229">
        <v>0</v>
      </c>
      <c r="VRZ21" s="229">
        <v>0</v>
      </c>
      <c r="VSA21" s="229">
        <v>0</v>
      </c>
      <c r="VSB21" s="229">
        <v>0</v>
      </c>
      <c r="VSC21" s="229">
        <v>0</v>
      </c>
      <c r="VSD21" s="229">
        <v>0</v>
      </c>
      <c r="VSE21" s="229">
        <v>0</v>
      </c>
      <c r="VSF21" s="229">
        <v>0</v>
      </c>
      <c r="VSG21" s="229">
        <v>0</v>
      </c>
      <c r="VSH21" s="229">
        <v>0</v>
      </c>
      <c r="VSI21" s="229">
        <v>0</v>
      </c>
      <c r="VSJ21" s="229">
        <v>0</v>
      </c>
      <c r="VSK21" s="229">
        <v>0</v>
      </c>
      <c r="VSL21" s="229">
        <v>0</v>
      </c>
      <c r="VSM21" s="229">
        <v>0</v>
      </c>
      <c r="VSN21" s="229">
        <v>0</v>
      </c>
      <c r="VSO21" s="229">
        <v>0</v>
      </c>
      <c r="VSP21" s="229">
        <v>0</v>
      </c>
      <c r="VSQ21" s="229">
        <v>0</v>
      </c>
      <c r="VSR21" s="229">
        <v>0</v>
      </c>
      <c r="VSS21" s="229">
        <v>0</v>
      </c>
      <c r="VST21" s="229">
        <v>0</v>
      </c>
      <c r="VSU21" s="229">
        <v>0</v>
      </c>
      <c r="VSV21" s="229">
        <v>0</v>
      </c>
      <c r="VSW21" s="229">
        <v>0</v>
      </c>
      <c r="VSX21" s="229">
        <v>0</v>
      </c>
      <c r="VSY21" s="229">
        <v>0</v>
      </c>
      <c r="VSZ21" s="229">
        <v>0</v>
      </c>
      <c r="VTA21" s="229">
        <v>0</v>
      </c>
      <c r="VTB21" s="229">
        <v>0</v>
      </c>
      <c r="VTC21" s="229">
        <v>0</v>
      </c>
      <c r="VTD21" s="229">
        <v>0</v>
      </c>
      <c r="VTE21" s="229">
        <v>0</v>
      </c>
      <c r="VTF21" s="229">
        <v>0</v>
      </c>
      <c r="VTG21" s="229">
        <v>0</v>
      </c>
      <c r="VTH21" s="229">
        <v>0</v>
      </c>
      <c r="VTI21" s="229">
        <v>0</v>
      </c>
      <c r="VTJ21" s="229">
        <v>0</v>
      </c>
      <c r="VTK21" s="229">
        <v>0</v>
      </c>
      <c r="VTL21" s="229">
        <v>0</v>
      </c>
      <c r="VTM21" s="229">
        <v>0</v>
      </c>
      <c r="VTN21" s="229">
        <v>0</v>
      </c>
      <c r="VTO21" s="229">
        <v>0</v>
      </c>
      <c r="VTP21" s="229">
        <v>0</v>
      </c>
      <c r="VTQ21" s="229">
        <v>0</v>
      </c>
      <c r="VTR21" s="229">
        <v>0</v>
      </c>
      <c r="VTS21" s="229">
        <v>0</v>
      </c>
      <c r="VTT21" s="229">
        <v>0</v>
      </c>
      <c r="VTU21" s="229">
        <v>0</v>
      </c>
      <c r="VTV21" s="229">
        <v>0</v>
      </c>
      <c r="VTW21" s="229">
        <v>0</v>
      </c>
      <c r="VTX21" s="229">
        <v>0</v>
      </c>
      <c r="VTY21" s="229">
        <v>0</v>
      </c>
      <c r="VTZ21" s="229">
        <v>0</v>
      </c>
      <c r="VUA21" s="229">
        <v>0</v>
      </c>
      <c r="VUB21" s="229">
        <v>0</v>
      </c>
      <c r="VUC21" s="229">
        <v>0</v>
      </c>
      <c r="VUD21" s="229">
        <v>0</v>
      </c>
      <c r="VUE21" s="229">
        <v>0</v>
      </c>
      <c r="VUF21" s="229">
        <v>0</v>
      </c>
      <c r="VUG21" s="229">
        <v>0</v>
      </c>
      <c r="VUH21" s="229">
        <v>0</v>
      </c>
      <c r="VUI21" s="229">
        <v>0</v>
      </c>
      <c r="VUJ21" s="229">
        <v>0</v>
      </c>
      <c r="VUK21" s="229">
        <v>0</v>
      </c>
      <c r="VUL21" s="229">
        <v>0</v>
      </c>
      <c r="VUM21" s="229">
        <v>0</v>
      </c>
      <c r="VUN21" s="229">
        <v>0</v>
      </c>
      <c r="VUO21" s="229">
        <v>0</v>
      </c>
      <c r="VUP21" s="229">
        <v>0</v>
      </c>
      <c r="VUQ21" s="229">
        <v>0</v>
      </c>
      <c r="VUR21" s="229">
        <v>0</v>
      </c>
      <c r="VUS21" s="229">
        <v>0</v>
      </c>
      <c r="VUT21" s="229">
        <v>0</v>
      </c>
      <c r="VUU21" s="229">
        <v>0</v>
      </c>
      <c r="VUV21" s="229">
        <v>0</v>
      </c>
      <c r="VUW21" s="229">
        <v>0</v>
      </c>
      <c r="VUX21" s="229">
        <v>0</v>
      </c>
      <c r="VUY21" s="229">
        <v>0</v>
      </c>
      <c r="VUZ21" s="229">
        <v>0</v>
      </c>
      <c r="VVA21" s="229">
        <v>0</v>
      </c>
      <c r="VVB21" s="229">
        <v>0</v>
      </c>
      <c r="VVC21" s="229">
        <v>0</v>
      </c>
      <c r="VVD21" s="229">
        <v>0</v>
      </c>
      <c r="VVE21" s="229">
        <v>0</v>
      </c>
      <c r="VVF21" s="229">
        <v>0</v>
      </c>
      <c r="VVG21" s="229">
        <v>0</v>
      </c>
      <c r="VVH21" s="229">
        <v>0</v>
      </c>
      <c r="VVI21" s="229">
        <v>0</v>
      </c>
      <c r="VVJ21" s="229">
        <v>0</v>
      </c>
      <c r="VVK21" s="229">
        <v>0</v>
      </c>
      <c r="VVL21" s="229">
        <v>0</v>
      </c>
      <c r="VVM21" s="229">
        <v>0</v>
      </c>
      <c r="VVN21" s="229">
        <v>0</v>
      </c>
      <c r="VVO21" s="229">
        <v>0</v>
      </c>
      <c r="VVP21" s="229">
        <v>0</v>
      </c>
      <c r="VVQ21" s="229">
        <v>0</v>
      </c>
      <c r="VVR21" s="229">
        <v>0</v>
      </c>
      <c r="VVS21" s="229">
        <v>0</v>
      </c>
      <c r="VVT21" s="229">
        <v>0</v>
      </c>
      <c r="VVU21" s="229">
        <v>0</v>
      </c>
      <c r="VVV21" s="229">
        <v>0</v>
      </c>
      <c r="VVW21" s="229">
        <v>0</v>
      </c>
      <c r="VVX21" s="229">
        <v>0</v>
      </c>
      <c r="VVY21" s="229">
        <v>0</v>
      </c>
      <c r="VVZ21" s="229">
        <v>0</v>
      </c>
      <c r="VWA21" s="229">
        <v>0</v>
      </c>
      <c r="VWB21" s="229">
        <v>0</v>
      </c>
      <c r="VWC21" s="229">
        <v>0</v>
      </c>
      <c r="VWD21" s="229">
        <v>0</v>
      </c>
      <c r="VWE21" s="229">
        <v>0</v>
      </c>
      <c r="VWF21" s="229">
        <v>0</v>
      </c>
      <c r="VWG21" s="229">
        <v>0</v>
      </c>
      <c r="VWH21" s="229">
        <v>0</v>
      </c>
      <c r="VWI21" s="229">
        <v>0</v>
      </c>
      <c r="VWJ21" s="229">
        <v>0</v>
      </c>
      <c r="VWK21" s="229">
        <v>0</v>
      </c>
      <c r="VWL21" s="229">
        <v>0</v>
      </c>
      <c r="VWM21" s="229">
        <v>0</v>
      </c>
      <c r="VWN21" s="229">
        <v>0</v>
      </c>
      <c r="VWO21" s="229">
        <v>0</v>
      </c>
      <c r="VWP21" s="229">
        <v>0</v>
      </c>
      <c r="VWQ21" s="229">
        <v>0</v>
      </c>
      <c r="VWR21" s="229">
        <v>0</v>
      </c>
      <c r="VWS21" s="229">
        <v>0</v>
      </c>
      <c r="VWT21" s="229">
        <v>0</v>
      </c>
      <c r="VWU21" s="229">
        <v>0</v>
      </c>
      <c r="VWV21" s="229">
        <v>0</v>
      </c>
      <c r="VWW21" s="229">
        <v>0</v>
      </c>
      <c r="VWX21" s="229">
        <v>0</v>
      </c>
      <c r="VWY21" s="229">
        <v>0</v>
      </c>
      <c r="VWZ21" s="229">
        <v>0</v>
      </c>
      <c r="VXA21" s="229">
        <v>0</v>
      </c>
      <c r="VXB21" s="229">
        <v>0</v>
      </c>
      <c r="VXC21" s="229">
        <v>0</v>
      </c>
      <c r="VXD21" s="229">
        <v>0</v>
      </c>
      <c r="VXE21" s="229">
        <v>0</v>
      </c>
      <c r="VXF21" s="229">
        <v>0</v>
      </c>
      <c r="VXG21" s="229">
        <v>0</v>
      </c>
      <c r="VXH21" s="229">
        <v>0</v>
      </c>
      <c r="VXI21" s="229">
        <v>0</v>
      </c>
      <c r="VXJ21" s="229">
        <v>0</v>
      </c>
      <c r="VXK21" s="229">
        <v>0</v>
      </c>
      <c r="VXL21" s="229">
        <v>0</v>
      </c>
      <c r="VXM21" s="229">
        <v>0</v>
      </c>
      <c r="VXN21" s="229">
        <v>0</v>
      </c>
      <c r="VXO21" s="229">
        <v>0</v>
      </c>
      <c r="VXP21" s="229">
        <v>0</v>
      </c>
      <c r="VXQ21" s="229">
        <v>0</v>
      </c>
      <c r="VXR21" s="229">
        <v>0</v>
      </c>
      <c r="VXS21" s="229">
        <v>0</v>
      </c>
      <c r="VXT21" s="229">
        <v>0</v>
      </c>
      <c r="VXU21" s="229">
        <v>0</v>
      </c>
      <c r="VXV21" s="229">
        <v>0</v>
      </c>
      <c r="VXW21" s="229">
        <v>0</v>
      </c>
      <c r="VXX21" s="229">
        <v>0</v>
      </c>
      <c r="VXY21" s="229">
        <v>0</v>
      </c>
      <c r="VXZ21" s="229">
        <v>0</v>
      </c>
      <c r="VYA21" s="229">
        <v>0</v>
      </c>
      <c r="VYB21" s="229">
        <v>0</v>
      </c>
      <c r="VYC21" s="229">
        <v>0</v>
      </c>
      <c r="VYD21" s="229">
        <v>0</v>
      </c>
      <c r="VYE21" s="229">
        <v>0</v>
      </c>
      <c r="VYF21" s="229">
        <v>0</v>
      </c>
      <c r="VYG21" s="229">
        <v>0</v>
      </c>
      <c r="VYH21" s="229">
        <v>0</v>
      </c>
      <c r="VYI21" s="229">
        <v>0</v>
      </c>
      <c r="VYJ21" s="229">
        <v>0</v>
      </c>
      <c r="VYK21" s="229">
        <v>0</v>
      </c>
      <c r="VYL21" s="229">
        <v>0</v>
      </c>
      <c r="VYM21" s="229">
        <v>0</v>
      </c>
      <c r="VYN21" s="229">
        <v>0</v>
      </c>
      <c r="VYO21" s="229">
        <v>0</v>
      </c>
      <c r="VYP21" s="229">
        <v>0</v>
      </c>
      <c r="VYQ21" s="229">
        <v>0</v>
      </c>
      <c r="VYR21" s="229">
        <v>0</v>
      </c>
      <c r="VYS21" s="229">
        <v>0</v>
      </c>
      <c r="VYT21" s="229">
        <v>0</v>
      </c>
      <c r="VYU21" s="229">
        <v>0</v>
      </c>
      <c r="VYV21" s="229">
        <v>0</v>
      </c>
      <c r="VYW21" s="229">
        <v>0</v>
      </c>
      <c r="VYX21" s="229">
        <v>0</v>
      </c>
      <c r="VYY21" s="229">
        <v>0</v>
      </c>
      <c r="VYZ21" s="229">
        <v>0</v>
      </c>
      <c r="VZA21" s="229">
        <v>0</v>
      </c>
      <c r="VZB21" s="229">
        <v>0</v>
      </c>
      <c r="VZC21" s="229">
        <v>0</v>
      </c>
      <c r="VZD21" s="229">
        <v>0</v>
      </c>
      <c r="VZE21" s="229">
        <v>0</v>
      </c>
      <c r="VZF21" s="229">
        <v>0</v>
      </c>
      <c r="VZG21" s="229">
        <v>0</v>
      </c>
      <c r="VZH21" s="229">
        <v>0</v>
      </c>
      <c r="VZI21" s="229">
        <v>0</v>
      </c>
      <c r="VZJ21" s="229">
        <v>0</v>
      </c>
      <c r="VZK21" s="229">
        <v>0</v>
      </c>
      <c r="VZL21" s="229">
        <v>0</v>
      </c>
      <c r="VZM21" s="229">
        <v>0</v>
      </c>
      <c r="VZN21" s="229">
        <v>0</v>
      </c>
      <c r="VZO21" s="229">
        <v>0</v>
      </c>
      <c r="VZP21" s="229">
        <v>0</v>
      </c>
      <c r="VZQ21" s="229">
        <v>0</v>
      </c>
      <c r="VZR21" s="229">
        <v>0</v>
      </c>
      <c r="VZS21" s="229">
        <v>0</v>
      </c>
      <c r="VZT21" s="229">
        <v>0</v>
      </c>
      <c r="VZU21" s="229">
        <v>0</v>
      </c>
      <c r="VZV21" s="229">
        <v>0</v>
      </c>
      <c r="VZW21" s="229">
        <v>0</v>
      </c>
      <c r="VZX21" s="229">
        <v>0</v>
      </c>
      <c r="VZY21" s="229">
        <v>0</v>
      </c>
      <c r="VZZ21" s="229">
        <v>0</v>
      </c>
      <c r="WAA21" s="229">
        <v>0</v>
      </c>
      <c r="WAB21" s="229">
        <v>0</v>
      </c>
      <c r="WAC21" s="229">
        <v>0</v>
      </c>
      <c r="WAD21" s="229">
        <v>0</v>
      </c>
      <c r="WAE21" s="229">
        <v>0</v>
      </c>
      <c r="WAF21" s="229">
        <v>0</v>
      </c>
      <c r="WAG21" s="229">
        <v>0</v>
      </c>
      <c r="WAH21" s="229">
        <v>0</v>
      </c>
      <c r="WAI21" s="229">
        <v>0</v>
      </c>
      <c r="WAJ21" s="229">
        <v>0</v>
      </c>
      <c r="WAK21" s="229">
        <v>0</v>
      </c>
      <c r="WAL21" s="229">
        <v>0</v>
      </c>
      <c r="WAM21" s="229">
        <v>0</v>
      </c>
      <c r="WAN21" s="229">
        <v>0</v>
      </c>
      <c r="WAO21" s="229">
        <v>0</v>
      </c>
      <c r="WAP21" s="229">
        <v>0</v>
      </c>
      <c r="WAQ21" s="229">
        <v>0</v>
      </c>
      <c r="WAR21" s="229">
        <v>0</v>
      </c>
      <c r="WAS21" s="229">
        <v>0</v>
      </c>
      <c r="WAT21" s="229">
        <v>0</v>
      </c>
      <c r="WAU21" s="229">
        <v>0</v>
      </c>
      <c r="WAV21" s="229">
        <v>0</v>
      </c>
      <c r="WAW21" s="229">
        <v>0</v>
      </c>
      <c r="WAX21" s="229">
        <v>0</v>
      </c>
      <c r="WAY21" s="229">
        <v>0</v>
      </c>
      <c r="WAZ21" s="229">
        <v>0</v>
      </c>
      <c r="WBA21" s="229">
        <v>0</v>
      </c>
      <c r="WBB21" s="229">
        <v>0</v>
      </c>
      <c r="WBC21" s="229">
        <v>0</v>
      </c>
      <c r="WBD21" s="229">
        <v>0</v>
      </c>
      <c r="WBE21" s="229">
        <v>0</v>
      </c>
      <c r="WBF21" s="229">
        <v>0</v>
      </c>
      <c r="WBG21" s="229">
        <v>0</v>
      </c>
      <c r="WBH21" s="229">
        <v>0</v>
      </c>
      <c r="WBI21" s="229">
        <v>0</v>
      </c>
      <c r="WBJ21" s="229">
        <v>0</v>
      </c>
      <c r="WBK21" s="229">
        <v>0</v>
      </c>
      <c r="WBL21" s="229">
        <v>0</v>
      </c>
      <c r="WBM21" s="229">
        <v>0</v>
      </c>
      <c r="WBN21" s="229">
        <v>0</v>
      </c>
      <c r="WBO21" s="229">
        <v>0</v>
      </c>
      <c r="WBP21" s="229">
        <v>0</v>
      </c>
      <c r="WBQ21" s="229">
        <v>0</v>
      </c>
      <c r="WBR21" s="229">
        <v>0</v>
      </c>
      <c r="WBS21" s="229">
        <v>0</v>
      </c>
      <c r="WBT21" s="229">
        <v>0</v>
      </c>
      <c r="WBU21" s="229">
        <v>0</v>
      </c>
      <c r="WBV21" s="229">
        <v>0</v>
      </c>
      <c r="WBW21" s="229">
        <v>0</v>
      </c>
      <c r="WBX21" s="229">
        <v>0</v>
      </c>
      <c r="WBY21" s="229">
        <v>0</v>
      </c>
      <c r="WBZ21" s="229">
        <v>0</v>
      </c>
      <c r="WCA21" s="229">
        <v>0</v>
      </c>
      <c r="WCB21" s="229">
        <v>0</v>
      </c>
      <c r="WCC21" s="229">
        <v>0</v>
      </c>
      <c r="WCD21" s="229">
        <v>0</v>
      </c>
      <c r="WCE21" s="229">
        <v>0</v>
      </c>
      <c r="WCF21" s="229">
        <v>0</v>
      </c>
      <c r="WCG21" s="229">
        <v>0</v>
      </c>
      <c r="WCH21" s="229">
        <v>0</v>
      </c>
      <c r="WCI21" s="229">
        <v>0</v>
      </c>
      <c r="WCJ21" s="229">
        <v>0</v>
      </c>
      <c r="WCK21" s="229">
        <v>0</v>
      </c>
      <c r="WCL21" s="229">
        <v>0</v>
      </c>
      <c r="WCM21" s="229">
        <v>0</v>
      </c>
      <c r="WCN21" s="229">
        <v>0</v>
      </c>
      <c r="WCO21" s="229">
        <v>0</v>
      </c>
      <c r="WCP21" s="229">
        <v>0</v>
      </c>
      <c r="WCQ21" s="229">
        <v>0</v>
      </c>
      <c r="WCR21" s="229">
        <v>0</v>
      </c>
      <c r="WCS21" s="229">
        <v>0</v>
      </c>
      <c r="WCT21" s="229">
        <v>0</v>
      </c>
      <c r="WCU21" s="229">
        <v>0</v>
      </c>
      <c r="WCV21" s="229">
        <v>0</v>
      </c>
      <c r="WCW21" s="229">
        <v>0</v>
      </c>
      <c r="WCX21" s="229">
        <v>0</v>
      </c>
      <c r="WCY21" s="229">
        <v>0</v>
      </c>
      <c r="WCZ21" s="229">
        <v>0</v>
      </c>
      <c r="WDA21" s="229">
        <v>0</v>
      </c>
      <c r="WDB21" s="229">
        <v>0</v>
      </c>
      <c r="WDC21" s="229">
        <v>0</v>
      </c>
      <c r="WDD21" s="229">
        <v>0</v>
      </c>
      <c r="WDE21" s="229">
        <v>0</v>
      </c>
      <c r="WDF21" s="229">
        <v>0</v>
      </c>
      <c r="WDG21" s="229">
        <v>0</v>
      </c>
      <c r="WDH21" s="229">
        <v>0</v>
      </c>
      <c r="WDI21" s="229">
        <v>0</v>
      </c>
      <c r="WDJ21" s="229">
        <v>0</v>
      </c>
      <c r="WDK21" s="229">
        <v>0</v>
      </c>
      <c r="WDL21" s="229">
        <v>0</v>
      </c>
      <c r="WDM21" s="229">
        <v>0</v>
      </c>
      <c r="WDN21" s="229">
        <v>0</v>
      </c>
      <c r="WDO21" s="229">
        <v>0</v>
      </c>
      <c r="WDP21" s="229">
        <v>0</v>
      </c>
      <c r="WDQ21" s="229">
        <v>0</v>
      </c>
      <c r="WDR21" s="229">
        <v>0</v>
      </c>
      <c r="WDS21" s="229">
        <v>0</v>
      </c>
      <c r="WDT21" s="229">
        <v>0</v>
      </c>
      <c r="WDU21" s="229">
        <v>0</v>
      </c>
      <c r="WDV21" s="229">
        <v>0</v>
      </c>
      <c r="WDW21" s="229">
        <v>0</v>
      </c>
      <c r="WDX21" s="229">
        <v>0</v>
      </c>
      <c r="WDY21" s="229">
        <v>0</v>
      </c>
      <c r="WDZ21" s="229">
        <v>0</v>
      </c>
      <c r="WEA21" s="229">
        <v>0</v>
      </c>
      <c r="WEB21" s="229">
        <v>0</v>
      </c>
      <c r="WEC21" s="229">
        <v>0</v>
      </c>
      <c r="WED21" s="229">
        <v>0</v>
      </c>
      <c r="WEE21" s="229">
        <v>0</v>
      </c>
      <c r="WEF21" s="229">
        <v>0</v>
      </c>
      <c r="WEG21" s="229">
        <v>0</v>
      </c>
      <c r="WEH21" s="229">
        <v>0</v>
      </c>
      <c r="WEI21" s="229">
        <v>0</v>
      </c>
      <c r="WEJ21" s="229">
        <v>0</v>
      </c>
      <c r="WEK21" s="229">
        <v>0</v>
      </c>
      <c r="WEL21" s="229">
        <v>0</v>
      </c>
      <c r="WEM21" s="229">
        <v>0</v>
      </c>
      <c r="WEN21" s="229">
        <v>0</v>
      </c>
      <c r="WEO21" s="229">
        <v>0</v>
      </c>
      <c r="WEP21" s="229">
        <v>0</v>
      </c>
      <c r="WEQ21" s="229">
        <v>0</v>
      </c>
      <c r="WER21" s="229">
        <v>0</v>
      </c>
      <c r="WES21" s="229">
        <v>0</v>
      </c>
      <c r="WET21" s="229">
        <v>0</v>
      </c>
      <c r="WEU21" s="229">
        <v>0</v>
      </c>
      <c r="WEV21" s="229">
        <v>0</v>
      </c>
      <c r="WEW21" s="229">
        <v>0</v>
      </c>
      <c r="WEX21" s="229">
        <v>0</v>
      </c>
      <c r="WEY21" s="229">
        <v>0</v>
      </c>
      <c r="WEZ21" s="229">
        <v>0</v>
      </c>
      <c r="WFA21" s="229">
        <v>0</v>
      </c>
      <c r="WFB21" s="229">
        <v>0</v>
      </c>
      <c r="WFC21" s="229">
        <v>0</v>
      </c>
      <c r="WFD21" s="229">
        <v>0</v>
      </c>
      <c r="WFE21" s="229">
        <v>0</v>
      </c>
      <c r="WFF21" s="229">
        <v>0</v>
      </c>
      <c r="WFG21" s="229">
        <v>0</v>
      </c>
      <c r="WFH21" s="229">
        <v>0</v>
      </c>
      <c r="WFI21" s="229">
        <v>0</v>
      </c>
      <c r="WFJ21" s="229">
        <v>0</v>
      </c>
      <c r="WFK21" s="229">
        <v>0</v>
      </c>
      <c r="WFL21" s="229">
        <v>0</v>
      </c>
      <c r="WFM21" s="229">
        <v>0</v>
      </c>
      <c r="WFN21" s="229">
        <v>0</v>
      </c>
      <c r="WFO21" s="229">
        <v>0</v>
      </c>
      <c r="WFP21" s="229">
        <v>0</v>
      </c>
      <c r="WFQ21" s="229">
        <v>0</v>
      </c>
      <c r="WFR21" s="229">
        <v>0</v>
      </c>
      <c r="WFS21" s="229">
        <v>0</v>
      </c>
      <c r="WFT21" s="229">
        <v>0</v>
      </c>
      <c r="WFU21" s="229">
        <v>0</v>
      </c>
      <c r="WFV21" s="229">
        <v>0</v>
      </c>
      <c r="WFW21" s="229">
        <v>0</v>
      </c>
      <c r="WFX21" s="229">
        <v>0</v>
      </c>
      <c r="WFY21" s="229">
        <v>0</v>
      </c>
      <c r="WFZ21" s="229">
        <v>0</v>
      </c>
      <c r="WGA21" s="229">
        <v>0</v>
      </c>
      <c r="WGB21" s="229">
        <v>0</v>
      </c>
      <c r="WGC21" s="229">
        <v>0</v>
      </c>
      <c r="WGD21" s="229">
        <v>0</v>
      </c>
      <c r="WGE21" s="229">
        <v>0</v>
      </c>
      <c r="WGF21" s="229">
        <v>0</v>
      </c>
      <c r="WGG21" s="229">
        <v>0</v>
      </c>
      <c r="WGH21" s="229">
        <v>0</v>
      </c>
      <c r="WGI21" s="229">
        <v>0</v>
      </c>
      <c r="WGJ21" s="229">
        <v>0</v>
      </c>
      <c r="WGK21" s="229">
        <v>0</v>
      </c>
      <c r="WGL21" s="229">
        <v>0</v>
      </c>
      <c r="WGM21" s="229">
        <v>0</v>
      </c>
      <c r="WGN21" s="229">
        <v>0</v>
      </c>
      <c r="WGO21" s="229">
        <v>0</v>
      </c>
      <c r="WGP21" s="229">
        <v>0</v>
      </c>
      <c r="WGQ21" s="229">
        <v>0</v>
      </c>
      <c r="WGR21" s="229">
        <v>0</v>
      </c>
      <c r="WGS21" s="229">
        <v>0</v>
      </c>
      <c r="WGT21" s="229">
        <v>0</v>
      </c>
      <c r="WGU21" s="229">
        <v>0</v>
      </c>
      <c r="WGV21" s="229">
        <v>0</v>
      </c>
      <c r="WGW21" s="229">
        <v>0</v>
      </c>
      <c r="WGX21" s="229">
        <v>0</v>
      </c>
      <c r="WGY21" s="229">
        <v>0</v>
      </c>
      <c r="WGZ21" s="229">
        <v>0</v>
      </c>
      <c r="WHA21" s="229">
        <v>0</v>
      </c>
      <c r="WHB21" s="229">
        <v>0</v>
      </c>
      <c r="WHC21" s="229">
        <v>0</v>
      </c>
      <c r="WHD21" s="229">
        <v>0</v>
      </c>
      <c r="WHE21" s="229">
        <v>0</v>
      </c>
      <c r="WHF21" s="229">
        <v>0</v>
      </c>
      <c r="WHG21" s="229">
        <v>0</v>
      </c>
      <c r="WHH21" s="229">
        <v>0</v>
      </c>
      <c r="WHI21" s="229">
        <v>0</v>
      </c>
      <c r="WHJ21" s="229">
        <v>0</v>
      </c>
      <c r="WHK21" s="229">
        <v>0</v>
      </c>
      <c r="WHL21" s="229">
        <v>0</v>
      </c>
      <c r="WHM21" s="229">
        <v>0</v>
      </c>
      <c r="WHN21" s="229">
        <v>0</v>
      </c>
      <c r="WHO21" s="229">
        <v>0</v>
      </c>
      <c r="WHP21" s="229">
        <v>0</v>
      </c>
      <c r="WHQ21" s="229">
        <v>0</v>
      </c>
      <c r="WHR21" s="229">
        <v>0</v>
      </c>
      <c r="WHS21" s="229">
        <v>0</v>
      </c>
      <c r="WHT21" s="229">
        <v>0</v>
      </c>
      <c r="WHU21" s="229">
        <v>0</v>
      </c>
      <c r="WHV21" s="229">
        <v>0</v>
      </c>
      <c r="WHW21" s="229">
        <v>0</v>
      </c>
      <c r="WHX21" s="229">
        <v>0</v>
      </c>
      <c r="WHY21" s="229">
        <v>0</v>
      </c>
      <c r="WHZ21" s="229">
        <v>0</v>
      </c>
      <c r="WIA21" s="229">
        <v>0</v>
      </c>
      <c r="WIB21" s="229">
        <v>0</v>
      </c>
      <c r="WIC21" s="229">
        <v>0</v>
      </c>
      <c r="WID21" s="229">
        <v>0</v>
      </c>
      <c r="WIE21" s="229">
        <v>0</v>
      </c>
      <c r="WIF21" s="229">
        <v>0</v>
      </c>
      <c r="WIG21" s="229">
        <v>0</v>
      </c>
      <c r="WIH21" s="229">
        <v>0</v>
      </c>
      <c r="WII21" s="229">
        <v>0</v>
      </c>
      <c r="WIJ21" s="229">
        <v>0</v>
      </c>
      <c r="WIK21" s="229">
        <v>0</v>
      </c>
      <c r="WIL21" s="229">
        <v>0</v>
      </c>
      <c r="WIM21" s="229">
        <v>0</v>
      </c>
      <c r="WIN21" s="229">
        <v>0</v>
      </c>
      <c r="WIO21" s="229">
        <v>0</v>
      </c>
      <c r="WIP21" s="229">
        <v>0</v>
      </c>
      <c r="WIQ21" s="229">
        <v>0</v>
      </c>
      <c r="WIR21" s="229">
        <v>0</v>
      </c>
      <c r="WIS21" s="229">
        <v>0</v>
      </c>
      <c r="WIT21" s="229">
        <v>0</v>
      </c>
      <c r="WIU21" s="229">
        <v>0</v>
      </c>
      <c r="WIV21" s="229">
        <v>0</v>
      </c>
      <c r="WIW21" s="229">
        <v>0</v>
      </c>
      <c r="WIX21" s="229">
        <v>0</v>
      </c>
      <c r="WIY21" s="229">
        <v>0</v>
      </c>
      <c r="WIZ21" s="229">
        <v>0</v>
      </c>
      <c r="WJA21" s="229">
        <v>0</v>
      </c>
      <c r="WJB21" s="229">
        <v>0</v>
      </c>
      <c r="WJC21" s="229">
        <v>0</v>
      </c>
      <c r="WJD21" s="229">
        <v>0</v>
      </c>
      <c r="WJE21" s="229">
        <v>0</v>
      </c>
      <c r="WJF21" s="229">
        <v>0</v>
      </c>
      <c r="WJG21" s="229">
        <v>0</v>
      </c>
      <c r="WJH21" s="229">
        <v>0</v>
      </c>
      <c r="WJI21" s="229">
        <v>0</v>
      </c>
      <c r="WJJ21" s="229">
        <v>0</v>
      </c>
      <c r="WJK21" s="229">
        <v>0</v>
      </c>
      <c r="WJL21" s="229">
        <v>0</v>
      </c>
      <c r="WJM21" s="229">
        <v>0</v>
      </c>
      <c r="WJN21" s="229">
        <v>0</v>
      </c>
      <c r="WJO21" s="229">
        <v>0</v>
      </c>
      <c r="WJP21" s="229">
        <v>0</v>
      </c>
      <c r="WJQ21" s="229">
        <v>0</v>
      </c>
      <c r="WJR21" s="229">
        <v>0</v>
      </c>
      <c r="WJS21" s="229">
        <v>0</v>
      </c>
      <c r="WJT21" s="229">
        <v>0</v>
      </c>
      <c r="WJU21" s="229">
        <v>0</v>
      </c>
      <c r="WJV21" s="229">
        <v>0</v>
      </c>
      <c r="WJW21" s="229">
        <v>0</v>
      </c>
      <c r="WJX21" s="229">
        <v>0</v>
      </c>
      <c r="WJY21" s="229">
        <v>0</v>
      </c>
      <c r="WJZ21" s="229">
        <v>0</v>
      </c>
      <c r="WKA21" s="229">
        <v>0</v>
      </c>
      <c r="WKB21" s="229">
        <v>0</v>
      </c>
      <c r="WKC21" s="229">
        <v>0</v>
      </c>
      <c r="WKD21" s="229">
        <v>0</v>
      </c>
      <c r="WKE21" s="229">
        <v>0</v>
      </c>
      <c r="WKF21" s="229">
        <v>0</v>
      </c>
      <c r="WKG21" s="229">
        <v>0</v>
      </c>
      <c r="WKH21" s="229">
        <v>0</v>
      </c>
      <c r="WKI21" s="229">
        <v>0</v>
      </c>
      <c r="WKJ21" s="229">
        <v>0</v>
      </c>
      <c r="WKK21" s="229">
        <v>0</v>
      </c>
      <c r="WKL21" s="229">
        <v>0</v>
      </c>
      <c r="WKM21" s="229">
        <v>0</v>
      </c>
      <c r="WKN21" s="229">
        <v>0</v>
      </c>
      <c r="WKO21" s="229">
        <v>0</v>
      </c>
      <c r="WKP21" s="229">
        <v>0</v>
      </c>
      <c r="WKQ21" s="229">
        <v>0</v>
      </c>
      <c r="WKR21" s="229">
        <v>0</v>
      </c>
      <c r="WKS21" s="229">
        <v>0</v>
      </c>
      <c r="WKT21" s="229">
        <v>0</v>
      </c>
      <c r="WKU21" s="229">
        <v>0</v>
      </c>
      <c r="WKV21" s="229">
        <v>0</v>
      </c>
      <c r="WKW21" s="229">
        <v>0</v>
      </c>
      <c r="WKX21" s="229">
        <v>0</v>
      </c>
      <c r="WKY21" s="229">
        <v>0</v>
      </c>
      <c r="WKZ21" s="229">
        <v>0</v>
      </c>
      <c r="WLA21" s="229">
        <v>0</v>
      </c>
      <c r="WLB21" s="229">
        <v>0</v>
      </c>
      <c r="WLC21" s="229">
        <v>0</v>
      </c>
      <c r="WLD21" s="229">
        <v>0</v>
      </c>
      <c r="WLE21" s="229">
        <v>0</v>
      </c>
      <c r="WLF21" s="229">
        <v>0</v>
      </c>
      <c r="WLG21" s="229">
        <v>0</v>
      </c>
      <c r="WLH21" s="229">
        <v>0</v>
      </c>
      <c r="WLI21" s="229">
        <v>0</v>
      </c>
      <c r="WLJ21" s="229">
        <v>0</v>
      </c>
      <c r="WLK21" s="229">
        <v>0</v>
      </c>
      <c r="WLL21" s="229">
        <v>0</v>
      </c>
      <c r="WLM21" s="229">
        <v>0</v>
      </c>
      <c r="WLN21" s="229">
        <v>0</v>
      </c>
      <c r="WLO21" s="229">
        <v>0</v>
      </c>
      <c r="WLP21" s="229">
        <v>0</v>
      </c>
      <c r="WLQ21" s="229">
        <v>0</v>
      </c>
      <c r="WLR21" s="229">
        <v>0</v>
      </c>
      <c r="WLS21" s="229">
        <v>0</v>
      </c>
      <c r="WLT21" s="229">
        <v>0</v>
      </c>
      <c r="WLU21" s="229">
        <v>0</v>
      </c>
      <c r="WLV21" s="229">
        <v>0</v>
      </c>
      <c r="WLW21" s="229">
        <v>0</v>
      </c>
      <c r="WLX21" s="229">
        <v>0</v>
      </c>
      <c r="WLY21" s="229">
        <v>0</v>
      </c>
      <c r="WLZ21" s="229">
        <v>0</v>
      </c>
      <c r="WMA21" s="229">
        <v>0</v>
      </c>
      <c r="WMB21" s="229">
        <v>0</v>
      </c>
      <c r="WMC21" s="229">
        <v>0</v>
      </c>
      <c r="WMD21" s="229">
        <v>0</v>
      </c>
      <c r="WME21" s="229">
        <v>0</v>
      </c>
      <c r="WMF21" s="229">
        <v>0</v>
      </c>
      <c r="WMG21" s="229">
        <v>0</v>
      </c>
      <c r="WMH21" s="229">
        <v>0</v>
      </c>
      <c r="WMI21" s="229">
        <v>0</v>
      </c>
      <c r="WMJ21" s="229">
        <v>0</v>
      </c>
      <c r="WMK21" s="229">
        <v>0</v>
      </c>
      <c r="WML21" s="229">
        <v>0</v>
      </c>
      <c r="WMM21" s="229">
        <v>0</v>
      </c>
      <c r="WMN21" s="229">
        <v>0</v>
      </c>
      <c r="WMO21" s="229">
        <v>0</v>
      </c>
      <c r="WMP21" s="229">
        <v>0</v>
      </c>
      <c r="WMQ21" s="229">
        <v>0</v>
      </c>
      <c r="WMR21" s="229">
        <v>0</v>
      </c>
      <c r="WMS21" s="229">
        <v>0</v>
      </c>
      <c r="WMT21" s="229">
        <v>0</v>
      </c>
      <c r="WMU21" s="229">
        <v>0</v>
      </c>
      <c r="WMV21" s="229">
        <v>0</v>
      </c>
      <c r="WMW21" s="229">
        <v>0</v>
      </c>
      <c r="WMX21" s="229">
        <v>0</v>
      </c>
      <c r="WMY21" s="229">
        <v>0</v>
      </c>
      <c r="WMZ21" s="229">
        <v>0</v>
      </c>
      <c r="WNA21" s="229">
        <v>0</v>
      </c>
      <c r="WNB21" s="229">
        <v>0</v>
      </c>
      <c r="WNC21" s="229">
        <v>0</v>
      </c>
      <c r="WND21" s="229">
        <v>0</v>
      </c>
      <c r="WNE21" s="229">
        <v>0</v>
      </c>
      <c r="WNF21" s="229">
        <v>0</v>
      </c>
      <c r="WNG21" s="229">
        <v>0</v>
      </c>
      <c r="WNH21" s="229">
        <v>0</v>
      </c>
      <c r="WNI21" s="229">
        <v>0</v>
      </c>
      <c r="WNJ21" s="229">
        <v>0</v>
      </c>
      <c r="WNK21" s="229">
        <v>0</v>
      </c>
      <c r="WNL21" s="229">
        <v>0</v>
      </c>
      <c r="WNM21" s="229">
        <v>0</v>
      </c>
      <c r="WNN21" s="229">
        <v>0</v>
      </c>
      <c r="WNO21" s="229">
        <v>0</v>
      </c>
      <c r="WNP21" s="229">
        <v>0</v>
      </c>
      <c r="WNQ21" s="229">
        <v>0</v>
      </c>
      <c r="WNR21" s="229">
        <v>0</v>
      </c>
      <c r="WNS21" s="229">
        <v>0</v>
      </c>
      <c r="WNT21" s="229">
        <v>0</v>
      </c>
      <c r="WNU21" s="229">
        <v>0</v>
      </c>
      <c r="WNV21" s="229">
        <v>0</v>
      </c>
      <c r="WNW21" s="229">
        <v>0</v>
      </c>
      <c r="WNX21" s="229">
        <v>0</v>
      </c>
      <c r="WNY21" s="229">
        <v>0</v>
      </c>
      <c r="WNZ21" s="229">
        <v>0</v>
      </c>
      <c r="WOA21" s="229">
        <v>0</v>
      </c>
      <c r="WOB21" s="229">
        <v>0</v>
      </c>
      <c r="WOC21" s="229">
        <v>0</v>
      </c>
      <c r="WOD21" s="229">
        <v>0</v>
      </c>
      <c r="WOE21" s="229">
        <v>0</v>
      </c>
      <c r="WOF21" s="229">
        <v>0</v>
      </c>
      <c r="WOG21" s="229">
        <v>0</v>
      </c>
      <c r="WOH21" s="229">
        <v>0</v>
      </c>
      <c r="WOI21" s="229">
        <v>0</v>
      </c>
      <c r="WOJ21" s="229">
        <v>0</v>
      </c>
      <c r="WOK21" s="229">
        <v>0</v>
      </c>
      <c r="WOL21" s="229">
        <v>0</v>
      </c>
      <c r="WOM21" s="229">
        <v>0</v>
      </c>
      <c r="WON21" s="229">
        <v>0</v>
      </c>
      <c r="WOO21" s="229">
        <v>0</v>
      </c>
      <c r="WOP21" s="229">
        <v>0</v>
      </c>
      <c r="WOQ21" s="229">
        <v>0</v>
      </c>
      <c r="WOR21" s="229">
        <v>0</v>
      </c>
      <c r="WOS21" s="229">
        <v>0</v>
      </c>
      <c r="WOT21" s="229">
        <v>0</v>
      </c>
      <c r="WOU21" s="229">
        <v>0</v>
      </c>
      <c r="WOV21" s="229">
        <v>0</v>
      </c>
      <c r="WOW21" s="229">
        <v>0</v>
      </c>
      <c r="WOX21" s="229">
        <v>0</v>
      </c>
      <c r="WOY21" s="229">
        <v>0</v>
      </c>
      <c r="WOZ21" s="229">
        <v>0</v>
      </c>
      <c r="WPA21" s="229">
        <v>0</v>
      </c>
      <c r="WPB21" s="229">
        <v>0</v>
      </c>
      <c r="WPC21" s="229">
        <v>0</v>
      </c>
      <c r="WPD21" s="229">
        <v>0</v>
      </c>
      <c r="WPE21" s="229">
        <v>0</v>
      </c>
      <c r="WPF21" s="229">
        <v>0</v>
      </c>
      <c r="WPG21" s="229">
        <v>0</v>
      </c>
      <c r="WPH21" s="229">
        <v>0</v>
      </c>
      <c r="WPI21" s="229">
        <v>0</v>
      </c>
      <c r="WPJ21" s="229">
        <v>0</v>
      </c>
      <c r="WPK21" s="229">
        <v>0</v>
      </c>
      <c r="WPL21" s="229">
        <v>0</v>
      </c>
      <c r="WPM21" s="229">
        <v>0</v>
      </c>
      <c r="WPN21" s="229">
        <v>0</v>
      </c>
      <c r="WPO21" s="229">
        <v>0</v>
      </c>
      <c r="WPP21" s="229">
        <v>0</v>
      </c>
      <c r="WPQ21" s="229">
        <v>0</v>
      </c>
      <c r="WPR21" s="229">
        <v>0</v>
      </c>
      <c r="WPS21" s="229">
        <v>0</v>
      </c>
      <c r="WPT21" s="229">
        <v>0</v>
      </c>
      <c r="WPU21" s="229">
        <v>0</v>
      </c>
      <c r="WPV21" s="229">
        <v>0</v>
      </c>
      <c r="WPW21" s="229">
        <v>0</v>
      </c>
      <c r="WPX21" s="229">
        <v>0</v>
      </c>
      <c r="WPY21" s="229">
        <v>0</v>
      </c>
      <c r="WPZ21" s="229">
        <v>0</v>
      </c>
      <c r="WQA21" s="229">
        <v>0</v>
      </c>
      <c r="WQB21" s="229">
        <v>0</v>
      </c>
      <c r="WQC21" s="229">
        <v>0</v>
      </c>
      <c r="WQD21" s="229">
        <v>0</v>
      </c>
      <c r="WQE21" s="229">
        <v>0</v>
      </c>
      <c r="WQF21" s="229">
        <v>0</v>
      </c>
      <c r="WQG21" s="229">
        <v>0</v>
      </c>
      <c r="WQH21" s="229">
        <v>0</v>
      </c>
      <c r="WQI21" s="229">
        <v>0</v>
      </c>
      <c r="WQJ21" s="229">
        <v>0</v>
      </c>
      <c r="WQK21" s="229">
        <v>0</v>
      </c>
      <c r="WQL21" s="229">
        <v>0</v>
      </c>
      <c r="WQM21" s="229">
        <v>0</v>
      </c>
      <c r="WQN21" s="229">
        <v>0</v>
      </c>
      <c r="WQO21" s="229">
        <v>0</v>
      </c>
      <c r="WQP21" s="229">
        <v>0</v>
      </c>
      <c r="WQQ21" s="229">
        <v>0</v>
      </c>
      <c r="WQR21" s="229">
        <v>0</v>
      </c>
      <c r="WQS21" s="229">
        <v>0</v>
      </c>
      <c r="WQT21" s="229">
        <v>0</v>
      </c>
      <c r="WQU21" s="229">
        <v>0</v>
      </c>
      <c r="WQV21" s="229">
        <v>0</v>
      </c>
      <c r="WQW21" s="229">
        <v>0</v>
      </c>
      <c r="WQX21" s="229">
        <v>0</v>
      </c>
      <c r="WQY21" s="229">
        <v>0</v>
      </c>
      <c r="WQZ21" s="229">
        <v>0</v>
      </c>
      <c r="WRA21" s="229">
        <v>0</v>
      </c>
      <c r="WRB21" s="229">
        <v>0</v>
      </c>
      <c r="WRC21" s="229">
        <v>0</v>
      </c>
      <c r="WRD21" s="229">
        <v>0</v>
      </c>
      <c r="WRE21" s="229">
        <v>0</v>
      </c>
      <c r="WRF21" s="229">
        <v>0</v>
      </c>
      <c r="WRG21" s="229">
        <v>0</v>
      </c>
      <c r="WRH21" s="229">
        <v>0</v>
      </c>
      <c r="WRI21" s="229">
        <v>0</v>
      </c>
      <c r="WRJ21" s="229">
        <v>0</v>
      </c>
      <c r="WRK21" s="229">
        <v>0</v>
      </c>
      <c r="WRL21" s="229">
        <v>0</v>
      </c>
      <c r="WRM21" s="229">
        <v>0</v>
      </c>
      <c r="WRN21" s="229">
        <v>0</v>
      </c>
      <c r="WRO21" s="229">
        <v>0</v>
      </c>
      <c r="WRP21" s="229">
        <v>0</v>
      </c>
      <c r="WRQ21" s="229">
        <v>0</v>
      </c>
      <c r="WRR21" s="229">
        <v>0</v>
      </c>
      <c r="WRS21" s="229">
        <v>0</v>
      </c>
      <c r="WRT21" s="229">
        <v>0</v>
      </c>
      <c r="WRU21" s="229">
        <v>0</v>
      </c>
      <c r="WRV21" s="229">
        <v>0</v>
      </c>
      <c r="WRW21" s="229">
        <v>0</v>
      </c>
      <c r="WRX21" s="229">
        <v>0</v>
      </c>
      <c r="WRY21" s="229">
        <v>0</v>
      </c>
      <c r="WRZ21" s="229">
        <v>0</v>
      </c>
      <c r="WSA21" s="229">
        <v>0</v>
      </c>
      <c r="WSB21" s="229">
        <v>0</v>
      </c>
      <c r="WSC21" s="229">
        <v>0</v>
      </c>
      <c r="WSD21" s="229">
        <v>0</v>
      </c>
      <c r="WSE21" s="229">
        <v>0</v>
      </c>
      <c r="WSF21" s="229">
        <v>0</v>
      </c>
      <c r="WSG21" s="229">
        <v>0</v>
      </c>
      <c r="WSH21" s="229">
        <v>0</v>
      </c>
      <c r="WSI21" s="229">
        <v>0</v>
      </c>
      <c r="WSJ21" s="229">
        <v>0</v>
      </c>
      <c r="WSK21" s="229">
        <v>0</v>
      </c>
      <c r="WSL21" s="229">
        <v>0</v>
      </c>
      <c r="WSM21" s="229">
        <v>0</v>
      </c>
      <c r="WSN21" s="229">
        <v>0</v>
      </c>
      <c r="WSO21" s="229">
        <v>0</v>
      </c>
      <c r="WSP21" s="229">
        <v>0</v>
      </c>
      <c r="WSQ21" s="229">
        <v>0</v>
      </c>
      <c r="WSR21" s="229">
        <v>0</v>
      </c>
      <c r="WSS21" s="229">
        <v>0</v>
      </c>
      <c r="WST21" s="229">
        <v>0</v>
      </c>
      <c r="WSU21" s="229">
        <v>0</v>
      </c>
      <c r="WSV21" s="229">
        <v>0</v>
      </c>
      <c r="WSW21" s="229">
        <v>0</v>
      </c>
      <c r="WSX21" s="229">
        <v>0</v>
      </c>
      <c r="WSY21" s="229">
        <v>0</v>
      </c>
      <c r="WSZ21" s="229">
        <v>0</v>
      </c>
      <c r="WTA21" s="229">
        <v>0</v>
      </c>
      <c r="WTB21" s="229">
        <v>0</v>
      </c>
      <c r="WTC21" s="229">
        <v>0</v>
      </c>
      <c r="WTD21" s="229">
        <v>0</v>
      </c>
      <c r="WTE21" s="229">
        <v>0</v>
      </c>
      <c r="WTF21" s="229">
        <v>0</v>
      </c>
      <c r="WTG21" s="229">
        <v>0</v>
      </c>
      <c r="WTH21" s="229">
        <v>0</v>
      </c>
      <c r="WTI21" s="229">
        <v>0</v>
      </c>
      <c r="WTJ21" s="229">
        <v>0</v>
      </c>
      <c r="WTK21" s="229">
        <v>0</v>
      </c>
      <c r="WTL21" s="229">
        <v>0</v>
      </c>
      <c r="WTM21" s="229">
        <v>0</v>
      </c>
      <c r="WTN21" s="229">
        <v>0</v>
      </c>
      <c r="WTO21" s="229">
        <v>0</v>
      </c>
      <c r="WTP21" s="229">
        <v>0</v>
      </c>
      <c r="WTQ21" s="229">
        <v>0</v>
      </c>
      <c r="WTR21" s="229">
        <v>0</v>
      </c>
      <c r="WTS21" s="229">
        <v>0</v>
      </c>
      <c r="WTT21" s="229">
        <v>0</v>
      </c>
      <c r="WTU21" s="229">
        <v>0</v>
      </c>
      <c r="WTV21" s="229">
        <v>0</v>
      </c>
      <c r="WTW21" s="229">
        <v>0</v>
      </c>
      <c r="WTX21" s="229">
        <v>0</v>
      </c>
      <c r="WTY21" s="229">
        <v>0</v>
      </c>
      <c r="WTZ21" s="229">
        <v>0</v>
      </c>
      <c r="WUA21" s="229">
        <v>0</v>
      </c>
      <c r="WUB21" s="229">
        <v>0</v>
      </c>
      <c r="WUC21" s="229">
        <v>0</v>
      </c>
      <c r="WUD21" s="229">
        <v>0</v>
      </c>
      <c r="WUE21" s="229">
        <v>0</v>
      </c>
      <c r="WUF21" s="229">
        <v>0</v>
      </c>
      <c r="WUG21" s="229">
        <v>0</v>
      </c>
      <c r="WUH21" s="229">
        <v>0</v>
      </c>
      <c r="WUI21" s="229">
        <v>0</v>
      </c>
      <c r="WUJ21" s="229">
        <v>0</v>
      </c>
      <c r="WUK21" s="229">
        <v>0</v>
      </c>
      <c r="WUL21" s="229">
        <v>0</v>
      </c>
      <c r="WUM21" s="229">
        <v>0</v>
      </c>
      <c r="WUN21" s="229">
        <v>0</v>
      </c>
      <c r="WUO21" s="229">
        <v>0</v>
      </c>
      <c r="WUP21" s="229">
        <v>0</v>
      </c>
      <c r="WUQ21" s="229">
        <v>0</v>
      </c>
      <c r="WUR21" s="229">
        <v>0</v>
      </c>
      <c r="WUS21" s="229">
        <v>0</v>
      </c>
      <c r="WUT21" s="229">
        <v>0</v>
      </c>
      <c r="WUU21" s="229">
        <v>0</v>
      </c>
      <c r="WUV21" s="229">
        <v>0</v>
      </c>
      <c r="WUW21" s="229">
        <v>0</v>
      </c>
      <c r="WUX21" s="229">
        <v>0</v>
      </c>
      <c r="WUY21" s="229">
        <v>0</v>
      </c>
      <c r="WUZ21" s="229">
        <v>0</v>
      </c>
      <c r="WVA21" s="229">
        <v>0</v>
      </c>
      <c r="WVB21" s="229">
        <v>0</v>
      </c>
      <c r="WVC21" s="229">
        <v>0</v>
      </c>
      <c r="WVD21" s="229">
        <v>0</v>
      </c>
      <c r="WVE21" s="229">
        <v>0</v>
      </c>
      <c r="WVF21" s="229">
        <v>0</v>
      </c>
      <c r="WVG21" s="229">
        <v>0</v>
      </c>
      <c r="WVH21" s="229">
        <v>0</v>
      </c>
      <c r="WVI21" s="229">
        <v>0</v>
      </c>
      <c r="WVJ21" s="229">
        <v>0</v>
      </c>
      <c r="WVK21" s="229">
        <v>0</v>
      </c>
      <c r="WVL21" s="229">
        <v>0</v>
      </c>
      <c r="WVM21" s="229">
        <v>0</v>
      </c>
      <c r="WVN21" s="229">
        <v>0</v>
      </c>
      <c r="WVO21" s="229">
        <v>0</v>
      </c>
      <c r="WVP21" s="229">
        <v>0</v>
      </c>
      <c r="WVQ21" s="229">
        <v>0</v>
      </c>
      <c r="WVR21" s="229">
        <v>0</v>
      </c>
      <c r="WVS21" s="229">
        <v>0</v>
      </c>
      <c r="WVT21" s="229">
        <v>0</v>
      </c>
      <c r="WVU21" s="229">
        <v>0</v>
      </c>
      <c r="WVV21" s="229">
        <v>0</v>
      </c>
      <c r="WVW21" s="229">
        <v>0</v>
      </c>
      <c r="WVX21" s="229">
        <v>0</v>
      </c>
      <c r="WVY21" s="229">
        <v>0</v>
      </c>
      <c r="WVZ21" s="229">
        <v>0</v>
      </c>
      <c r="WWA21" s="229">
        <v>0</v>
      </c>
      <c r="WWB21" s="229">
        <v>0</v>
      </c>
      <c r="WWC21" s="229">
        <v>0</v>
      </c>
      <c r="WWD21" s="229">
        <v>0</v>
      </c>
      <c r="WWE21" s="229">
        <v>0</v>
      </c>
      <c r="WWF21" s="229">
        <v>0</v>
      </c>
      <c r="WWG21" s="229">
        <v>0</v>
      </c>
      <c r="WWH21" s="229">
        <v>0</v>
      </c>
      <c r="WWI21" s="229">
        <v>0</v>
      </c>
      <c r="WWJ21" s="229">
        <v>0</v>
      </c>
      <c r="WWK21" s="229">
        <v>0</v>
      </c>
      <c r="WWL21" s="229">
        <v>0</v>
      </c>
      <c r="WWM21" s="229">
        <v>0</v>
      </c>
      <c r="WWN21" s="229">
        <v>0</v>
      </c>
      <c r="WWO21" s="229">
        <v>0</v>
      </c>
      <c r="WWP21" s="229">
        <v>0</v>
      </c>
      <c r="WWQ21" s="229">
        <v>0</v>
      </c>
      <c r="WWR21" s="229">
        <v>0</v>
      </c>
      <c r="WWS21" s="229">
        <v>0</v>
      </c>
      <c r="WWT21" s="229">
        <v>0</v>
      </c>
      <c r="WWU21" s="229">
        <v>0</v>
      </c>
      <c r="WWV21" s="229">
        <v>0</v>
      </c>
      <c r="WWW21" s="229">
        <v>0</v>
      </c>
      <c r="WWX21" s="229">
        <v>0</v>
      </c>
      <c r="WWY21" s="229">
        <v>0</v>
      </c>
      <c r="WWZ21" s="229">
        <v>0</v>
      </c>
      <c r="WXA21" s="229">
        <v>0</v>
      </c>
      <c r="WXB21" s="229">
        <v>0</v>
      </c>
      <c r="WXC21" s="229">
        <v>0</v>
      </c>
      <c r="WXD21" s="229">
        <v>0</v>
      </c>
      <c r="WXE21" s="229">
        <v>0</v>
      </c>
      <c r="WXF21" s="229">
        <v>0</v>
      </c>
      <c r="WXG21" s="229">
        <v>0</v>
      </c>
      <c r="WXH21" s="229">
        <v>0</v>
      </c>
      <c r="WXI21" s="229">
        <v>0</v>
      </c>
      <c r="WXJ21" s="229">
        <v>0</v>
      </c>
      <c r="WXK21" s="229">
        <v>0</v>
      </c>
      <c r="WXL21" s="229">
        <v>0</v>
      </c>
      <c r="WXM21" s="229">
        <v>0</v>
      </c>
      <c r="WXN21" s="229">
        <v>0</v>
      </c>
      <c r="WXO21" s="229">
        <v>0</v>
      </c>
      <c r="WXP21" s="229">
        <v>0</v>
      </c>
      <c r="WXQ21" s="229">
        <v>0</v>
      </c>
      <c r="WXR21" s="229">
        <v>0</v>
      </c>
      <c r="WXS21" s="229">
        <v>0</v>
      </c>
      <c r="WXT21" s="229">
        <v>0</v>
      </c>
      <c r="WXU21" s="229">
        <v>0</v>
      </c>
      <c r="WXV21" s="229">
        <v>0</v>
      </c>
      <c r="WXW21" s="229">
        <v>0</v>
      </c>
      <c r="WXX21" s="229">
        <v>0</v>
      </c>
      <c r="WXY21" s="229">
        <v>0</v>
      </c>
      <c r="WXZ21" s="229">
        <v>0</v>
      </c>
      <c r="WYA21" s="229">
        <v>0</v>
      </c>
      <c r="WYB21" s="229">
        <v>0</v>
      </c>
      <c r="WYC21" s="229">
        <v>0</v>
      </c>
      <c r="WYD21" s="229">
        <v>0</v>
      </c>
      <c r="WYE21" s="229">
        <v>0</v>
      </c>
      <c r="WYF21" s="229">
        <v>0</v>
      </c>
      <c r="WYG21" s="229">
        <v>0</v>
      </c>
      <c r="WYH21" s="229">
        <v>0</v>
      </c>
      <c r="WYI21" s="229">
        <v>0</v>
      </c>
      <c r="WYJ21" s="229">
        <v>0</v>
      </c>
      <c r="WYK21" s="229">
        <v>0</v>
      </c>
      <c r="WYL21" s="229">
        <v>0</v>
      </c>
      <c r="WYM21" s="229">
        <v>0</v>
      </c>
      <c r="WYN21" s="229">
        <v>0</v>
      </c>
      <c r="WYO21" s="229">
        <v>0</v>
      </c>
      <c r="WYP21" s="229">
        <v>0</v>
      </c>
      <c r="WYQ21" s="229">
        <v>0</v>
      </c>
      <c r="WYR21" s="229">
        <v>0</v>
      </c>
      <c r="WYS21" s="229">
        <v>0</v>
      </c>
      <c r="WYT21" s="229">
        <v>0</v>
      </c>
      <c r="WYU21" s="229">
        <v>0</v>
      </c>
      <c r="WYV21" s="229">
        <v>0</v>
      </c>
      <c r="WYW21" s="229">
        <v>0</v>
      </c>
      <c r="WYX21" s="229">
        <v>0</v>
      </c>
      <c r="WYY21" s="229">
        <v>0</v>
      </c>
      <c r="WYZ21" s="229">
        <v>0</v>
      </c>
      <c r="WZA21" s="229">
        <v>0</v>
      </c>
      <c r="WZB21" s="229">
        <v>0</v>
      </c>
      <c r="WZC21" s="229">
        <v>0</v>
      </c>
      <c r="WZD21" s="229">
        <v>0</v>
      </c>
      <c r="WZE21" s="229">
        <v>0</v>
      </c>
      <c r="WZF21" s="229">
        <v>0</v>
      </c>
      <c r="WZG21" s="229">
        <v>0</v>
      </c>
      <c r="WZH21" s="229">
        <v>0</v>
      </c>
      <c r="WZI21" s="229">
        <v>0</v>
      </c>
      <c r="WZJ21" s="229">
        <v>0</v>
      </c>
      <c r="WZK21" s="229">
        <v>0</v>
      </c>
      <c r="WZL21" s="229">
        <v>0</v>
      </c>
      <c r="WZM21" s="229">
        <v>0</v>
      </c>
      <c r="WZN21" s="229">
        <v>0</v>
      </c>
      <c r="WZO21" s="229">
        <v>0</v>
      </c>
      <c r="WZP21" s="229">
        <v>0</v>
      </c>
      <c r="WZQ21" s="229">
        <v>0</v>
      </c>
      <c r="WZR21" s="229">
        <v>0</v>
      </c>
      <c r="WZS21" s="229">
        <v>0</v>
      </c>
      <c r="WZT21" s="229">
        <v>0</v>
      </c>
      <c r="WZU21" s="229">
        <v>0</v>
      </c>
      <c r="WZV21" s="229">
        <v>0</v>
      </c>
      <c r="WZW21" s="229">
        <v>0</v>
      </c>
      <c r="WZX21" s="229">
        <v>0</v>
      </c>
      <c r="WZY21" s="229">
        <v>0</v>
      </c>
      <c r="WZZ21" s="229">
        <v>0</v>
      </c>
      <c r="XAA21" s="229">
        <v>0</v>
      </c>
      <c r="XAB21" s="229">
        <v>0</v>
      </c>
      <c r="XAC21" s="229">
        <v>0</v>
      </c>
      <c r="XAD21" s="229">
        <v>0</v>
      </c>
      <c r="XAE21" s="229">
        <v>0</v>
      </c>
      <c r="XAF21" s="229">
        <v>0</v>
      </c>
      <c r="XAG21" s="229">
        <v>0</v>
      </c>
      <c r="XAH21" s="229">
        <v>0</v>
      </c>
      <c r="XAI21" s="229">
        <v>0</v>
      </c>
      <c r="XAJ21" s="229">
        <v>0</v>
      </c>
      <c r="XAK21" s="229">
        <v>0</v>
      </c>
      <c r="XAL21" s="229">
        <v>0</v>
      </c>
      <c r="XAM21" s="229">
        <v>0</v>
      </c>
      <c r="XAN21" s="229">
        <v>0</v>
      </c>
      <c r="XAO21" s="229">
        <v>0</v>
      </c>
      <c r="XAP21" s="229">
        <v>0</v>
      </c>
      <c r="XAQ21" s="229">
        <v>0</v>
      </c>
      <c r="XAR21" s="229">
        <v>0</v>
      </c>
      <c r="XAS21" s="229">
        <v>0</v>
      </c>
      <c r="XAT21" s="229">
        <v>0</v>
      </c>
      <c r="XAU21" s="229">
        <v>0</v>
      </c>
      <c r="XAV21" s="229">
        <v>0</v>
      </c>
      <c r="XAW21" s="229">
        <v>0</v>
      </c>
      <c r="XAX21" s="229">
        <v>0</v>
      </c>
      <c r="XAY21" s="229">
        <v>0</v>
      </c>
      <c r="XAZ21" s="229">
        <v>0</v>
      </c>
      <c r="XBA21" s="229">
        <v>0</v>
      </c>
      <c r="XBB21" s="229">
        <v>0</v>
      </c>
      <c r="XBC21" s="229">
        <v>0</v>
      </c>
      <c r="XBD21" s="229">
        <v>0</v>
      </c>
      <c r="XBE21" s="229">
        <v>0</v>
      </c>
      <c r="XBF21" s="229">
        <v>0</v>
      </c>
      <c r="XBG21" s="229">
        <v>0</v>
      </c>
      <c r="XBH21" s="229">
        <v>0</v>
      </c>
      <c r="XBI21" s="229">
        <v>0</v>
      </c>
      <c r="XBJ21" s="229">
        <v>0</v>
      </c>
      <c r="XBK21" s="229">
        <v>0</v>
      </c>
      <c r="XBL21" s="229">
        <v>0</v>
      </c>
      <c r="XBM21" s="229">
        <v>0</v>
      </c>
      <c r="XBN21" s="229">
        <v>0</v>
      </c>
      <c r="XBO21" s="229">
        <v>0</v>
      </c>
      <c r="XBP21" s="229">
        <v>0</v>
      </c>
      <c r="XBQ21" s="229">
        <v>0</v>
      </c>
      <c r="XBR21" s="229">
        <v>0</v>
      </c>
      <c r="XBS21" s="229">
        <v>0</v>
      </c>
      <c r="XBT21" s="229">
        <v>0</v>
      </c>
      <c r="XBU21" s="229">
        <v>0</v>
      </c>
      <c r="XBV21" s="229">
        <v>0</v>
      </c>
      <c r="XBW21" s="229">
        <v>0</v>
      </c>
      <c r="XBX21" s="229">
        <v>0</v>
      </c>
      <c r="XBY21" s="229">
        <v>0</v>
      </c>
      <c r="XBZ21" s="229">
        <v>0</v>
      </c>
      <c r="XCA21" s="229">
        <v>0</v>
      </c>
      <c r="XCB21" s="229">
        <v>0</v>
      </c>
      <c r="XCC21" s="229">
        <v>0</v>
      </c>
      <c r="XCD21" s="229">
        <v>0</v>
      </c>
      <c r="XCE21" s="229">
        <v>0</v>
      </c>
      <c r="XCF21" s="229">
        <v>0</v>
      </c>
      <c r="XCG21" s="229">
        <v>0</v>
      </c>
      <c r="XCH21" s="229">
        <v>0</v>
      </c>
      <c r="XCI21" s="229">
        <v>0</v>
      </c>
      <c r="XCJ21" s="229">
        <v>0</v>
      </c>
      <c r="XCK21" s="229">
        <v>0</v>
      </c>
      <c r="XCL21" s="229">
        <v>0</v>
      </c>
      <c r="XCM21" s="229">
        <v>0</v>
      </c>
      <c r="XCN21" s="229">
        <v>0</v>
      </c>
      <c r="XCO21" s="229">
        <v>0</v>
      </c>
      <c r="XCP21" s="229">
        <v>0</v>
      </c>
      <c r="XCQ21" s="229">
        <v>0</v>
      </c>
      <c r="XCR21" s="229">
        <v>0</v>
      </c>
      <c r="XCS21" s="229">
        <v>0</v>
      </c>
      <c r="XCT21" s="229">
        <v>0</v>
      </c>
      <c r="XCU21" s="229">
        <v>0</v>
      </c>
      <c r="XCV21" s="229">
        <v>0</v>
      </c>
      <c r="XCW21" s="229">
        <v>0</v>
      </c>
      <c r="XCX21" s="229">
        <v>0</v>
      </c>
      <c r="XCY21" s="229">
        <v>0</v>
      </c>
      <c r="XCZ21" s="229">
        <v>0</v>
      </c>
      <c r="XDA21" s="229">
        <v>0</v>
      </c>
      <c r="XDB21" s="229">
        <v>0</v>
      </c>
      <c r="XDC21" s="229">
        <v>0</v>
      </c>
      <c r="XDD21" s="229">
        <v>0</v>
      </c>
      <c r="XDE21" s="229">
        <v>0</v>
      </c>
      <c r="XDF21" s="229">
        <v>0</v>
      </c>
      <c r="XDG21" s="229">
        <v>0</v>
      </c>
      <c r="XDH21" s="229">
        <v>0</v>
      </c>
      <c r="XDI21" s="229">
        <v>0</v>
      </c>
      <c r="XDJ21" s="229">
        <v>0</v>
      </c>
      <c r="XDK21" s="229">
        <v>0</v>
      </c>
      <c r="XDL21" s="229">
        <v>0</v>
      </c>
      <c r="XDM21" s="229">
        <v>0</v>
      </c>
      <c r="XDN21" s="229">
        <v>0</v>
      </c>
      <c r="XDO21" s="229">
        <v>0</v>
      </c>
      <c r="XDP21" s="229">
        <v>0</v>
      </c>
      <c r="XDQ21" s="229">
        <v>0</v>
      </c>
      <c r="XDR21" s="229">
        <v>0</v>
      </c>
      <c r="XDS21" s="229">
        <v>0</v>
      </c>
      <c r="XDT21" s="229">
        <v>0</v>
      </c>
      <c r="XDU21" s="229">
        <v>0</v>
      </c>
      <c r="XDV21" s="229">
        <v>0</v>
      </c>
      <c r="XDW21" s="229">
        <v>0</v>
      </c>
      <c r="XDX21" s="229">
        <v>0</v>
      </c>
      <c r="XDY21" s="229">
        <v>0</v>
      </c>
      <c r="XDZ21" s="229">
        <v>0</v>
      </c>
      <c r="XEA21" s="229">
        <v>0</v>
      </c>
      <c r="XEB21" s="229">
        <v>0</v>
      </c>
      <c r="XEC21" s="229">
        <v>0</v>
      </c>
      <c r="XED21" s="229">
        <v>0</v>
      </c>
      <c r="XEE21" s="229">
        <v>0</v>
      </c>
      <c r="XEF21" s="229">
        <v>0</v>
      </c>
      <c r="XEG21" s="229">
        <v>0</v>
      </c>
      <c r="XEH21" s="229">
        <v>0</v>
      </c>
      <c r="XEI21" s="229">
        <v>0</v>
      </c>
      <c r="XEJ21" s="229">
        <v>0</v>
      </c>
      <c r="XEK21" s="229">
        <v>0</v>
      </c>
      <c r="XEL21" s="229">
        <v>0</v>
      </c>
      <c r="XEM21" s="229">
        <v>0</v>
      </c>
      <c r="XEN21" s="229">
        <v>0</v>
      </c>
      <c r="XEO21" s="229">
        <v>0</v>
      </c>
      <c r="XEP21" s="229">
        <v>0</v>
      </c>
      <c r="XEQ21" s="229">
        <v>0</v>
      </c>
      <c r="XER21" s="229">
        <v>0</v>
      </c>
      <c r="XES21" s="229">
        <v>0</v>
      </c>
      <c r="XET21" s="229">
        <v>0</v>
      </c>
      <c r="XEU21" s="229">
        <v>0</v>
      </c>
      <c r="XEV21" s="229">
        <v>0</v>
      </c>
      <c r="XEW21" s="229">
        <v>0</v>
      </c>
      <c r="XEX21" s="229">
        <v>0</v>
      </c>
      <c r="XEY21" s="229">
        <v>0</v>
      </c>
      <c r="XEZ21" s="229">
        <v>0</v>
      </c>
      <c r="XFA21" s="229">
        <v>0</v>
      </c>
      <c r="XFB21" s="229">
        <v>0</v>
      </c>
    </row>
    <row r="22" spans="1:16382" s="251" customFormat="1" outlineLevel="1" x14ac:dyDescent="0.25">
      <c r="A22" s="224" t="s">
        <v>1157</v>
      </c>
      <c r="B22" s="252">
        <v>0</v>
      </c>
      <c r="C22" s="252">
        <v>0</v>
      </c>
      <c r="D22" s="252">
        <v>0</v>
      </c>
      <c r="E22" s="252">
        <v>0</v>
      </c>
      <c r="F22" s="252">
        <v>0</v>
      </c>
      <c r="G22" s="252">
        <v>0</v>
      </c>
      <c r="H22" s="252">
        <v>0</v>
      </c>
      <c r="I22" s="252">
        <v>0</v>
      </c>
      <c r="J22" s="252">
        <v>0</v>
      </c>
      <c r="K22" s="252">
        <v>0</v>
      </c>
      <c r="L22" s="252">
        <v>0</v>
      </c>
      <c r="M22" s="252">
        <v>0</v>
      </c>
      <c r="N22" s="252">
        <v>0</v>
      </c>
      <c r="O22" s="252">
        <v>0</v>
      </c>
      <c r="P22" s="252">
        <v>0</v>
      </c>
      <c r="Q22" s="252">
        <v>0</v>
      </c>
      <c r="R22" s="252">
        <v>0</v>
      </c>
      <c r="S22" s="252">
        <v>0</v>
      </c>
      <c r="T22" s="252">
        <v>0</v>
      </c>
      <c r="U22" s="252">
        <v>0</v>
      </c>
      <c r="V22" s="252">
        <v>0</v>
      </c>
      <c r="W22" s="252">
        <v>0</v>
      </c>
      <c r="X22" s="252">
        <v>0</v>
      </c>
      <c r="Y22" s="252">
        <v>0</v>
      </c>
      <c r="Z22" s="252">
        <v>0</v>
      </c>
      <c r="AA22" s="252">
        <v>0</v>
      </c>
      <c r="AB22" s="252">
        <v>0</v>
      </c>
      <c r="AC22" s="252">
        <v>0</v>
      </c>
      <c r="AD22" s="252">
        <v>0</v>
      </c>
      <c r="AE22" s="252">
        <v>0</v>
      </c>
      <c r="AF22" s="252">
        <v>0</v>
      </c>
      <c r="AG22" s="252">
        <v>0</v>
      </c>
      <c r="AH22" s="252">
        <v>0</v>
      </c>
      <c r="AI22" s="252">
        <v>0</v>
      </c>
      <c r="AJ22" s="252">
        <v>0</v>
      </c>
      <c r="AK22" s="252">
        <v>0</v>
      </c>
      <c r="AL22" s="252">
        <v>0</v>
      </c>
      <c r="AM22" s="252">
        <v>0</v>
      </c>
      <c r="AN22" s="252">
        <v>0</v>
      </c>
      <c r="AO22" s="252">
        <v>0</v>
      </c>
      <c r="AP22" s="252">
        <v>0</v>
      </c>
      <c r="AQ22" s="252">
        <v>0</v>
      </c>
      <c r="AR22" s="252">
        <v>0</v>
      </c>
      <c r="AS22" s="252">
        <v>0</v>
      </c>
      <c r="AT22" s="252">
        <v>0</v>
      </c>
      <c r="AU22" s="252">
        <v>0</v>
      </c>
      <c r="AV22" s="252">
        <v>0</v>
      </c>
      <c r="AW22" s="252">
        <v>0</v>
      </c>
      <c r="AX22" s="252">
        <v>0</v>
      </c>
      <c r="AY22" s="252">
        <v>0</v>
      </c>
      <c r="AZ22" s="252">
        <v>0</v>
      </c>
      <c r="BA22" s="252">
        <v>0</v>
      </c>
      <c r="BB22" s="252">
        <v>0</v>
      </c>
      <c r="BC22" s="252">
        <v>0</v>
      </c>
      <c r="BD22" s="252">
        <v>0</v>
      </c>
      <c r="BE22" s="252">
        <v>0</v>
      </c>
      <c r="BF22" s="252">
        <v>0</v>
      </c>
      <c r="BG22" s="252">
        <v>0</v>
      </c>
      <c r="BH22" s="252">
        <v>0</v>
      </c>
      <c r="BI22" s="252">
        <v>0</v>
      </c>
      <c r="BJ22" s="252">
        <v>0</v>
      </c>
      <c r="BK22" s="252">
        <v>0</v>
      </c>
      <c r="BL22" s="252">
        <v>0</v>
      </c>
      <c r="BM22" s="252">
        <v>0</v>
      </c>
      <c r="BN22" s="252">
        <v>0</v>
      </c>
      <c r="BO22" s="252">
        <v>0</v>
      </c>
      <c r="BP22" s="252">
        <v>0</v>
      </c>
      <c r="BQ22" s="252">
        <v>0</v>
      </c>
      <c r="BR22" s="252">
        <v>0</v>
      </c>
      <c r="BS22" s="252">
        <v>0</v>
      </c>
      <c r="BT22" s="252">
        <v>0</v>
      </c>
      <c r="BU22" s="252">
        <v>0</v>
      </c>
      <c r="BV22" s="252">
        <v>0</v>
      </c>
      <c r="BW22" s="252">
        <v>0</v>
      </c>
      <c r="BX22" s="252">
        <v>0</v>
      </c>
      <c r="BY22" s="252">
        <v>0</v>
      </c>
      <c r="BZ22" s="252">
        <v>0</v>
      </c>
      <c r="CA22" s="252">
        <v>0</v>
      </c>
      <c r="CB22" s="252">
        <v>0</v>
      </c>
      <c r="CC22" s="252">
        <v>0</v>
      </c>
      <c r="CD22" s="252">
        <v>0</v>
      </c>
      <c r="CE22" s="252">
        <v>0</v>
      </c>
      <c r="CF22" s="252">
        <v>0</v>
      </c>
      <c r="CG22" s="252">
        <v>0</v>
      </c>
      <c r="CH22" s="252">
        <v>0</v>
      </c>
      <c r="CI22" s="252">
        <v>0</v>
      </c>
      <c r="CJ22" s="252">
        <v>0</v>
      </c>
      <c r="CK22" s="252">
        <v>0</v>
      </c>
      <c r="CL22" s="252">
        <v>0</v>
      </c>
      <c r="CM22" s="252">
        <v>0</v>
      </c>
      <c r="CN22" s="252">
        <v>0</v>
      </c>
      <c r="CO22" s="252">
        <v>0</v>
      </c>
      <c r="CP22" s="252">
        <v>0</v>
      </c>
      <c r="CQ22" s="252">
        <v>0</v>
      </c>
      <c r="CR22" s="252">
        <v>0</v>
      </c>
      <c r="CS22" s="252">
        <v>0</v>
      </c>
      <c r="CT22" s="252">
        <v>0</v>
      </c>
      <c r="CU22" s="252">
        <v>0</v>
      </c>
      <c r="CV22" s="252">
        <v>0</v>
      </c>
      <c r="CW22" s="252">
        <v>0</v>
      </c>
      <c r="CX22" s="252">
        <v>0</v>
      </c>
      <c r="CY22" s="252">
        <v>0</v>
      </c>
      <c r="CZ22" s="252">
        <v>0</v>
      </c>
      <c r="DA22" s="252">
        <v>0</v>
      </c>
      <c r="DB22" s="252">
        <v>0</v>
      </c>
      <c r="DC22" s="252">
        <v>0</v>
      </c>
      <c r="DD22" s="252">
        <v>0</v>
      </c>
      <c r="DE22" s="252">
        <v>0</v>
      </c>
      <c r="DF22" s="252">
        <v>0</v>
      </c>
      <c r="DG22" s="252">
        <v>0</v>
      </c>
      <c r="DH22" s="252">
        <v>0</v>
      </c>
      <c r="DI22" s="252">
        <v>0</v>
      </c>
      <c r="DJ22" s="252">
        <v>0</v>
      </c>
      <c r="DK22" s="252">
        <v>0</v>
      </c>
      <c r="DL22" s="252">
        <v>0</v>
      </c>
      <c r="DM22" s="252">
        <v>0</v>
      </c>
      <c r="DN22" s="252">
        <v>0</v>
      </c>
      <c r="DO22" s="252">
        <v>0</v>
      </c>
      <c r="DP22" s="252">
        <v>0</v>
      </c>
      <c r="DQ22" s="252">
        <v>0</v>
      </c>
      <c r="DR22" s="252">
        <v>0</v>
      </c>
      <c r="DS22" s="252">
        <v>0</v>
      </c>
      <c r="DT22" s="252">
        <v>0</v>
      </c>
      <c r="DU22" s="252">
        <v>0</v>
      </c>
      <c r="DV22" s="252">
        <v>0</v>
      </c>
      <c r="DW22" s="252">
        <v>0</v>
      </c>
      <c r="DX22" s="252">
        <v>0</v>
      </c>
      <c r="DY22" s="252">
        <v>0</v>
      </c>
      <c r="DZ22" s="252">
        <v>0</v>
      </c>
      <c r="EA22" s="252">
        <v>0</v>
      </c>
      <c r="EB22" s="252">
        <v>0</v>
      </c>
      <c r="EC22" s="252">
        <v>0</v>
      </c>
      <c r="ED22" s="252">
        <v>0</v>
      </c>
      <c r="EE22" s="252">
        <v>0</v>
      </c>
      <c r="EF22" s="252">
        <v>0</v>
      </c>
      <c r="EG22" s="252">
        <v>0</v>
      </c>
      <c r="EH22" s="252">
        <v>0</v>
      </c>
      <c r="EI22" s="252">
        <v>0</v>
      </c>
      <c r="EJ22" s="252">
        <v>0</v>
      </c>
      <c r="EK22" s="252">
        <v>0</v>
      </c>
      <c r="EL22" s="252">
        <v>0</v>
      </c>
      <c r="EM22" s="252">
        <v>0</v>
      </c>
      <c r="EN22" s="252">
        <v>0</v>
      </c>
      <c r="EO22" s="252">
        <v>0</v>
      </c>
      <c r="EP22" s="252">
        <v>0</v>
      </c>
      <c r="EQ22" s="252">
        <v>0</v>
      </c>
      <c r="ER22" s="252">
        <v>0</v>
      </c>
      <c r="ES22" s="252">
        <v>0</v>
      </c>
      <c r="ET22" s="252">
        <v>0</v>
      </c>
      <c r="EU22" s="252">
        <v>0</v>
      </c>
      <c r="EV22" s="252">
        <v>0</v>
      </c>
      <c r="EW22" s="252">
        <v>0</v>
      </c>
      <c r="EX22" s="252">
        <v>0</v>
      </c>
      <c r="EY22" s="252">
        <v>0</v>
      </c>
      <c r="EZ22" s="252">
        <v>0</v>
      </c>
      <c r="FA22" s="252">
        <v>0</v>
      </c>
      <c r="FB22" s="252">
        <v>0</v>
      </c>
      <c r="FC22" s="252">
        <v>0</v>
      </c>
      <c r="FD22" s="252">
        <v>0</v>
      </c>
      <c r="FE22" s="252">
        <v>0</v>
      </c>
      <c r="FF22" s="252">
        <v>0</v>
      </c>
      <c r="FG22" s="252">
        <v>0</v>
      </c>
      <c r="FH22" s="252">
        <v>0</v>
      </c>
      <c r="FI22" s="252">
        <v>0</v>
      </c>
      <c r="FJ22" s="252">
        <v>0</v>
      </c>
      <c r="FK22" s="252">
        <v>0</v>
      </c>
      <c r="FL22" s="252">
        <v>0</v>
      </c>
      <c r="FM22" s="252">
        <v>0</v>
      </c>
      <c r="FN22" s="252">
        <v>0</v>
      </c>
      <c r="FO22" s="252">
        <v>0</v>
      </c>
      <c r="FP22" s="252">
        <v>0</v>
      </c>
      <c r="FQ22" s="252">
        <v>0</v>
      </c>
      <c r="FR22" s="252">
        <v>0</v>
      </c>
      <c r="FS22" s="252">
        <v>0</v>
      </c>
      <c r="FT22" s="252">
        <v>0</v>
      </c>
      <c r="FU22" s="252">
        <v>0</v>
      </c>
      <c r="FV22" s="252">
        <v>0</v>
      </c>
      <c r="FW22" s="252">
        <v>0</v>
      </c>
      <c r="FX22" s="252">
        <v>0</v>
      </c>
      <c r="FY22" s="252">
        <v>0</v>
      </c>
      <c r="FZ22" s="252">
        <v>0</v>
      </c>
      <c r="GA22" s="252">
        <v>0</v>
      </c>
      <c r="GB22" s="252">
        <v>0</v>
      </c>
      <c r="GC22" s="252">
        <v>0</v>
      </c>
      <c r="GD22" s="252">
        <v>0</v>
      </c>
      <c r="GE22" s="252">
        <v>0</v>
      </c>
      <c r="GF22" s="252">
        <v>0</v>
      </c>
      <c r="GG22" s="252">
        <v>0</v>
      </c>
      <c r="GH22" s="252">
        <v>0</v>
      </c>
      <c r="GI22" s="252">
        <v>0</v>
      </c>
      <c r="GJ22" s="252">
        <v>0</v>
      </c>
      <c r="GK22" s="252">
        <v>0</v>
      </c>
      <c r="GL22" s="252">
        <v>0</v>
      </c>
      <c r="GM22" s="252">
        <v>0</v>
      </c>
      <c r="GN22" s="252">
        <v>0</v>
      </c>
      <c r="GO22" s="252">
        <v>0</v>
      </c>
      <c r="GP22" s="252">
        <v>0</v>
      </c>
      <c r="GQ22" s="252">
        <v>0</v>
      </c>
      <c r="GR22" s="252">
        <v>0</v>
      </c>
      <c r="GS22" s="252">
        <v>0</v>
      </c>
      <c r="GT22" s="252">
        <v>0</v>
      </c>
      <c r="GU22" s="252">
        <v>0</v>
      </c>
      <c r="GV22" s="252">
        <v>0</v>
      </c>
      <c r="GW22" s="252">
        <v>0</v>
      </c>
      <c r="GX22" s="252">
        <v>0</v>
      </c>
      <c r="GY22" s="252">
        <v>0</v>
      </c>
      <c r="GZ22" s="252">
        <v>0</v>
      </c>
      <c r="HA22" s="252">
        <v>0</v>
      </c>
      <c r="HB22" s="252">
        <v>0</v>
      </c>
      <c r="HC22" s="252">
        <v>0</v>
      </c>
      <c r="HD22" s="252">
        <v>0</v>
      </c>
      <c r="HE22" s="252">
        <v>0</v>
      </c>
      <c r="HF22" s="252">
        <v>0</v>
      </c>
      <c r="HG22" s="252">
        <v>0</v>
      </c>
      <c r="HH22" s="252">
        <v>0</v>
      </c>
      <c r="HI22" s="252">
        <v>0</v>
      </c>
      <c r="HJ22" s="252">
        <v>0</v>
      </c>
      <c r="HK22" s="252">
        <v>0</v>
      </c>
      <c r="HL22" s="252">
        <v>0</v>
      </c>
      <c r="HM22" s="252">
        <v>0</v>
      </c>
      <c r="HN22" s="252">
        <v>0</v>
      </c>
      <c r="HO22" s="252">
        <v>0</v>
      </c>
      <c r="HP22" s="252">
        <v>0</v>
      </c>
      <c r="HQ22" s="252">
        <v>0</v>
      </c>
      <c r="HR22" s="252">
        <v>0</v>
      </c>
      <c r="HS22" s="252">
        <v>0</v>
      </c>
      <c r="HT22" s="252">
        <v>0</v>
      </c>
      <c r="HU22" s="252">
        <v>0</v>
      </c>
      <c r="HV22" s="252">
        <v>0</v>
      </c>
      <c r="HW22" s="252">
        <v>0</v>
      </c>
      <c r="HX22" s="252">
        <v>0</v>
      </c>
      <c r="HY22" s="252">
        <v>0</v>
      </c>
      <c r="HZ22" s="252">
        <v>0</v>
      </c>
      <c r="IA22" s="252">
        <v>0</v>
      </c>
      <c r="IB22" s="252">
        <v>0</v>
      </c>
      <c r="IC22" s="252">
        <v>0</v>
      </c>
      <c r="ID22" s="252">
        <v>0</v>
      </c>
      <c r="IE22" s="252">
        <v>0</v>
      </c>
      <c r="IF22" s="252">
        <v>0</v>
      </c>
      <c r="IG22" s="252">
        <v>0</v>
      </c>
      <c r="IH22" s="252">
        <v>0</v>
      </c>
      <c r="II22" s="252">
        <v>0</v>
      </c>
      <c r="IJ22" s="252">
        <v>0</v>
      </c>
      <c r="IK22" s="252">
        <v>0</v>
      </c>
      <c r="IL22" s="252">
        <v>0</v>
      </c>
      <c r="IM22" s="252">
        <v>0</v>
      </c>
      <c r="IN22" s="252">
        <v>0</v>
      </c>
      <c r="IO22" s="252">
        <v>0</v>
      </c>
      <c r="IP22" s="252">
        <v>0</v>
      </c>
      <c r="IQ22" s="252">
        <v>0</v>
      </c>
      <c r="IR22" s="252">
        <v>0</v>
      </c>
      <c r="IS22" s="252">
        <v>0</v>
      </c>
      <c r="IT22" s="252">
        <v>0</v>
      </c>
      <c r="IU22" s="252">
        <v>0</v>
      </c>
      <c r="IV22" s="252">
        <v>0</v>
      </c>
      <c r="IW22" s="252">
        <v>0</v>
      </c>
      <c r="IX22" s="252">
        <v>0</v>
      </c>
      <c r="IY22" s="252">
        <v>0</v>
      </c>
      <c r="IZ22" s="252">
        <v>0</v>
      </c>
      <c r="JA22" s="252">
        <v>0</v>
      </c>
      <c r="JB22" s="252">
        <v>0</v>
      </c>
      <c r="JC22" s="252">
        <v>0</v>
      </c>
      <c r="JD22" s="252">
        <v>0</v>
      </c>
      <c r="JE22" s="252">
        <v>0</v>
      </c>
      <c r="JF22" s="252">
        <v>0</v>
      </c>
      <c r="JG22" s="252">
        <v>0</v>
      </c>
      <c r="JH22" s="252">
        <v>0</v>
      </c>
      <c r="JI22" s="252">
        <v>0</v>
      </c>
      <c r="JJ22" s="252">
        <v>0</v>
      </c>
      <c r="JK22" s="252">
        <v>0</v>
      </c>
      <c r="JL22" s="252">
        <v>0</v>
      </c>
      <c r="JM22" s="252">
        <v>0</v>
      </c>
      <c r="JN22" s="252">
        <v>0</v>
      </c>
      <c r="JO22" s="252">
        <v>0</v>
      </c>
      <c r="JP22" s="252">
        <v>0</v>
      </c>
      <c r="JQ22" s="252">
        <v>0</v>
      </c>
      <c r="JR22" s="252">
        <v>0</v>
      </c>
      <c r="JS22" s="252">
        <v>0</v>
      </c>
      <c r="JT22" s="252">
        <v>0</v>
      </c>
      <c r="JU22" s="252">
        <v>0</v>
      </c>
      <c r="JV22" s="252">
        <v>0</v>
      </c>
      <c r="JW22" s="252">
        <v>0</v>
      </c>
      <c r="JX22" s="252">
        <v>0</v>
      </c>
      <c r="JY22" s="252">
        <v>0</v>
      </c>
      <c r="JZ22" s="252">
        <v>0</v>
      </c>
      <c r="KA22" s="252">
        <v>0</v>
      </c>
      <c r="KB22" s="252">
        <v>0</v>
      </c>
      <c r="KC22" s="252">
        <v>0</v>
      </c>
      <c r="KD22" s="252">
        <v>0</v>
      </c>
      <c r="KE22" s="252">
        <v>0</v>
      </c>
      <c r="KF22" s="252">
        <v>0</v>
      </c>
      <c r="KG22" s="252">
        <v>0</v>
      </c>
      <c r="KH22" s="252">
        <v>0</v>
      </c>
      <c r="KI22" s="252">
        <v>0</v>
      </c>
      <c r="KJ22" s="252">
        <v>0</v>
      </c>
      <c r="KK22" s="252">
        <v>0</v>
      </c>
      <c r="KL22" s="252">
        <v>0</v>
      </c>
      <c r="KM22" s="252">
        <v>0</v>
      </c>
      <c r="KN22" s="252">
        <v>0</v>
      </c>
      <c r="KO22" s="252">
        <v>0</v>
      </c>
      <c r="KP22" s="252">
        <v>0</v>
      </c>
      <c r="KQ22" s="252">
        <v>0</v>
      </c>
      <c r="KR22" s="252">
        <v>0</v>
      </c>
      <c r="KS22" s="252">
        <v>0</v>
      </c>
      <c r="KT22" s="252">
        <v>0</v>
      </c>
      <c r="KU22" s="252">
        <v>0</v>
      </c>
      <c r="KV22" s="252">
        <v>0</v>
      </c>
      <c r="KW22" s="252">
        <v>0</v>
      </c>
      <c r="KX22" s="252">
        <v>0</v>
      </c>
      <c r="KY22" s="252">
        <v>0</v>
      </c>
      <c r="KZ22" s="252">
        <v>0</v>
      </c>
      <c r="LA22" s="252">
        <v>0</v>
      </c>
      <c r="LB22" s="252">
        <v>0</v>
      </c>
      <c r="LC22" s="252">
        <v>0</v>
      </c>
      <c r="LD22" s="252">
        <v>0</v>
      </c>
      <c r="LE22" s="252">
        <v>0</v>
      </c>
      <c r="LF22" s="252">
        <v>0</v>
      </c>
      <c r="LG22" s="252">
        <v>0</v>
      </c>
      <c r="LH22" s="252">
        <v>0</v>
      </c>
      <c r="LI22" s="252">
        <v>0</v>
      </c>
      <c r="LJ22" s="252">
        <v>0</v>
      </c>
      <c r="LK22" s="252">
        <v>0</v>
      </c>
      <c r="LL22" s="252">
        <v>0</v>
      </c>
      <c r="LM22" s="252">
        <v>0</v>
      </c>
      <c r="LN22" s="252">
        <v>0</v>
      </c>
      <c r="LO22" s="252">
        <v>0</v>
      </c>
      <c r="LP22" s="252">
        <v>0</v>
      </c>
      <c r="LQ22" s="252">
        <v>0</v>
      </c>
      <c r="LR22" s="252">
        <v>0</v>
      </c>
      <c r="LS22" s="252">
        <v>0</v>
      </c>
      <c r="LT22" s="252">
        <v>0</v>
      </c>
      <c r="LU22" s="252">
        <v>0</v>
      </c>
      <c r="LV22" s="252">
        <v>0</v>
      </c>
      <c r="LW22" s="252">
        <v>0</v>
      </c>
      <c r="LX22" s="252">
        <v>0</v>
      </c>
      <c r="LY22" s="252">
        <v>0</v>
      </c>
      <c r="LZ22" s="252">
        <v>0</v>
      </c>
      <c r="MA22" s="252">
        <v>0</v>
      </c>
      <c r="MB22" s="252">
        <v>0</v>
      </c>
      <c r="MC22" s="252">
        <v>0</v>
      </c>
      <c r="MD22" s="252">
        <v>0</v>
      </c>
      <c r="ME22" s="252">
        <v>0</v>
      </c>
      <c r="MF22" s="252">
        <v>0</v>
      </c>
      <c r="MG22" s="252">
        <v>0</v>
      </c>
      <c r="MH22" s="252">
        <v>0</v>
      </c>
      <c r="MI22" s="252">
        <v>0</v>
      </c>
      <c r="MJ22" s="252">
        <v>0</v>
      </c>
      <c r="MK22" s="252">
        <v>0</v>
      </c>
      <c r="ML22" s="252">
        <v>0</v>
      </c>
      <c r="MM22" s="252">
        <v>0</v>
      </c>
      <c r="MN22" s="252">
        <v>0</v>
      </c>
      <c r="MO22" s="252">
        <v>0</v>
      </c>
      <c r="MP22" s="252">
        <v>0</v>
      </c>
      <c r="MQ22" s="252">
        <v>0</v>
      </c>
      <c r="MR22" s="252">
        <v>0</v>
      </c>
      <c r="MS22" s="252">
        <v>0</v>
      </c>
      <c r="MT22" s="252">
        <v>0</v>
      </c>
      <c r="MU22" s="252">
        <v>0</v>
      </c>
      <c r="MV22" s="252">
        <v>0</v>
      </c>
      <c r="MW22" s="252">
        <v>0</v>
      </c>
      <c r="MX22" s="252">
        <v>0</v>
      </c>
      <c r="MY22" s="252">
        <v>0</v>
      </c>
      <c r="MZ22" s="252">
        <v>0</v>
      </c>
      <c r="NA22" s="252">
        <v>0</v>
      </c>
      <c r="NB22" s="252">
        <v>0</v>
      </c>
      <c r="NC22" s="252">
        <v>0</v>
      </c>
      <c r="ND22" s="252">
        <v>0</v>
      </c>
      <c r="NE22" s="252">
        <v>0</v>
      </c>
      <c r="NF22" s="252">
        <v>0</v>
      </c>
      <c r="NG22" s="252">
        <v>0</v>
      </c>
      <c r="NH22" s="252">
        <v>0</v>
      </c>
      <c r="NI22" s="252">
        <v>0</v>
      </c>
      <c r="NJ22" s="252">
        <v>0</v>
      </c>
      <c r="NK22" s="252">
        <v>0</v>
      </c>
      <c r="NL22" s="252">
        <v>0</v>
      </c>
      <c r="NM22" s="252">
        <v>0</v>
      </c>
      <c r="NN22" s="252">
        <v>0</v>
      </c>
      <c r="NO22" s="252">
        <v>0</v>
      </c>
      <c r="NP22" s="252">
        <v>0</v>
      </c>
      <c r="NQ22" s="252">
        <v>0</v>
      </c>
      <c r="NR22" s="252">
        <v>0</v>
      </c>
      <c r="NS22" s="252">
        <v>0</v>
      </c>
      <c r="NT22" s="252">
        <v>0</v>
      </c>
      <c r="NU22" s="252">
        <v>0</v>
      </c>
      <c r="NV22" s="252">
        <v>0</v>
      </c>
      <c r="NW22" s="252">
        <v>0</v>
      </c>
      <c r="NX22" s="252">
        <v>0</v>
      </c>
      <c r="NY22" s="252">
        <v>0</v>
      </c>
      <c r="NZ22" s="252">
        <v>0</v>
      </c>
      <c r="OA22" s="252">
        <v>0</v>
      </c>
      <c r="OB22" s="252">
        <v>0</v>
      </c>
      <c r="OC22" s="252">
        <v>0</v>
      </c>
      <c r="OD22" s="252">
        <v>0</v>
      </c>
      <c r="OE22" s="252">
        <v>0</v>
      </c>
      <c r="OF22" s="252">
        <v>0</v>
      </c>
      <c r="OG22" s="252">
        <v>0</v>
      </c>
      <c r="OH22" s="252">
        <v>0</v>
      </c>
      <c r="OI22" s="252">
        <v>0</v>
      </c>
      <c r="OJ22" s="252">
        <v>0</v>
      </c>
      <c r="OK22" s="252">
        <v>0</v>
      </c>
      <c r="OL22" s="252">
        <v>0</v>
      </c>
      <c r="OM22" s="252">
        <v>0</v>
      </c>
      <c r="ON22" s="252">
        <v>0</v>
      </c>
      <c r="OO22" s="252">
        <v>0</v>
      </c>
      <c r="OP22" s="252">
        <v>0</v>
      </c>
      <c r="OQ22" s="252">
        <v>0</v>
      </c>
      <c r="OR22" s="252">
        <v>0</v>
      </c>
      <c r="OS22" s="252">
        <v>0</v>
      </c>
      <c r="OT22" s="252">
        <v>0</v>
      </c>
      <c r="OU22" s="252">
        <v>0</v>
      </c>
      <c r="OV22" s="252">
        <v>0</v>
      </c>
      <c r="OW22" s="252">
        <v>0</v>
      </c>
      <c r="OX22" s="252">
        <v>0</v>
      </c>
      <c r="OY22" s="252">
        <v>0</v>
      </c>
      <c r="OZ22" s="252">
        <v>0</v>
      </c>
      <c r="PA22" s="252">
        <v>0</v>
      </c>
      <c r="PB22" s="252">
        <v>0</v>
      </c>
      <c r="PC22" s="252">
        <v>0</v>
      </c>
      <c r="PD22" s="252">
        <v>0</v>
      </c>
      <c r="PE22" s="252">
        <v>0</v>
      </c>
      <c r="PF22" s="252">
        <v>0</v>
      </c>
      <c r="PG22" s="252">
        <v>0</v>
      </c>
      <c r="PH22" s="252">
        <v>0</v>
      </c>
      <c r="PI22" s="252">
        <v>0</v>
      </c>
      <c r="PJ22" s="252">
        <v>0</v>
      </c>
      <c r="PK22" s="252">
        <v>0</v>
      </c>
      <c r="PL22" s="252">
        <v>0</v>
      </c>
      <c r="PM22" s="252">
        <v>0</v>
      </c>
      <c r="PN22" s="252">
        <v>0</v>
      </c>
      <c r="PO22" s="252">
        <v>0</v>
      </c>
      <c r="PP22" s="252">
        <v>0</v>
      </c>
      <c r="PQ22" s="252">
        <v>0</v>
      </c>
      <c r="PR22" s="252">
        <v>0</v>
      </c>
      <c r="PS22" s="252">
        <v>0</v>
      </c>
      <c r="PT22" s="252">
        <v>0</v>
      </c>
      <c r="PU22" s="252">
        <v>0</v>
      </c>
      <c r="PV22" s="252">
        <v>0</v>
      </c>
      <c r="PW22" s="252">
        <v>0</v>
      </c>
      <c r="PX22" s="252">
        <v>0</v>
      </c>
      <c r="PY22" s="252">
        <v>0</v>
      </c>
      <c r="PZ22" s="252">
        <v>0</v>
      </c>
      <c r="QA22" s="252">
        <v>0</v>
      </c>
      <c r="QB22" s="252">
        <v>0</v>
      </c>
      <c r="QC22" s="252">
        <v>0</v>
      </c>
      <c r="QD22" s="252">
        <v>0</v>
      </c>
      <c r="QE22" s="252">
        <v>0</v>
      </c>
      <c r="QF22" s="252">
        <v>0</v>
      </c>
      <c r="QG22" s="252">
        <v>0</v>
      </c>
      <c r="QH22" s="252">
        <v>0</v>
      </c>
      <c r="QI22" s="252">
        <v>0</v>
      </c>
      <c r="QJ22" s="252">
        <v>0</v>
      </c>
      <c r="QK22" s="252">
        <v>0</v>
      </c>
      <c r="QL22" s="252">
        <v>0</v>
      </c>
      <c r="QM22" s="252">
        <v>0</v>
      </c>
      <c r="QN22" s="252">
        <v>0</v>
      </c>
      <c r="QO22" s="252">
        <v>0</v>
      </c>
      <c r="QP22" s="252">
        <v>0</v>
      </c>
      <c r="QQ22" s="252">
        <v>0</v>
      </c>
      <c r="QR22" s="252">
        <v>0</v>
      </c>
      <c r="QS22" s="252">
        <v>0</v>
      </c>
      <c r="QT22" s="252">
        <v>0</v>
      </c>
      <c r="QU22" s="252">
        <v>0</v>
      </c>
      <c r="QV22" s="252">
        <v>0</v>
      </c>
      <c r="QW22" s="252">
        <v>0</v>
      </c>
      <c r="QX22" s="252">
        <v>0</v>
      </c>
      <c r="QY22" s="252">
        <v>0</v>
      </c>
      <c r="QZ22" s="252">
        <v>0</v>
      </c>
      <c r="RA22" s="252">
        <v>0</v>
      </c>
      <c r="RB22" s="252">
        <v>0</v>
      </c>
      <c r="RC22" s="252">
        <v>0</v>
      </c>
      <c r="RD22" s="252">
        <v>0</v>
      </c>
      <c r="RE22" s="252">
        <v>0</v>
      </c>
      <c r="RF22" s="252">
        <v>0</v>
      </c>
      <c r="RG22" s="252">
        <v>0</v>
      </c>
      <c r="RH22" s="252">
        <v>0</v>
      </c>
      <c r="RI22" s="252">
        <v>0</v>
      </c>
      <c r="RJ22" s="252">
        <v>0</v>
      </c>
      <c r="RK22" s="252">
        <v>0</v>
      </c>
      <c r="RL22" s="252">
        <v>0</v>
      </c>
      <c r="RM22" s="252">
        <v>0</v>
      </c>
      <c r="RN22" s="252">
        <v>0</v>
      </c>
      <c r="RO22" s="252">
        <v>0</v>
      </c>
      <c r="RP22" s="252">
        <v>0</v>
      </c>
      <c r="RQ22" s="252">
        <v>0</v>
      </c>
      <c r="RR22" s="252">
        <v>0</v>
      </c>
      <c r="RS22" s="252">
        <v>0</v>
      </c>
      <c r="RT22" s="252">
        <v>0</v>
      </c>
      <c r="RU22" s="252">
        <v>0</v>
      </c>
      <c r="RV22" s="252">
        <v>0</v>
      </c>
      <c r="RW22" s="252">
        <v>0</v>
      </c>
      <c r="RX22" s="252">
        <v>0</v>
      </c>
      <c r="RY22" s="252">
        <v>0</v>
      </c>
      <c r="RZ22" s="252">
        <v>0</v>
      </c>
      <c r="SA22" s="252">
        <v>0</v>
      </c>
      <c r="SB22" s="252">
        <v>0</v>
      </c>
      <c r="SC22" s="252">
        <v>0</v>
      </c>
      <c r="SD22" s="252">
        <v>0</v>
      </c>
      <c r="SE22" s="252">
        <v>0</v>
      </c>
      <c r="SF22" s="252">
        <v>0</v>
      </c>
      <c r="SG22" s="252">
        <v>0</v>
      </c>
      <c r="SH22" s="252">
        <v>0</v>
      </c>
      <c r="SI22" s="252">
        <v>0</v>
      </c>
      <c r="SJ22" s="252">
        <v>0</v>
      </c>
      <c r="SK22" s="252">
        <v>0</v>
      </c>
      <c r="SL22" s="252">
        <v>0</v>
      </c>
      <c r="SM22" s="252">
        <v>0</v>
      </c>
      <c r="SN22" s="252">
        <v>0</v>
      </c>
      <c r="SO22" s="252">
        <v>0</v>
      </c>
      <c r="SP22" s="252">
        <v>0</v>
      </c>
      <c r="SQ22" s="252">
        <v>0</v>
      </c>
      <c r="SR22" s="252">
        <v>0</v>
      </c>
      <c r="SS22" s="252">
        <v>0</v>
      </c>
      <c r="ST22" s="252">
        <v>0</v>
      </c>
      <c r="SU22" s="252">
        <v>0</v>
      </c>
      <c r="SV22" s="252">
        <v>0</v>
      </c>
      <c r="SW22" s="252">
        <v>0</v>
      </c>
      <c r="SX22" s="252">
        <v>0</v>
      </c>
      <c r="SY22" s="252">
        <v>0</v>
      </c>
      <c r="SZ22" s="252">
        <v>0</v>
      </c>
      <c r="TA22" s="252">
        <v>0</v>
      </c>
      <c r="TB22" s="252">
        <v>0</v>
      </c>
      <c r="TC22" s="252">
        <v>0</v>
      </c>
      <c r="TD22" s="252">
        <v>0</v>
      </c>
      <c r="TE22" s="252">
        <v>0</v>
      </c>
      <c r="TF22" s="252">
        <v>0</v>
      </c>
      <c r="TG22" s="252">
        <v>0</v>
      </c>
      <c r="TH22" s="252">
        <v>0</v>
      </c>
      <c r="TI22" s="252">
        <v>0</v>
      </c>
      <c r="TJ22" s="252">
        <v>0</v>
      </c>
      <c r="TK22" s="252">
        <v>0</v>
      </c>
      <c r="TL22" s="252">
        <v>0</v>
      </c>
      <c r="TM22" s="252">
        <v>0</v>
      </c>
      <c r="TN22" s="252">
        <v>0</v>
      </c>
      <c r="TO22" s="252">
        <v>0</v>
      </c>
      <c r="TP22" s="252">
        <v>0</v>
      </c>
      <c r="TQ22" s="252">
        <v>0</v>
      </c>
      <c r="TR22" s="252">
        <v>0</v>
      </c>
      <c r="TS22" s="252">
        <v>0</v>
      </c>
      <c r="TT22" s="252">
        <v>0</v>
      </c>
      <c r="TU22" s="252">
        <v>0</v>
      </c>
      <c r="TV22" s="252">
        <v>0</v>
      </c>
      <c r="TW22" s="252">
        <v>0</v>
      </c>
      <c r="TX22" s="252">
        <v>0</v>
      </c>
      <c r="TY22" s="252">
        <v>0</v>
      </c>
      <c r="TZ22" s="252">
        <v>0</v>
      </c>
      <c r="UA22" s="252">
        <v>0</v>
      </c>
      <c r="UB22" s="252">
        <v>0</v>
      </c>
      <c r="UC22" s="252">
        <v>0</v>
      </c>
      <c r="UD22" s="252">
        <v>0</v>
      </c>
      <c r="UE22" s="252">
        <v>0</v>
      </c>
      <c r="UF22" s="252">
        <v>0</v>
      </c>
      <c r="UG22" s="252">
        <v>0</v>
      </c>
      <c r="UH22" s="252">
        <v>0</v>
      </c>
      <c r="UI22" s="252">
        <v>0</v>
      </c>
      <c r="UJ22" s="252">
        <v>0</v>
      </c>
      <c r="UK22" s="252">
        <v>0</v>
      </c>
      <c r="UL22" s="252">
        <v>0</v>
      </c>
      <c r="UM22" s="252">
        <v>0</v>
      </c>
      <c r="UN22" s="252">
        <v>0</v>
      </c>
      <c r="UO22" s="252">
        <v>0</v>
      </c>
      <c r="UP22" s="252">
        <v>0</v>
      </c>
      <c r="UQ22" s="252">
        <v>0</v>
      </c>
      <c r="UR22" s="252">
        <v>0</v>
      </c>
      <c r="US22" s="252">
        <v>0</v>
      </c>
      <c r="UT22" s="252">
        <v>0</v>
      </c>
      <c r="UU22" s="252">
        <v>0</v>
      </c>
      <c r="UV22" s="252">
        <v>0</v>
      </c>
      <c r="UW22" s="252">
        <v>0</v>
      </c>
      <c r="UX22" s="252">
        <v>0</v>
      </c>
      <c r="UY22" s="252">
        <v>0</v>
      </c>
      <c r="UZ22" s="252">
        <v>0</v>
      </c>
      <c r="VA22" s="252">
        <v>0</v>
      </c>
      <c r="VB22" s="252">
        <v>0</v>
      </c>
      <c r="VC22" s="252">
        <v>0</v>
      </c>
      <c r="VD22" s="252">
        <v>0</v>
      </c>
      <c r="VE22" s="252">
        <v>0</v>
      </c>
      <c r="VF22" s="252">
        <v>0</v>
      </c>
      <c r="VG22" s="252">
        <v>0</v>
      </c>
      <c r="VH22" s="252">
        <v>0</v>
      </c>
      <c r="VI22" s="252">
        <v>0</v>
      </c>
      <c r="VJ22" s="252">
        <v>0</v>
      </c>
      <c r="VK22" s="252">
        <v>0</v>
      </c>
      <c r="VL22" s="252">
        <v>0</v>
      </c>
      <c r="VM22" s="252">
        <v>0</v>
      </c>
      <c r="VN22" s="252">
        <v>0</v>
      </c>
      <c r="VO22" s="252">
        <v>0</v>
      </c>
      <c r="VP22" s="252">
        <v>0</v>
      </c>
      <c r="VQ22" s="252">
        <v>0</v>
      </c>
      <c r="VR22" s="252">
        <v>0</v>
      </c>
      <c r="VS22" s="252">
        <v>0</v>
      </c>
      <c r="VT22" s="252">
        <v>0</v>
      </c>
      <c r="VU22" s="252">
        <v>0</v>
      </c>
      <c r="VV22" s="252">
        <v>0</v>
      </c>
      <c r="VW22" s="252">
        <v>0</v>
      </c>
      <c r="VX22" s="252">
        <v>0</v>
      </c>
      <c r="VY22" s="252">
        <v>0</v>
      </c>
      <c r="VZ22" s="252">
        <v>0</v>
      </c>
      <c r="WA22" s="252">
        <v>0</v>
      </c>
      <c r="WB22" s="252">
        <v>0</v>
      </c>
      <c r="WC22" s="252">
        <v>0</v>
      </c>
      <c r="WD22" s="252">
        <v>0</v>
      </c>
      <c r="WE22" s="252">
        <v>0</v>
      </c>
      <c r="WF22" s="252">
        <v>0</v>
      </c>
      <c r="WG22" s="252">
        <v>0</v>
      </c>
      <c r="WH22" s="252">
        <v>0</v>
      </c>
      <c r="WI22" s="252">
        <v>0</v>
      </c>
      <c r="WJ22" s="252">
        <v>0</v>
      </c>
      <c r="WK22" s="252">
        <v>0</v>
      </c>
      <c r="WL22" s="252">
        <v>0</v>
      </c>
      <c r="WM22" s="252">
        <v>0</v>
      </c>
      <c r="WN22" s="252">
        <v>0</v>
      </c>
      <c r="WO22" s="252">
        <v>0</v>
      </c>
      <c r="WP22" s="252">
        <v>0</v>
      </c>
      <c r="WQ22" s="252">
        <v>0</v>
      </c>
      <c r="WR22" s="252">
        <v>0</v>
      </c>
      <c r="WS22" s="252">
        <v>0</v>
      </c>
      <c r="WT22" s="252">
        <v>0</v>
      </c>
      <c r="WU22" s="252">
        <v>0</v>
      </c>
      <c r="WV22" s="252">
        <v>0</v>
      </c>
      <c r="WW22" s="252">
        <v>0</v>
      </c>
      <c r="WX22" s="252">
        <v>0</v>
      </c>
      <c r="WY22" s="252">
        <v>0</v>
      </c>
      <c r="WZ22" s="252">
        <v>0</v>
      </c>
      <c r="XA22" s="252">
        <v>0</v>
      </c>
      <c r="XB22" s="252">
        <v>0</v>
      </c>
      <c r="XC22" s="252">
        <v>0</v>
      </c>
      <c r="XD22" s="252">
        <v>0</v>
      </c>
      <c r="XE22" s="252">
        <v>0</v>
      </c>
      <c r="XF22" s="252">
        <v>0</v>
      </c>
      <c r="XG22" s="252">
        <v>0</v>
      </c>
      <c r="XH22" s="252">
        <v>0</v>
      </c>
      <c r="XI22" s="252">
        <v>0</v>
      </c>
      <c r="XJ22" s="252">
        <v>0</v>
      </c>
      <c r="XK22" s="252">
        <v>0</v>
      </c>
      <c r="XL22" s="252">
        <v>0</v>
      </c>
      <c r="XM22" s="252">
        <v>0</v>
      </c>
      <c r="XN22" s="252">
        <v>0</v>
      </c>
      <c r="XO22" s="252">
        <v>0</v>
      </c>
      <c r="XP22" s="252">
        <v>0</v>
      </c>
      <c r="XQ22" s="252">
        <v>0</v>
      </c>
      <c r="XR22" s="252">
        <v>0</v>
      </c>
      <c r="XS22" s="252">
        <v>0</v>
      </c>
      <c r="XT22" s="252">
        <v>0</v>
      </c>
      <c r="XU22" s="252">
        <v>0</v>
      </c>
      <c r="XV22" s="252">
        <v>0</v>
      </c>
      <c r="XW22" s="252">
        <v>0</v>
      </c>
      <c r="XX22" s="252">
        <v>0</v>
      </c>
      <c r="XY22" s="252">
        <v>0</v>
      </c>
      <c r="XZ22" s="252">
        <v>0</v>
      </c>
      <c r="YA22" s="252">
        <v>0</v>
      </c>
      <c r="YB22" s="252">
        <v>0</v>
      </c>
      <c r="YC22" s="252">
        <v>0</v>
      </c>
      <c r="YD22" s="252">
        <v>0</v>
      </c>
      <c r="YE22" s="252">
        <v>0</v>
      </c>
      <c r="YF22" s="252">
        <v>0</v>
      </c>
      <c r="YG22" s="252">
        <v>0</v>
      </c>
      <c r="YH22" s="252">
        <v>0</v>
      </c>
      <c r="YI22" s="252">
        <v>0</v>
      </c>
      <c r="YJ22" s="252">
        <v>0</v>
      </c>
      <c r="YK22" s="252">
        <v>0</v>
      </c>
      <c r="YL22" s="252">
        <v>0</v>
      </c>
      <c r="YM22" s="252">
        <v>0</v>
      </c>
      <c r="YN22" s="252">
        <v>0</v>
      </c>
      <c r="YO22" s="252">
        <v>0</v>
      </c>
      <c r="YP22" s="252">
        <v>0</v>
      </c>
      <c r="YQ22" s="252">
        <v>0</v>
      </c>
      <c r="YR22" s="252">
        <v>0</v>
      </c>
      <c r="YS22" s="252">
        <v>0</v>
      </c>
      <c r="YT22" s="252">
        <v>0</v>
      </c>
      <c r="YU22" s="252">
        <v>0</v>
      </c>
      <c r="YV22" s="252">
        <v>0</v>
      </c>
      <c r="YW22" s="252">
        <v>0</v>
      </c>
      <c r="YX22" s="252">
        <v>0</v>
      </c>
      <c r="YY22" s="252">
        <v>0</v>
      </c>
      <c r="YZ22" s="252">
        <v>0</v>
      </c>
      <c r="ZA22" s="252">
        <v>0</v>
      </c>
      <c r="ZB22" s="252">
        <v>0</v>
      </c>
      <c r="ZC22" s="252">
        <v>0</v>
      </c>
      <c r="ZD22" s="252">
        <v>0</v>
      </c>
      <c r="ZE22" s="252">
        <v>0</v>
      </c>
      <c r="ZF22" s="252">
        <v>0</v>
      </c>
      <c r="ZG22" s="252">
        <v>0</v>
      </c>
      <c r="ZH22" s="252">
        <v>0</v>
      </c>
      <c r="ZI22" s="252">
        <v>0</v>
      </c>
      <c r="ZJ22" s="252">
        <v>0</v>
      </c>
      <c r="ZK22" s="252">
        <v>0</v>
      </c>
      <c r="ZL22" s="252">
        <v>0</v>
      </c>
      <c r="ZM22" s="252">
        <v>0</v>
      </c>
      <c r="ZN22" s="252">
        <v>0</v>
      </c>
      <c r="ZO22" s="252">
        <v>0</v>
      </c>
      <c r="ZP22" s="252">
        <v>0</v>
      </c>
      <c r="ZQ22" s="252">
        <v>0</v>
      </c>
      <c r="ZR22" s="252">
        <v>0</v>
      </c>
      <c r="ZS22" s="252">
        <v>0</v>
      </c>
      <c r="ZT22" s="252">
        <v>0</v>
      </c>
      <c r="ZU22" s="252">
        <v>0</v>
      </c>
      <c r="ZV22" s="252">
        <v>0</v>
      </c>
      <c r="ZW22" s="252">
        <v>0</v>
      </c>
      <c r="ZX22" s="252">
        <v>0</v>
      </c>
      <c r="ZY22" s="252">
        <v>0</v>
      </c>
      <c r="ZZ22" s="252">
        <v>0</v>
      </c>
      <c r="AAA22" s="252">
        <v>0</v>
      </c>
      <c r="AAB22" s="252">
        <v>0</v>
      </c>
      <c r="AAC22" s="252">
        <v>0</v>
      </c>
      <c r="AAD22" s="252">
        <v>0</v>
      </c>
      <c r="AAE22" s="252">
        <v>0</v>
      </c>
      <c r="AAF22" s="252">
        <v>0</v>
      </c>
      <c r="AAG22" s="252">
        <v>0</v>
      </c>
      <c r="AAH22" s="252">
        <v>0</v>
      </c>
      <c r="AAI22" s="252">
        <v>0</v>
      </c>
      <c r="AAJ22" s="252">
        <v>0</v>
      </c>
      <c r="AAK22" s="252">
        <v>0</v>
      </c>
      <c r="AAL22" s="252">
        <v>0</v>
      </c>
      <c r="AAM22" s="252">
        <v>0</v>
      </c>
      <c r="AAN22" s="252">
        <v>0</v>
      </c>
      <c r="AAO22" s="252">
        <v>0</v>
      </c>
      <c r="AAP22" s="252">
        <v>0</v>
      </c>
      <c r="AAQ22" s="252">
        <v>0</v>
      </c>
      <c r="AAR22" s="252">
        <v>0</v>
      </c>
      <c r="AAS22" s="252">
        <v>0</v>
      </c>
      <c r="AAT22" s="252">
        <v>0</v>
      </c>
      <c r="AAU22" s="252">
        <v>0</v>
      </c>
      <c r="AAV22" s="252">
        <v>0</v>
      </c>
      <c r="AAW22" s="252">
        <v>0</v>
      </c>
      <c r="AAX22" s="252">
        <v>0</v>
      </c>
      <c r="AAY22" s="252">
        <v>0</v>
      </c>
      <c r="AAZ22" s="252">
        <v>0</v>
      </c>
      <c r="ABA22" s="252">
        <v>0</v>
      </c>
      <c r="ABB22" s="252">
        <v>0</v>
      </c>
      <c r="ABC22" s="252">
        <v>0</v>
      </c>
      <c r="ABD22" s="252">
        <v>0</v>
      </c>
      <c r="ABE22" s="252">
        <v>0</v>
      </c>
      <c r="ABF22" s="252">
        <v>0</v>
      </c>
      <c r="ABG22" s="252">
        <v>0</v>
      </c>
      <c r="ABH22" s="252">
        <v>0</v>
      </c>
      <c r="ABI22" s="252">
        <v>0</v>
      </c>
      <c r="ABJ22" s="252">
        <v>0</v>
      </c>
      <c r="ABK22" s="252">
        <v>0</v>
      </c>
      <c r="ABL22" s="252">
        <v>0</v>
      </c>
      <c r="ABM22" s="252">
        <v>0</v>
      </c>
      <c r="ABN22" s="252">
        <v>0</v>
      </c>
      <c r="ABO22" s="252">
        <v>0</v>
      </c>
      <c r="ABP22" s="252">
        <v>0</v>
      </c>
      <c r="ABQ22" s="252">
        <v>0</v>
      </c>
      <c r="ABR22" s="252">
        <v>0</v>
      </c>
      <c r="ABS22" s="252">
        <v>0</v>
      </c>
      <c r="ABT22" s="252">
        <v>0</v>
      </c>
      <c r="ABU22" s="252">
        <v>0</v>
      </c>
      <c r="ABV22" s="252">
        <v>0</v>
      </c>
      <c r="ABW22" s="252">
        <v>0</v>
      </c>
      <c r="ABX22" s="252">
        <v>0</v>
      </c>
      <c r="ABY22" s="252">
        <v>0</v>
      </c>
      <c r="ABZ22" s="252">
        <v>0</v>
      </c>
      <c r="ACA22" s="252">
        <v>0</v>
      </c>
      <c r="ACB22" s="252">
        <v>0</v>
      </c>
      <c r="ACC22" s="252">
        <v>0</v>
      </c>
      <c r="ACD22" s="252">
        <v>0</v>
      </c>
      <c r="ACE22" s="252">
        <v>0</v>
      </c>
      <c r="ACF22" s="252">
        <v>0</v>
      </c>
      <c r="ACG22" s="252">
        <v>0</v>
      </c>
      <c r="ACH22" s="252">
        <v>0</v>
      </c>
      <c r="ACI22" s="252">
        <v>0</v>
      </c>
      <c r="ACJ22" s="252">
        <v>0</v>
      </c>
      <c r="ACK22" s="252">
        <v>0</v>
      </c>
      <c r="ACL22" s="252">
        <v>0</v>
      </c>
      <c r="ACM22" s="252">
        <v>0</v>
      </c>
      <c r="ACN22" s="252">
        <v>0</v>
      </c>
      <c r="ACO22" s="252">
        <v>0</v>
      </c>
      <c r="ACP22" s="252">
        <v>0</v>
      </c>
      <c r="ACQ22" s="252">
        <v>0</v>
      </c>
      <c r="ACR22" s="252">
        <v>0</v>
      </c>
      <c r="ACS22" s="252">
        <v>0</v>
      </c>
      <c r="ACT22" s="252">
        <v>0</v>
      </c>
      <c r="ACU22" s="252">
        <v>0</v>
      </c>
      <c r="ACV22" s="252">
        <v>0</v>
      </c>
      <c r="ACW22" s="252">
        <v>0</v>
      </c>
      <c r="ACX22" s="252">
        <v>0</v>
      </c>
      <c r="ACY22" s="252">
        <v>0</v>
      </c>
      <c r="ACZ22" s="252">
        <v>0</v>
      </c>
      <c r="ADA22" s="252">
        <v>0</v>
      </c>
      <c r="ADB22" s="252">
        <v>0</v>
      </c>
      <c r="ADC22" s="252">
        <v>0</v>
      </c>
      <c r="ADD22" s="252">
        <v>0</v>
      </c>
      <c r="ADE22" s="252">
        <v>0</v>
      </c>
      <c r="ADF22" s="252">
        <v>0</v>
      </c>
      <c r="ADG22" s="252">
        <v>0</v>
      </c>
      <c r="ADH22" s="252">
        <v>0</v>
      </c>
      <c r="ADI22" s="252">
        <v>0</v>
      </c>
      <c r="ADJ22" s="252">
        <v>0</v>
      </c>
      <c r="ADK22" s="252">
        <v>0</v>
      </c>
      <c r="ADL22" s="252">
        <v>0</v>
      </c>
      <c r="ADM22" s="252">
        <v>0</v>
      </c>
      <c r="ADN22" s="252">
        <v>0</v>
      </c>
      <c r="ADO22" s="252">
        <v>0</v>
      </c>
      <c r="ADP22" s="252">
        <v>0</v>
      </c>
      <c r="ADQ22" s="252">
        <v>0</v>
      </c>
      <c r="ADR22" s="252">
        <v>0</v>
      </c>
      <c r="ADS22" s="252">
        <v>0</v>
      </c>
      <c r="ADT22" s="252">
        <v>0</v>
      </c>
      <c r="ADU22" s="252">
        <v>0</v>
      </c>
      <c r="ADV22" s="252">
        <v>0</v>
      </c>
      <c r="ADW22" s="252">
        <v>0</v>
      </c>
      <c r="ADX22" s="252">
        <v>0</v>
      </c>
      <c r="ADY22" s="252">
        <v>0</v>
      </c>
      <c r="ADZ22" s="252">
        <v>0</v>
      </c>
      <c r="AEA22" s="252">
        <v>0</v>
      </c>
      <c r="AEB22" s="252">
        <v>0</v>
      </c>
      <c r="AEC22" s="252">
        <v>0</v>
      </c>
      <c r="AED22" s="252">
        <v>0</v>
      </c>
      <c r="AEE22" s="252">
        <v>0</v>
      </c>
      <c r="AEF22" s="252">
        <v>0</v>
      </c>
      <c r="AEG22" s="252">
        <v>0</v>
      </c>
      <c r="AEH22" s="252">
        <v>0</v>
      </c>
      <c r="AEI22" s="252">
        <v>0</v>
      </c>
      <c r="AEJ22" s="252">
        <v>0</v>
      </c>
      <c r="AEK22" s="252">
        <v>0</v>
      </c>
      <c r="AEL22" s="252">
        <v>0</v>
      </c>
      <c r="AEM22" s="252">
        <v>0</v>
      </c>
      <c r="AEN22" s="252">
        <v>0</v>
      </c>
      <c r="AEO22" s="252">
        <v>0</v>
      </c>
      <c r="AEP22" s="252">
        <v>0</v>
      </c>
      <c r="AEQ22" s="252">
        <v>0</v>
      </c>
      <c r="AER22" s="252">
        <v>0</v>
      </c>
      <c r="AES22" s="252">
        <v>0</v>
      </c>
      <c r="AET22" s="252">
        <v>0</v>
      </c>
      <c r="AEU22" s="252">
        <v>0</v>
      </c>
      <c r="AEV22" s="252">
        <v>0</v>
      </c>
      <c r="AEW22" s="252">
        <v>0</v>
      </c>
      <c r="AEX22" s="252">
        <v>0</v>
      </c>
      <c r="AEY22" s="252">
        <v>0</v>
      </c>
      <c r="AEZ22" s="252">
        <v>0</v>
      </c>
      <c r="AFA22" s="252">
        <v>0</v>
      </c>
      <c r="AFB22" s="252">
        <v>0</v>
      </c>
      <c r="AFC22" s="252">
        <v>0</v>
      </c>
      <c r="AFD22" s="252">
        <v>0</v>
      </c>
      <c r="AFE22" s="252">
        <v>0</v>
      </c>
      <c r="AFF22" s="252">
        <v>0</v>
      </c>
      <c r="AFG22" s="252">
        <v>0</v>
      </c>
      <c r="AFH22" s="252">
        <v>0</v>
      </c>
      <c r="AFI22" s="252">
        <v>0</v>
      </c>
      <c r="AFJ22" s="252">
        <v>0</v>
      </c>
      <c r="AFK22" s="252">
        <v>0</v>
      </c>
      <c r="AFL22" s="252">
        <v>0</v>
      </c>
      <c r="AFM22" s="252">
        <v>0</v>
      </c>
      <c r="AFN22" s="252">
        <v>0</v>
      </c>
      <c r="AFO22" s="252">
        <v>0</v>
      </c>
      <c r="AFP22" s="252">
        <v>0</v>
      </c>
      <c r="AFQ22" s="252">
        <v>0</v>
      </c>
      <c r="AFR22" s="252">
        <v>0</v>
      </c>
      <c r="AFS22" s="252">
        <v>0</v>
      </c>
      <c r="AFT22" s="252">
        <v>0</v>
      </c>
      <c r="AFU22" s="252">
        <v>0</v>
      </c>
      <c r="AFV22" s="252">
        <v>0</v>
      </c>
      <c r="AFW22" s="252">
        <v>0</v>
      </c>
      <c r="AFX22" s="252">
        <v>0</v>
      </c>
      <c r="AFY22" s="252">
        <v>0</v>
      </c>
      <c r="AFZ22" s="252">
        <v>0</v>
      </c>
      <c r="AGA22" s="252">
        <v>0</v>
      </c>
      <c r="AGB22" s="252">
        <v>0</v>
      </c>
      <c r="AGC22" s="252">
        <v>0</v>
      </c>
      <c r="AGD22" s="252">
        <v>0</v>
      </c>
      <c r="AGE22" s="252">
        <v>0</v>
      </c>
      <c r="AGF22" s="252">
        <v>0</v>
      </c>
      <c r="AGG22" s="252">
        <v>0</v>
      </c>
      <c r="AGH22" s="252">
        <v>0</v>
      </c>
      <c r="AGI22" s="252">
        <v>0</v>
      </c>
      <c r="AGJ22" s="252">
        <v>0</v>
      </c>
      <c r="AGK22" s="252">
        <v>0</v>
      </c>
      <c r="AGL22" s="252">
        <v>0</v>
      </c>
      <c r="AGM22" s="252">
        <v>0</v>
      </c>
      <c r="AGN22" s="252">
        <v>0</v>
      </c>
      <c r="AGO22" s="252">
        <v>0</v>
      </c>
      <c r="AGP22" s="252">
        <v>0</v>
      </c>
      <c r="AGQ22" s="252">
        <v>0</v>
      </c>
      <c r="AGR22" s="252">
        <v>0</v>
      </c>
      <c r="AGS22" s="252">
        <v>0</v>
      </c>
      <c r="AGT22" s="252">
        <v>0</v>
      </c>
      <c r="AGU22" s="252">
        <v>0</v>
      </c>
      <c r="AGV22" s="252">
        <v>0</v>
      </c>
      <c r="AGW22" s="252">
        <v>0</v>
      </c>
      <c r="AGX22" s="252">
        <v>0</v>
      </c>
      <c r="AGY22" s="252">
        <v>0</v>
      </c>
      <c r="AGZ22" s="252">
        <v>0</v>
      </c>
      <c r="AHA22" s="252">
        <v>0</v>
      </c>
      <c r="AHB22" s="252">
        <v>0</v>
      </c>
      <c r="AHC22" s="252">
        <v>0</v>
      </c>
      <c r="AHD22" s="252">
        <v>0</v>
      </c>
      <c r="AHE22" s="252">
        <v>0</v>
      </c>
      <c r="AHF22" s="252">
        <v>0</v>
      </c>
      <c r="AHG22" s="252">
        <v>0</v>
      </c>
      <c r="AHH22" s="252">
        <v>0</v>
      </c>
      <c r="AHI22" s="252">
        <v>0</v>
      </c>
      <c r="AHJ22" s="252">
        <v>0</v>
      </c>
      <c r="AHK22" s="252">
        <v>0</v>
      </c>
      <c r="AHL22" s="252">
        <v>0</v>
      </c>
      <c r="AHM22" s="252">
        <v>0</v>
      </c>
      <c r="AHN22" s="252">
        <v>0</v>
      </c>
      <c r="AHO22" s="252">
        <v>0</v>
      </c>
      <c r="AHP22" s="252">
        <v>0</v>
      </c>
      <c r="AHQ22" s="252">
        <v>0</v>
      </c>
      <c r="AHR22" s="252">
        <v>0</v>
      </c>
      <c r="AHS22" s="252">
        <v>0</v>
      </c>
      <c r="AHT22" s="252">
        <v>0</v>
      </c>
      <c r="AHU22" s="252">
        <v>0</v>
      </c>
      <c r="AHV22" s="252">
        <v>0</v>
      </c>
      <c r="AHW22" s="252">
        <v>0</v>
      </c>
      <c r="AHX22" s="252">
        <v>0</v>
      </c>
      <c r="AHY22" s="252">
        <v>0</v>
      </c>
      <c r="AHZ22" s="252">
        <v>0</v>
      </c>
      <c r="AIA22" s="252">
        <v>0</v>
      </c>
      <c r="AIB22" s="252">
        <v>0</v>
      </c>
      <c r="AIC22" s="252">
        <v>0</v>
      </c>
      <c r="AID22" s="252">
        <v>0</v>
      </c>
      <c r="AIE22" s="252">
        <v>0</v>
      </c>
      <c r="AIF22" s="252">
        <v>0</v>
      </c>
      <c r="AIG22" s="252">
        <v>0</v>
      </c>
      <c r="AIH22" s="252">
        <v>0</v>
      </c>
      <c r="AII22" s="252">
        <v>0</v>
      </c>
      <c r="AIJ22" s="252">
        <v>0</v>
      </c>
      <c r="AIK22" s="252">
        <v>0</v>
      </c>
      <c r="AIL22" s="252">
        <v>0</v>
      </c>
      <c r="AIM22" s="252">
        <v>0</v>
      </c>
      <c r="AIN22" s="252">
        <v>0</v>
      </c>
      <c r="AIO22" s="252">
        <v>0</v>
      </c>
      <c r="AIP22" s="252">
        <v>0</v>
      </c>
      <c r="AIQ22" s="252">
        <v>0</v>
      </c>
      <c r="AIR22" s="252">
        <v>0</v>
      </c>
      <c r="AIS22" s="252">
        <v>0</v>
      </c>
      <c r="AIT22" s="252">
        <v>0</v>
      </c>
      <c r="AIU22" s="252">
        <v>0</v>
      </c>
      <c r="AIV22" s="252">
        <v>0</v>
      </c>
      <c r="AIW22" s="252">
        <v>0</v>
      </c>
      <c r="AIX22" s="252">
        <v>0</v>
      </c>
      <c r="AIY22" s="252">
        <v>0</v>
      </c>
      <c r="AIZ22" s="252">
        <v>0</v>
      </c>
      <c r="AJA22" s="252">
        <v>0</v>
      </c>
      <c r="AJB22" s="252">
        <v>0</v>
      </c>
      <c r="AJC22" s="252">
        <v>0</v>
      </c>
      <c r="AJD22" s="252">
        <v>0</v>
      </c>
      <c r="AJE22" s="252">
        <v>0</v>
      </c>
      <c r="AJF22" s="252">
        <v>0</v>
      </c>
      <c r="AJG22" s="252">
        <v>0</v>
      </c>
      <c r="AJH22" s="252">
        <v>0</v>
      </c>
      <c r="AJI22" s="252">
        <v>0</v>
      </c>
      <c r="AJJ22" s="252">
        <v>0</v>
      </c>
      <c r="AJK22" s="252">
        <v>0</v>
      </c>
      <c r="AJL22" s="252">
        <v>0</v>
      </c>
      <c r="AJM22" s="252">
        <v>0</v>
      </c>
      <c r="AJN22" s="252">
        <v>0</v>
      </c>
      <c r="AJO22" s="252">
        <v>0</v>
      </c>
      <c r="AJP22" s="252">
        <v>0</v>
      </c>
      <c r="AJQ22" s="252">
        <v>0</v>
      </c>
      <c r="AJR22" s="252">
        <v>0</v>
      </c>
      <c r="AJS22" s="252">
        <v>0</v>
      </c>
      <c r="AJT22" s="252">
        <v>0</v>
      </c>
      <c r="AJU22" s="252">
        <v>0</v>
      </c>
      <c r="AJV22" s="252">
        <v>0</v>
      </c>
      <c r="AJW22" s="252">
        <v>0</v>
      </c>
      <c r="AJX22" s="252">
        <v>0</v>
      </c>
      <c r="AJY22" s="252">
        <v>0</v>
      </c>
      <c r="AJZ22" s="252">
        <v>0</v>
      </c>
      <c r="AKA22" s="252">
        <v>0</v>
      </c>
      <c r="AKB22" s="252">
        <v>0</v>
      </c>
      <c r="AKC22" s="252">
        <v>0</v>
      </c>
      <c r="AKD22" s="252">
        <v>0</v>
      </c>
      <c r="AKE22" s="252">
        <v>0</v>
      </c>
      <c r="AKF22" s="252">
        <v>0</v>
      </c>
      <c r="AKG22" s="252">
        <v>0</v>
      </c>
      <c r="AKH22" s="252">
        <v>0</v>
      </c>
      <c r="AKI22" s="252">
        <v>0</v>
      </c>
      <c r="AKJ22" s="252">
        <v>0</v>
      </c>
      <c r="AKK22" s="252">
        <v>0</v>
      </c>
      <c r="AKL22" s="252">
        <v>0</v>
      </c>
      <c r="AKM22" s="252">
        <v>0</v>
      </c>
      <c r="AKN22" s="252">
        <v>0</v>
      </c>
      <c r="AKO22" s="252">
        <v>0</v>
      </c>
      <c r="AKP22" s="252">
        <v>0</v>
      </c>
      <c r="AKQ22" s="252">
        <v>0</v>
      </c>
      <c r="AKR22" s="252">
        <v>0</v>
      </c>
      <c r="AKS22" s="252">
        <v>0</v>
      </c>
      <c r="AKT22" s="252">
        <v>0</v>
      </c>
      <c r="AKU22" s="252">
        <v>0</v>
      </c>
      <c r="AKV22" s="252">
        <v>0</v>
      </c>
      <c r="AKW22" s="252">
        <v>0</v>
      </c>
      <c r="AKX22" s="252">
        <v>0</v>
      </c>
      <c r="AKY22" s="252">
        <v>0</v>
      </c>
      <c r="AKZ22" s="252">
        <v>0</v>
      </c>
      <c r="ALA22" s="252">
        <v>0</v>
      </c>
      <c r="ALB22" s="252">
        <v>0</v>
      </c>
      <c r="ALC22" s="252">
        <v>0</v>
      </c>
      <c r="ALD22" s="252">
        <v>0</v>
      </c>
      <c r="ALE22" s="252">
        <v>0</v>
      </c>
      <c r="ALF22" s="252">
        <v>0</v>
      </c>
      <c r="ALG22" s="252">
        <v>0</v>
      </c>
      <c r="ALH22" s="252">
        <v>0</v>
      </c>
      <c r="ALI22" s="252">
        <v>0</v>
      </c>
      <c r="ALJ22" s="252">
        <v>0</v>
      </c>
      <c r="ALK22" s="252">
        <v>0</v>
      </c>
      <c r="ALL22" s="252">
        <v>0</v>
      </c>
      <c r="ALM22" s="252">
        <v>0</v>
      </c>
      <c r="ALN22" s="252">
        <v>0</v>
      </c>
      <c r="ALO22" s="252">
        <v>0</v>
      </c>
      <c r="ALP22" s="252">
        <v>0</v>
      </c>
      <c r="ALQ22" s="252">
        <v>0</v>
      </c>
      <c r="ALR22" s="252">
        <v>0</v>
      </c>
      <c r="ALS22" s="252">
        <v>0</v>
      </c>
      <c r="ALT22" s="252">
        <v>0</v>
      </c>
      <c r="ALU22" s="252">
        <v>0</v>
      </c>
      <c r="ALV22" s="252">
        <v>0</v>
      </c>
      <c r="ALW22" s="252">
        <v>0</v>
      </c>
      <c r="ALX22" s="252">
        <v>0</v>
      </c>
      <c r="ALY22" s="252">
        <v>0</v>
      </c>
      <c r="ALZ22" s="252">
        <v>0</v>
      </c>
      <c r="AMA22" s="252">
        <v>0</v>
      </c>
      <c r="AMB22" s="252">
        <v>0</v>
      </c>
      <c r="AMC22" s="252">
        <v>0</v>
      </c>
      <c r="AMD22" s="252">
        <v>0</v>
      </c>
      <c r="AME22" s="252">
        <v>0</v>
      </c>
      <c r="AMF22" s="252">
        <v>0</v>
      </c>
      <c r="AMG22" s="252">
        <v>0</v>
      </c>
      <c r="AMH22" s="252">
        <v>0</v>
      </c>
      <c r="AMI22" s="252">
        <v>0</v>
      </c>
      <c r="AMJ22" s="252">
        <v>0</v>
      </c>
      <c r="AMK22" s="252">
        <v>0</v>
      </c>
      <c r="AML22" s="252">
        <v>0</v>
      </c>
      <c r="AMM22" s="252">
        <v>0</v>
      </c>
      <c r="AMN22" s="252">
        <v>0</v>
      </c>
      <c r="AMO22" s="252">
        <v>0</v>
      </c>
      <c r="AMP22" s="252">
        <v>0</v>
      </c>
      <c r="AMQ22" s="252">
        <v>0</v>
      </c>
      <c r="AMR22" s="252">
        <v>0</v>
      </c>
      <c r="AMS22" s="252">
        <v>0</v>
      </c>
      <c r="AMT22" s="252">
        <v>0</v>
      </c>
      <c r="AMU22" s="252">
        <v>0</v>
      </c>
      <c r="AMV22" s="252">
        <v>0</v>
      </c>
      <c r="AMW22" s="252">
        <v>0</v>
      </c>
      <c r="AMX22" s="252">
        <v>0</v>
      </c>
      <c r="AMY22" s="252">
        <v>0</v>
      </c>
      <c r="AMZ22" s="252">
        <v>0</v>
      </c>
      <c r="ANA22" s="252">
        <v>0</v>
      </c>
      <c r="ANB22" s="252">
        <v>0</v>
      </c>
      <c r="ANC22" s="252">
        <v>0</v>
      </c>
      <c r="AND22" s="252">
        <v>0</v>
      </c>
      <c r="ANE22" s="252">
        <v>0</v>
      </c>
      <c r="ANF22" s="252">
        <v>0</v>
      </c>
      <c r="ANG22" s="252">
        <v>0</v>
      </c>
      <c r="ANH22" s="252">
        <v>0</v>
      </c>
      <c r="ANI22" s="252">
        <v>0</v>
      </c>
      <c r="ANJ22" s="252">
        <v>0</v>
      </c>
      <c r="ANK22" s="252">
        <v>0</v>
      </c>
      <c r="ANL22" s="252">
        <v>0</v>
      </c>
      <c r="ANM22" s="252">
        <v>0</v>
      </c>
      <c r="ANN22" s="252">
        <v>0</v>
      </c>
      <c r="ANO22" s="252">
        <v>0</v>
      </c>
      <c r="ANP22" s="252">
        <v>0</v>
      </c>
      <c r="ANQ22" s="252">
        <v>0</v>
      </c>
      <c r="ANR22" s="252">
        <v>0</v>
      </c>
      <c r="ANS22" s="252">
        <v>0</v>
      </c>
      <c r="ANT22" s="252">
        <v>0</v>
      </c>
      <c r="ANU22" s="252">
        <v>0</v>
      </c>
      <c r="ANV22" s="252">
        <v>0</v>
      </c>
      <c r="ANW22" s="252">
        <v>0</v>
      </c>
      <c r="ANX22" s="252">
        <v>0</v>
      </c>
      <c r="ANY22" s="252">
        <v>0</v>
      </c>
      <c r="ANZ22" s="252">
        <v>0</v>
      </c>
      <c r="AOA22" s="252">
        <v>0</v>
      </c>
      <c r="AOB22" s="252">
        <v>0</v>
      </c>
      <c r="AOC22" s="252">
        <v>0</v>
      </c>
      <c r="AOD22" s="252">
        <v>0</v>
      </c>
      <c r="AOE22" s="252">
        <v>0</v>
      </c>
      <c r="AOF22" s="252">
        <v>0</v>
      </c>
      <c r="AOG22" s="252">
        <v>0</v>
      </c>
      <c r="AOH22" s="252">
        <v>0</v>
      </c>
      <c r="AOI22" s="252">
        <v>0</v>
      </c>
      <c r="AOJ22" s="252">
        <v>0</v>
      </c>
      <c r="AOK22" s="252">
        <v>0</v>
      </c>
      <c r="AOL22" s="252">
        <v>0</v>
      </c>
      <c r="AOM22" s="252">
        <v>0</v>
      </c>
      <c r="AON22" s="252">
        <v>0</v>
      </c>
      <c r="AOO22" s="252">
        <v>0</v>
      </c>
      <c r="AOP22" s="252">
        <v>0</v>
      </c>
      <c r="AOQ22" s="252">
        <v>0</v>
      </c>
      <c r="AOR22" s="252">
        <v>0</v>
      </c>
      <c r="AOS22" s="252">
        <v>0</v>
      </c>
      <c r="AOT22" s="252">
        <v>0</v>
      </c>
      <c r="AOU22" s="252">
        <v>0</v>
      </c>
      <c r="AOV22" s="252">
        <v>0</v>
      </c>
      <c r="AOW22" s="252">
        <v>0</v>
      </c>
      <c r="AOX22" s="252">
        <v>0</v>
      </c>
      <c r="AOY22" s="252">
        <v>0</v>
      </c>
      <c r="AOZ22" s="252">
        <v>0</v>
      </c>
      <c r="APA22" s="252">
        <v>0</v>
      </c>
      <c r="APB22" s="252">
        <v>0</v>
      </c>
      <c r="APC22" s="252">
        <v>0</v>
      </c>
      <c r="APD22" s="252">
        <v>0</v>
      </c>
      <c r="APE22" s="252">
        <v>0</v>
      </c>
      <c r="APF22" s="252">
        <v>0</v>
      </c>
      <c r="APG22" s="252">
        <v>0</v>
      </c>
      <c r="APH22" s="252">
        <v>0</v>
      </c>
      <c r="API22" s="252">
        <v>0</v>
      </c>
      <c r="APJ22" s="252">
        <v>0</v>
      </c>
      <c r="APK22" s="252">
        <v>0</v>
      </c>
      <c r="APL22" s="252">
        <v>0</v>
      </c>
      <c r="APM22" s="252">
        <v>0</v>
      </c>
      <c r="APN22" s="252">
        <v>0</v>
      </c>
      <c r="APO22" s="252">
        <v>0</v>
      </c>
      <c r="APP22" s="252">
        <v>0</v>
      </c>
      <c r="APQ22" s="252">
        <v>0</v>
      </c>
      <c r="APR22" s="252">
        <v>0</v>
      </c>
      <c r="APS22" s="252">
        <v>0</v>
      </c>
      <c r="APT22" s="252">
        <v>0</v>
      </c>
      <c r="APU22" s="252">
        <v>0</v>
      </c>
      <c r="APV22" s="252">
        <v>0</v>
      </c>
      <c r="APW22" s="252">
        <v>0</v>
      </c>
      <c r="APX22" s="252">
        <v>0</v>
      </c>
      <c r="APY22" s="252">
        <v>0</v>
      </c>
      <c r="APZ22" s="252">
        <v>0</v>
      </c>
      <c r="AQA22" s="252">
        <v>0</v>
      </c>
      <c r="AQB22" s="252">
        <v>0</v>
      </c>
      <c r="AQC22" s="252">
        <v>0</v>
      </c>
      <c r="AQD22" s="252">
        <v>0</v>
      </c>
      <c r="AQE22" s="252">
        <v>0</v>
      </c>
      <c r="AQF22" s="252">
        <v>0</v>
      </c>
      <c r="AQG22" s="252">
        <v>0</v>
      </c>
      <c r="AQH22" s="252">
        <v>0</v>
      </c>
      <c r="AQI22" s="252">
        <v>0</v>
      </c>
      <c r="AQJ22" s="252">
        <v>0</v>
      </c>
      <c r="AQK22" s="252">
        <v>0</v>
      </c>
      <c r="AQL22" s="252">
        <v>0</v>
      </c>
      <c r="AQM22" s="252">
        <v>0</v>
      </c>
      <c r="AQN22" s="252">
        <v>0</v>
      </c>
      <c r="AQO22" s="252">
        <v>0</v>
      </c>
      <c r="AQP22" s="252">
        <v>0</v>
      </c>
      <c r="AQQ22" s="252">
        <v>0</v>
      </c>
      <c r="AQR22" s="252">
        <v>0</v>
      </c>
      <c r="AQS22" s="252">
        <v>0</v>
      </c>
      <c r="AQT22" s="252">
        <v>0</v>
      </c>
      <c r="AQU22" s="252">
        <v>0</v>
      </c>
      <c r="AQV22" s="252">
        <v>0</v>
      </c>
      <c r="AQW22" s="252">
        <v>0</v>
      </c>
      <c r="AQX22" s="252">
        <v>0</v>
      </c>
      <c r="AQY22" s="252">
        <v>0</v>
      </c>
      <c r="AQZ22" s="252">
        <v>0</v>
      </c>
      <c r="ARA22" s="252">
        <v>0</v>
      </c>
      <c r="ARB22" s="252">
        <v>0</v>
      </c>
      <c r="ARC22" s="252">
        <v>0</v>
      </c>
      <c r="ARD22" s="252">
        <v>0</v>
      </c>
      <c r="ARE22" s="252">
        <v>0</v>
      </c>
      <c r="ARF22" s="252">
        <v>0</v>
      </c>
      <c r="ARG22" s="252">
        <v>0</v>
      </c>
      <c r="ARH22" s="252">
        <v>0</v>
      </c>
      <c r="ARI22" s="252">
        <v>0</v>
      </c>
      <c r="ARJ22" s="252">
        <v>0</v>
      </c>
      <c r="ARK22" s="252">
        <v>0</v>
      </c>
      <c r="ARL22" s="252">
        <v>0</v>
      </c>
      <c r="ARM22" s="252">
        <v>0</v>
      </c>
      <c r="ARN22" s="252">
        <v>0</v>
      </c>
      <c r="ARO22" s="252">
        <v>0</v>
      </c>
      <c r="ARP22" s="252">
        <v>0</v>
      </c>
      <c r="ARQ22" s="252">
        <v>0</v>
      </c>
      <c r="ARR22" s="252">
        <v>0</v>
      </c>
      <c r="ARS22" s="252">
        <v>0</v>
      </c>
      <c r="ART22" s="252">
        <v>0</v>
      </c>
      <c r="ARU22" s="252">
        <v>0</v>
      </c>
      <c r="ARV22" s="252">
        <v>0</v>
      </c>
      <c r="ARW22" s="252">
        <v>0</v>
      </c>
      <c r="ARX22" s="252">
        <v>0</v>
      </c>
      <c r="ARY22" s="252">
        <v>0</v>
      </c>
      <c r="ARZ22" s="252">
        <v>0</v>
      </c>
      <c r="ASA22" s="252">
        <v>0</v>
      </c>
      <c r="ASB22" s="252">
        <v>0</v>
      </c>
      <c r="ASC22" s="252">
        <v>0</v>
      </c>
      <c r="ASD22" s="252">
        <v>0</v>
      </c>
      <c r="ASE22" s="252">
        <v>0</v>
      </c>
      <c r="ASF22" s="252">
        <v>0</v>
      </c>
      <c r="ASG22" s="252">
        <v>0</v>
      </c>
      <c r="ASH22" s="252">
        <v>0</v>
      </c>
      <c r="ASI22" s="252">
        <v>0</v>
      </c>
      <c r="ASJ22" s="252">
        <v>0</v>
      </c>
      <c r="ASK22" s="252">
        <v>0</v>
      </c>
      <c r="ASL22" s="252">
        <v>0</v>
      </c>
      <c r="ASM22" s="252">
        <v>0</v>
      </c>
      <c r="ASN22" s="252">
        <v>0</v>
      </c>
      <c r="ASO22" s="252">
        <v>0</v>
      </c>
      <c r="ASP22" s="252">
        <v>0</v>
      </c>
      <c r="ASQ22" s="252">
        <v>0</v>
      </c>
      <c r="ASR22" s="252">
        <v>0</v>
      </c>
      <c r="ASS22" s="252">
        <v>0</v>
      </c>
      <c r="AST22" s="252">
        <v>0</v>
      </c>
      <c r="ASU22" s="252">
        <v>0</v>
      </c>
      <c r="ASV22" s="252">
        <v>0</v>
      </c>
      <c r="ASW22" s="252">
        <v>0</v>
      </c>
      <c r="ASX22" s="252">
        <v>0</v>
      </c>
      <c r="ASY22" s="252">
        <v>0</v>
      </c>
      <c r="ASZ22" s="252">
        <v>0</v>
      </c>
      <c r="ATA22" s="252">
        <v>0</v>
      </c>
      <c r="ATB22" s="252">
        <v>0</v>
      </c>
      <c r="ATC22" s="252">
        <v>0</v>
      </c>
      <c r="ATD22" s="252">
        <v>0</v>
      </c>
      <c r="ATE22" s="252">
        <v>0</v>
      </c>
      <c r="ATF22" s="252">
        <v>0</v>
      </c>
      <c r="ATG22" s="252">
        <v>0</v>
      </c>
      <c r="ATH22" s="252">
        <v>0</v>
      </c>
      <c r="ATI22" s="252">
        <v>0</v>
      </c>
      <c r="ATJ22" s="252">
        <v>0</v>
      </c>
      <c r="ATK22" s="252">
        <v>0</v>
      </c>
      <c r="ATL22" s="252">
        <v>0</v>
      </c>
      <c r="ATM22" s="252">
        <v>0</v>
      </c>
      <c r="ATN22" s="252">
        <v>0</v>
      </c>
      <c r="ATO22" s="252">
        <v>0</v>
      </c>
      <c r="ATP22" s="252">
        <v>0</v>
      </c>
      <c r="ATQ22" s="252">
        <v>0</v>
      </c>
      <c r="ATR22" s="252">
        <v>0</v>
      </c>
      <c r="ATS22" s="252">
        <v>0</v>
      </c>
      <c r="ATT22" s="252">
        <v>0</v>
      </c>
      <c r="ATU22" s="252">
        <v>0</v>
      </c>
      <c r="ATV22" s="252">
        <v>0</v>
      </c>
      <c r="ATW22" s="252">
        <v>0</v>
      </c>
      <c r="ATX22" s="252">
        <v>0</v>
      </c>
      <c r="ATY22" s="252">
        <v>0</v>
      </c>
      <c r="ATZ22" s="252">
        <v>0</v>
      </c>
      <c r="AUA22" s="252">
        <v>0</v>
      </c>
      <c r="AUB22" s="252">
        <v>0</v>
      </c>
      <c r="AUC22" s="252">
        <v>0</v>
      </c>
      <c r="AUD22" s="252">
        <v>0</v>
      </c>
      <c r="AUE22" s="252">
        <v>0</v>
      </c>
      <c r="AUF22" s="252">
        <v>0</v>
      </c>
      <c r="AUG22" s="252">
        <v>0</v>
      </c>
      <c r="AUH22" s="252">
        <v>0</v>
      </c>
      <c r="AUI22" s="252">
        <v>0</v>
      </c>
      <c r="AUJ22" s="252">
        <v>0</v>
      </c>
      <c r="AUK22" s="252">
        <v>0</v>
      </c>
      <c r="AUL22" s="252">
        <v>0</v>
      </c>
      <c r="AUM22" s="252">
        <v>0</v>
      </c>
      <c r="AUN22" s="252">
        <v>0</v>
      </c>
      <c r="AUO22" s="252">
        <v>0</v>
      </c>
      <c r="AUP22" s="252">
        <v>0</v>
      </c>
      <c r="AUQ22" s="252">
        <v>0</v>
      </c>
      <c r="AUR22" s="252">
        <v>0</v>
      </c>
      <c r="AUS22" s="252">
        <v>0</v>
      </c>
      <c r="AUT22" s="252">
        <v>0</v>
      </c>
      <c r="AUU22" s="252">
        <v>0</v>
      </c>
      <c r="AUV22" s="252">
        <v>0</v>
      </c>
      <c r="AUW22" s="252">
        <v>0</v>
      </c>
      <c r="AUX22" s="252">
        <v>0</v>
      </c>
      <c r="AUY22" s="252">
        <v>0</v>
      </c>
      <c r="AUZ22" s="252">
        <v>0</v>
      </c>
      <c r="AVA22" s="252">
        <v>0</v>
      </c>
      <c r="AVB22" s="252">
        <v>0</v>
      </c>
      <c r="AVC22" s="252">
        <v>0</v>
      </c>
      <c r="AVD22" s="252">
        <v>0</v>
      </c>
      <c r="AVE22" s="252">
        <v>0</v>
      </c>
      <c r="AVF22" s="252">
        <v>0</v>
      </c>
      <c r="AVG22" s="252">
        <v>0</v>
      </c>
      <c r="AVH22" s="252">
        <v>0</v>
      </c>
      <c r="AVI22" s="252">
        <v>0</v>
      </c>
      <c r="AVJ22" s="252">
        <v>0</v>
      </c>
      <c r="AVK22" s="252">
        <v>0</v>
      </c>
      <c r="AVL22" s="252">
        <v>0</v>
      </c>
      <c r="AVM22" s="252">
        <v>0</v>
      </c>
      <c r="AVN22" s="252">
        <v>0</v>
      </c>
      <c r="AVO22" s="252">
        <v>0</v>
      </c>
      <c r="AVP22" s="252">
        <v>0</v>
      </c>
      <c r="AVQ22" s="252">
        <v>0</v>
      </c>
      <c r="AVR22" s="252">
        <v>0</v>
      </c>
      <c r="AVS22" s="252">
        <v>0</v>
      </c>
      <c r="AVT22" s="252">
        <v>0</v>
      </c>
      <c r="AVU22" s="252">
        <v>0</v>
      </c>
      <c r="AVV22" s="252">
        <v>0</v>
      </c>
      <c r="AVW22" s="252">
        <v>0</v>
      </c>
      <c r="AVX22" s="252">
        <v>0</v>
      </c>
      <c r="AVY22" s="252">
        <v>0</v>
      </c>
      <c r="AVZ22" s="252">
        <v>0</v>
      </c>
      <c r="AWA22" s="252">
        <v>0</v>
      </c>
      <c r="AWB22" s="252">
        <v>0</v>
      </c>
      <c r="AWC22" s="252">
        <v>0</v>
      </c>
      <c r="AWD22" s="252">
        <v>0</v>
      </c>
      <c r="AWE22" s="252">
        <v>0</v>
      </c>
      <c r="AWF22" s="252">
        <v>0</v>
      </c>
      <c r="AWG22" s="252">
        <v>0</v>
      </c>
      <c r="AWH22" s="252">
        <v>0</v>
      </c>
      <c r="AWI22" s="252">
        <v>0</v>
      </c>
      <c r="AWJ22" s="252">
        <v>0</v>
      </c>
      <c r="AWK22" s="252">
        <v>0</v>
      </c>
      <c r="AWL22" s="252">
        <v>0</v>
      </c>
      <c r="AWM22" s="252">
        <v>0</v>
      </c>
      <c r="AWN22" s="252">
        <v>0</v>
      </c>
      <c r="AWO22" s="252">
        <v>0</v>
      </c>
      <c r="AWP22" s="252">
        <v>0</v>
      </c>
      <c r="AWQ22" s="252">
        <v>0</v>
      </c>
      <c r="AWR22" s="252">
        <v>0</v>
      </c>
      <c r="AWS22" s="252">
        <v>0</v>
      </c>
      <c r="AWT22" s="252">
        <v>0</v>
      </c>
      <c r="AWU22" s="252">
        <v>0</v>
      </c>
      <c r="AWV22" s="252">
        <v>0</v>
      </c>
      <c r="AWW22" s="252">
        <v>0</v>
      </c>
      <c r="AWX22" s="252">
        <v>0</v>
      </c>
      <c r="AWY22" s="252">
        <v>0</v>
      </c>
      <c r="AWZ22" s="252">
        <v>0</v>
      </c>
      <c r="AXA22" s="252">
        <v>0</v>
      </c>
      <c r="AXB22" s="252">
        <v>0</v>
      </c>
      <c r="AXC22" s="252">
        <v>0</v>
      </c>
      <c r="AXD22" s="252">
        <v>0</v>
      </c>
      <c r="AXE22" s="252">
        <v>0</v>
      </c>
      <c r="AXF22" s="252">
        <v>0</v>
      </c>
      <c r="AXG22" s="252">
        <v>0</v>
      </c>
      <c r="AXH22" s="252">
        <v>0</v>
      </c>
      <c r="AXI22" s="252">
        <v>0</v>
      </c>
      <c r="AXJ22" s="252">
        <v>0</v>
      </c>
      <c r="AXK22" s="252">
        <v>0</v>
      </c>
      <c r="AXL22" s="252">
        <v>0</v>
      </c>
      <c r="AXM22" s="252">
        <v>0</v>
      </c>
      <c r="AXN22" s="252">
        <v>0</v>
      </c>
      <c r="AXO22" s="252">
        <v>0</v>
      </c>
      <c r="AXP22" s="252">
        <v>0</v>
      </c>
      <c r="AXQ22" s="252">
        <v>0</v>
      </c>
      <c r="AXR22" s="252">
        <v>0</v>
      </c>
      <c r="AXS22" s="252">
        <v>0</v>
      </c>
      <c r="AXT22" s="252">
        <v>0</v>
      </c>
      <c r="AXU22" s="252">
        <v>0</v>
      </c>
      <c r="AXV22" s="252">
        <v>0</v>
      </c>
      <c r="AXW22" s="252">
        <v>0</v>
      </c>
      <c r="AXX22" s="252">
        <v>0</v>
      </c>
      <c r="AXY22" s="252">
        <v>0</v>
      </c>
      <c r="AXZ22" s="252">
        <v>0</v>
      </c>
      <c r="AYA22" s="252">
        <v>0</v>
      </c>
      <c r="AYB22" s="252">
        <v>0</v>
      </c>
      <c r="AYC22" s="252">
        <v>0</v>
      </c>
      <c r="AYD22" s="252">
        <v>0</v>
      </c>
      <c r="AYE22" s="252">
        <v>0</v>
      </c>
      <c r="AYF22" s="252">
        <v>0</v>
      </c>
      <c r="AYG22" s="252">
        <v>0</v>
      </c>
      <c r="AYH22" s="252">
        <v>0</v>
      </c>
      <c r="AYI22" s="252">
        <v>0</v>
      </c>
      <c r="AYJ22" s="252">
        <v>0</v>
      </c>
      <c r="AYK22" s="252">
        <v>0</v>
      </c>
      <c r="AYL22" s="252">
        <v>0</v>
      </c>
      <c r="AYM22" s="252">
        <v>0</v>
      </c>
      <c r="AYN22" s="252">
        <v>0</v>
      </c>
      <c r="AYO22" s="252">
        <v>0</v>
      </c>
      <c r="AYP22" s="252">
        <v>0</v>
      </c>
      <c r="AYQ22" s="252">
        <v>0</v>
      </c>
      <c r="AYR22" s="252">
        <v>0</v>
      </c>
      <c r="AYS22" s="252">
        <v>0</v>
      </c>
      <c r="AYT22" s="252">
        <v>0</v>
      </c>
      <c r="AYU22" s="252">
        <v>0</v>
      </c>
      <c r="AYV22" s="252">
        <v>0</v>
      </c>
      <c r="AYW22" s="252">
        <v>0</v>
      </c>
      <c r="AYX22" s="252">
        <v>0</v>
      </c>
      <c r="AYY22" s="252">
        <v>0</v>
      </c>
      <c r="AYZ22" s="252">
        <v>0</v>
      </c>
      <c r="AZA22" s="252">
        <v>0</v>
      </c>
      <c r="AZB22" s="252">
        <v>0</v>
      </c>
      <c r="AZC22" s="252">
        <v>0</v>
      </c>
      <c r="AZD22" s="252">
        <v>0</v>
      </c>
      <c r="AZE22" s="252">
        <v>0</v>
      </c>
      <c r="AZF22" s="252">
        <v>0</v>
      </c>
      <c r="AZG22" s="252">
        <v>0</v>
      </c>
      <c r="AZH22" s="252">
        <v>0</v>
      </c>
      <c r="AZI22" s="252">
        <v>0</v>
      </c>
      <c r="AZJ22" s="252">
        <v>0</v>
      </c>
      <c r="AZK22" s="252">
        <v>0</v>
      </c>
      <c r="AZL22" s="252">
        <v>0</v>
      </c>
      <c r="AZM22" s="252">
        <v>0</v>
      </c>
      <c r="AZN22" s="252">
        <v>0</v>
      </c>
      <c r="AZO22" s="252">
        <v>0</v>
      </c>
      <c r="AZP22" s="252">
        <v>0</v>
      </c>
      <c r="AZQ22" s="252">
        <v>0</v>
      </c>
      <c r="AZR22" s="252">
        <v>0</v>
      </c>
      <c r="AZS22" s="252">
        <v>0</v>
      </c>
      <c r="AZT22" s="252">
        <v>0</v>
      </c>
      <c r="AZU22" s="252">
        <v>0</v>
      </c>
      <c r="AZV22" s="252">
        <v>0</v>
      </c>
      <c r="AZW22" s="252">
        <v>0</v>
      </c>
      <c r="AZX22" s="252">
        <v>0</v>
      </c>
      <c r="AZY22" s="252">
        <v>0</v>
      </c>
      <c r="AZZ22" s="252">
        <v>0</v>
      </c>
      <c r="BAA22" s="252">
        <v>0</v>
      </c>
      <c r="BAB22" s="252">
        <v>0</v>
      </c>
      <c r="BAC22" s="252">
        <v>0</v>
      </c>
      <c r="BAD22" s="252">
        <v>0</v>
      </c>
      <c r="BAE22" s="252">
        <v>0</v>
      </c>
      <c r="BAF22" s="252">
        <v>0</v>
      </c>
      <c r="BAG22" s="252">
        <v>0</v>
      </c>
      <c r="BAH22" s="252">
        <v>0</v>
      </c>
      <c r="BAI22" s="252">
        <v>0</v>
      </c>
      <c r="BAJ22" s="252">
        <v>0</v>
      </c>
      <c r="BAK22" s="252">
        <v>0</v>
      </c>
      <c r="BAL22" s="252">
        <v>0</v>
      </c>
      <c r="BAM22" s="252">
        <v>0</v>
      </c>
      <c r="BAN22" s="252">
        <v>0</v>
      </c>
      <c r="BAO22" s="252">
        <v>0</v>
      </c>
      <c r="BAP22" s="252">
        <v>0</v>
      </c>
      <c r="BAQ22" s="252">
        <v>0</v>
      </c>
      <c r="BAR22" s="252">
        <v>0</v>
      </c>
      <c r="BAS22" s="252">
        <v>0</v>
      </c>
      <c r="BAT22" s="252">
        <v>0</v>
      </c>
      <c r="BAU22" s="252">
        <v>0</v>
      </c>
      <c r="BAV22" s="252">
        <v>0</v>
      </c>
      <c r="BAW22" s="252">
        <v>0</v>
      </c>
      <c r="BAX22" s="252">
        <v>0</v>
      </c>
      <c r="BAY22" s="252">
        <v>0</v>
      </c>
      <c r="BAZ22" s="252">
        <v>0</v>
      </c>
      <c r="BBA22" s="252">
        <v>0</v>
      </c>
      <c r="BBB22" s="252">
        <v>0</v>
      </c>
      <c r="BBC22" s="252">
        <v>0</v>
      </c>
      <c r="BBD22" s="252">
        <v>0</v>
      </c>
      <c r="BBE22" s="252">
        <v>0</v>
      </c>
      <c r="BBF22" s="252">
        <v>0</v>
      </c>
      <c r="BBG22" s="252">
        <v>0</v>
      </c>
      <c r="BBH22" s="252">
        <v>0</v>
      </c>
      <c r="BBI22" s="252">
        <v>0</v>
      </c>
      <c r="BBJ22" s="252">
        <v>0</v>
      </c>
      <c r="BBK22" s="252">
        <v>0</v>
      </c>
      <c r="BBL22" s="252">
        <v>0</v>
      </c>
      <c r="BBM22" s="252">
        <v>0</v>
      </c>
      <c r="BBN22" s="252">
        <v>0</v>
      </c>
      <c r="BBO22" s="252">
        <v>0</v>
      </c>
      <c r="BBP22" s="252">
        <v>0</v>
      </c>
      <c r="BBQ22" s="252">
        <v>0</v>
      </c>
      <c r="BBR22" s="252">
        <v>0</v>
      </c>
      <c r="BBS22" s="252">
        <v>0</v>
      </c>
      <c r="BBT22" s="252">
        <v>0</v>
      </c>
      <c r="BBU22" s="252">
        <v>0</v>
      </c>
      <c r="BBV22" s="252">
        <v>0</v>
      </c>
      <c r="BBW22" s="252">
        <v>0</v>
      </c>
      <c r="BBX22" s="252">
        <v>0</v>
      </c>
      <c r="BBY22" s="252">
        <v>0</v>
      </c>
      <c r="BBZ22" s="252">
        <v>0</v>
      </c>
      <c r="BCA22" s="252">
        <v>0</v>
      </c>
      <c r="BCB22" s="252">
        <v>0</v>
      </c>
      <c r="BCC22" s="252">
        <v>0</v>
      </c>
      <c r="BCD22" s="252">
        <v>0</v>
      </c>
      <c r="BCE22" s="252">
        <v>0</v>
      </c>
      <c r="BCF22" s="252">
        <v>0</v>
      </c>
      <c r="BCG22" s="252">
        <v>0</v>
      </c>
      <c r="BCH22" s="252">
        <v>0</v>
      </c>
      <c r="BCI22" s="252">
        <v>0</v>
      </c>
      <c r="BCJ22" s="252">
        <v>0</v>
      </c>
      <c r="BCK22" s="252">
        <v>0</v>
      </c>
      <c r="BCL22" s="252">
        <v>0</v>
      </c>
      <c r="BCM22" s="252">
        <v>0</v>
      </c>
      <c r="BCN22" s="252">
        <v>0</v>
      </c>
      <c r="BCO22" s="252">
        <v>0</v>
      </c>
      <c r="BCP22" s="252">
        <v>0</v>
      </c>
      <c r="BCQ22" s="252">
        <v>0</v>
      </c>
      <c r="BCR22" s="252">
        <v>0</v>
      </c>
      <c r="BCS22" s="252">
        <v>0</v>
      </c>
      <c r="BCT22" s="252">
        <v>0</v>
      </c>
      <c r="BCU22" s="252">
        <v>0</v>
      </c>
      <c r="BCV22" s="252">
        <v>0</v>
      </c>
      <c r="BCW22" s="252">
        <v>0</v>
      </c>
      <c r="BCX22" s="252">
        <v>0</v>
      </c>
      <c r="BCY22" s="252">
        <v>0</v>
      </c>
      <c r="BCZ22" s="252">
        <v>0</v>
      </c>
      <c r="BDA22" s="252">
        <v>0</v>
      </c>
      <c r="BDB22" s="252">
        <v>0</v>
      </c>
      <c r="BDC22" s="252">
        <v>0</v>
      </c>
      <c r="BDD22" s="252">
        <v>0</v>
      </c>
      <c r="BDE22" s="252">
        <v>0</v>
      </c>
      <c r="BDF22" s="252">
        <v>0</v>
      </c>
      <c r="BDG22" s="252">
        <v>0</v>
      </c>
      <c r="BDH22" s="252">
        <v>0</v>
      </c>
      <c r="BDI22" s="252">
        <v>0</v>
      </c>
      <c r="BDJ22" s="252">
        <v>0</v>
      </c>
      <c r="BDK22" s="252">
        <v>0</v>
      </c>
      <c r="BDL22" s="252">
        <v>0</v>
      </c>
      <c r="BDM22" s="252">
        <v>0</v>
      </c>
      <c r="BDN22" s="252">
        <v>0</v>
      </c>
      <c r="BDO22" s="252">
        <v>0</v>
      </c>
      <c r="BDP22" s="252">
        <v>0</v>
      </c>
      <c r="BDQ22" s="252">
        <v>0</v>
      </c>
      <c r="BDR22" s="252">
        <v>0</v>
      </c>
      <c r="BDS22" s="252">
        <v>0</v>
      </c>
      <c r="BDT22" s="252">
        <v>0</v>
      </c>
      <c r="BDU22" s="252">
        <v>0</v>
      </c>
      <c r="BDV22" s="252">
        <v>0</v>
      </c>
      <c r="BDW22" s="252">
        <v>0</v>
      </c>
      <c r="BDX22" s="252">
        <v>0</v>
      </c>
      <c r="BDY22" s="252">
        <v>0</v>
      </c>
      <c r="BDZ22" s="252">
        <v>0</v>
      </c>
      <c r="BEA22" s="252">
        <v>0</v>
      </c>
      <c r="BEB22" s="252">
        <v>0</v>
      </c>
      <c r="BEC22" s="252">
        <v>0</v>
      </c>
      <c r="BED22" s="252">
        <v>0</v>
      </c>
      <c r="BEE22" s="252">
        <v>0</v>
      </c>
      <c r="BEF22" s="252">
        <v>0</v>
      </c>
      <c r="BEG22" s="252">
        <v>0</v>
      </c>
      <c r="BEH22" s="252">
        <v>0</v>
      </c>
      <c r="BEI22" s="252">
        <v>0</v>
      </c>
      <c r="BEJ22" s="252">
        <v>0</v>
      </c>
      <c r="BEK22" s="252">
        <v>0</v>
      </c>
      <c r="BEL22" s="252">
        <v>0</v>
      </c>
      <c r="BEM22" s="252">
        <v>0</v>
      </c>
      <c r="BEN22" s="252">
        <v>0</v>
      </c>
      <c r="BEO22" s="252">
        <v>0</v>
      </c>
      <c r="BEP22" s="252">
        <v>0</v>
      </c>
      <c r="BEQ22" s="252">
        <v>0</v>
      </c>
      <c r="BER22" s="252">
        <v>0</v>
      </c>
      <c r="BES22" s="252">
        <v>0</v>
      </c>
      <c r="BET22" s="252">
        <v>0</v>
      </c>
      <c r="BEU22" s="252">
        <v>0</v>
      </c>
      <c r="BEV22" s="252">
        <v>0</v>
      </c>
      <c r="BEW22" s="252">
        <v>0</v>
      </c>
      <c r="BEX22" s="252">
        <v>0</v>
      </c>
      <c r="BEY22" s="252">
        <v>0</v>
      </c>
      <c r="BEZ22" s="252">
        <v>0</v>
      </c>
      <c r="BFA22" s="252">
        <v>0</v>
      </c>
      <c r="BFB22" s="252">
        <v>0</v>
      </c>
      <c r="BFC22" s="252">
        <v>0</v>
      </c>
      <c r="BFD22" s="252">
        <v>0</v>
      </c>
      <c r="BFE22" s="252">
        <v>0</v>
      </c>
      <c r="BFF22" s="252">
        <v>0</v>
      </c>
      <c r="BFG22" s="252">
        <v>0</v>
      </c>
      <c r="BFH22" s="252">
        <v>0</v>
      </c>
      <c r="BFI22" s="252">
        <v>0</v>
      </c>
      <c r="BFJ22" s="252">
        <v>0</v>
      </c>
      <c r="BFK22" s="252">
        <v>0</v>
      </c>
      <c r="BFL22" s="252">
        <v>0</v>
      </c>
      <c r="BFM22" s="252">
        <v>0</v>
      </c>
      <c r="BFN22" s="252">
        <v>0</v>
      </c>
      <c r="BFO22" s="252">
        <v>0</v>
      </c>
      <c r="BFP22" s="252">
        <v>0</v>
      </c>
      <c r="BFQ22" s="252">
        <v>0</v>
      </c>
      <c r="BFR22" s="252">
        <v>0</v>
      </c>
      <c r="BFS22" s="252">
        <v>0</v>
      </c>
      <c r="BFT22" s="252">
        <v>0</v>
      </c>
      <c r="BFU22" s="252">
        <v>0</v>
      </c>
      <c r="BFV22" s="252">
        <v>0</v>
      </c>
      <c r="BFW22" s="252">
        <v>0</v>
      </c>
      <c r="BFX22" s="252">
        <v>0</v>
      </c>
      <c r="BFY22" s="252">
        <v>0</v>
      </c>
      <c r="BFZ22" s="252">
        <v>0</v>
      </c>
      <c r="BGA22" s="252">
        <v>0</v>
      </c>
      <c r="BGB22" s="252">
        <v>0</v>
      </c>
      <c r="BGC22" s="252">
        <v>0</v>
      </c>
      <c r="BGD22" s="252">
        <v>0</v>
      </c>
      <c r="BGE22" s="252">
        <v>0</v>
      </c>
      <c r="BGF22" s="252">
        <v>0</v>
      </c>
      <c r="BGG22" s="252">
        <v>0</v>
      </c>
      <c r="BGH22" s="252">
        <v>0</v>
      </c>
      <c r="BGI22" s="252">
        <v>0</v>
      </c>
      <c r="BGJ22" s="252">
        <v>0</v>
      </c>
      <c r="BGK22" s="252">
        <v>0</v>
      </c>
      <c r="BGL22" s="252">
        <v>0</v>
      </c>
      <c r="BGM22" s="252">
        <v>0</v>
      </c>
      <c r="BGN22" s="252">
        <v>0</v>
      </c>
      <c r="BGO22" s="252">
        <v>0</v>
      </c>
      <c r="BGP22" s="252">
        <v>0</v>
      </c>
      <c r="BGQ22" s="252">
        <v>0</v>
      </c>
      <c r="BGR22" s="252">
        <v>0</v>
      </c>
      <c r="BGS22" s="252">
        <v>0</v>
      </c>
      <c r="BGT22" s="252">
        <v>0</v>
      </c>
      <c r="BGU22" s="252">
        <v>0</v>
      </c>
      <c r="BGV22" s="252">
        <v>0</v>
      </c>
      <c r="BGW22" s="252">
        <v>0</v>
      </c>
      <c r="BGX22" s="252">
        <v>0</v>
      </c>
      <c r="BGY22" s="252">
        <v>0</v>
      </c>
      <c r="BGZ22" s="252">
        <v>0</v>
      </c>
      <c r="BHA22" s="252">
        <v>0</v>
      </c>
      <c r="BHB22" s="252">
        <v>0</v>
      </c>
      <c r="BHC22" s="252">
        <v>0</v>
      </c>
      <c r="BHD22" s="252">
        <v>0</v>
      </c>
      <c r="BHE22" s="252">
        <v>0</v>
      </c>
      <c r="BHF22" s="252">
        <v>0</v>
      </c>
      <c r="BHG22" s="252">
        <v>0</v>
      </c>
      <c r="BHH22" s="252">
        <v>0</v>
      </c>
      <c r="BHI22" s="252">
        <v>0</v>
      </c>
      <c r="BHJ22" s="252">
        <v>0</v>
      </c>
      <c r="BHK22" s="252">
        <v>0</v>
      </c>
      <c r="BHL22" s="252">
        <v>0</v>
      </c>
      <c r="BHM22" s="252">
        <v>0</v>
      </c>
      <c r="BHN22" s="252">
        <v>0</v>
      </c>
      <c r="BHO22" s="252">
        <v>0</v>
      </c>
      <c r="BHP22" s="252">
        <v>0</v>
      </c>
      <c r="BHQ22" s="252">
        <v>0</v>
      </c>
      <c r="BHR22" s="252">
        <v>0</v>
      </c>
      <c r="BHS22" s="252">
        <v>0</v>
      </c>
      <c r="BHT22" s="252">
        <v>0</v>
      </c>
      <c r="BHU22" s="252">
        <v>0</v>
      </c>
      <c r="BHV22" s="252">
        <v>0</v>
      </c>
      <c r="BHW22" s="252">
        <v>0</v>
      </c>
      <c r="BHX22" s="252">
        <v>0</v>
      </c>
      <c r="BHY22" s="252">
        <v>0</v>
      </c>
      <c r="BHZ22" s="252">
        <v>0</v>
      </c>
      <c r="BIA22" s="252">
        <v>0</v>
      </c>
      <c r="BIB22" s="252">
        <v>0</v>
      </c>
      <c r="BIC22" s="252">
        <v>0</v>
      </c>
      <c r="BID22" s="252">
        <v>0</v>
      </c>
      <c r="BIE22" s="252">
        <v>0</v>
      </c>
      <c r="BIF22" s="252">
        <v>0</v>
      </c>
      <c r="BIG22" s="252">
        <v>0</v>
      </c>
      <c r="BIH22" s="252">
        <v>0</v>
      </c>
      <c r="BII22" s="252">
        <v>0</v>
      </c>
      <c r="BIJ22" s="252">
        <v>0</v>
      </c>
      <c r="BIK22" s="252">
        <v>0</v>
      </c>
      <c r="BIL22" s="252">
        <v>0</v>
      </c>
      <c r="BIM22" s="252">
        <v>0</v>
      </c>
      <c r="BIN22" s="252">
        <v>0</v>
      </c>
      <c r="BIO22" s="252">
        <v>0</v>
      </c>
      <c r="BIP22" s="252">
        <v>0</v>
      </c>
      <c r="BIQ22" s="252">
        <v>0</v>
      </c>
      <c r="BIR22" s="252">
        <v>0</v>
      </c>
      <c r="BIS22" s="252">
        <v>0</v>
      </c>
      <c r="BIT22" s="252">
        <v>0</v>
      </c>
      <c r="BIU22" s="252">
        <v>0</v>
      </c>
      <c r="BIV22" s="252">
        <v>0</v>
      </c>
      <c r="BIW22" s="252">
        <v>0</v>
      </c>
      <c r="BIX22" s="252">
        <v>0</v>
      </c>
      <c r="BIY22" s="252">
        <v>0</v>
      </c>
      <c r="BIZ22" s="252">
        <v>0</v>
      </c>
      <c r="BJA22" s="252">
        <v>0</v>
      </c>
      <c r="BJB22" s="252">
        <v>0</v>
      </c>
      <c r="BJC22" s="252">
        <v>0</v>
      </c>
      <c r="BJD22" s="252">
        <v>0</v>
      </c>
      <c r="BJE22" s="252">
        <v>0</v>
      </c>
      <c r="BJF22" s="252">
        <v>0</v>
      </c>
      <c r="BJG22" s="252">
        <v>0</v>
      </c>
      <c r="BJH22" s="252">
        <v>0</v>
      </c>
      <c r="BJI22" s="252">
        <v>0</v>
      </c>
      <c r="BJJ22" s="252">
        <v>0</v>
      </c>
      <c r="BJK22" s="252">
        <v>0</v>
      </c>
      <c r="BJL22" s="252">
        <v>0</v>
      </c>
      <c r="BJM22" s="252">
        <v>0</v>
      </c>
      <c r="BJN22" s="252">
        <v>0</v>
      </c>
      <c r="BJO22" s="252">
        <v>0</v>
      </c>
      <c r="BJP22" s="252">
        <v>0</v>
      </c>
      <c r="BJQ22" s="252">
        <v>0</v>
      </c>
      <c r="BJR22" s="252">
        <v>0</v>
      </c>
      <c r="BJS22" s="252">
        <v>0</v>
      </c>
      <c r="BJT22" s="252">
        <v>0</v>
      </c>
      <c r="BJU22" s="252">
        <v>0</v>
      </c>
      <c r="BJV22" s="252">
        <v>0</v>
      </c>
      <c r="BJW22" s="252">
        <v>0</v>
      </c>
      <c r="BJX22" s="252">
        <v>0</v>
      </c>
      <c r="BJY22" s="252">
        <v>0</v>
      </c>
      <c r="BJZ22" s="252">
        <v>0</v>
      </c>
      <c r="BKA22" s="252">
        <v>0</v>
      </c>
      <c r="BKB22" s="252">
        <v>0</v>
      </c>
      <c r="BKC22" s="252">
        <v>0</v>
      </c>
      <c r="BKD22" s="252">
        <v>0</v>
      </c>
      <c r="BKE22" s="252">
        <v>0</v>
      </c>
      <c r="BKF22" s="252">
        <v>0</v>
      </c>
      <c r="BKG22" s="252">
        <v>0</v>
      </c>
      <c r="BKH22" s="252">
        <v>0</v>
      </c>
      <c r="BKI22" s="252">
        <v>0</v>
      </c>
      <c r="BKJ22" s="252">
        <v>0</v>
      </c>
      <c r="BKK22" s="252">
        <v>0</v>
      </c>
      <c r="BKL22" s="252">
        <v>0</v>
      </c>
      <c r="BKM22" s="252">
        <v>0</v>
      </c>
      <c r="BKN22" s="252">
        <v>0</v>
      </c>
      <c r="BKO22" s="252">
        <v>0</v>
      </c>
      <c r="BKP22" s="252">
        <v>0</v>
      </c>
      <c r="BKQ22" s="252">
        <v>0</v>
      </c>
      <c r="BKR22" s="252">
        <v>0</v>
      </c>
      <c r="BKS22" s="252">
        <v>0</v>
      </c>
      <c r="BKT22" s="252">
        <v>0</v>
      </c>
      <c r="BKU22" s="252">
        <v>0</v>
      </c>
      <c r="BKV22" s="252">
        <v>0</v>
      </c>
      <c r="BKW22" s="252">
        <v>0</v>
      </c>
      <c r="BKX22" s="252">
        <v>0</v>
      </c>
      <c r="BKY22" s="252">
        <v>0</v>
      </c>
      <c r="BKZ22" s="252">
        <v>0</v>
      </c>
      <c r="BLA22" s="252">
        <v>0</v>
      </c>
      <c r="BLB22" s="252">
        <v>0</v>
      </c>
      <c r="BLC22" s="252">
        <v>0</v>
      </c>
      <c r="BLD22" s="252">
        <v>0</v>
      </c>
      <c r="BLE22" s="252">
        <v>0</v>
      </c>
      <c r="BLF22" s="252">
        <v>0</v>
      </c>
      <c r="BLG22" s="252">
        <v>0</v>
      </c>
      <c r="BLH22" s="252">
        <v>0</v>
      </c>
      <c r="BLI22" s="252">
        <v>0</v>
      </c>
      <c r="BLJ22" s="252">
        <v>0</v>
      </c>
      <c r="BLK22" s="252">
        <v>0</v>
      </c>
      <c r="BLL22" s="252">
        <v>0</v>
      </c>
      <c r="BLM22" s="252">
        <v>0</v>
      </c>
      <c r="BLN22" s="252">
        <v>0</v>
      </c>
      <c r="BLO22" s="252">
        <v>0</v>
      </c>
      <c r="BLP22" s="252">
        <v>0</v>
      </c>
      <c r="BLQ22" s="252">
        <v>0</v>
      </c>
      <c r="BLR22" s="252">
        <v>0</v>
      </c>
      <c r="BLS22" s="252">
        <v>0</v>
      </c>
      <c r="BLT22" s="252">
        <v>0</v>
      </c>
      <c r="BLU22" s="252">
        <v>0</v>
      </c>
      <c r="BLV22" s="252">
        <v>0</v>
      </c>
      <c r="BLW22" s="252">
        <v>0</v>
      </c>
      <c r="BLX22" s="252">
        <v>0</v>
      </c>
      <c r="BLY22" s="252">
        <v>0</v>
      </c>
      <c r="BLZ22" s="252">
        <v>0</v>
      </c>
      <c r="BMA22" s="252">
        <v>0</v>
      </c>
      <c r="BMB22" s="252">
        <v>0</v>
      </c>
      <c r="BMC22" s="252">
        <v>0</v>
      </c>
      <c r="BMD22" s="252">
        <v>0</v>
      </c>
      <c r="BME22" s="252">
        <v>0</v>
      </c>
      <c r="BMF22" s="252">
        <v>0</v>
      </c>
      <c r="BMG22" s="252">
        <v>0</v>
      </c>
      <c r="BMH22" s="252">
        <v>0</v>
      </c>
      <c r="BMI22" s="252">
        <v>0</v>
      </c>
      <c r="BMJ22" s="252">
        <v>0</v>
      </c>
      <c r="BMK22" s="252">
        <v>0</v>
      </c>
      <c r="BML22" s="252">
        <v>0</v>
      </c>
      <c r="BMM22" s="252">
        <v>0</v>
      </c>
      <c r="BMN22" s="252">
        <v>0</v>
      </c>
      <c r="BMO22" s="252">
        <v>0</v>
      </c>
      <c r="BMP22" s="252">
        <v>0</v>
      </c>
      <c r="BMQ22" s="252">
        <v>0</v>
      </c>
      <c r="BMR22" s="252">
        <v>0</v>
      </c>
      <c r="BMS22" s="252">
        <v>0</v>
      </c>
      <c r="BMT22" s="252">
        <v>0</v>
      </c>
      <c r="BMU22" s="252">
        <v>0</v>
      </c>
      <c r="BMV22" s="252">
        <v>0</v>
      </c>
      <c r="BMW22" s="252">
        <v>0</v>
      </c>
      <c r="BMX22" s="252">
        <v>0</v>
      </c>
      <c r="BMY22" s="252">
        <v>0</v>
      </c>
      <c r="BMZ22" s="252">
        <v>0</v>
      </c>
      <c r="BNA22" s="252">
        <v>0</v>
      </c>
      <c r="BNB22" s="252">
        <v>0</v>
      </c>
      <c r="BNC22" s="252">
        <v>0</v>
      </c>
      <c r="BND22" s="252">
        <v>0</v>
      </c>
      <c r="BNE22" s="252">
        <v>0</v>
      </c>
      <c r="BNF22" s="252">
        <v>0</v>
      </c>
      <c r="BNG22" s="252">
        <v>0</v>
      </c>
      <c r="BNH22" s="252">
        <v>0</v>
      </c>
      <c r="BNI22" s="252">
        <v>0</v>
      </c>
      <c r="BNJ22" s="252">
        <v>0</v>
      </c>
      <c r="BNK22" s="252">
        <v>0</v>
      </c>
      <c r="BNL22" s="252">
        <v>0</v>
      </c>
      <c r="BNM22" s="252">
        <v>0</v>
      </c>
      <c r="BNN22" s="252">
        <v>0</v>
      </c>
      <c r="BNO22" s="252">
        <v>0</v>
      </c>
      <c r="BNP22" s="252">
        <v>0</v>
      </c>
      <c r="BNQ22" s="252">
        <v>0</v>
      </c>
      <c r="BNR22" s="252">
        <v>0</v>
      </c>
      <c r="BNS22" s="252">
        <v>0</v>
      </c>
      <c r="BNT22" s="252">
        <v>0</v>
      </c>
      <c r="BNU22" s="252">
        <v>0</v>
      </c>
      <c r="BNV22" s="252">
        <v>0</v>
      </c>
      <c r="BNW22" s="252">
        <v>0</v>
      </c>
      <c r="BNX22" s="252">
        <v>0</v>
      </c>
      <c r="BNY22" s="252">
        <v>0</v>
      </c>
      <c r="BNZ22" s="252">
        <v>0</v>
      </c>
      <c r="BOA22" s="252">
        <v>0</v>
      </c>
      <c r="BOB22" s="252">
        <v>0</v>
      </c>
      <c r="BOC22" s="252">
        <v>0</v>
      </c>
      <c r="BOD22" s="252">
        <v>0</v>
      </c>
      <c r="BOE22" s="252">
        <v>0</v>
      </c>
      <c r="BOF22" s="252">
        <v>0</v>
      </c>
      <c r="BOG22" s="252">
        <v>0</v>
      </c>
      <c r="BOH22" s="252">
        <v>0</v>
      </c>
      <c r="BOI22" s="252">
        <v>0</v>
      </c>
      <c r="BOJ22" s="252">
        <v>0</v>
      </c>
      <c r="BOK22" s="252">
        <v>0</v>
      </c>
      <c r="BOL22" s="252">
        <v>0</v>
      </c>
      <c r="BOM22" s="252">
        <v>0</v>
      </c>
      <c r="BON22" s="252">
        <v>0</v>
      </c>
      <c r="BOO22" s="252">
        <v>0</v>
      </c>
      <c r="BOP22" s="252">
        <v>0</v>
      </c>
      <c r="BOQ22" s="252">
        <v>0</v>
      </c>
      <c r="BOR22" s="252">
        <v>0</v>
      </c>
      <c r="BOS22" s="252">
        <v>0</v>
      </c>
      <c r="BOT22" s="252">
        <v>0</v>
      </c>
      <c r="BOU22" s="252">
        <v>0</v>
      </c>
      <c r="BOV22" s="252">
        <v>0</v>
      </c>
      <c r="BOW22" s="252">
        <v>0</v>
      </c>
      <c r="BOX22" s="252">
        <v>0</v>
      </c>
      <c r="BOY22" s="252">
        <v>0</v>
      </c>
      <c r="BOZ22" s="252">
        <v>0</v>
      </c>
      <c r="BPA22" s="252">
        <v>0</v>
      </c>
      <c r="BPB22" s="252">
        <v>0</v>
      </c>
      <c r="BPC22" s="252">
        <v>0</v>
      </c>
      <c r="BPD22" s="252">
        <v>0</v>
      </c>
      <c r="BPE22" s="252">
        <v>0</v>
      </c>
      <c r="BPF22" s="252">
        <v>0</v>
      </c>
      <c r="BPG22" s="252">
        <v>0</v>
      </c>
      <c r="BPH22" s="252">
        <v>0</v>
      </c>
      <c r="BPI22" s="252">
        <v>0</v>
      </c>
      <c r="BPJ22" s="252">
        <v>0</v>
      </c>
      <c r="BPK22" s="252">
        <v>0</v>
      </c>
      <c r="BPL22" s="252">
        <v>0</v>
      </c>
      <c r="BPM22" s="252">
        <v>0</v>
      </c>
      <c r="BPN22" s="252">
        <v>0</v>
      </c>
      <c r="BPO22" s="252">
        <v>0</v>
      </c>
      <c r="BPP22" s="252">
        <v>0</v>
      </c>
      <c r="BPQ22" s="252">
        <v>0</v>
      </c>
      <c r="BPR22" s="252">
        <v>0</v>
      </c>
      <c r="BPS22" s="252">
        <v>0</v>
      </c>
      <c r="BPT22" s="252">
        <v>0</v>
      </c>
      <c r="BPU22" s="252">
        <v>0</v>
      </c>
      <c r="BPV22" s="252">
        <v>0</v>
      </c>
      <c r="BPW22" s="252">
        <v>0</v>
      </c>
      <c r="BPX22" s="252">
        <v>0</v>
      </c>
      <c r="BPY22" s="252">
        <v>0</v>
      </c>
      <c r="BPZ22" s="252">
        <v>0</v>
      </c>
      <c r="BQA22" s="252">
        <v>0</v>
      </c>
      <c r="BQB22" s="252">
        <v>0</v>
      </c>
      <c r="BQC22" s="252">
        <v>0</v>
      </c>
      <c r="BQD22" s="252">
        <v>0</v>
      </c>
      <c r="BQE22" s="252">
        <v>0</v>
      </c>
      <c r="BQF22" s="252">
        <v>0</v>
      </c>
      <c r="BQG22" s="252">
        <v>0</v>
      </c>
      <c r="BQH22" s="252">
        <v>0</v>
      </c>
      <c r="BQI22" s="252">
        <v>0</v>
      </c>
      <c r="BQJ22" s="252">
        <v>0</v>
      </c>
      <c r="BQK22" s="252">
        <v>0</v>
      </c>
      <c r="BQL22" s="252">
        <v>0</v>
      </c>
      <c r="BQM22" s="252">
        <v>0</v>
      </c>
      <c r="BQN22" s="252">
        <v>0</v>
      </c>
      <c r="BQO22" s="252">
        <v>0</v>
      </c>
      <c r="BQP22" s="252">
        <v>0</v>
      </c>
      <c r="BQQ22" s="252">
        <v>0</v>
      </c>
      <c r="BQR22" s="252">
        <v>0</v>
      </c>
      <c r="BQS22" s="252">
        <v>0</v>
      </c>
      <c r="BQT22" s="252">
        <v>0</v>
      </c>
      <c r="BQU22" s="252">
        <v>0</v>
      </c>
      <c r="BQV22" s="252">
        <v>0</v>
      </c>
      <c r="BQW22" s="252">
        <v>0</v>
      </c>
      <c r="BQX22" s="252">
        <v>0</v>
      </c>
      <c r="BQY22" s="252">
        <v>0</v>
      </c>
      <c r="BQZ22" s="252">
        <v>0</v>
      </c>
      <c r="BRA22" s="252">
        <v>0</v>
      </c>
      <c r="BRB22" s="252">
        <v>0</v>
      </c>
      <c r="BRC22" s="252">
        <v>0</v>
      </c>
      <c r="BRD22" s="252">
        <v>0</v>
      </c>
      <c r="BRE22" s="252">
        <v>0</v>
      </c>
      <c r="BRF22" s="252">
        <v>0</v>
      </c>
      <c r="BRG22" s="252">
        <v>0</v>
      </c>
      <c r="BRH22" s="252">
        <v>0</v>
      </c>
      <c r="BRI22" s="252">
        <v>0</v>
      </c>
      <c r="BRJ22" s="252">
        <v>0</v>
      </c>
      <c r="BRK22" s="252">
        <v>0</v>
      </c>
      <c r="BRL22" s="252">
        <v>0</v>
      </c>
      <c r="BRM22" s="252">
        <v>0</v>
      </c>
      <c r="BRN22" s="252">
        <v>0</v>
      </c>
      <c r="BRO22" s="252">
        <v>0</v>
      </c>
      <c r="BRP22" s="252">
        <v>0</v>
      </c>
      <c r="BRQ22" s="252">
        <v>0</v>
      </c>
      <c r="BRR22" s="252">
        <v>0</v>
      </c>
      <c r="BRS22" s="252">
        <v>0</v>
      </c>
      <c r="BRT22" s="252">
        <v>0</v>
      </c>
      <c r="BRU22" s="252">
        <v>0</v>
      </c>
      <c r="BRV22" s="252">
        <v>0</v>
      </c>
      <c r="BRW22" s="252">
        <v>0</v>
      </c>
      <c r="BRX22" s="252">
        <v>0</v>
      </c>
      <c r="BRY22" s="252">
        <v>0</v>
      </c>
      <c r="BRZ22" s="252">
        <v>0</v>
      </c>
      <c r="BSA22" s="252">
        <v>0</v>
      </c>
      <c r="BSB22" s="252">
        <v>0</v>
      </c>
      <c r="BSC22" s="252">
        <v>0</v>
      </c>
      <c r="BSD22" s="252">
        <v>0</v>
      </c>
      <c r="BSE22" s="252">
        <v>0</v>
      </c>
      <c r="BSF22" s="252">
        <v>0</v>
      </c>
      <c r="BSG22" s="252">
        <v>0</v>
      </c>
      <c r="BSH22" s="252">
        <v>0</v>
      </c>
      <c r="BSI22" s="252">
        <v>0</v>
      </c>
      <c r="BSJ22" s="252">
        <v>0</v>
      </c>
      <c r="BSK22" s="252">
        <v>0</v>
      </c>
      <c r="BSL22" s="252">
        <v>0</v>
      </c>
      <c r="BSM22" s="252">
        <v>0</v>
      </c>
      <c r="BSN22" s="252">
        <v>0</v>
      </c>
      <c r="BSO22" s="252">
        <v>0</v>
      </c>
      <c r="BSP22" s="252">
        <v>0</v>
      </c>
      <c r="BSQ22" s="252">
        <v>0</v>
      </c>
      <c r="BSR22" s="252">
        <v>0</v>
      </c>
      <c r="BSS22" s="252">
        <v>0</v>
      </c>
      <c r="BST22" s="252">
        <v>0</v>
      </c>
      <c r="BSU22" s="252">
        <v>0</v>
      </c>
      <c r="BSV22" s="252">
        <v>0</v>
      </c>
      <c r="BSW22" s="252">
        <v>0</v>
      </c>
      <c r="BSX22" s="252">
        <v>0</v>
      </c>
      <c r="BSY22" s="252">
        <v>0</v>
      </c>
      <c r="BSZ22" s="252">
        <v>0</v>
      </c>
      <c r="BTA22" s="252">
        <v>0</v>
      </c>
      <c r="BTB22" s="252">
        <v>0</v>
      </c>
      <c r="BTC22" s="252">
        <v>0</v>
      </c>
      <c r="BTD22" s="252">
        <v>0</v>
      </c>
      <c r="BTE22" s="252">
        <v>0</v>
      </c>
      <c r="BTF22" s="252">
        <v>0</v>
      </c>
      <c r="BTG22" s="252">
        <v>0</v>
      </c>
      <c r="BTH22" s="252">
        <v>0</v>
      </c>
      <c r="BTI22" s="252">
        <v>0</v>
      </c>
      <c r="BTJ22" s="252">
        <v>0</v>
      </c>
      <c r="BTK22" s="252">
        <v>0</v>
      </c>
      <c r="BTL22" s="252">
        <v>0</v>
      </c>
      <c r="BTM22" s="252">
        <v>0</v>
      </c>
      <c r="BTN22" s="252">
        <v>0</v>
      </c>
      <c r="BTO22" s="252">
        <v>0</v>
      </c>
      <c r="BTP22" s="252">
        <v>0</v>
      </c>
      <c r="BTQ22" s="252">
        <v>0</v>
      </c>
      <c r="BTR22" s="252">
        <v>0</v>
      </c>
      <c r="BTS22" s="252">
        <v>0</v>
      </c>
      <c r="BTT22" s="252">
        <v>0</v>
      </c>
      <c r="BTU22" s="252">
        <v>0</v>
      </c>
      <c r="BTV22" s="252">
        <v>0</v>
      </c>
      <c r="BTW22" s="252">
        <v>0</v>
      </c>
      <c r="BTX22" s="252">
        <v>0</v>
      </c>
      <c r="BTY22" s="252">
        <v>0</v>
      </c>
      <c r="BTZ22" s="252">
        <v>0</v>
      </c>
      <c r="BUA22" s="252">
        <v>0</v>
      </c>
      <c r="BUB22" s="252">
        <v>0</v>
      </c>
      <c r="BUC22" s="252">
        <v>0</v>
      </c>
      <c r="BUD22" s="252">
        <v>0</v>
      </c>
      <c r="BUE22" s="252">
        <v>0</v>
      </c>
      <c r="BUF22" s="252">
        <v>0</v>
      </c>
      <c r="BUG22" s="252">
        <v>0</v>
      </c>
      <c r="BUH22" s="252">
        <v>0</v>
      </c>
      <c r="BUI22" s="252">
        <v>0</v>
      </c>
      <c r="BUJ22" s="252">
        <v>0</v>
      </c>
      <c r="BUK22" s="252">
        <v>0</v>
      </c>
      <c r="BUL22" s="252">
        <v>0</v>
      </c>
      <c r="BUM22" s="252">
        <v>0</v>
      </c>
      <c r="BUN22" s="252">
        <v>0</v>
      </c>
      <c r="BUO22" s="252">
        <v>0</v>
      </c>
      <c r="BUP22" s="252">
        <v>0</v>
      </c>
      <c r="BUQ22" s="252">
        <v>0</v>
      </c>
      <c r="BUR22" s="252">
        <v>0</v>
      </c>
      <c r="BUS22" s="252">
        <v>0</v>
      </c>
      <c r="BUT22" s="252">
        <v>0</v>
      </c>
      <c r="BUU22" s="252">
        <v>0</v>
      </c>
      <c r="BUV22" s="252">
        <v>0</v>
      </c>
      <c r="BUW22" s="252">
        <v>0</v>
      </c>
      <c r="BUX22" s="252">
        <v>0</v>
      </c>
      <c r="BUY22" s="252">
        <v>0</v>
      </c>
      <c r="BUZ22" s="252">
        <v>0</v>
      </c>
      <c r="BVA22" s="252">
        <v>0</v>
      </c>
      <c r="BVB22" s="252">
        <v>0</v>
      </c>
      <c r="BVC22" s="252">
        <v>0</v>
      </c>
      <c r="BVD22" s="252">
        <v>0</v>
      </c>
      <c r="BVE22" s="252">
        <v>0</v>
      </c>
      <c r="BVF22" s="252">
        <v>0</v>
      </c>
      <c r="BVG22" s="252">
        <v>0</v>
      </c>
      <c r="BVH22" s="252">
        <v>0</v>
      </c>
      <c r="BVI22" s="252">
        <v>0</v>
      </c>
      <c r="BVJ22" s="252">
        <v>0</v>
      </c>
      <c r="BVK22" s="252">
        <v>0</v>
      </c>
      <c r="BVL22" s="252">
        <v>0</v>
      </c>
      <c r="BVM22" s="252">
        <v>0</v>
      </c>
      <c r="BVN22" s="252">
        <v>0</v>
      </c>
      <c r="BVO22" s="252">
        <v>0</v>
      </c>
      <c r="BVP22" s="252">
        <v>0</v>
      </c>
      <c r="BVQ22" s="252">
        <v>0</v>
      </c>
      <c r="BVR22" s="252">
        <v>0</v>
      </c>
      <c r="BVS22" s="252">
        <v>0</v>
      </c>
      <c r="BVT22" s="252">
        <v>0</v>
      </c>
      <c r="BVU22" s="252">
        <v>0</v>
      </c>
      <c r="BVV22" s="252">
        <v>0</v>
      </c>
      <c r="BVW22" s="252">
        <v>0</v>
      </c>
      <c r="BVX22" s="252">
        <v>0</v>
      </c>
      <c r="BVY22" s="252">
        <v>0</v>
      </c>
      <c r="BVZ22" s="252">
        <v>0</v>
      </c>
      <c r="BWA22" s="252">
        <v>0</v>
      </c>
      <c r="BWB22" s="252">
        <v>0</v>
      </c>
      <c r="BWC22" s="252">
        <v>0</v>
      </c>
      <c r="BWD22" s="252">
        <v>0</v>
      </c>
      <c r="BWE22" s="252">
        <v>0</v>
      </c>
      <c r="BWF22" s="252">
        <v>0</v>
      </c>
      <c r="BWG22" s="252">
        <v>0</v>
      </c>
      <c r="BWH22" s="252">
        <v>0</v>
      </c>
      <c r="BWI22" s="252">
        <v>0</v>
      </c>
      <c r="BWJ22" s="252">
        <v>0</v>
      </c>
      <c r="BWK22" s="252">
        <v>0</v>
      </c>
      <c r="BWL22" s="252">
        <v>0</v>
      </c>
      <c r="BWM22" s="252">
        <v>0</v>
      </c>
      <c r="BWN22" s="252">
        <v>0</v>
      </c>
      <c r="BWO22" s="252">
        <v>0</v>
      </c>
      <c r="BWP22" s="252">
        <v>0</v>
      </c>
      <c r="BWQ22" s="252">
        <v>0</v>
      </c>
      <c r="BWR22" s="252">
        <v>0</v>
      </c>
      <c r="BWS22" s="252">
        <v>0</v>
      </c>
      <c r="BWT22" s="252">
        <v>0</v>
      </c>
      <c r="BWU22" s="252">
        <v>0</v>
      </c>
      <c r="BWV22" s="252">
        <v>0</v>
      </c>
      <c r="BWW22" s="252">
        <v>0</v>
      </c>
      <c r="BWX22" s="252">
        <v>0</v>
      </c>
      <c r="BWY22" s="252">
        <v>0</v>
      </c>
      <c r="BWZ22" s="252">
        <v>0</v>
      </c>
      <c r="BXA22" s="252">
        <v>0</v>
      </c>
      <c r="BXB22" s="252">
        <v>0</v>
      </c>
      <c r="BXC22" s="252">
        <v>0</v>
      </c>
      <c r="BXD22" s="252">
        <v>0</v>
      </c>
      <c r="BXE22" s="252">
        <v>0</v>
      </c>
      <c r="BXF22" s="252">
        <v>0</v>
      </c>
      <c r="BXG22" s="252">
        <v>0</v>
      </c>
      <c r="BXH22" s="252">
        <v>0</v>
      </c>
      <c r="BXI22" s="252">
        <v>0</v>
      </c>
      <c r="BXJ22" s="252">
        <v>0</v>
      </c>
      <c r="BXK22" s="252">
        <v>0</v>
      </c>
      <c r="BXL22" s="252">
        <v>0</v>
      </c>
      <c r="BXM22" s="252">
        <v>0</v>
      </c>
      <c r="BXN22" s="252">
        <v>0</v>
      </c>
      <c r="BXO22" s="252">
        <v>0</v>
      </c>
      <c r="BXP22" s="252">
        <v>0</v>
      </c>
      <c r="BXQ22" s="252">
        <v>0</v>
      </c>
      <c r="BXR22" s="252">
        <v>0</v>
      </c>
      <c r="BXS22" s="252">
        <v>0</v>
      </c>
      <c r="BXT22" s="252">
        <v>0</v>
      </c>
      <c r="BXU22" s="252">
        <v>0</v>
      </c>
      <c r="BXV22" s="252">
        <v>0</v>
      </c>
      <c r="BXW22" s="252">
        <v>0</v>
      </c>
      <c r="BXX22" s="252">
        <v>0</v>
      </c>
      <c r="BXY22" s="252">
        <v>0</v>
      </c>
      <c r="BXZ22" s="252">
        <v>0</v>
      </c>
      <c r="BYA22" s="252">
        <v>0</v>
      </c>
      <c r="BYB22" s="252">
        <v>0</v>
      </c>
      <c r="BYC22" s="252">
        <v>0</v>
      </c>
      <c r="BYD22" s="252">
        <v>0</v>
      </c>
      <c r="BYE22" s="252">
        <v>0</v>
      </c>
      <c r="BYF22" s="252">
        <v>0</v>
      </c>
      <c r="BYG22" s="252">
        <v>0</v>
      </c>
      <c r="BYH22" s="252">
        <v>0</v>
      </c>
      <c r="BYI22" s="252">
        <v>0</v>
      </c>
      <c r="BYJ22" s="252">
        <v>0</v>
      </c>
      <c r="BYK22" s="252">
        <v>0</v>
      </c>
      <c r="BYL22" s="252">
        <v>0</v>
      </c>
      <c r="BYM22" s="252">
        <v>0</v>
      </c>
      <c r="BYN22" s="252">
        <v>0</v>
      </c>
      <c r="BYO22" s="252">
        <v>0</v>
      </c>
      <c r="BYP22" s="252">
        <v>0</v>
      </c>
      <c r="BYQ22" s="252">
        <v>0</v>
      </c>
      <c r="BYR22" s="252">
        <v>0</v>
      </c>
      <c r="BYS22" s="252">
        <v>0</v>
      </c>
      <c r="BYT22" s="252">
        <v>0</v>
      </c>
      <c r="BYU22" s="252">
        <v>0</v>
      </c>
      <c r="BYV22" s="252">
        <v>0</v>
      </c>
      <c r="BYW22" s="252">
        <v>0</v>
      </c>
      <c r="BYX22" s="252">
        <v>0</v>
      </c>
      <c r="BYY22" s="252">
        <v>0</v>
      </c>
      <c r="BYZ22" s="252">
        <v>0</v>
      </c>
      <c r="BZA22" s="252">
        <v>0</v>
      </c>
      <c r="BZB22" s="252">
        <v>0</v>
      </c>
      <c r="BZC22" s="252">
        <v>0</v>
      </c>
      <c r="BZD22" s="252">
        <v>0</v>
      </c>
      <c r="BZE22" s="252">
        <v>0</v>
      </c>
      <c r="BZF22" s="252">
        <v>0</v>
      </c>
      <c r="BZG22" s="252">
        <v>0</v>
      </c>
      <c r="BZH22" s="252">
        <v>0</v>
      </c>
      <c r="BZI22" s="252">
        <v>0</v>
      </c>
      <c r="BZJ22" s="252">
        <v>0</v>
      </c>
      <c r="BZK22" s="252">
        <v>0</v>
      </c>
      <c r="BZL22" s="252">
        <v>0</v>
      </c>
      <c r="BZM22" s="252">
        <v>0</v>
      </c>
      <c r="BZN22" s="252">
        <v>0</v>
      </c>
      <c r="BZO22" s="252">
        <v>0</v>
      </c>
      <c r="BZP22" s="252">
        <v>0</v>
      </c>
      <c r="BZQ22" s="252">
        <v>0</v>
      </c>
      <c r="BZR22" s="252">
        <v>0</v>
      </c>
      <c r="BZS22" s="252">
        <v>0</v>
      </c>
      <c r="BZT22" s="252">
        <v>0</v>
      </c>
      <c r="BZU22" s="252">
        <v>0</v>
      </c>
      <c r="BZV22" s="252">
        <v>0</v>
      </c>
      <c r="BZW22" s="252">
        <v>0</v>
      </c>
      <c r="BZX22" s="252">
        <v>0</v>
      </c>
      <c r="BZY22" s="252">
        <v>0</v>
      </c>
      <c r="BZZ22" s="252">
        <v>0</v>
      </c>
      <c r="CAA22" s="252">
        <v>0</v>
      </c>
      <c r="CAB22" s="252">
        <v>0</v>
      </c>
      <c r="CAC22" s="252">
        <v>0</v>
      </c>
      <c r="CAD22" s="252">
        <v>0</v>
      </c>
      <c r="CAE22" s="252">
        <v>0</v>
      </c>
      <c r="CAF22" s="252">
        <v>0</v>
      </c>
      <c r="CAG22" s="252">
        <v>0</v>
      </c>
      <c r="CAH22" s="252">
        <v>0</v>
      </c>
      <c r="CAI22" s="252">
        <v>0</v>
      </c>
      <c r="CAJ22" s="252">
        <v>0</v>
      </c>
      <c r="CAK22" s="252">
        <v>0</v>
      </c>
      <c r="CAL22" s="252">
        <v>0</v>
      </c>
      <c r="CAM22" s="252">
        <v>0</v>
      </c>
      <c r="CAN22" s="252">
        <v>0</v>
      </c>
      <c r="CAO22" s="252">
        <v>0</v>
      </c>
      <c r="CAP22" s="252">
        <v>0</v>
      </c>
      <c r="CAQ22" s="252">
        <v>0</v>
      </c>
      <c r="CAR22" s="252">
        <v>0</v>
      </c>
      <c r="CAS22" s="252">
        <v>0</v>
      </c>
      <c r="CAT22" s="252">
        <v>0</v>
      </c>
      <c r="CAU22" s="252">
        <v>0</v>
      </c>
      <c r="CAV22" s="252">
        <v>0</v>
      </c>
      <c r="CAW22" s="252">
        <v>0</v>
      </c>
      <c r="CAX22" s="252">
        <v>0</v>
      </c>
      <c r="CAY22" s="252">
        <v>0</v>
      </c>
      <c r="CAZ22" s="252">
        <v>0</v>
      </c>
      <c r="CBA22" s="252">
        <v>0</v>
      </c>
      <c r="CBB22" s="252">
        <v>0</v>
      </c>
      <c r="CBC22" s="252">
        <v>0</v>
      </c>
      <c r="CBD22" s="252">
        <v>0</v>
      </c>
      <c r="CBE22" s="252">
        <v>0</v>
      </c>
      <c r="CBF22" s="252">
        <v>0</v>
      </c>
      <c r="CBG22" s="252">
        <v>0</v>
      </c>
      <c r="CBH22" s="252">
        <v>0</v>
      </c>
      <c r="CBI22" s="252">
        <v>0</v>
      </c>
      <c r="CBJ22" s="252">
        <v>0</v>
      </c>
      <c r="CBK22" s="252">
        <v>0</v>
      </c>
      <c r="CBL22" s="252">
        <v>0</v>
      </c>
      <c r="CBM22" s="252">
        <v>0</v>
      </c>
      <c r="CBN22" s="252">
        <v>0</v>
      </c>
      <c r="CBO22" s="252">
        <v>0</v>
      </c>
      <c r="CBP22" s="252">
        <v>0</v>
      </c>
      <c r="CBQ22" s="252">
        <v>0</v>
      </c>
      <c r="CBR22" s="252">
        <v>0</v>
      </c>
      <c r="CBS22" s="252">
        <v>0</v>
      </c>
      <c r="CBT22" s="252">
        <v>0</v>
      </c>
      <c r="CBU22" s="252">
        <v>0</v>
      </c>
      <c r="CBV22" s="252">
        <v>0</v>
      </c>
      <c r="CBW22" s="252">
        <v>0</v>
      </c>
      <c r="CBX22" s="252">
        <v>0</v>
      </c>
      <c r="CBY22" s="252">
        <v>0</v>
      </c>
      <c r="CBZ22" s="252">
        <v>0</v>
      </c>
      <c r="CCA22" s="252">
        <v>0</v>
      </c>
      <c r="CCB22" s="252">
        <v>0</v>
      </c>
      <c r="CCC22" s="252">
        <v>0</v>
      </c>
      <c r="CCD22" s="252">
        <v>0</v>
      </c>
      <c r="CCE22" s="252">
        <v>0</v>
      </c>
      <c r="CCF22" s="252">
        <v>0</v>
      </c>
      <c r="CCG22" s="252">
        <v>0</v>
      </c>
      <c r="CCH22" s="252">
        <v>0</v>
      </c>
      <c r="CCI22" s="252">
        <v>0</v>
      </c>
      <c r="CCJ22" s="252">
        <v>0</v>
      </c>
      <c r="CCK22" s="252">
        <v>0</v>
      </c>
      <c r="CCL22" s="252">
        <v>0</v>
      </c>
      <c r="CCM22" s="252">
        <v>0</v>
      </c>
      <c r="CCN22" s="252">
        <v>0</v>
      </c>
      <c r="CCO22" s="252">
        <v>0</v>
      </c>
      <c r="CCP22" s="252">
        <v>0</v>
      </c>
      <c r="CCQ22" s="252">
        <v>0</v>
      </c>
      <c r="CCR22" s="252">
        <v>0</v>
      </c>
      <c r="CCS22" s="252">
        <v>0</v>
      </c>
      <c r="CCT22" s="252">
        <v>0</v>
      </c>
      <c r="CCU22" s="252">
        <v>0</v>
      </c>
      <c r="CCV22" s="252">
        <v>0</v>
      </c>
      <c r="CCW22" s="252">
        <v>0</v>
      </c>
      <c r="CCX22" s="252">
        <v>0</v>
      </c>
      <c r="CCY22" s="252">
        <v>0</v>
      </c>
      <c r="CCZ22" s="252">
        <v>0</v>
      </c>
      <c r="CDA22" s="252">
        <v>0</v>
      </c>
      <c r="CDB22" s="252">
        <v>0</v>
      </c>
      <c r="CDC22" s="252">
        <v>0</v>
      </c>
      <c r="CDD22" s="252">
        <v>0</v>
      </c>
      <c r="CDE22" s="252">
        <v>0</v>
      </c>
      <c r="CDF22" s="252">
        <v>0</v>
      </c>
      <c r="CDG22" s="252">
        <v>0</v>
      </c>
      <c r="CDH22" s="252">
        <v>0</v>
      </c>
      <c r="CDI22" s="252">
        <v>0</v>
      </c>
      <c r="CDJ22" s="252">
        <v>0</v>
      </c>
      <c r="CDK22" s="252">
        <v>0</v>
      </c>
      <c r="CDL22" s="252">
        <v>0</v>
      </c>
      <c r="CDM22" s="252">
        <v>0</v>
      </c>
      <c r="CDN22" s="252">
        <v>0</v>
      </c>
      <c r="CDO22" s="252">
        <v>0</v>
      </c>
      <c r="CDP22" s="252">
        <v>0</v>
      </c>
      <c r="CDQ22" s="252">
        <v>0</v>
      </c>
      <c r="CDR22" s="252">
        <v>0</v>
      </c>
      <c r="CDS22" s="252">
        <v>0</v>
      </c>
      <c r="CDT22" s="252">
        <v>0</v>
      </c>
      <c r="CDU22" s="252">
        <v>0</v>
      </c>
      <c r="CDV22" s="252">
        <v>0</v>
      </c>
      <c r="CDW22" s="252">
        <v>0</v>
      </c>
      <c r="CDX22" s="252">
        <v>0</v>
      </c>
      <c r="CDY22" s="252">
        <v>0</v>
      </c>
      <c r="CDZ22" s="252">
        <v>0</v>
      </c>
      <c r="CEA22" s="252">
        <v>0</v>
      </c>
      <c r="CEB22" s="252">
        <v>0</v>
      </c>
      <c r="CEC22" s="252">
        <v>0</v>
      </c>
      <c r="CED22" s="252">
        <v>0</v>
      </c>
      <c r="CEE22" s="252">
        <v>0</v>
      </c>
      <c r="CEF22" s="252">
        <v>0</v>
      </c>
      <c r="CEG22" s="252">
        <v>0</v>
      </c>
      <c r="CEH22" s="252">
        <v>0</v>
      </c>
      <c r="CEI22" s="252">
        <v>0</v>
      </c>
      <c r="CEJ22" s="252">
        <v>0</v>
      </c>
      <c r="CEK22" s="252">
        <v>0</v>
      </c>
      <c r="CEL22" s="252">
        <v>0</v>
      </c>
      <c r="CEM22" s="252">
        <v>0</v>
      </c>
      <c r="CEN22" s="252">
        <v>0</v>
      </c>
      <c r="CEO22" s="252">
        <v>0</v>
      </c>
      <c r="CEP22" s="252">
        <v>0</v>
      </c>
      <c r="CEQ22" s="252">
        <v>0</v>
      </c>
      <c r="CER22" s="252">
        <v>0</v>
      </c>
      <c r="CES22" s="252">
        <v>0</v>
      </c>
      <c r="CET22" s="252">
        <v>0</v>
      </c>
      <c r="CEU22" s="252">
        <v>0</v>
      </c>
      <c r="CEV22" s="252">
        <v>0</v>
      </c>
      <c r="CEW22" s="252">
        <v>0</v>
      </c>
      <c r="CEX22" s="252">
        <v>0</v>
      </c>
      <c r="CEY22" s="252">
        <v>0</v>
      </c>
      <c r="CEZ22" s="252">
        <v>0</v>
      </c>
      <c r="CFA22" s="252">
        <v>0</v>
      </c>
      <c r="CFB22" s="252">
        <v>0</v>
      </c>
      <c r="CFC22" s="252">
        <v>0</v>
      </c>
      <c r="CFD22" s="252">
        <v>0</v>
      </c>
      <c r="CFE22" s="252">
        <v>0</v>
      </c>
      <c r="CFF22" s="252">
        <v>0</v>
      </c>
      <c r="CFG22" s="252">
        <v>0</v>
      </c>
      <c r="CFH22" s="252">
        <v>0</v>
      </c>
      <c r="CFI22" s="252">
        <v>0</v>
      </c>
      <c r="CFJ22" s="252">
        <v>0</v>
      </c>
      <c r="CFK22" s="252">
        <v>0</v>
      </c>
      <c r="CFL22" s="252">
        <v>0</v>
      </c>
      <c r="CFM22" s="252">
        <v>0</v>
      </c>
      <c r="CFN22" s="252">
        <v>0</v>
      </c>
      <c r="CFO22" s="252">
        <v>0</v>
      </c>
      <c r="CFP22" s="252">
        <v>0</v>
      </c>
      <c r="CFQ22" s="252">
        <v>0</v>
      </c>
      <c r="CFR22" s="252">
        <v>0</v>
      </c>
      <c r="CFS22" s="252">
        <v>0</v>
      </c>
      <c r="CFT22" s="252">
        <v>0</v>
      </c>
      <c r="CFU22" s="252">
        <v>0</v>
      </c>
      <c r="CFV22" s="252">
        <v>0</v>
      </c>
      <c r="CFW22" s="252">
        <v>0</v>
      </c>
      <c r="CFX22" s="252">
        <v>0</v>
      </c>
      <c r="CFY22" s="252">
        <v>0</v>
      </c>
      <c r="CFZ22" s="252">
        <v>0</v>
      </c>
      <c r="CGA22" s="252">
        <v>0</v>
      </c>
      <c r="CGB22" s="252">
        <v>0</v>
      </c>
      <c r="CGC22" s="252">
        <v>0</v>
      </c>
      <c r="CGD22" s="252">
        <v>0</v>
      </c>
      <c r="CGE22" s="252">
        <v>0</v>
      </c>
      <c r="CGF22" s="252">
        <v>0</v>
      </c>
      <c r="CGG22" s="252">
        <v>0</v>
      </c>
      <c r="CGH22" s="252">
        <v>0</v>
      </c>
      <c r="CGI22" s="252">
        <v>0</v>
      </c>
      <c r="CGJ22" s="252">
        <v>0</v>
      </c>
      <c r="CGK22" s="252">
        <v>0</v>
      </c>
      <c r="CGL22" s="252">
        <v>0</v>
      </c>
      <c r="CGM22" s="252">
        <v>0</v>
      </c>
      <c r="CGN22" s="252">
        <v>0</v>
      </c>
      <c r="CGO22" s="252">
        <v>0</v>
      </c>
      <c r="CGP22" s="252">
        <v>0</v>
      </c>
      <c r="CGQ22" s="252">
        <v>0</v>
      </c>
      <c r="CGR22" s="252">
        <v>0</v>
      </c>
      <c r="CGS22" s="252">
        <v>0</v>
      </c>
      <c r="CGT22" s="252">
        <v>0</v>
      </c>
      <c r="CGU22" s="252">
        <v>0</v>
      </c>
      <c r="CGV22" s="252">
        <v>0</v>
      </c>
      <c r="CGW22" s="252">
        <v>0</v>
      </c>
      <c r="CGX22" s="252">
        <v>0</v>
      </c>
      <c r="CGY22" s="252">
        <v>0</v>
      </c>
      <c r="CGZ22" s="252">
        <v>0</v>
      </c>
      <c r="CHA22" s="252">
        <v>0</v>
      </c>
      <c r="CHB22" s="252">
        <v>0</v>
      </c>
      <c r="CHC22" s="252">
        <v>0</v>
      </c>
      <c r="CHD22" s="252">
        <v>0</v>
      </c>
      <c r="CHE22" s="252">
        <v>0</v>
      </c>
      <c r="CHF22" s="252">
        <v>0</v>
      </c>
      <c r="CHG22" s="252">
        <v>0</v>
      </c>
      <c r="CHH22" s="252">
        <v>0</v>
      </c>
      <c r="CHI22" s="252">
        <v>0</v>
      </c>
      <c r="CHJ22" s="252">
        <v>0</v>
      </c>
      <c r="CHK22" s="252">
        <v>0</v>
      </c>
      <c r="CHL22" s="252">
        <v>0</v>
      </c>
      <c r="CHM22" s="252">
        <v>0</v>
      </c>
      <c r="CHN22" s="252">
        <v>0</v>
      </c>
      <c r="CHO22" s="252">
        <v>0</v>
      </c>
      <c r="CHP22" s="252">
        <v>0</v>
      </c>
      <c r="CHQ22" s="252">
        <v>0</v>
      </c>
      <c r="CHR22" s="252">
        <v>0</v>
      </c>
      <c r="CHS22" s="252">
        <v>0</v>
      </c>
      <c r="CHT22" s="252">
        <v>0</v>
      </c>
      <c r="CHU22" s="252">
        <v>0</v>
      </c>
      <c r="CHV22" s="252">
        <v>0</v>
      </c>
      <c r="CHW22" s="252">
        <v>0</v>
      </c>
      <c r="CHX22" s="252">
        <v>0</v>
      </c>
      <c r="CHY22" s="252">
        <v>0</v>
      </c>
      <c r="CHZ22" s="252">
        <v>0</v>
      </c>
      <c r="CIA22" s="252">
        <v>0</v>
      </c>
      <c r="CIB22" s="252">
        <v>0</v>
      </c>
      <c r="CIC22" s="252">
        <v>0</v>
      </c>
      <c r="CID22" s="252">
        <v>0</v>
      </c>
      <c r="CIE22" s="252">
        <v>0</v>
      </c>
      <c r="CIF22" s="252">
        <v>0</v>
      </c>
      <c r="CIG22" s="252">
        <v>0</v>
      </c>
      <c r="CIH22" s="252">
        <v>0</v>
      </c>
      <c r="CII22" s="252">
        <v>0</v>
      </c>
      <c r="CIJ22" s="252">
        <v>0</v>
      </c>
      <c r="CIK22" s="252">
        <v>0</v>
      </c>
      <c r="CIL22" s="252">
        <v>0</v>
      </c>
      <c r="CIM22" s="252">
        <v>0</v>
      </c>
      <c r="CIN22" s="252">
        <v>0</v>
      </c>
      <c r="CIO22" s="252">
        <v>0</v>
      </c>
      <c r="CIP22" s="252">
        <v>0</v>
      </c>
      <c r="CIQ22" s="252">
        <v>0</v>
      </c>
      <c r="CIR22" s="252">
        <v>0</v>
      </c>
      <c r="CIS22" s="252">
        <v>0</v>
      </c>
      <c r="CIT22" s="252">
        <v>0</v>
      </c>
      <c r="CIU22" s="252">
        <v>0</v>
      </c>
      <c r="CIV22" s="252">
        <v>0</v>
      </c>
      <c r="CIW22" s="252">
        <v>0</v>
      </c>
      <c r="CIX22" s="252">
        <v>0</v>
      </c>
      <c r="CIY22" s="252">
        <v>0</v>
      </c>
      <c r="CIZ22" s="252">
        <v>0</v>
      </c>
      <c r="CJA22" s="252">
        <v>0</v>
      </c>
      <c r="CJB22" s="252">
        <v>0</v>
      </c>
      <c r="CJC22" s="252">
        <v>0</v>
      </c>
      <c r="CJD22" s="252">
        <v>0</v>
      </c>
      <c r="CJE22" s="252">
        <v>0</v>
      </c>
      <c r="CJF22" s="252">
        <v>0</v>
      </c>
      <c r="CJG22" s="252">
        <v>0</v>
      </c>
      <c r="CJH22" s="252">
        <v>0</v>
      </c>
      <c r="CJI22" s="252">
        <v>0</v>
      </c>
      <c r="CJJ22" s="252">
        <v>0</v>
      </c>
      <c r="CJK22" s="252">
        <v>0</v>
      </c>
      <c r="CJL22" s="252">
        <v>0</v>
      </c>
      <c r="CJM22" s="252">
        <v>0</v>
      </c>
      <c r="CJN22" s="252">
        <v>0</v>
      </c>
      <c r="CJO22" s="252">
        <v>0</v>
      </c>
      <c r="CJP22" s="252">
        <v>0</v>
      </c>
      <c r="CJQ22" s="252">
        <v>0</v>
      </c>
      <c r="CJR22" s="252">
        <v>0</v>
      </c>
      <c r="CJS22" s="252">
        <v>0</v>
      </c>
      <c r="CJT22" s="252">
        <v>0</v>
      </c>
      <c r="CJU22" s="252">
        <v>0</v>
      </c>
      <c r="CJV22" s="252">
        <v>0</v>
      </c>
      <c r="CJW22" s="252">
        <v>0</v>
      </c>
      <c r="CJX22" s="252">
        <v>0</v>
      </c>
      <c r="CJY22" s="252">
        <v>0</v>
      </c>
      <c r="CJZ22" s="252">
        <v>0</v>
      </c>
      <c r="CKA22" s="252">
        <v>0</v>
      </c>
      <c r="CKB22" s="252">
        <v>0</v>
      </c>
      <c r="CKC22" s="252">
        <v>0</v>
      </c>
      <c r="CKD22" s="252">
        <v>0</v>
      </c>
      <c r="CKE22" s="252">
        <v>0</v>
      </c>
      <c r="CKF22" s="252">
        <v>0</v>
      </c>
      <c r="CKG22" s="252">
        <v>0</v>
      </c>
      <c r="CKH22" s="252">
        <v>0</v>
      </c>
      <c r="CKI22" s="252">
        <v>0</v>
      </c>
      <c r="CKJ22" s="252">
        <v>0</v>
      </c>
      <c r="CKK22" s="252">
        <v>0</v>
      </c>
      <c r="CKL22" s="252">
        <v>0</v>
      </c>
      <c r="CKM22" s="252">
        <v>0</v>
      </c>
      <c r="CKN22" s="252">
        <v>0</v>
      </c>
      <c r="CKO22" s="252">
        <v>0</v>
      </c>
      <c r="CKP22" s="252">
        <v>0</v>
      </c>
      <c r="CKQ22" s="252">
        <v>0</v>
      </c>
      <c r="CKR22" s="252">
        <v>0</v>
      </c>
      <c r="CKS22" s="252">
        <v>0</v>
      </c>
      <c r="CKT22" s="252">
        <v>0</v>
      </c>
      <c r="CKU22" s="252">
        <v>0</v>
      </c>
      <c r="CKV22" s="252">
        <v>0</v>
      </c>
      <c r="CKW22" s="252">
        <v>0</v>
      </c>
      <c r="CKX22" s="252">
        <v>0</v>
      </c>
      <c r="CKY22" s="252">
        <v>0</v>
      </c>
      <c r="CKZ22" s="252">
        <v>0</v>
      </c>
      <c r="CLA22" s="252">
        <v>0</v>
      </c>
      <c r="CLB22" s="252">
        <v>0</v>
      </c>
      <c r="CLC22" s="252">
        <v>0</v>
      </c>
      <c r="CLD22" s="252">
        <v>0</v>
      </c>
      <c r="CLE22" s="252">
        <v>0</v>
      </c>
      <c r="CLF22" s="252">
        <v>0</v>
      </c>
      <c r="CLG22" s="252">
        <v>0</v>
      </c>
      <c r="CLH22" s="252">
        <v>0</v>
      </c>
      <c r="CLI22" s="252">
        <v>0</v>
      </c>
      <c r="CLJ22" s="252">
        <v>0</v>
      </c>
      <c r="CLK22" s="252">
        <v>0</v>
      </c>
      <c r="CLL22" s="252">
        <v>0</v>
      </c>
      <c r="CLM22" s="252">
        <v>0</v>
      </c>
      <c r="CLN22" s="252">
        <v>0</v>
      </c>
      <c r="CLO22" s="252">
        <v>0</v>
      </c>
      <c r="CLP22" s="252">
        <v>0</v>
      </c>
      <c r="CLQ22" s="252">
        <v>0</v>
      </c>
      <c r="CLR22" s="252">
        <v>0</v>
      </c>
      <c r="CLS22" s="252">
        <v>0</v>
      </c>
      <c r="CLT22" s="252">
        <v>0</v>
      </c>
      <c r="CLU22" s="252">
        <v>0</v>
      </c>
      <c r="CLV22" s="252">
        <v>0</v>
      </c>
      <c r="CLW22" s="252">
        <v>0</v>
      </c>
      <c r="CLX22" s="252">
        <v>0</v>
      </c>
      <c r="CLY22" s="252">
        <v>0</v>
      </c>
      <c r="CLZ22" s="252">
        <v>0</v>
      </c>
      <c r="CMA22" s="252">
        <v>0</v>
      </c>
      <c r="CMB22" s="252">
        <v>0</v>
      </c>
      <c r="CMC22" s="252">
        <v>0</v>
      </c>
      <c r="CMD22" s="252">
        <v>0</v>
      </c>
      <c r="CME22" s="252">
        <v>0</v>
      </c>
      <c r="CMF22" s="252">
        <v>0</v>
      </c>
      <c r="CMG22" s="252">
        <v>0</v>
      </c>
      <c r="CMH22" s="252">
        <v>0</v>
      </c>
      <c r="CMI22" s="252">
        <v>0</v>
      </c>
      <c r="CMJ22" s="252">
        <v>0</v>
      </c>
      <c r="CMK22" s="252">
        <v>0</v>
      </c>
      <c r="CML22" s="252">
        <v>0</v>
      </c>
      <c r="CMM22" s="252">
        <v>0</v>
      </c>
      <c r="CMN22" s="252">
        <v>0</v>
      </c>
      <c r="CMO22" s="252">
        <v>0</v>
      </c>
      <c r="CMP22" s="252">
        <v>0</v>
      </c>
      <c r="CMQ22" s="252">
        <v>0</v>
      </c>
      <c r="CMR22" s="252">
        <v>0</v>
      </c>
      <c r="CMS22" s="252">
        <v>0</v>
      </c>
      <c r="CMT22" s="252">
        <v>0</v>
      </c>
      <c r="CMU22" s="252">
        <v>0</v>
      </c>
      <c r="CMV22" s="252">
        <v>0</v>
      </c>
      <c r="CMW22" s="252">
        <v>0</v>
      </c>
      <c r="CMX22" s="252">
        <v>0</v>
      </c>
      <c r="CMY22" s="252">
        <v>0</v>
      </c>
      <c r="CMZ22" s="252">
        <v>0</v>
      </c>
      <c r="CNA22" s="252">
        <v>0</v>
      </c>
      <c r="CNB22" s="252">
        <v>0</v>
      </c>
      <c r="CNC22" s="252">
        <v>0</v>
      </c>
      <c r="CND22" s="252">
        <v>0</v>
      </c>
      <c r="CNE22" s="252">
        <v>0</v>
      </c>
      <c r="CNF22" s="252">
        <v>0</v>
      </c>
      <c r="CNG22" s="252">
        <v>0</v>
      </c>
      <c r="CNH22" s="252">
        <v>0</v>
      </c>
      <c r="CNI22" s="252">
        <v>0</v>
      </c>
      <c r="CNJ22" s="252">
        <v>0</v>
      </c>
      <c r="CNK22" s="252">
        <v>0</v>
      </c>
      <c r="CNL22" s="252">
        <v>0</v>
      </c>
      <c r="CNM22" s="252">
        <v>0</v>
      </c>
      <c r="CNN22" s="252">
        <v>0</v>
      </c>
      <c r="CNO22" s="252">
        <v>0</v>
      </c>
      <c r="CNP22" s="252">
        <v>0</v>
      </c>
      <c r="CNQ22" s="252">
        <v>0</v>
      </c>
      <c r="CNR22" s="252">
        <v>0</v>
      </c>
      <c r="CNS22" s="252">
        <v>0</v>
      </c>
      <c r="CNT22" s="252">
        <v>0</v>
      </c>
      <c r="CNU22" s="252">
        <v>0</v>
      </c>
      <c r="CNV22" s="252">
        <v>0</v>
      </c>
      <c r="CNW22" s="252">
        <v>0</v>
      </c>
      <c r="CNX22" s="252">
        <v>0</v>
      </c>
      <c r="CNY22" s="252">
        <v>0</v>
      </c>
      <c r="CNZ22" s="252">
        <v>0</v>
      </c>
      <c r="COA22" s="252">
        <v>0</v>
      </c>
      <c r="COB22" s="252">
        <v>0</v>
      </c>
      <c r="COC22" s="252">
        <v>0</v>
      </c>
      <c r="COD22" s="252">
        <v>0</v>
      </c>
      <c r="COE22" s="252">
        <v>0</v>
      </c>
      <c r="COF22" s="252">
        <v>0</v>
      </c>
      <c r="COG22" s="252">
        <v>0</v>
      </c>
      <c r="COH22" s="252">
        <v>0</v>
      </c>
      <c r="COI22" s="252">
        <v>0</v>
      </c>
      <c r="COJ22" s="252">
        <v>0</v>
      </c>
      <c r="COK22" s="252">
        <v>0</v>
      </c>
      <c r="COL22" s="252">
        <v>0</v>
      </c>
      <c r="COM22" s="252">
        <v>0</v>
      </c>
      <c r="CON22" s="252">
        <v>0</v>
      </c>
      <c r="COO22" s="252">
        <v>0</v>
      </c>
      <c r="COP22" s="252">
        <v>0</v>
      </c>
      <c r="COQ22" s="252">
        <v>0</v>
      </c>
      <c r="COR22" s="252">
        <v>0</v>
      </c>
      <c r="COS22" s="252">
        <v>0</v>
      </c>
      <c r="COT22" s="252">
        <v>0</v>
      </c>
      <c r="COU22" s="252">
        <v>0</v>
      </c>
      <c r="COV22" s="252">
        <v>0</v>
      </c>
      <c r="COW22" s="252">
        <v>0</v>
      </c>
      <c r="COX22" s="252">
        <v>0</v>
      </c>
      <c r="COY22" s="252">
        <v>0</v>
      </c>
      <c r="COZ22" s="252">
        <v>0</v>
      </c>
      <c r="CPA22" s="252">
        <v>0</v>
      </c>
      <c r="CPB22" s="252">
        <v>0</v>
      </c>
      <c r="CPC22" s="252">
        <v>0</v>
      </c>
      <c r="CPD22" s="252">
        <v>0</v>
      </c>
      <c r="CPE22" s="252">
        <v>0</v>
      </c>
      <c r="CPF22" s="252">
        <v>0</v>
      </c>
      <c r="CPG22" s="252">
        <v>0</v>
      </c>
      <c r="CPH22" s="252">
        <v>0</v>
      </c>
      <c r="CPI22" s="252">
        <v>0</v>
      </c>
      <c r="CPJ22" s="252">
        <v>0</v>
      </c>
      <c r="CPK22" s="252">
        <v>0</v>
      </c>
      <c r="CPL22" s="252">
        <v>0</v>
      </c>
      <c r="CPM22" s="252">
        <v>0</v>
      </c>
      <c r="CPN22" s="252">
        <v>0</v>
      </c>
      <c r="CPO22" s="252">
        <v>0</v>
      </c>
      <c r="CPP22" s="252">
        <v>0</v>
      </c>
      <c r="CPQ22" s="252">
        <v>0</v>
      </c>
      <c r="CPR22" s="252">
        <v>0</v>
      </c>
      <c r="CPS22" s="252">
        <v>0</v>
      </c>
      <c r="CPT22" s="252">
        <v>0</v>
      </c>
      <c r="CPU22" s="252">
        <v>0</v>
      </c>
      <c r="CPV22" s="252">
        <v>0</v>
      </c>
      <c r="CPW22" s="252">
        <v>0</v>
      </c>
      <c r="CPX22" s="252">
        <v>0</v>
      </c>
      <c r="CPY22" s="252">
        <v>0</v>
      </c>
      <c r="CPZ22" s="252">
        <v>0</v>
      </c>
      <c r="CQA22" s="252">
        <v>0</v>
      </c>
      <c r="CQB22" s="252">
        <v>0</v>
      </c>
      <c r="CQC22" s="252">
        <v>0</v>
      </c>
      <c r="CQD22" s="252">
        <v>0</v>
      </c>
      <c r="CQE22" s="252">
        <v>0</v>
      </c>
      <c r="CQF22" s="252">
        <v>0</v>
      </c>
      <c r="CQG22" s="252">
        <v>0</v>
      </c>
      <c r="CQH22" s="252">
        <v>0</v>
      </c>
      <c r="CQI22" s="252">
        <v>0</v>
      </c>
      <c r="CQJ22" s="252">
        <v>0</v>
      </c>
      <c r="CQK22" s="252">
        <v>0</v>
      </c>
      <c r="CQL22" s="252">
        <v>0</v>
      </c>
      <c r="CQM22" s="252">
        <v>0</v>
      </c>
      <c r="CQN22" s="252">
        <v>0</v>
      </c>
      <c r="CQO22" s="252">
        <v>0</v>
      </c>
      <c r="CQP22" s="252">
        <v>0</v>
      </c>
      <c r="CQQ22" s="252">
        <v>0</v>
      </c>
      <c r="CQR22" s="252">
        <v>0</v>
      </c>
      <c r="CQS22" s="252">
        <v>0</v>
      </c>
      <c r="CQT22" s="252">
        <v>0</v>
      </c>
      <c r="CQU22" s="252">
        <v>0</v>
      </c>
      <c r="CQV22" s="252">
        <v>0</v>
      </c>
      <c r="CQW22" s="252">
        <v>0</v>
      </c>
      <c r="CQX22" s="252">
        <v>0</v>
      </c>
      <c r="CQY22" s="252">
        <v>0</v>
      </c>
      <c r="CQZ22" s="252">
        <v>0</v>
      </c>
      <c r="CRA22" s="252">
        <v>0</v>
      </c>
      <c r="CRB22" s="252">
        <v>0</v>
      </c>
      <c r="CRC22" s="252">
        <v>0</v>
      </c>
      <c r="CRD22" s="252">
        <v>0</v>
      </c>
      <c r="CRE22" s="252">
        <v>0</v>
      </c>
      <c r="CRF22" s="252">
        <v>0</v>
      </c>
      <c r="CRG22" s="252">
        <v>0</v>
      </c>
      <c r="CRH22" s="252">
        <v>0</v>
      </c>
      <c r="CRI22" s="252">
        <v>0</v>
      </c>
      <c r="CRJ22" s="252">
        <v>0</v>
      </c>
      <c r="CRK22" s="252">
        <v>0</v>
      </c>
      <c r="CRL22" s="252">
        <v>0</v>
      </c>
      <c r="CRM22" s="252">
        <v>0</v>
      </c>
      <c r="CRN22" s="252">
        <v>0</v>
      </c>
      <c r="CRO22" s="252">
        <v>0</v>
      </c>
      <c r="CRP22" s="252">
        <v>0</v>
      </c>
      <c r="CRQ22" s="252">
        <v>0</v>
      </c>
      <c r="CRR22" s="252">
        <v>0</v>
      </c>
      <c r="CRS22" s="252">
        <v>0</v>
      </c>
      <c r="CRT22" s="252">
        <v>0</v>
      </c>
      <c r="CRU22" s="252">
        <v>0</v>
      </c>
      <c r="CRV22" s="252">
        <v>0</v>
      </c>
      <c r="CRW22" s="252">
        <v>0</v>
      </c>
      <c r="CRX22" s="252">
        <v>0</v>
      </c>
      <c r="CRY22" s="252">
        <v>0</v>
      </c>
      <c r="CRZ22" s="252">
        <v>0</v>
      </c>
      <c r="CSA22" s="252">
        <v>0</v>
      </c>
      <c r="CSB22" s="252">
        <v>0</v>
      </c>
      <c r="CSC22" s="252">
        <v>0</v>
      </c>
      <c r="CSD22" s="252">
        <v>0</v>
      </c>
      <c r="CSE22" s="252">
        <v>0</v>
      </c>
      <c r="CSF22" s="252">
        <v>0</v>
      </c>
      <c r="CSG22" s="252">
        <v>0</v>
      </c>
      <c r="CSH22" s="252">
        <v>0</v>
      </c>
      <c r="CSI22" s="252">
        <v>0</v>
      </c>
      <c r="CSJ22" s="252">
        <v>0</v>
      </c>
      <c r="CSK22" s="252">
        <v>0</v>
      </c>
      <c r="CSL22" s="252">
        <v>0</v>
      </c>
      <c r="CSM22" s="252">
        <v>0</v>
      </c>
      <c r="CSN22" s="252">
        <v>0</v>
      </c>
      <c r="CSO22" s="252">
        <v>0</v>
      </c>
      <c r="CSP22" s="252">
        <v>0</v>
      </c>
      <c r="CSQ22" s="252">
        <v>0</v>
      </c>
      <c r="CSR22" s="252">
        <v>0</v>
      </c>
      <c r="CSS22" s="252">
        <v>0</v>
      </c>
      <c r="CST22" s="252">
        <v>0</v>
      </c>
      <c r="CSU22" s="252">
        <v>0</v>
      </c>
      <c r="CSV22" s="252">
        <v>0</v>
      </c>
      <c r="CSW22" s="252">
        <v>0</v>
      </c>
      <c r="CSX22" s="252">
        <v>0</v>
      </c>
      <c r="CSY22" s="252">
        <v>0</v>
      </c>
      <c r="CSZ22" s="252">
        <v>0</v>
      </c>
      <c r="CTA22" s="252">
        <v>0</v>
      </c>
      <c r="CTB22" s="252">
        <v>0</v>
      </c>
      <c r="CTC22" s="252">
        <v>0</v>
      </c>
      <c r="CTD22" s="252">
        <v>0</v>
      </c>
      <c r="CTE22" s="252">
        <v>0</v>
      </c>
      <c r="CTF22" s="252">
        <v>0</v>
      </c>
      <c r="CTG22" s="252">
        <v>0</v>
      </c>
      <c r="CTH22" s="252">
        <v>0</v>
      </c>
      <c r="CTI22" s="252">
        <v>0</v>
      </c>
      <c r="CTJ22" s="252">
        <v>0</v>
      </c>
      <c r="CTK22" s="252">
        <v>0</v>
      </c>
      <c r="CTL22" s="252">
        <v>0</v>
      </c>
      <c r="CTM22" s="252">
        <v>0</v>
      </c>
      <c r="CTN22" s="252">
        <v>0</v>
      </c>
      <c r="CTO22" s="252">
        <v>0</v>
      </c>
      <c r="CTP22" s="252">
        <v>0</v>
      </c>
      <c r="CTQ22" s="252">
        <v>0</v>
      </c>
      <c r="CTR22" s="252">
        <v>0</v>
      </c>
      <c r="CTS22" s="252">
        <v>0</v>
      </c>
      <c r="CTT22" s="252">
        <v>0</v>
      </c>
      <c r="CTU22" s="252">
        <v>0</v>
      </c>
      <c r="CTV22" s="252">
        <v>0</v>
      </c>
      <c r="CTW22" s="252">
        <v>0</v>
      </c>
      <c r="CTX22" s="252">
        <v>0</v>
      </c>
      <c r="CTY22" s="252">
        <v>0</v>
      </c>
      <c r="CTZ22" s="252">
        <v>0</v>
      </c>
      <c r="CUA22" s="252">
        <v>0</v>
      </c>
      <c r="CUB22" s="252">
        <v>0</v>
      </c>
      <c r="CUC22" s="252">
        <v>0</v>
      </c>
      <c r="CUD22" s="252">
        <v>0</v>
      </c>
      <c r="CUE22" s="252">
        <v>0</v>
      </c>
      <c r="CUF22" s="252">
        <v>0</v>
      </c>
      <c r="CUG22" s="252">
        <v>0</v>
      </c>
      <c r="CUH22" s="252">
        <v>0</v>
      </c>
      <c r="CUI22" s="252">
        <v>0</v>
      </c>
      <c r="CUJ22" s="252">
        <v>0</v>
      </c>
      <c r="CUK22" s="252">
        <v>0</v>
      </c>
      <c r="CUL22" s="252">
        <v>0</v>
      </c>
      <c r="CUM22" s="252">
        <v>0</v>
      </c>
      <c r="CUN22" s="252">
        <v>0</v>
      </c>
      <c r="CUO22" s="252">
        <v>0</v>
      </c>
      <c r="CUP22" s="252">
        <v>0</v>
      </c>
      <c r="CUQ22" s="252">
        <v>0</v>
      </c>
      <c r="CUR22" s="252">
        <v>0</v>
      </c>
      <c r="CUS22" s="252">
        <v>0</v>
      </c>
      <c r="CUT22" s="252">
        <v>0</v>
      </c>
      <c r="CUU22" s="252">
        <v>0</v>
      </c>
      <c r="CUV22" s="252">
        <v>0</v>
      </c>
      <c r="CUW22" s="252">
        <v>0</v>
      </c>
      <c r="CUX22" s="252">
        <v>0</v>
      </c>
      <c r="CUY22" s="252">
        <v>0</v>
      </c>
      <c r="CUZ22" s="252">
        <v>0</v>
      </c>
      <c r="CVA22" s="252">
        <v>0</v>
      </c>
      <c r="CVB22" s="252">
        <v>0</v>
      </c>
      <c r="CVC22" s="252">
        <v>0</v>
      </c>
      <c r="CVD22" s="252">
        <v>0</v>
      </c>
      <c r="CVE22" s="252">
        <v>0</v>
      </c>
      <c r="CVF22" s="252">
        <v>0</v>
      </c>
      <c r="CVG22" s="252">
        <v>0</v>
      </c>
      <c r="CVH22" s="252">
        <v>0</v>
      </c>
      <c r="CVI22" s="252">
        <v>0</v>
      </c>
      <c r="CVJ22" s="252">
        <v>0</v>
      </c>
      <c r="CVK22" s="252">
        <v>0</v>
      </c>
      <c r="CVL22" s="252">
        <v>0</v>
      </c>
      <c r="CVM22" s="252">
        <v>0</v>
      </c>
      <c r="CVN22" s="252">
        <v>0</v>
      </c>
      <c r="CVO22" s="252">
        <v>0</v>
      </c>
      <c r="CVP22" s="252">
        <v>0</v>
      </c>
      <c r="CVQ22" s="252">
        <v>0</v>
      </c>
      <c r="CVR22" s="252">
        <v>0</v>
      </c>
      <c r="CVS22" s="252">
        <v>0</v>
      </c>
      <c r="CVT22" s="252">
        <v>0</v>
      </c>
      <c r="CVU22" s="252">
        <v>0</v>
      </c>
      <c r="CVV22" s="252">
        <v>0</v>
      </c>
      <c r="CVW22" s="252">
        <v>0</v>
      </c>
      <c r="CVX22" s="252">
        <v>0</v>
      </c>
      <c r="CVY22" s="252">
        <v>0</v>
      </c>
      <c r="CVZ22" s="252">
        <v>0</v>
      </c>
      <c r="CWA22" s="252">
        <v>0</v>
      </c>
      <c r="CWB22" s="252">
        <v>0</v>
      </c>
      <c r="CWC22" s="252">
        <v>0</v>
      </c>
      <c r="CWD22" s="252">
        <v>0</v>
      </c>
      <c r="CWE22" s="252">
        <v>0</v>
      </c>
      <c r="CWF22" s="252">
        <v>0</v>
      </c>
      <c r="CWG22" s="252">
        <v>0</v>
      </c>
      <c r="CWH22" s="252">
        <v>0</v>
      </c>
      <c r="CWI22" s="252">
        <v>0</v>
      </c>
      <c r="CWJ22" s="252">
        <v>0</v>
      </c>
      <c r="CWK22" s="252">
        <v>0</v>
      </c>
      <c r="CWL22" s="252">
        <v>0</v>
      </c>
      <c r="CWM22" s="252">
        <v>0</v>
      </c>
      <c r="CWN22" s="252">
        <v>0</v>
      </c>
      <c r="CWO22" s="252">
        <v>0</v>
      </c>
      <c r="CWP22" s="252">
        <v>0</v>
      </c>
      <c r="CWQ22" s="252">
        <v>0</v>
      </c>
      <c r="CWR22" s="252">
        <v>0</v>
      </c>
      <c r="CWS22" s="252">
        <v>0</v>
      </c>
      <c r="CWT22" s="252">
        <v>0</v>
      </c>
      <c r="CWU22" s="252">
        <v>0</v>
      </c>
      <c r="CWV22" s="252">
        <v>0</v>
      </c>
      <c r="CWW22" s="252">
        <v>0</v>
      </c>
      <c r="CWX22" s="252">
        <v>0</v>
      </c>
      <c r="CWY22" s="252">
        <v>0</v>
      </c>
      <c r="CWZ22" s="252">
        <v>0</v>
      </c>
      <c r="CXA22" s="252">
        <v>0</v>
      </c>
      <c r="CXB22" s="252">
        <v>0</v>
      </c>
      <c r="CXC22" s="252">
        <v>0</v>
      </c>
      <c r="CXD22" s="252">
        <v>0</v>
      </c>
      <c r="CXE22" s="252">
        <v>0</v>
      </c>
      <c r="CXF22" s="252">
        <v>0</v>
      </c>
      <c r="CXG22" s="252">
        <v>0</v>
      </c>
      <c r="CXH22" s="252">
        <v>0</v>
      </c>
      <c r="CXI22" s="252">
        <v>0</v>
      </c>
      <c r="CXJ22" s="252">
        <v>0</v>
      </c>
      <c r="CXK22" s="252">
        <v>0</v>
      </c>
      <c r="CXL22" s="252">
        <v>0</v>
      </c>
      <c r="CXM22" s="252">
        <v>0</v>
      </c>
      <c r="CXN22" s="252">
        <v>0</v>
      </c>
      <c r="CXO22" s="252">
        <v>0</v>
      </c>
      <c r="CXP22" s="252">
        <v>0</v>
      </c>
      <c r="CXQ22" s="252">
        <v>0</v>
      </c>
      <c r="CXR22" s="252">
        <v>0</v>
      </c>
      <c r="CXS22" s="252">
        <v>0</v>
      </c>
      <c r="CXT22" s="252">
        <v>0</v>
      </c>
      <c r="CXU22" s="252">
        <v>0</v>
      </c>
      <c r="CXV22" s="252">
        <v>0</v>
      </c>
      <c r="CXW22" s="252">
        <v>0</v>
      </c>
      <c r="CXX22" s="252">
        <v>0</v>
      </c>
      <c r="CXY22" s="252">
        <v>0</v>
      </c>
      <c r="CXZ22" s="252">
        <v>0</v>
      </c>
      <c r="CYA22" s="252">
        <v>0</v>
      </c>
      <c r="CYB22" s="252">
        <v>0</v>
      </c>
      <c r="CYC22" s="252">
        <v>0</v>
      </c>
      <c r="CYD22" s="252">
        <v>0</v>
      </c>
      <c r="CYE22" s="252">
        <v>0</v>
      </c>
      <c r="CYF22" s="252">
        <v>0</v>
      </c>
      <c r="CYG22" s="252">
        <v>0</v>
      </c>
      <c r="CYH22" s="252">
        <v>0</v>
      </c>
      <c r="CYI22" s="252">
        <v>0</v>
      </c>
      <c r="CYJ22" s="252">
        <v>0</v>
      </c>
      <c r="CYK22" s="252">
        <v>0</v>
      </c>
      <c r="CYL22" s="252">
        <v>0</v>
      </c>
      <c r="CYM22" s="252">
        <v>0</v>
      </c>
      <c r="CYN22" s="252">
        <v>0</v>
      </c>
      <c r="CYO22" s="252">
        <v>0</v>
      </c>
      <c r="CYP22" s="252">
        <v>0</v>
      </c>
      <c r="CYQ22" s="252">
        <v>0</v>
      </c>
      <c r="CYR22" s="252">
        <v>0</v>
      </c>
      <c r="CYS22" s="252">
        <v>0</v>
      </c>
      <c r="CYT22" s="252">
        <v>0</v>
      </c>
      <c r="CYU22" s="252">
        <v>0</v>
      </c>
      <c r="CYV22" s="252">
        <v>0</v>
      </c>
      <c r="CYW22" s="252">
        <v>0</v>
      </c>
      <c r="CYX22" s="252">
        <v>0</v>
      </c>
      <c r="CYY22" s="252">
        <v>0</v>
      </c>
      <c r="CYZ22" s="252">
        <v>0</v>
      </c>
      <c r="CZA22" s="252">
        <v>0</v>
      </c>
      <c r="CZB22" s="252">
        <v>0</v>
      </c>
      <c r="CZC22" s="252">
        <v>0</v>
      </c>
      <c r="CZD22" s="252">
        <v>0</v>
      </c>
      <c r="CZE22" s="252">
        <v>0</v>
      </c>
      <c r="CZF22" s="252">
        <v>0</v>
      </c>
      <c r="CZG22" s="252">
        <v>0</v>
      </c>
      <c r="CZH22" s="252">
        <v>0</v>
      </c>
      <c r="CZI22" s="252">
        <v>0</v>
      </c>
      <c r="CZJ22" s="252">
        <v>0</v>
      </c>
      <c r="CZK22" s="252">
        <v>0</v>
      </c>
      <c r="CZL22" s="252">
        <v>0</v>
      </c>
      <c r="CZM22" s="252">
        <v>0</v>
      </c>
      <c r="CZN22" s="252">
        <v>0</v>
      </c>
      <c r="CZO22" s="252">
        <v>0</v>
      </c>
      <c r="CZP22" s="252">
        <v>0</v>
      </c>
      <c r="CZQ22" s="252">
        <v>0</v>
      </c>
      <c r="CZR22" s="252">
        <v>0</v>
      </c>
      <c r="CZS22" s="252">
        <v>0</v>
      </c>
      <c r="CZT22" s="252">
        <v>0</v>
      </c>
      <c r="CZU22" s="252">
        <v>0</v>
      </c>
      <c r="CZV22" s="252">
        <v>0</v>
      </c>
      <c r="CZW22" s="252">
        <v>0</v>
      </c>
      <c r="CZX22" s="252">
        <v>0</v>
      </c>
      <c r="CZY22" s="252">
        <v>0</v>
      </c>
      <c r="CZZ22" s="252">
        <v>0</v>
      </c>
      <c r="DAA22" s="252">
        <v>0</v>
      </c>
      <c r="DAB22" s="252">
        <v>0</v>
      </c>
      <c r="DAC22" s="252">
        <v>0</v>
      </c>
      <c r="DAD22" s="252">
        <v>0</v>
      </c>
      <c r="DAE22" s="252">
        <v>0</v>
      </c>
      <c r="DAF22" s="252">
        <v>0</v>
      </c>
      <c r="DAG22" s="252">
        <v>0</v>
      </c>
      <c r="DAH22" s="252">
        <v>0</v>
      </c>
      <c r="DAI22" s="252">
        <v>0</v>
      </c>
      <c r="DAJ22" s="252">
        <v>0</v>
      </c>
      <c r="DAK22" s="252">
        <v>0</v>
      </c>
      <c r="DAL22" s="252">
        <v>0</v>
      </c>
      <c r="DAM22" s="252">
        <v>0</v>
      </c>
      <c r="DAN22" s="252">
        <v>0</v>
      </c>
      <c r="DAO22" s="252">
        <v>0</v>
      </c>
      <c r="DAP22" s="252">
        <v>0</v>
      </c>
      <c r="DAQ22" s="252">
        <v>0</v>
      </c>
      <c r="DAR22" s="252">
        <v>0</v>
      </c>
      <c r="DAS22" s="252">
        <v>0</v>
      </c>
      <c r="DAT22" s="252">
        <v>0</v>
      </c>
      <c r="DAU22" s="252">
        <v>0</v>
      </c>
      <c r="DAV22" s="252">
        <v>0</v>
      </c>
      <c r="DAW22" s="252">
        <v>0</v>
      </c>
      <c r="DAX22" s="252">
        <v>0</v>
      </c>
      <c r="DAY22" s="252">
        <v>0</v>
      </c>
      <c r="DAZ22" s="252">
        <v>0</v>
      </c>
      <c r="DBA22" s="252">
        <v>0</v>
      </c>
      <c r="DBB22" s="252">
        <v>0</v>
      </c>
      <c r="DBC22" s="252">
        <v>0</v>
      </c>
      <c r="DBD22" s="252">
        <v>0</v>
      </c>
      <c r="DBE22" s="252">
        <v>0</v>
      </c>
      <c r="DBF22" s="252">
        <v>0</v>
      </c>
      <c r="DBG22" s="252">
        <v>0</v>
      </c>
      <c r="DBH22" s="252">
        <v>0</v>
      </c>
      <c r="DBI22" s="252">
        <v>0</v>
      </c>
      <c r="DBJ22" s="252">
        <v>0</v>
      </c>
      <c r="DBK22" s="252">
        <v>0</v>
      </c>
      <c r="DBL22" s="252">
        <v>0</v>
      </c>
      <c r="DBM22" s="252">
        <v>0</v>
      </c>
      <c r="DBN22" s="252">
        <v>0</v>
      </c>
      <c r="DBO22" s="252">
        <v>0</v>
      </c>
      <c r="DBP22" s="252">
        <v>0</v>
      </c>
      <c r="DBQ22" s="252">
        <v>0</v>
      </c>
      <c r="DBR22" s="252">
        <v>0</v>
      </c>
      <c r="DBS22" s="252">
        <v>0</v>
      </c>
      <c r="DBT22" s="252">
        <v>0</v>
      </c>
      <c r="DBU22" s="252">
        <v>0</v>
      </c>
      <c r="DBV22" s="252">
        <v>0</v>
      </c>
      <c r="DBW22" s="252">
        <v>0</v>
      </c>
      <c r="DBX22" s="252">
        <v>0</v>
      </c>
      <c r="DBY22" s="252">
        <v>0</v>
      </c>
      <c r="DBZ22" s="252">
        <v>0</v>
      </c>
      <c r="DCA22" s="252">
        <v>0</v>
      </c>
      <c r="DCB22" s="252">
        <v>0</v>
      </c>
      <c r="DCC22" s="252">
        <v>0</v>
      </c>
      <c r="DCD22" s="252">
        <v>0</v>
      </c>
      <c r="DCE22" s="252">
        <v>0</v>
      </c>
      <c r="DCF22" s="252">
        <v>0</v>
      </c>
      <c r="DCG22" s="252">
        <v>0</v>
      </c>
      <c r="DCH22" s="252">
        <v>0</v>
      </c>
      <c r="DCI22" s="252">
        <v>0</v>
      </c>
      <c r="DCJ22" s="252">
        <v>0</v>
      </c>
      <c r="DCK22" s="252">
        <v>0</v>
      </c>
      <c r="DCL22" s="252">
        <v>0</v>
      </c>
      <c r="DCM22" s="252">
        <v>0</v>
      </c>
      <c r="DCN22" s="252">
        <v>0</v>
      </c>
      <c r="DCO22" s="252">
        <v>0</v>
      </c>
      <c r="DCP22" s="252">
        <v>0</v>
      </c>
      <c r="DCQ22" s="252">
        <v>0</v>
      </c>
      <c r="DCR22" s="252">
        <v>0</v>
      </c>
      <c r="DCS22" s="252">
        <v>0</v>
      </c>
      <c r="DCT22" s="252">
        <v>0</v>
      </c>
      <c r="DCU22" s="252">
        <v>0</v>
      </c>
      <c r="DCV22" s="252">
        <v>0</v>
      </c>
      <c r="DCW22" s="252">
        <v>0</v>
      </c>
      <c r="DCX22" s="252">
        <v>0</v>
      </c>
      <c r="DCY22" s="252">
        <v>0</v>
      </c>
      <c r="DCZ22" s="252">
        <v>0</v>
      </c>
      <c r="DDA22" s="252">
        <v>0</v>
      </c>
      <c r="DDB22" s="252">
        <v>0</v>
      </c>
      <c r="DDC22" s="252">
        <v>0</v>
      </c>
      <c r="DDD22" s="252">
        <v>0</v>
      </c>
      <c r="DDE22" s="252">
        <v>0</v>
      </c>
      <c r="DDF22" s="252">
        <v>0</v>
      </c>
      <c r="DDG22" s="252">
        <v>0</v>
      </c>
      <c r="DDH22" s="252">
        <v>0</v>
      </c>
      <c r="DDI22" s="252">
        <v>0</v>
      </c>
      <c r="DDJ22" s="252">
        <v>0</v>
      </c>
      <c r="DDK22" s="252">
        <v>0</v>
      </c>
      <c r="DDL22" s="252">
        <v>0</v>
      </c>
      <c r="DDM22" s="252">
        <v>0</v>
      </c>
      <c r="DDN22" s="252">
        <v>0</v>
      </c>
      <c r="DDO22" s="252">
        <v>0</v>
      </c>
      <c r="DDP22" s="252">
        <v>0</v>
      </c>
      <c r="DDQ22" s="252">
        <v>0</v>
      </c>
      <c r="DDR22" s="252">
        <v>0</v>
      </c>
      <c r="DDS22" s="252">
        <v>0</v>
      </c>
      <c r="DDT22" s="252">
        <v>0</v>
      </c>
      <c r="DDU22" s="252">
        <v>0</v>
      </c>
      <c r="DDV22" s="252">
        <v>0</v>
      </c>
      <c r="DDW22" s="252">
        <v>0</v>
      </c>
      <c r="DDX22" s="252">
        <v>0</v>
      </c>
      <c r="DDY22" s="252">
        <v>0</v>
      </c>
      <c r="DDZ22" s="252">
        <v>0</v>
      </c>
      <c r="DEA22" s="252">
        <v>0</v>
      </c>
      <c r="DEB22" s="252">
        <v>0</v>
      </c>
      <c r="DEC22" s="252">
        <v>0</v>
      </c>
      <c r="DED22" s="252">
        <v>0</v>
      </c>
      <c r="DEE22" s="252">
        <v>0</v>
      </c>
      <c r="DEF22" s="252">
        <v>0</v>
      </c>
      <c r="DEG22" s="252">
        <v>0</v>
      </c>
      <c r="DEH22" s="252">
        <v>0</v>
      </c>
      <c r="DEI22" s="252">
        <v>0</v>
      </c>
      <c r="DEJ22" s="252">
        <v>0</v>
      </c>
      <c r="DEK22" s="252">
        <v>0</v>
      </c>
      <c r="DEL22" s="252">
        <v>0</v>
      </c>
      <c r="DEM22" s="252">
        <v>0</v>
      </c>
      <c r="DEN22" s="252">
        <v>0</v>
      </c>
      <c r="DEO22" s="252">
        <v>0</v>
      </c>
      <c r="DEP22" s="252">
        <v>0</v>
      </c>
      <c r="DEQ22" s="252">
        <v>0</v>
      </c>
      <c r="DER22" s="252">
        <v>0</v>
      </c>
      <c r="DES22" s="252">
        <v>0</v>
      </c>
      <c r="DET22" s="252">
        <v>0</v>
      </c>
      <c r="DEU22" s="252">
        <v>0</v>
      </c>
      <c r="DEV22" s="252">
        <v>0</v>
      </c>
      <c r="DEW22" s="252">
        <v>0</v>
      </c>
      <c r="DEX22" s="252">
        <v>0</v>
      </c>
      <c r="DEY22" s="252">
        <v>0</v>
      </c>
      <c r="DEZ22" s="252">
        <v>0</v>
      </c>
      <c r="DFA22" s="252">
        <v>0</v>
      </c>
      <c r="DFB22" s="252">
        <v>0</v>
      </c>
      <c r="DFC22" s="252">
        <v>0</v>
      </c>
      <c r="DFD22" s="252">
        <v>0</v>
      </c>
      <c r="DFE22" s="252">
        <v>0</v>
      </c>
      <c r="DFF22" s="252">
        <v>0</v>
      </c>
      <c r="DFG22" s="252">
        <v>0</v>
      </c>
      <c r="DFH22" s="252">
        <v>0</v>
      </c>
      <c r="DFI22" s="252">
        <v>0</v>
      </c>
      <c r="DFJ22" s="252">
        <v>0</v>
      </c>
      <c r="DFK22" s="252">
        <v>0</v>
      </c>
      <c r="DFL22" s="252">
        <v>0</v>
      </c>
      <c r="DFM22" s="252">
        <v>0</v>
      </c>
      <c r="DFN22" s="252">
        <v>0</v>
      </c>
      <c r="DFO22" s="252">
        <v>0</v>
      </c>
      <c r="DFP22" s="252">
        <v>0</v>
      </c>
      <c r="DFQ22" s="252">
        <v>0</v>
      </c>
      <c r="DFR22" s="252">
        <v>0</v>
      </c>
      <c r="DFS22" s="252">
        <v>0</v>
      </c>
      <c r="DFT22" s="252">
        <v>0</v>
      </c>
      <c r="DFU22" s="252">
        <v>0</v>
      </c>
      <c r="DFV22" s="252">
        <v>0</v>
      </c>
      <c r="DFW22" s="252">
        <v>0</v>
      </c>
      <c r="DFX22" s="252">
        <v>0</v>
      </c>
      <c r="DFY22" s="252">
        <v>0</v>
      </c>
      <c r="DFZ22" s="252">
        <v>0</v>
      </c>
      <c r="DGA22" s="252">
        <v>0</v>
      </c>
      <c r="DGB22" s="252">
        <v>0</v>
      </c>
      <c r="DGC22" s="252">
        <v>0</v>
      </c>
      <c r="DGD22" s="252">
        <v>0</v>
      </c>
      <c r="DGE22" s="252">
        <v>0</v>
      </c>
      <c r="DGF22" s="252">
        <v>0</v>
      </c>
      <c r="DGG22" s="252">
        <v>0</v>
      </c>
      <c r="DGH22" s="252">
        <v>0</v>
      </c>
      <c r="DGI22" s="252">
        <v>0</v>
      </c>
      <c r="DGJ22" s="252">
        <v>0</v>
      </c>
      <c r="DGK22" s="252">
        <v>0</v>
      </c>
      <c r="DGL22" s="252">
        <v>0</v>
      </c>
      <c r="DGM22" s="252">
        <v>0</v>
      </c>
      <c r="DGN22" s="252">
        <v>0</v>
      </c>
      <c r="DGO22" s="252">
        <v>0</v>
      </c>
      <c r="DGP22" s="252">
        <v>0</v>
      </c>
      <c r="DGQ22" s="252">
        <v>0</v>
      </c>
      <c r="DGR22" s="252">
        <v>0</v>
      </c>
      <c r="DGS22" s="252">
        <v>0</v>
      </c>
      <c r="DGT22" s="252">
        <v>0</v>
      </c>
      <c r="DGU22" s="252">
        <v>0</v>
      </c>
      <c r="DGV22" s="252">
        <v>0</v>
      </c>
      <c r="DGW22" s="252">
        <v>0</v>
      </c>
      <c r="DGX22" s="252">
        <v>0</v>
      </c>
      <c r="DGY22" s="252">
        <v>0</v>
      </c>
      <c r="DGZ22" s="252">
        <v>0</v>
      </c>
      <c r="DHA22" s="252">
        <v>0</v>
      </c>
      <c r="DHB22" s="252">
        <v>0</v>
      </c>
      <c r="DHC22" s="252">
        <v>0</v>
      </c>
      <c r="DHD22" s="252">
        <v>0</v>
      </c>
      <c r="DHE22" s="252">
        <v>0</v>
      </c>
      <c r="DHF22" s="252">
        <v>0</v>
      </c>
      <c r="DHG22" s="252">
        <v>0</v>
      </c>
      <c r="DHH22" s="252">
        <v>0</v>
      </c>
      <c r="DHI22" s="252">
        <v>0</v>
      </c>
      <c r="DHJ22" s="252">
        <v>0</v>
      </c>
      <c r="DHK22" s="252">
        <v>0</v>
      </c>
      <c r="DHL22" s="252">
        <v>0</v>
      </c>
      <c r="DHM22" s="252">
        <v>0</v>
      </c>
      <c r="DHN22" s="252">
        <v>0</v>
      </c>
      <c r="DHO22" s="252">
        <v>0</v>
      </c>
      <c r="DHP22" s="252">
        <v>0</v>
      </c>
      <c r="DHQ22" s="252">
        <v>0</v>
      </c>
      <c r="DHR22" s="252">
        <v>0</v>
      </c>
      <c r="DHS22" s="252">
        <v>0</v>
      </c>
      <c r="DHT22" s="252">
        <v>0</v>
      </c>
      <c r="DHU22" s="252">
        <v>0</v>
      </c>
      <c r="DHV22" s="252">
        <v>0</v>
      </c>
      <c r="DHW22" s="252">
        <v>0</v>
      </c>
      <c r="DHX22" s="252">
        <v>0</v>
      </c>
      <c r="DHY22" s="252">
        <v>0</v>
      </c>
      <c r="DHZ22" s="252">
        <v>0</v>
      </c>
      <c r="DIA22" s="252">
        <v>0</v>
      </c>
      <c r="DIB22" s="252">
        <v>0</v>
      </c>
      <c r="DIC22" s="252">
        <v>0</v>
      </c>
      <c r="DID22" s="252">
        <v>0</v>
      </c>
      <c r="DIE22" s="252">
        <v>0</v>
      </c>
      <c r="DIF22" s="252">
        <v>0</v>
      </c>
      <c r="DIG22" s="252">
        <v>0</v>
      </c>
      <c r="DIH22" s="252">
        <v>0</v>
      </c>
      <c r="DII22" s="252">
        <v>0</v>
      </c>
      <c r="DIJ22" s="252">
        <v>0</v>
      </c>
      <c r="DIK22" s="252">
        <v>0</v>
      </c>
      <c r="DIL22" s="252">
        <v>0</v>
      </c>
      <c r="DIM22" s="252">
        <v>0</v>
      </c>
      <c r="DIN22" s="252">
        <v>0</v>
      </c>
      <c r="DIO22" s="252">
        <v>0</v>
      </c>
      <c r="DIP22" s="252">
        <v>0</v>
      </c>
      <c r="DIQ22" s="252">
        <v>0</v>
      </c>
      <c r="DIR22" s="252">
        <v>0</v>
      </c>
      <c r="DIS22" s="252">
        <v>0</v>
      </c>
      <c r="DIT22" s="252">
        <v>0</v>
      </c>
      <c r="DIU22" s="252">
        <v>0</v>
      </c>
      <c r="DIV22" s="252">
        <v>0</v>
      </c>
      <c r="DIW22" s="252">
        <v>0</v>
      </c>
      <c r="DIX22" s="252">
        <v>0</v>
      </c>
      <c r="DIY22" s="252">
        <v>0</v>
      </c>
      <c r="DIZ22" s="252">
        <v>0</v>
      </c>
      <c r="DJA22" s="252">
        <v>0</v>
      </c>
      <c r="DJB22" s="252">
        <v>0</v>
      </c>
      <c r="DJC22" s="252">
        <v>0</v>
      </c>
      <c r="DJD22" s="252">
        <v>0</v>
      </c>
      <c r="DJE22" s="252">
        <v>0</v>
      </c>
      <c r="DJF22" s="252">
        <v>0</v>
      </c>
      <c r="DJG22" s="252">
        <v>0</v>
      </c>
      <c r="DJH22" s="252">
        <v>0</v>
      </c>
      <c r="DJI22" s="252">
        <v>0</v>
      </c>
      <c r="DJJ22" s="252">
        <v>0</v>
      </c>
      <c r="DJK22" s="252">
        <v>0</v>
      </c>
      <c r="DJL22" s="252">
        <v>0</v>
      </c>
      <c r="DJM22" s="252">
        <v>0</v>
      </c>
      <c r="DJN22" s="252">
        <v>0</v>
      </c>
      <c r="DJO22" s="252">
        <v>0</v>
      </c>
      <c r="DJP22" s="252">
        <v>0</v>
      </c>
      <c r="DJQ22" s="252">
        <v>0</v>
      </c>
      <c r="DJR22" s="252">
        <v>0</v>
      </c>
      <c r="DJS22" s="252">
        <v>0</v>
      </c>
      <c r="DJT22" s="252">
        <v>0</v>
      </c>
      <c r="DJU22" s="252">
        <v>0</v>
      </c>
      <c r="DJV22" s="252">
        <v>0</v>
      </c>
      <c r="DJW22" s="252">
        <v>0</v>
      </c>
      <c r="DJX22" s="252">
        <v>0</v>
      </c>
      <c r="DJY22" s="252">
        <v>0</v>
      </c>
      <c r="DJZ22" s="252">
        <v>0</v>
      </c>
      <c r="DKA22" s="252">
        <v>0</v>
      </c>
      <c r="DKB22" s="252">
        <v>0</v>
      </c>
      <c r="DKC22" s="252">
        <v>0</v>
      </c>
      <c r="DKD22" s="252">
        <v>0</v>
      </c>
      <c r="DKE22" s="252">
        <v>0</v>
      </c>
      <c r="DKF22" s="252">
        <v>0</v>
      </c>
      <c r="DKG22" s="252">
        <v>0</v>
      </c>
      <c r="DKH22" s="252">
        <v>0</v>
      </c>
      <c r="DKI22" s="252">
        <v>0</v>
      </c>
      <c r="DKJ22" s="252">
        <v>0</v>
      </c>
      <c r="DKK22" s="252">
        <v>0</v>
      </c>
      <c r="DKL22" s="252">
        <v>0</v>
      </c>
      <c r="DKM22" s="252">
        <v>0</v>
      </c>
      <c r="DKN22" s="252">
        <v>0</v>
      </c>
      <c r="DKO22" s="252">
        <v>0</v>
      </c>
      <c r="DKP22" s="252">
        <v>0</v>
      </c>
      <c r="DKQ22" s="252">
        <v>0</v>
      </c>
      <c r="DKR22" s="252">
        <v>0</v>
      </c>
      <c r="DKS22" s="252">
        <v>0</v>
      </c>
      <c r="DKT22" s="252">
        <v>0</v>
      </c>
      <c r="DKU22" s="252">
        <v>0</v>
      </c>
      <c r="DKV22" s="252">
        <v>0</v>
      </c>
      <c r="DKW22" s="252">
        <v>0</v>
      </c>
      <c r="DKX22" s="252">
        <v>0</v>
      </c>
      <c r="DKY22" s="252">
        <v>0</v>
      </c>
      <c r="DKZ22" s="252">
        <v>0</v>
      </c>
      <c r="DLA22" s="252">
        <v>0</v>
      </c>
      <c r="DLB22" s="252">
        <v>0</v>
      </c>
      <c r="DLC22" s="252">
        <v>0</v>
      </c>
      <c r="DLD22" s="252">
        <v>0</v>
      </c>
      <c r="DLE22" s="252">
        <v>0</v>
      </c>
      <c r="DLF22" s="252">
        <v>0</v>
      </c>
      <c r="DLG22" s="252">
        <v>0</v>
      </c>
      <c r="DLH22" s="252">
        <v>0</v>
      </c>
      <c r="DLI22" s="252">
        <v>0</v>
      </c>
      <c r="DLJ22" s="252">
        <v>0</v>
      </c>
      <c r="DLK22" s="252">
        <v>0</v>
      </c>
      <c r="DLL22" s="252">
        <v>0</v>
      </c>
      <c r="DLM22" s="252">
        <v>0</v>
      </c>
      <c r="DLN22" s="252">
        <v>0</v>
      </c>
      <c r="DLO22" s="252">
        <v>0</v>
      </c>
      <c r="DLP22" s="252">
        <v>0</v>
      </c>
      <c r="DLQ22" s="252">
        <v>0</v>
      </c>
      <c r="DLR22" s="252">
        <v>0</v>
      </c>
      <c r="DLS22" s="252">
        <v>0</v>
      </c>
      <c r="DLT22" s="252">
        <v>0</v>
      </c>
      <c r="DLU22" s="252">
        <v>0</v>
      </c>
      <c r="DLV22" s="252">
        <v>0</v>
      </c>
      <c r="DLW22" s="252">
        <v>0</v>
      </c>
      <c r="DLX22" s="252">
        <v>0</v>
      </c>
      <c r="DLY22" s="252">
        <v>0</v>
      </c>
      <c r="DLZ22" s="252">
        <v>0</v>
      </c>
      <c r="DMA22" s="252">
        <v>0</v>
      </c>
      <c r="DMB22" s="252">
        <v>0</v>
      </c>
      <c r="DMC22" s="252">
        <v>0</v>
      </c>
      <c r="DMD22" s="252">
        <v>0</v>
      </c>
      <c r="DME22" s="252">
        <v>0</v>
      </c>
      <c r="DMF22" s="252">
        <v>0</v>
      </c>
      <c r="DMG22" s="252">
        <v>0</v>
      </c>
      <c r="DMH22" s="252">
        <v>0</v>
      </c>
      <c r="DMI22" s="252">
        <v>0</v>
      </c>
      <c r="DMJ22" s="252">
        <v>0</v>
      </c>
      <c r="DMK22" s="252">
        <v>0</v>
      </c>
      <c r="DML22" s="252">
        <v>0</v>
      </c>
      <c r="DMM22" s="252">
        <v>0</v>
      </c>
      <c r="DMN22" s="252">
        <v>0</v>
      </c>
      <c r="DMO22" s="252">
        <v>0</v>
      </c>
      <c r="DMP22" s="252">
        <v>0</v>
      </c>
      <c r="DMQ22" s="252">
        <v>0</v>
      </c>
      <c r="DMR22" s="252">
        <v>0</v>
      </c>
      <c r="DMS22" s="252">
        <v>0</v>
      </c>
      <c r="DMT22" s="252">
        <v>0</v>
      </c>
      <c r="DMU22" s="252">
        <v>0</v>
      </c>
      <c r="DMV22" s="252">
        <v>0</v>
      </c>
      <c r="DMW22" s="252">
        <v>0</v>
      </c>
      <c r="DMX22" s="252">
        <v>0</v>
      </c>
      <c r="DMY22" s="252">
        <v>0</v>
      </c>
      <c r="DMZ22" s="252">
        <v>0</v>
      </c>
      <c r="DNA22" s="252">
        <v>0</v>
      </c>
      <c r="DNB22" s="252">
        <v>0</v>
      </c>
      <c r="DNC22" s="252">
        <v>0</v>
      </c>
      <c r="DND22" s="252">
        <v>0</v>
      </c>
      <c r="DNE22" s="252">
        <v>0</v>
      </c>
      <c r="DNF22" s="252">
        <v>0</v>
      </c>
      <c r="DNG22" s="252">
        <v>0</v>
      </c>
      <c r="DNH22" s="252">
        <v>0</v>
      </c>
      <c r="DNI22" s="252">
        <v>0</v>
      </c>
      <c r="DNJ22" s="252">
        <v>0</v>
      </c>
      <c r="DNK22" s="252">
        <v>0</v>
      </c>
      <c r="DNL22" s="252">
        <v>0</v>
      </c>
      <c r="DNM22" s="252">
        <v>0</v>
      </c>
      <c r="DNN22" s="252">
        <v>0</v>
      </c>
      <c r="DNO22" s="252">
        <v>0</v>
      </c>
      <c r="DNP22" s="252">
        <v>0</v>
      </c>
      <c r="DNQ22" s="252">
        <v>0</v>
      </c>
      <c r="DNR22" s="252">
        <v>0</v>
      </c>
      <c r="DNS22" s="252">
        <v>0</v>
      </c>
      <c r="DNT22" s="252">
        <v>0</v>
      </c>
      <c r="DNU22" s="252">
        <v>0</v>
      </c>
      <c r="DNV22" s="252">
        <v>0</v>
      </c>
      <c r="DNW22" s="252">
        <v>0</v>
      </c>
      <c r="DNX22" s="252">
        <v>0</v>
      </c>
      <c r="DNY22" s="252">
        <v>0</v>
      </c>
      <c r="DNZ22" s="252">
        <v>0</v>
      </c>
      <c r="DOA22" s="252">
        <v>0</v>
      </c>
      <c r="DOB22" s="252">
        <v>0</v>
      </c>
      <c r="DOC22" s="252">
        <v>0</v>
      </c>
      <c r="DOD22" s="252">
        <v>0</v>
      </c>
      <c r="DOE22" s="252">
        <v>0</v>
      </c>
      <c r="DOF22" s="252">
        <v>0</v>
      </c>
      <c r="DOG22" s="252">
        <v>0</v>
      </c>
      <c r="DOH22" s="252">
        <v>0</v>
      </c>
      <c r="DOI22" s="252">
        <v>0</v>
      </c>
      <c r="DOJ22" s="252">
        <v>0</v>
      </c>
      <c r="DOK22" s="252">
        <v>0</v>
      </c>
      <c r="DOL22" s="252">
        <v>0</v>
      </c>
      <c r="DOM22" s="252">
        <v>0</v>
      </c>
      <c r="DON22" s="252">
        <v>0</v>
      </c>
      <c r="DOO22" s="252">
        <v>0</v>
      </c>
      <c r="DOP22" s="252">
        <v>0</v>
      </c>
      <c r="DOQ22" s="252">
        <v>0</v>
      </c>
      <c r="DOR22" s="252">
        <v>0</v>
      </c>
      <c r="DOS22" s="252">
        <v>0</v>
      </c>
      <c r="DOT22" s="252">
        <v>0</v>
      </c>
      <c r="DOU22" s="252">
        <v>0</v>
      </c>
      <c r="DOV22" s="252">
        <v>0</v>
      </c>
      <c r="DOW22" s="252">
        <v>0</v>
      </c>
      <c r="DOX22" s="252">
        <v>0</v>
      </c>
      <c r="DOY22" s="252">
        <v>0</v>
      </c>
      <c r="DOZ22" s="252">
        <v>0</v>
      </c>
      <c r="DPA22" s="252">
        <v>0</v>
      </c>
      <c r="DPB22" s="252">
        <v>0</v>
      </c>
      <c r="DPC22" s="252">
        <v>0</v>
      </c>
      <c r="DPD22" s="252">
        <v>0</v>
      </c>
      <c r="DPE22" s="252">
        <v>0</v>
      </c>
      <c r="DPF22" s="252">
        <v>0</v>
      </c>
      <c r="DPG22" s="252">
        <v>0</v>
      </c>
      <c r="DPH22" s="252">
        <v>0</v>
      </c>
      <c r="DPI22" s="252">
        <v>0</v>
      </c>
      <c r="DPJ22" s="252">
        <v>0</v>
      </c>
      <c r="DPK22" s="252">
        <v>0</v>
      </c>
      <c r="DPL22" s="252">
        <v>0</v>
      </c>
      <c r="DPM22" s="252">
        <v>0</v>
      </c>
      <c r="DPN22" s="252">
        <v>0</v>
      </c>
      <c r="DPO22" s="252">
        <v>0</v>
      </c>
      <c r="DPP22" s="252">
        <v>0</v>
      </c>
      <c r="DPQ22" s="252">
        <v>0</v>
      </c>
      <c r="DPR22" s="252">
        <v>0</v>
      </c>
      <c r="DPS22" s="252">
        <v>0</v>
      </c>
      <c r="DPT22" s="252">
        <v>0</v>
      </c>
      <c r="DPU22" s="252">
        <v>0</v>
      </c>
      <c r="DPV22" s="252">
        <v>0</v>
      </c>
      <c r="DPW22" s="252">
        <v>0</v>
      </c>
      <c r="DPX22" s="252">
        <v>0</v>
      </c>
      <c r="DPY22" s="252">
        <v>0</v>
      </c>
      <c r="DPZ22" s="252">
        <v>0</v>
      </c>
      <c r="DQA22" s="252">
        <v>0</v>
      </c>
      <c r="DQB22" s="252">
        <v>0</v>
      </c>
      <c r="DQC22" s="252">
        <v>0</v>
      </c>
      <c r="DQD22" s="252">
        <v>0</v>
      </c>
      <c r="DQE22" s="252">
        <v>0</v>
      </c>
      <c r="DQF22" s="252">
        <v>0</v>
      </c>
      <c r="DQG22" s="252">
        <v>0</v>
      </c>
      <c r="DQH22" s="252">
        <v>0</v>
      </c>
      <c r="DQI22" s="252">
        <v>0</v>
      </c>
      <c r="DQJ22" s="252">
        <v>0</v>
      </c>
      <c r="DQK22" s="252">
        <v>0</v>
      </c>
      <c r="DQL22" s="252">
        <v>0</v>
      </c>
      <c r="DQM22" s="252">
        <v>0</v>
      </c>
      <c r="DQN22" s="252">
        <v>0</v>
      </c>
      <c r="DQO22" s="252">
        <v>0</v>
      </c>
      <c r="DQP22" s="252">
        <v>0</v>
      </c>
      <c r="DQQ22" s="252">
        <v>0</v>
      </c>
      <c r="DQR22" s="252">
        <v>0</v>
      </c>
      <c r="DQS22" s="252">
        <v>0</v>
      </c>
      <c r="DQT22" s="252">
        <v>0</v>
      </c>
      <c r="DQU22" s="252">
        <v>0</v>
      </c>
      <c r="DQV22" s="252">
        <v>0</v>
      </c>
      <c r="DQW22" s="252">
        <v>0</v>
      </c>
      <c r="DQX22" s="252">
        <v>0</v>
      </c>
      <c r="DQY22" s="252">
        <v>0</v>
      </c>
      <c r="DQZ22" s="252">
        <v>0</v>
      </c>
      <c r="DRA22" s="252">
        <v>0</v>
      </c>
      <c r="DRB22" s="252">
        <v>0</v>
      </c>
      <c r="DRC22" s="252">
        <v>0</v>
      </c>
      <c r="DRD22" s="252">
        <v>0</v>
      </c>
      <c r="DRE22" s="252">
        <v>0</v>
      </c>
      <c r="DRF22" s="252">
        <v>0</v>
      </c>
      <c r="DRG22" s="252">
        <v>0</v>
      </c>
      <c r="DRH22" s="252">
        <v>0</v>
      </c>
      <c r="DRI22" s="252">
        <v>0</v>
      </c>
      <c r="DRJ22" s="252">
        <v>0</v>
      </c>
      <c r="DRK22" s="252">
        <v>0</v>
      </c>
      <c r="DRL22" s="252">
        <v>0</v>
      </c>
      <c r="DRM22" s="252">
        <v>0</v>
      </c>
      <c r="DRN22" s="252">
        <v>0</v>
      </c>
      <c r="DRO22" s="252">
        <v>0</v>
      </c>
      <c r="DRP22" s="252">
        <v>0</v>
      </c>
      <c r="DRQ22" s="252">
        <v>0</v>
      </c>
      <c r="DRR22" s="252">
        <v>0</v>
      </c>
      <c r="DRS22" s="252">
        <v>0</v>
      </c>
      <c r="DRT22" s="252">
        <v>0</v>
      </c>
      <c r="DRU22" s="252">
        <v>0</v>
      </c>
      <c r="DRV22" s="252">
        <v>0</v>
      </c>
      <c r="DRW22" s="252">
        <v>0</v>
      </c>
      <c r="DRX22" s="252">
        <v>0</v>
      </c>
      <c r="DRY22" s="252">
        <v>0</v>
      </c>
      <c r="DRZ22" s="252">
        <v>0</v>
      </c>
      <c r="DSA22" s="252">
        <v>0</v>
      </c>
      <c r="DSB22" s="252">
        <v>0</v>
      </c>
      <c r="DSC22" s="252">
        <v>0</v>
      </c>
      <c r="DSD22" s="252">
        <v>0</v>
      </c>
      <c r="DSE22" s="252">
        <v>0</v>
      </c>
      <c r="DSF22" s="252">
        <v>0</v>
      </c>
      <c r="DSG22" s="252">
        <v>0</v>
      </c>
      <c r="DSH22" s="252">
        <v>0</v>
      </c>
      <c r="DSI22" s="252">
        <v>0</v>
      </c>
      <c r="DSJ22" s="252">
        <v>0</v>
      </c>
      <c r="DSK22" s="252">
        <v>0</v>
      </c>
      <c r="DSL22" s="252">
        <v>0</v>
      </c>
      <c r="DSM22" s="252">
        <v>0</v>
      </c>
      <c r="DSN22" s="252">
        <v>0</v>
      </c>
      <c r="DSO22" s="252">
        <v>0</v>
      </c>
      <c r="DSP22" s="252">
        <v>0</v>
      </c>
      <c r="DSQ22" s="252">
        <v>0</v>
      </c>
      <c r="DSR22" s="252">
        <v>0</v>
      </c>
      <c r="DSS22" s="252">
        <v>0</v>
      </c>
      <c r="DST22" s="252">
        <v>0</v>
      </c>
      <c r="DSU22" s="252">
        <v>0</v>
      </c>
      <c r="DSV22" s="252">
        <v>0</v>
      </c>
      <c r="DSW22" s="252">
        <v>0</v>
      </c>
      <c r="DSX22" s="252">
        <v>0</v>
      </c>
      <c r="DSY22" s="252">
        <v>0</v>
      </c>
      <c r="DSZ22" s="252">
        <v>0</v>
      </c>
      <c r="DTA22" s="252">
        <v>0</v>
      </c>
      <c r="DTB22" s="252">
        <v>0</v>
      </c>
      <c r="DTC22" s="252">
        <v>0</v>
      </c>
      <c r="DTD22" s="252">
        <v>0</v>
      </c>
      <c r="DTE22" s="252">
        <v>0</v>
      </c>
      <c r="DTF22" s="252">
        <v>0</v>
      </c>
      <c r="DTG22" s="252">
        <v>0</v>
      </c>
      <c r="DTH22" s="252">
        <v>0</v>
      </c>
      <c r="DTI22" s="252">
        <v>0</v>
      </c>
      <c r="DTJ22" s="252">
        <v>0</v>
      </c>
      <c r="DTK22" s="252">
        <v>0</v>
      </c>
      <c r="DTL22" s="252">
        <v>0</v>
      </c>
      <c r="DTM22" s="252">
        <v>0</v>
      </c>
      <c r="DTN22" s="252">
        <v>0</v>
      </c>
      <c r="DTO22" s="252">
        <v>0</v>
      </c>
      <c r="DTP22" s="252">
        <v>0</v>
      </c>
      <c r="DTQ22" s="252">
        <v>0</v>
      </c>
      <c r="DTR22" s="252">
        <v>0</v>
      </c>
      <c r="DTS22" s="252">
        <v>0</v>
      </c>
      <c r="DTT22" s="252">
        <v>0</v>
      </c>
      <c r="DTU22" s="252">
        <v>0</v>
      </c>
      <c r="DTV22" s="252">
        <v>0</v>
      </c>
      <c r="DTW22" s="252">
        <v>0</v>
      </c>
      <c r="DTX22" s="252">
        <v>0</v>
      </c>
      <c r="DTY22" s="252">
        <v>0</v>
      </c>
      <c r="DTZ22" s="252">
        <v>0</v>
      </c>
      <c r="DUA22" s="252">
        <v>0</v>
      </c>
      <c r="DUB22" s="252">
        <v>0</v>
      </c>
      <c r="DUC22" s="252">
        <v>0</v>
      </c>
      <c r="DUD22" s="252">
        <v>0</v>
      </c>
      <c r="DUE22" s="252">
        <v>0</v>
      </c>
      <c r="DUF22" s="252">
        <v>0</v>
      </c>
      <c r="DUG22" s="252">
        <v>0</v>
      </c>
      <c r="DUH22" s="252">
        <v>0</v>
      </c>
      <c r="DUI22" s="252">
        <v>0</v>
      </c>
      <c r="DUJ22" s="252">
        <v>0</v>
      </c>
      <c r="DUK22" s="252">
        <v>0</v>
      </c>
      <c r="DUL22" s="252">
        <v>0</v>
      </c>
      <c r="DUM22" s="252">
        <v>0</v>
      </c>
      <c r="DUN22" s="252">
        <v>0</v>
      </c>
      <c r="DUO22" s="252">
        <v>0</v>
      </c>
      <c r="DUP22" s="252">
        <v>0</v>
      </c>
      <c r="DUQ22" s="252">
        <v>0</v>
      </c>
      <c r="DUR22" s="252">
        <v>0</v>
      </c>
      <c r="DUS22" s="252">
        <v>0</v>
      </c>
      <c r="DUT22" s="252">
        <v>0</v>
      </c>
      <c r="DUU22" s="252">
        <v>0</v>
      </c>
      <c r="DUV22" s="252">
        <v>0</v>
      </c>
      <c r="DUW22" s="252">
        <v>0</v>
      </c>
      <c r="DUX22" s="252">
        <v>0</v>
      </c>
      <c r="DUY22" s="252">
        <v>0</v>
      </c>
      <c r="DUZ22" s="252">
        <v>0</v>
      </c>
      <c r="DVA22" s="252">
        <v>0</v>
      </c>
      <c r="DVB22" s="252">
        <v>0</v>
      </c>
      <c r="DVC22" s="252">
        <v>0</v>
      </c>
      <c r="DVD22" s="252">
        <v>0</v>
      </c>
      <c r="DVE22" s="252">
        <v>0</v>
      </c>
      <c r="DVF22" s="252">
        <v>0</v>
      </c>
      <c r="DVG22" s="252">
        <v>0</v>
      </c>
      <c r="DVH22" s="252">
        <v>0</v>
      </c>
      <c r="DVI22" s="252">
        <v>0</v>
      </c>
      <c r="DVJ22" s="252">
        <v>0</v>
      </c>
      <c r="DVK22" s="252">
        <v>0</v>
      </c>
      <c r="DVL22" s="252">
        <v>0</v>
      </c>
      <c r="DVM22" s="252">
        <v>0</v>
      </c>
      <c r="DVN22" s="252">
        <v>0</v>
      </c>
      <c r="DVO22" s="252">
        <v>0</v>
      </c>
      <c r="DVP22" s="252">
        <v>0</v>
      </c>
      <c r="DVQ22" s="252">
        <v>0</v>
      </c>
      <c r="DVR22" s="252">
        <v>0</v>
      </c>
      <c r="DVS22" s="252">
        <v>0</v>
      </c>
      <c r="DVT22" s="252">
        <v>0</v>
      </c>
      <c r="DVU22" s="252">
        <v>0</v>
      </c>
      <c r="DVV22" s="252">
        <v>0</v>
      </c>
      <c r="DVW22" s="252">
        <v>0</v>
      </c>
      <c r="DVX22" s="252">
        <v>0</v>
      </c>
      <c r="DVY22" s="252">
        <v>0</v>
      </c>
      <c r="DVZ22" s="252">
        <v>0</v>
      </c>
      <c r="DWA22" s="252">
        <v>0</v>
      </c>
      <c r="DWB22" s="252">
        <v>0</v>
      </c>
      <c r="DWC22" s="252">
        <v>0</v>
      </c>
      <c r="DWD22" s="252">
        <v>0</v>
      </c>
      <c r="DWE22" s="252">
        <v>0</v>
      </c>
      <c r="DWF22" s="252">
        <v>0</v>
      </c>
      <c r="DWG22" s="252">
        <v>0</v>
      </c>
      <c r="DWH22" s="252">
        <v>0</v>
      </c>
      <c r="DWI22" s="252">
        <v>0</v>
      </c>
      <c r="DWJ22" s="252">
        <v>0</v>
      </c>
      <c r="DWK22" s="252">
        <v>0</v>
      </c>
      <c r="DWL22" s="252">
        <v>0</v>
      </c>
      <c r="DWM22" s="252">
        <v>0</v>
      </c>
      <c r="DWN22" s="252">
        <v>0</v>
      </c>
      <c r="DWO22" s="252">
        <v>0</v>
      </c>
      <c r="DWP22" s="252">
        <v>0</v>
      </c>
      <c r="DWQ22" s="252">
        <v>0</v>
      </c>
      <c r="DWR22" s="252">
        <v>0</v>
      </c>
      <c r="DWS22" s="252">
        <v>0</v>
      </c>
      <c r="DWT22" s="252">
        <v>0</v>
      </c>
      <c r="DWU22" s="252">
        <v>0</v>
      </c>
      <c r="DWV22" s="252">
        <v>0</v>
      </c>
      <c r="DWW22" s="252">
        <v>0</v>
      </c>
      <c r="DWX22" s="252">
        <v>0</v>
      </c>
      <c r="DWY22" s="252">
        <v>0</v>
      </c>
      <c r="DWZ22" s="252">
        <v>0</v>
      </c>
      <c r="DXA22" s="252">
        <v>0</v>
      </c>
      <c r="DXB22" s="252">
        <v>0</v>
      </c>
      <c r="DXC22" s="252">
        <v>0</v>
      </c>
      <c r="DXD22" s="252">
        <v>0</v>
      </c>
      <c r="DXE22" s="252">
        <v>0</v>
      </c>
      <c r="DXF22" s="252">
        <v>0</v>
      </c>
      <c r="DXG22" s="252">
        <v>0</v>
      </c>
      <c r="DXH22" s="252">
        <v>0</v>
      </c>
      <c r="DXI22" s="252">
        <v>0</v>
      </c>
      <c r="DXJ22" s="252">
        <v>0</v>
      </c>
      <c r="DXK22" s="252">
        <v>0</v>
      </c>
      <c r="DXL22" s="252">
        <v>0</v>
      </c>
      <c r="DXM22" s="252">
        <v>0</v>
      </c>
      <c r="DXN22" s="252">
        <v>0</v>
      </c>
      <c r="DXO22" s="252">
        <v>0</v>
      </c>
      <c r="DXP22" s="252">
        <v>0</v>
      </c>
      <c r="DXQ22" s="252">
        <v>0</v>
      </c>
      <c r="DXR22" s="252">
        <v>0</v>
      </c>
      <c r="DXS22" s="252">
        <v>0</v>
      </c>
      <c r="DXT22" s="252">
        <v>0</v>
      </c>
      <c r="DXU22" s="252">
        <v>0</v>
      </c>
      <c r="DXV22" s="252">
        <v>0</v>
      </c>
      <c r="DXW22" s="252">
        <v>0</v>
      </c>
      <c r="DXX22" s="252">
        <v>0</v>
      </c>
      <c r="DXY22" s="252">
        <v>0</v>
      </c>
      <c r="DXZ22" s="252">
        <v>0</v>
      </c>
      <c r="DYA22" s="252">
        <v>0</v>
      </c>
      <c r="DYB22" s="252">
        <v>0</v>
      </c>
      <c r="DYC22" s="252">
        <v>0</v>
      </c>
      <c r="DYD22" s="252">
        <v>0</v>
      </c>
      <c r="DYE22" s="252">
        <v>0</v>
      </c>
      <c r="DYF22" s="252">
        <v>0</v>
      </c>
      <c r="DYG22" s="252">
        <v>0</v>
      </c>
      <c r="DYH22" s="252">
        <v>0</v>
      </c>
      <c r="DYI22" s="252">
        <v>0</v>
      </c>
      <c r="DYJ22" s="252">
        <v>0</v>
      </c>
      <c r="DYK22" s="252">
        <v>0</v>
      </c>
      <c r="DYL22" s="252">
        <v>0</v>
      </c>
      <c r="DYM22" s="252">
        <v>0</v>
      </c>
      <c r="DYN22" s="252">
        <v>0</v>
      </c>
      <c r="DYO22" s="252">
        <v>0</v>
      </c>
      <c r="DYP22" s="252">
        <v>0</v>
      </c>
      <c r="DYQ22" s="252">
        <v>0</v>
      </c>
      <c r="DYR22" s="252">
        <v>0</v>
      </c>
      <c r="DYS22" s="252">
        <v>0</v>
      </c>
      <c r="DYT22" s="252">
        <v>0</v>
      </c>
      <c r="DYU22" s="252">
        <v>0</v>
      </c>
      <c r="DYV22" s="252">
        <v>0</v>
      </c>
      <c r="DYW22" s="252">
        <v>0</v>
      </c>
      <c r="DYX22" s="252">
        <v>0</v>
      </c>
      <c r="DYY22" s="252">
        <v>0</v>
      </c>
      <c r="DYZ22" s="252">
        <v>0</v>
      </c>
      <c r="DZA22" s="252">
        <v>0</v>
      </c>
      <c r="DZB22" s="252">
        <v>0</v>
      </c>
      <c r="DZC22" s="252">
        <v>0</v>
      </c>
      <c r="DZD22" s="252">
        <v>0</v>
      </c>
      <c r="DZE22" s="252">
        <v>0</v>
      </c>
      <c r="DZF22" s="252">
        <v>0</v>
      </c>
      <c r="DZG22" s="252">
        <v>0</v>
      </c>
      <c r="DZH22" s="252">
        <v>0</v>
      </c>
      <c r="DZI22" s="252">
        <v>0</v>
      </c>
      <c r="DZJ22" s="252">
        <v>0</v>
      </c>
      <c r="DZK22" s="252">
        <v>0</v>
      </c>
      <c r="DZL22" s="252">
        <v>0</v>
      </c>
      <c r="DZM22" s="252">
        <v>0</v>
      </c>
      <c r="DZN22" s="252">
        <v>0</v>
      </c>
      <c r="DZO22" s="252">
        <v>0</v>
      </c>
      <c r="DZP22" s="252">
        <v>0</v>
      </c>
      <c r="DZQ22" s="252">
        <v>0</v>
      </c>
      <c r="DZR22" s="252">
        <v>0</v>
      </c>
      <c r="DZS22" s="252">
        <v>0</v>
      </c>
      <c r="DZT22" s="252">
        <v>0</v>
      </c>
      <c r="DZU22" s="252">
        <v>0</v>
      </c>
      <c r="DZV22" s="252">
        <v>0</v>
      </c>
      <c r="DZW22" s="252">
        <v>0</v>
      </c>
      <c r="DZX22" s="252">
        <v>0</v>
      </c>
      <c r="DZY22" s="252">
        <v>0</v>
      </c>
      <c r="DZZ22" s="252">
        <v>0</v>
      </c>
      <c r="EAA22" s="252">
        <v>0</v>
      </c>
      <c r="EAB22" s="252">
        <v>0</v>
      </c>
      <c r="EAC22" s="252">
        <v>0</v>
      </c>
      <c r="EAD22" s="252">
        <v>0</v>
      </c>
      <c r="EAE22" s="252">
        <v>0</v>
      </c>
      <c r="EAF22" s="252">
        <v>0</v>
      </c>
      <c r="EAG22" s="252">
        <v>0</v>
      </c>
      <c r="EAH22" s="252">
        <v>0</v>
      </c>
      <c r="EAI22" s="252">
        <v>0</v>
      </c>
      <c r="EAJ22" s="252">
        <v>0</v>
      </c>
      <c r="EAK22" s="252">
        <v>0</v>
      </c>
      <c r="EAL22" s="252">
        <v>0</v>
      </c>
      <c r="EAM22" s="252">
        <v>0</v>
      </c>
      <c r="EAN22" s="252">
        <v>0</v>
      </c>
      <c r="EAO22" s="252">
        <v>0</v>
      </c>
      <c r="EAP22" s="252">
        <v>0</v>
      </c>
      <c r="EAQ22" s="252">
        <v>0</v>
      </c>
      <c r="EAR22" s="252">
        <v>0</v>
      </c>
      <c r="EAS22" s="252">
        <v>0</v>
      </c>
      <c r="EAT22" s="252">
        <v>0</v>
      </c>
      <c r="EAU22" s="252">
        <v>0</v>
      </c>
      <c r="EAV22" s="252">
        <v>0</v>
      </c>
      <c r="EAW22" s="252">
        <v>0</v>
      </c>
      <c r="EAX22" s="252">
        <v>0</v>
      </c>
      <c r="EAY22" s="252">
        <v>0</v>
      </c>
      <c r="EAZ22" s="252">
        <v>0</v>
      </c>
      <c r="EBA22" s="252">
        <v>0</v>
      </c>
      <c r="EBB22" s="252">
        <v>0</v>
      </c>
      <c r="EBC22" s="252">
        <v>0</v>
      </c>
      <c r="EBD22" s="252">
        <v>0</v>
      </c>
      <c r="EBE22" s="252">
        <v>0</v>
      </c>
      <c r="EBF22" s="252">
        <v>0</v>
      </c>
      <c r="EBG22" s="252">
        <v>0</v>
      </c>
      <c r="EBH22" s="252">
        <v>0</v>
      </c>
      <c r="EBI22" s="252">
        <v>0</v>
      </c>
      <c r="EBJ22" s="252">
        <v>0</v>
      </c>
      <c r="EBK22" s="252">
        <v>0</v>
      </c>
      <c r="EBL22" s="252">
        <v>0</v>
      </c>
      <c r="EBM22" s="252">
        <v>0</v>
      </c>
      <c r="EBN22" s="252">
        <v>0</v>
      </c>
      <c r="EBO22" s="252">
        <v>0</v>
      </c>
      <c r="EBP22" s="252">
        <v>0</v>
      </c>
      <c r="EBQ22" s="252">
        <v>0</v>
      </c>
      <c r="EBR22" s="252">
        <v>0</v>
      </c>
      <c r="EBS22" s="252">
        <v>0</v>
      </c>
      <c r="EBT22" s="252">
        <v>0</v>
      </c>
      <c r="EBU22" s="252">
        <v>0</v>
      </c>
      <c r="EBV22" s="252">
        <v>0</v>
      </c>
      <c r="EBW22" s="252">
        <v>0</v>
      </c>
      <c r="EBX22" s="252">
        <v>0</v>
      </c>
      <c r="EBY22" s="252">
        <v>0</v>
      </c>
      <c r="EBZ22" s="252">
        <v>0</v>
      </c>
      <c r="ECA22" s="252">
        <v>0</v>
      </c>
      <c r="ECB22" s="252">
        <v>0</v>
      </c>
      <c r="ECC22" s="252">
        <v>0</v>
      </c>
      <c r="ECD22" s="252">
        <v>0</v>
      </c>
      <c r="ECE22" s="252">
        <v>0</v>
      </c>
      <c r="ECF22" s="252">
        <v>0</v>
      </c>
      <c r="ECG22" s="252">
        <v>0</v>
      </c>
      <c r="ECH22" s="252">
        <v>0</v>
      </c>
      <c r="ECI22" s="252">
        <v>0</v>
      </c>
      <c r="ECJ22" s="252">
        <v>0</v>
      </c>
      <c r="ECK22" s="252">
        <v>0</v>
      </c>
      <c r="ECL22" s="252">
        <v>0</v>
      </c>
      <c r="ECM22" s="252">
        <v>0</v>
      </c>
      <c r="ECN22" s="252">
        <v>0</v>
      </c>
      <c r="ECO22" s="252">
        <v>0</v>
      </c>
      <c r="ECP22" s="252">
        <v>0</v>
      </c>
      <c r="ECQ22" s="252">
        <v>0</v>
      </c>
      <c r="ECR22" s="252">
        <v>0</v>
      </c>
      <c r="ECS22" s="252">
        <v>0</v>
      </c>
      <c r="ECT22" s="252">
        <v>0</v>
      </c>
      <c r="ECU22" s="252">
        <v>0</v>
      </c>
      <c r="ECV22" s="252">
        <v>0</v>
      </c>
      <c r="ECW22" s="252">
        <v>0</v>
      </c>
      <c r="ECX22" s="252">
        <v>0</v>
      </c>
      <c r="ECY22" s="252">
        <v>0</v>
      </c>
      <c r="ECZ22" s="252">
        <v>0</v>
      </c>
      <c r="EDA22" s="252">
        <v>0</v>
      </c>
      <c r="EDB22" s="252">
        <v>0</v>
      </c>
      <c r="EDC22" s="252">
        <v>0</v>
      </c>
      <c r="EDD22" s="252">
        <v>0</v>
      </c>
      <c r="EDE22" s="252">
        <v>0</v>
      </c>
      <c r="EDF22" s="252">
        <v>0</v>
      </c>
      <c r="EDG22" s="252">
        <v>0</v>
      </c>
      <c r="EDH22" s="252">
        <v>0</v>
      </c>
      <c r="EDI22" s="252">
        <v>0</v>
      </c>
      <c r="EDJ22" s="252">
        <v>0</v>
      </c>
      <c r="EDK22" s="252">
        <v>0</v>
      </c>
      <c r="EDL22" s="252">
        <v>0</v>
      </c>
      <c r="EDM22" s="252">
        <v>0</v>
      </c>
      <c r="EDN22" s="252">
        <v>0</v>
      </c>
      <c r="EDO22" s="252">
        <v>0</v>
      </c>
      <c r="EDP22" s="252">
        <v>0</v>
      </c>
      <c r="EDQ22" s="252">
        <v>0</v>
      </c>
      <c r="EDR22" s="252">
        <v>0</v>
      </c>
      <c r="EDS22" s="252">
        <v>0</v>
      </c>
      <c r="EDT22" s="252">
        <v>0</v>
      </c>
      <c r="EDU22" s="252">
        <v>0</v>
      </c>
      <c r="EDV22" s="252">
        <v>0</v>
      </c>
      <c r="EDW22" s="252">
        <v>0</v>
      </c>
      <c r="EDX22" s="252">
        <v>0</v>
      </c>
      <c r="EDY22" s="252">
        <v>0</v>
      </c>
      <c r="EDZ22" s="252">
        <v>0</v>
      </c>
      <c r="EEA22" s="252">
        <v>0</v>
      </c>
      <c r="EEB22" s="252">
        <v>0</v>
      </c>
      <c r="EEC22" s="252">
        <v>0</v>
      </c>
      <c r="EED22" s="252">
        <v>0</v>
      </c>
      <c r="EEE22" s="252">
        <v>0</v>
      </c>
      <c r="EEF22" s="252">
        <v>0</v>
      </c>
      <c r="EEG22" s="252">
        <v>0</v>
      </c>
      <c r="EEH22" s="252">
        <v>0</v>
      </c>
      <c r="EEI22" s="252">
        <v>0</v>
      </c>
      <c r="EEJ22" s="252">
        <v>0</v>
      </c>
      <c r="EEK22" s="252">
        <v>0</v>
      </c>
      <c r="EEL22" s="252">
        <v>0</v>
      </c>
      <c r="EEM22" s="252">
        <v>0</v>
      </c>
      <c r="EEN22" s="252">
        <v>0</v>
      </c>
      <c r="EEO22" s="252">
        <v>0</v>
      </c>
      <c r="EEP22" s="252">
        <v>0</v>
      </c>
      <c r="EEQ22" s="252">
        <v>0</v>
      </c>
      <c r="EER22" s="252">
        <v>0</v>
      </c>
      <c r="EES22" s="252">
        <v>0</v>
      </c>
      <c r="EET22" s="252">
        <v>0</v>
      </c>
      <c r="EEU22" s="252">
        <v>0</v>
      </c>
      <c r="EEV22" s="252">
        <v>0</v>
      </c>
      <c r="EEW22" s="252">
        <v>0</v>
      </c>
      <c r="EEX22" s="252">
        <v>0</v>
      </c>
      <c r="EEY22" s="252">
        <v>0</v>
      </c>
      <c r="EEZ22" s="252">
        <v>0</v>
      </c>
      <c r="EFA22" s="252">
        <v>0</v>
      </c>
      <c r="EFB22" s="252">
        <v>0</v>
      </c>
      <c r="EFC22" s="252">
        <v>0</v>
      </c>
      <c r="EFD22" s="252">
        <v>0</v>
      </c>
      <c r="EFE22" s="252">
        <v>0</v>
      </c>
      <c r="EFF22" s="252">
        <v>0</v>
      </c>
      <c r="EFG22" s="252">
        <v>0</v>
      </c>
      <c r="EFH22" s="252">
        <v>0</v>
      </c>
      <c r="EFI22" s="252">
        <v>0</v>
      </c>
      <c r="EFJ22" s="252">
        <v>0</v>
      </c>
      <c r="EFK22" s="252">
        <v>0</v>
      </c>
      <c r="EFL22" s="252">
        <v>0</v>
      </c>
      <c r="EFM22" s="252">
        <v>0</v>
      </c>
      <c r="EFN22" s="252">
        <v>0</v>
      </c>
      <c r="EFO22" s="252">
        <v>0</v>
      </c>
      <c r="EFP22" s="252">
        <v>0</v>
      </c>
      <c r="EFQ22" s="252">
        <v>0</v>
      </c>
      <c r="EFR22" s="252">
        <v>0</v>
      </c>
      <c r="EFS22" s="252">
        <v>0</v>
      </c>
      <c r="EFT22" s="252">
        <v>0</v>
      </c>
      <c r="EFU22" s="252">
        <v>0</v>
      </c>
      <c r="EFV22" s="252">
        <v>0</v>
      </c>
      <c r="EFW22" s="252">
        <v>0</v>
      </c>
      <c r="EFX22" s="252">
        <v>0</v>
      </c>
      <c r="EFY22" s="252">
        <v>0</v>
      </c>
      <c r="EFZ22" s="252">
        <v>0</v>
      </c>
      <c r="EGA22" s="252">
        <v>0</v>
      </c>
      <c r="EGB22" s="252">
        <v>0</v>
      </c>
      <c r="EGC22" s="252">
        <v>0</v>
      </c>
      <c r="EGD22" s="252">
        <v>0</v>
      </c>
      <c r="EGE22" s="252">
        <v>0</v>
      </c>
      <c r="EGF22" s="252">
        <v>0</v>
      </c>
      <c r="EGG22" s="252">
        <v>0</v>
      </c>
      <c r="EGH22" s="252">
        <v>0</v>
      </c>
      <c r="EGI22" s="252">
        <v>0</v>
      </c>
      <c r="EGJ22" s="252">
        <v>0</v>
      </c>
      <c r="EGK22" s="252">
        <v>0</v>
      </c>
      <c r="EGL22" s="252">
        <v>0</v>
      </c>
      <c r="EGM22" s="252">
        <v>0</v>
      </c>
      <c r="EGN22" s="252">
        <v>0</v>
      </c>
      <c r="EGO22" s="252">
        <v>0</v>
      </c>
      <c r="EGP22" s="252">
        <v>0</v>
      </c>
      <c r="EGQ22" s="252">
        <v>0</v>
      </c>
      <c r="EGR22" s="252">
        <v>0</v>
      </c>
      <c r="EGS22" s="252">
        <v>0</v>
      </c>
      <c r="EGT22" s="252">
        <v>0</v>
      </c>
      <c r="EGU22" s="252">
        <v>0</v>
      </c>
      <c r="EGV22" s="252">
        <v>0</v>
      </c>
      <c r="EGW22" s="252">
        <v>0</v>
      </c>
      <c r="EGX22" s="252">
        <v>0</v>
      </c>
      <c r="EGY22" s="252">
        <v>0</v>
      </c>
      <c r="EGZ22" s="252">
        <v>0</v>
      </c>
      <c r="EHA22" s="252">
        <v>0</v>
      </c>
      <c r="EHB22" s="252">
        <v>0</v>
      </c>
      <c r="EHC22" s="252">
        <v>0</v>
      </c>
      <c r="EHD22" s="252">
        <v>0</v>
      </c>
      <c r="EHE22" s="252">
        <v>0</v>
      </c>
      <c r="EHF22" s="252">
        <v>0</v>
      </c>
      <c r="EHG22" s="252">
        <v>0</v>
      </c>
      <c r="EHH22" s="252">
        <v>0</v>
      </c>
      <c r="EHI22" s="252">
        <v>0</v>
      </c>
      <c r="EHJ22" s="252">
        <v>0</v>
      </c>
      <c r="EHK22" s="252">
        <v>0</v>
      </c>
      <c r="EHL22" s="252">
        <v>0</v>
      </c>
      <c r="EHM22" s="252">
        <v>0</v>
      </c>
      <c r="EHN22" s="252">
        <v>0</v>
      </c>
      <c r="EHO22" s="252">
        <v>0</v>
      </c>
      <c r="EHP22" s="252">
        <v>0</v>
      </c>
      <c r="EHQ22" s="252">
        <v>0</v>
      </c>
      <c r="EHR22" s="252">
        <v>0</v>
      </c>
      <c r="EHS22" s="252">
        <v>0</v>
      </c>
      <c r="EHT22" s="252">
        <v>0</v>
      </c>
      <c r="EHU22" s="252">
        <v>0</v>
      </c>
      <c r="EHV22" s="252">
        <v>0</v>
      </c>
      <c r="EHW22" s="252">
        <v>0</v>
      </c>
      <c r="EHX22" s="252">
        <v>0</v>
      </c>
      <c r="EHY22" s="252">
        <v>0</v>
      </c>
      <c r="EHZ22" s="252">
        <v>0</v>
      </c>
      <c r="EIA22" s="252">
        <v>0</v>
      </c>
      <c r="EIB22" s="252">
        <v>0</v>
      </c>
      <c r="EIC22" s="252">
        <v>0</v>
      </c>
      <c r="EID22" s="252">
        <v>0</v>
      </c>
      <c r="EIE22" s="252">
        <v>0</v>
      </c>
      <c r="EIF22" s="252">
        <v>0</v>
      </c>
      <c r="EIG22" s="252">
        <v>0</v>
      </c>
      <c r="EIH22" s="252">
        <v>0</v>
      </c>
      <c r="EII22" s="252">
        <v>0</v>
      </c>
      <c r="EIJ22" s="252">
        <v>0</v>
      </c>
      <c r="EIK22" s="252">
        <v>0</v>
      </c>
      <c r="EIL22" s="252">
        <v>0</v>
      </c>
      <c r="EIM22" s="252">
        <v>0</v>
      </c>
      <c r="EIN22" s="252">
        <v>0</v>
      </c>
      <c r="EIO22" s="252">
        <v>0</v>
      </c>
      <c r="EIP22" s="252">
        <v>0</v>
      </c>
      <c r="EIQ22" s="252">
        <v>0</v>
      </c>
      <c r="EIR22" s="252">
        <v>0</v>
      </c>
      <c r="EIS22" s="252">
        <v>0</v>
      </c>
      <c r="EIT22" s="252">
        <v>0</v>
      </c>
      <c r="EIU22" s="252">
        <v>0</v>
      </c>
      <c r="EIV22" s="252">
        <v>0</v>
      </c>
      <c r="EIW22" s="252">
        <v>0</v>
      </c>
      <c r="EIX22" s="252">
        <v>0</v>
      </c>
      <c r="EIY22" s="252">
        <v>0</v>
      </c>
      <c r="EIZ22" s="252">
        <v>0</v>
      </c>
      <c r="EJA22" s="252">
        <v>0</v>
      </c>
      <c r="EJB22" s="252">
        <v>0</v>
      </c>
      <c r="EJC22" s="252">
        <v>0</v>
      </c>
      <c r="EJD22" s="252">
        <v>0</v>
      </c>
      <c r="EJE22" s="252">
        <v>0</v>
      </c>
      <c r="EJF22" s="252">
        <v>0</v>
      </c>
      <c r="EJG22" s="252">
        <v>0</v>
      </c>
      <c r="EJH22" s="252">
        <v>0</v>
      </c>
      <c r="EJI22" s="252">
        <v>0</v>
      </c>
      <c r="EJJ22" s="252">
        <v>0</v>
      </c>
      <c r="EJK22" s="252">
        <v>0</v>
      </c>
      <c r="EJL22" s="252">
        <v>0</v>
      </c>
      <c r="EJM22" s="252">
        <v>0</v>
      </c>
      <c r="EJN22" s="252">
        <v>0</v>
      </c>
      <c r="EJO22" s="252">
        <v>0</v>
      </c>
      <c r="EJP22" s="252">
        <v>0</v>
      </c>
      <c r="EJQ22" s="252">
        <v>0</v>
      </c>
      <c r="EJR22" s="252">
        <v>0</v>
      </c>
      <c r="EJS22" s="252">
        <v>0</v>
      </c>
      <c r="EJT22" s="252">
        <v>0</v>
      </c>
      <c r="EJU22" s="252">
        <v>0</v>
      </c>
      <c r="EJV22" s="252">
        <v>0</v>
      </c>
      <c r="EJW22" s="252">
        <v>0</v>
      </c>
      <c r="EJX22" s="252">
        <v>0</v>
      </c>
      <c r="EJY22" s="252">
        <v>0</v>
      </c>
      <c r="EJZ22" s="252">
        <v>0</v>
      </c>
      <c r="EKA22" s="252">
        <v>0</v>
      </c>
      <c r="EKB22" s="252">
        <v>0</v>
      </c>
      <c r="EKC22" s="252">
        <v>0</v>
      </c>
      <c r="EKD22" s="252">
        <v>0</v>
      </c>
      <c r="EKE22" s="252">
        <v>0</v>
      </c>
      <c r="EKF22" s="252">
        <v>0</v>
      </c>
      <c r="EKG22" s="252">
        <v>0</v>
      </c>
      <c r="EKH22" s="252">
        <v>0</v>
      </c>
      <c r="EKI22" s="252">
        <v>0</v>
      </c>
      <c r="EKJ22" s="252">
        <v>0</v>
      </c>
      <c r="EKK22" s="252">
        <v>0</v>
      </c>
      <c r="EKL22" s="252">
        <v>0</v>
      </c>
      <c r="EKM22" s="252">
        <v>0</v>
      </c>
      <c r="EKN22" s="252">
        <v>0</v>
      </c>
      <c r="EKO22" s="252">
        <v>0</v>
      </c>
      <c r="EKP22" s="252">
        <v>0</v>
      </c>
      <c r="EKQ22" s="252">
        <v>0</v>
      </c>
      <c r="EKR22" s="252">
        <v>0</v>
      </c>
      <c r="EKS22" s="252">
        <v>0</v>
      </c>
      <c r="EKT22" s="252">
        <v>0</v>
      </c>
      <c r="EKU22" s="252">
        <v>0</v>
      </c>
      <c r="EKV22" s="252">
        <v>0</v>
      </c>
      <c r="EKW22" s="252">
        <v>0</v>
      </c>
      <c r="EKX22" s="252">
        <v>0</v>
      </c>
      <c r="EKY22" s="252">
        <v>0</v>
      </c>
      <c r="EKZ22" s="252">
        <v>0</v>
      </c>
      <c r="ELA22" s="252">
        <v>0</v>
      </c>
      <c r="ELB22" s="252">
        <v>0</v>
      </c>
      <c r="ELC22" s="252">
        <v>0</v>
      </c>
      <c r="ELD22" s="252">
        <v>0</v>
      </c>
      <c r="ELE22" s="252">
        <v>0</v>
      </c>
      <c r="ELF22" s="252">
        <v>0</v>
      </c>
      <c r="ELG22" s="252">
        <v>0</v>
      </c>
      <c r="ELH22" s="252">
        <v>0</v>
      </c>
      <c r="ELI22" s="252">
        <v>0</v>
      </c>
      <c r="ELJ22" s="252">
        <v>0</v>
      </c>
      <c r="ELK22" s="252">
        <v>0</v>
      </c>
      <c r="ELL22" s="252">
        <v>0</v>
      </c>
      <c r="ELM22" s="252">
        <v>0</v>
      </c>
      <c r="ELN22" s="252">
        <v>0</v>
      </c>
      <c r="ELO22" s="252">
        <v>0</v>
      </c>
      <c r="ELP22" s="252">
        <v>0</v>
      </c>
      <c r="ELQ22" s="252">
        <v>0</v>
      </c>
      <c r="ELR22" s="252">
        <v>0</v>
      </c>
      <c r="ELS22" s="252">
        <v>0</v>
      </c>
      <c r="ELT22" s="252">
        <v>0</v>
      </c>
      <c r="ELU22" s="252">
        <v>0</v>
      </c>
      <c r="ELV22" s="252">
        <v>0</v>
      </c>
      <c r="ELW22" s="252">
        <v>0</v>
      </c>
      <c r="ELX22" s="252">
        <v>0</v>
      </c>
      <c r="ELY22" s="252">
        <v>0</v>
      </c>
      <c r="ELZ22" s="252">
        <v>0</v>
      </c>
      <c r="EMA22" s="252">
        <v>0</v>
      </c>
      <c r="EMB22" s="252">
        <v>0</v>
      </c>
      <c r="EMC22" s="252">
        <v>0</v>
      </c>
      <c r="EMD22" s="252">
        <v>0</v>
      </c>
      <c r="EME22" s="252">
        <v>0</v>
      </c>
      <c r="EMF22" s="252">
        <v>0</v>
      </c>
      <c r="EMG22" s="252">
        <v>0</v>
      </c>
      <c r="EMH22" s="252">
        <v>0</v>
      </c>
      <c r="EMI22" s="252">
        <v>0</v>
      </c>
      <c r="EMJ22" s="252">
        <v>0</v>
      </c>
      <c r="EMK22" s="252">
        <v>0</v>
      </c>
      <c r="EML22" s="252">
        <v>0</v>
      </c>
      <c r="EMM22" s="252">
        <v>0</v>
      </c>
      <c r="EMN22" s="252">
        <v>0</v>
      </c>
      <c r="EMO22" s="252">
        <v>0</v>
      </c>
      <c r="EMP22" s="252">
        <v>0</v>
      </c>
      <c r="EMQ22" s="252">
        <v>0</v>
      </c>
      <c r="EMR22" s="252">
        <v>0</v>
      </c>
      <c r="EMS22" s="252">
        <v>0</v>
      </c>
      <c r="EMT22" s="252">
        <v>0</v>
      </c>
      <c r="EMU22" s="252">
        <v>0</v>
      </c>
      <c r="EMV22" s="252">
        <v>0</v>
      </c>
      <c r="EMW22" s="252">
        <v>0</v>
      </c>
      <c r="EMX22" s="252">
        <v>0</v>
      </c>
      <c r="EMY22" s="252">
        <v>0</v>
      </c>
      <c r="EMZ22" s="252">
        <v>0</v>
      </c>
      <c r="ENA22" s="252">
        <v>0</v>
      </c>
      <c r="ENB22" s="252">
        <v>0</v>
      </c>
      <c r="ENC22" s="252">
        <v>0</v>
      </c>
      <c r="END22" s="252">
        <v>0</v>
      </c>
      <c r="ENE22" s="252">
        <v>0</v>
      </c>
      <c r="ENF22" s="252">
        <v>0</v>
      </c>
      <c r="ENG22" s="252">
        <v>0</v>
      </c>
      <c r="ENH22" s="252">
        <v>0</v>
      </c>
      <c r="ENI22" s="252">
        <v>0</v>
      </c>
      <c r="ENJ22" s="252">
        <v>0</v>
      </c>
      <c r="ENK22" s="252">
        <v>0</v>
      </c>
      <c r="ENL22" s="252">
        <v>0</v>
      </c>
      <c r="ENM22" s="252">
        <v>0</v>
      </c>
      <c r="ENN22" s="252">
        <v>0</v>
      </c>
      <c r="ENO22" s="252">
        <v>0</v>
      </c>
      <c r="ENP22" s="252">
        <v>0</v>
      </c>
      <c r="ENQ22" s="252">
        <v>0</v>
      </c>
      <c r="ENR22" s="252">
        <v>0</v>
      </c>
      <c r="ENS22" s="252">
        <v>0</v>
      </c>
      <c r="ENT22" s="252">
        <v>0</v>
      </c>
      <c r="ENU22" s="252">
        <v>0</v>
      </c>
      <c r="ENV22" s="252">
        <v>0</v>
      </c>
      <c r="ENW22" s="252">
        <v>0</v>
      </c>
      <c r="ENX22" s="252">
        <v>0</v>
      </c>
      <c r="ENY22" s="252">
        <v>0</v>
      </c>
      <c r="ENZ22" s="252">
        <v>0</v>
      </c>
      <c r="EOA22" s="252">
        <v>0</v>
      </c>
      <c r="EOB22" s="252">
        <v>0</v>
      </c>
      <c r="EOC22" s="252">
        <v>0</v>
      </c>
      <c r="EOD22" s="252">
        <v>0</v>
      </c>
      <c r="EOE22" s="252">
        <v>0</v>
      </c>
      <c r="EOF22" s="252">
        <v>0</v>
      </c>
      <c r="EOG22" s="252">
        <v>0</v>
      </c>
      <c r="EOH22" s="252">
        <v>0</v>
      </c>
      <c r="EOI22" s="252">
        <v>0</v>
      </c>
      <c r="EOJ22" s="252">
        <v>0</v>
      </c>
      <c r="EOK22" s="252">
        <v>0</v>
      </c>
      <c r="EOL22" s="252">
        <v>0</v>
      </c>
      <c r="EOM22" s="252">
        <v>0</v>
      </c>
      <c r="EON22" s="252">
        <v>0</v>
      </c>
      <c r="EOO22" s="252">
        <v>0</v>
      </c>
      <c r="EOP22" s="252">
        <v>0</v>
      </c>
      <c r="EOQ22" s="252">
        <v>0</v>
      </c>
      <c r="EOR22" s="252">
        <v>0</v>
      </c>
      <c r="EOS22" s="252">
        <v>0</v>
      </c>
      <c r="EOT22" s="252">
        <v>0</v>
      </c>
      <c r="EOU22" s="252">
        <v>0</v>
      </c>
      <c r="EOV22" s="252">
        <v>0</v>
      </c>
      <c r="EOW22" s="252">
        <v>0</v>
      </c>
      <c r="EOX22" s="252">
        <v>0</v>
      </c>
      <c r="EOY22" s="252">
        <v>0</v>
      </c>
      <c r="EOZ22" s="252">
        <v>0</v>
      </c>
      <c r="EPA22" s="252">
        <v>0</v>
      </c>
      <c r="EPB22" s="252">
        <v>0</v>
      </c>
      <c r="EPC22" s="252">
        <v>0</v>
      </c>
      <c r="EPD22" s="252">
        <v>0</v>
      </c>
      <c r="EPE22" s="252">
        <v>0</v>
      </c>
      <c r="EPF22" s="252">
        <v>0</v>
      </c>
      <c r="EPG22" s="252">
        <v>0</v>
      </c>
      <c r="EPH22" s="252">
        <v>0</v>
      </c>
      <c r="EPI22" s="252">
        <v>0</v>
      </c>
      <c r="EPJ22" s="252">
        <v>0</v>
      </c>
      <c r="EPK22" s="252">
        <v>0</v>
      </c>
      <c r="EPL22" s="252">
        <v>0</v>
      </c>
      <c r="EPM22" s="252">
        <v>0</v>
      </c>
      <c r="EPN22" s="252">
        <v>0</v>
      </c>
      <c r="EPO22" s="252">
        <v>0</v>
      </c>
      <c r="EPP22" s="252">
        <v>0</v>
      </c>
      <c r="EPQ22" s="252">
        <v>0</v>
      </c>
      <c r="EPR22" s="252">
        <v>0</v>
      </c>
      <c r="EPS22" s="252">
        <v>0</v>
      </c>
      <c r="EPT22" s="252">
        <v>0</v>
      </c>
      <c r="EPU22" s="252">
        <v>0</v>
      </c>
      <c r="EPV22" s="252">
        <v>0</v>
      </c>
      <c r="EPW22" s="252">
        <v>0</v>
      </c>
      <c r="EPX22" s="252">
        <v>0</v>
      </c>
      <c r="EPY22" s="252">
        <v>0</v>
      </c>
      <c r="EPZ22" s="252">
        <v>0</v>
      </c>
      <c r="EQA22" s="252">
        <v>0</v>
      </c>
      <c r="EQB22" s="252">
        <v>0</v>
      </c>
      <c r="EQC22" s="252">
        <v>0</v>
      </c>
      <c r="EQD22" s="252">
        <v>0</v>
      </c>
      <c r="EQE22" s="252">
        <v>0</v>
      </c>
      <c r="EQF22" s="252">
        <v>0</v>
      </c>
      <c r="EQG22" s="252">
        <v>0</v>
      </c>
      <c r="EQH22" s="252">
        <v>0</v>
      </c>
      <c r="EQI22" s="252">
        <v>0</v>
      </c>
      <c r="EQJ22" s="252">
        <v>0</v>
      </c>
      <c r="EQK22" s="252">
        <v>0</v>
      </c>
      <c r="EQL22" s="252">
        <v>0</v>
      </c>
      <c r="EQM22" s="252">
        <v>0</v>
      </c>
      <c r="EQN22" s="252">
        <v>0</v>
      </c>
      <c r="EQO22" s="252">
        <v>0</v>
      </c>
      <c r="EQP22" s="252">
        <v>0</v>
      </c>
      <c r="EQQ22" s="252">
        <v>0</v>
      </c>
      <c r="EQR22" s="252">
        <v>0</v>
      </c>
      <c r="EQS22" s="252">
        <v>0</v>
      </c>
      <c r="EQT22" s="252">
        <v>0</v>
      </c>
      <c r="EQU22" s="252">
        <v>0</v>
      </c>
      <c r="EQV22" s="252">
        <v>0</v>
      </c>
      <c r="EQW22" s="252">
        <v>0</v>
      </c>
      <c r="EQX22" s="252">
        <v>0</v>
      </c>
      <c r="EQY22" s="252">
        <v>0</v>
      </c>
      <c r="EQZ22" s="252">
        <v>0</v>
      </c>
      <c r="ERA22" s="252">
        <v>0</v>
      </c>
      <c r="ERB22" s="252">
        <v>0</v>
      </c>
      <c r="ERC22" s="252">
        <v>0</v>
      </c>
      <c r="ERD22" s="252">
        <v>0</v>
      </c>
      <c r="ERE22" s="252">
        <v>0</v>
      </c>
      <c r="ERF22" s="252">
        <v>0</v>
      </c>
      <c r="ERG22" s="252">
        <v>0</v>
      </c>
      <c r="ERH22" s="252">
        <v>0</v>
      </c>
      <c r="ERI22" s="252">
        <v>0</v>
      </c>
      <c r="ERJ22" s="252">
        <v>0</v>
      </c>
      <c r="ERK22" s="252">
        <v>0</v>
      </c>
      <c r="ERL22" s="252">
        <v>0</v>
      </c>
      <c r="ERM22" s="252">
        <v>0</v>
      </c>
      <c r="ERN22" s="252">
        <v>0</v>
      </c>
      <c r="ERO22" s="252">
        <v>0</v>
      </c>
      <c r="ERP22" s="252">
        <v>0</v>
      </c>
      <c r="ERQ22" s="252">
        <v>0</v>
      </c>
      <c r="ERR22" s="252">
        <v>0</v>
      </c>
      <c r="ERS22" s="252">
        <v>0</v>
      </c>
      <c r="ERT22" s="252">
        <v>0</v>
      </c>
      <c r="ERU22" s="252">
        <v>0</v>
      </c>
      <c r="ERV22" s="252">
        <v>0</v>
      </c>
      <c r="ERW22" s="252">
        <v>0</v>
      </c>
      <c r="ERX22" s="252">
        <v>0</v>
      </c>
      <c r="ERY22" s="252">
        <v>0</v>
      </c>
      <c r="ERZ22" s="252">
        <v>0</v>
      </c>
      <c r="ESA22" s="252">
        <v>0</v>
      </c>
      <c r="ESB22" s="252">
        <v>0</v>
      </c>
      <c r="ESC22" s="252">
        <v>0</v>
      </c>
      <c r="ESD22" s="252">
        <v>0</v>
      </c>
      <c r="ESE22" s="252">
        <v>0</v>
      </c>
      <c r="ESF22" s="252">
        <v>0</v>
      </c>
      <c r="ESG22" s="252">
        <v>0</v>
      </c>
      <c r="ESH22" s="252">
        <v>0</v>
      </c>
      <c r="ESI22" s="252">
        <v>0</v>
      </c>
      <c r="ESJ22" s="252">
        <v>0</v>
      </c>
      <c r="ESK22" s="252">
        <v>0</v>
      </c>
      <c r="ESL22" s="252">
        <v>0</v>
      </c>
      <c r="ESM22" s="252">
        <v>0</v>
      </c>
      <c r="ESN22" s="252">
        <v>0</v>
      </c>
      <c r="ESO22" s="252">
        <v>0</v>
      </c>
      <c r="ESP22" s="252">
        <v>0</v>
      </c>
      <c r="ESQ22" s="252">
        <v>0</v>
      </c>
      <c r="ESR22" s="252">
        <v>0</v>
      </c>
      <c r="ESS22" s="252">
        <v>0</v>
      </c>
      <c r="EST22" s="252">
        <v>0</v>
      </c>
      <c r="ESU22" s="252">
        <v>0</v>
      </c>
      <c r="ESV22" s="252">
        <v>0</v>
      </c>
      <c r="ESW22" s="252">
        <v>0</v>
      </c>
      <c r="ESX22" s="252">
        <v>0</v>
      </c>
      <c r="ESY22" s="252">
        <v>0</v>
      </c>
      <c r="ESZ22" s="252">
        <v>0</v>
      </c>
      <c r="ETA22" s="252">
        <v>0</v>
      </c>
      <c r="ETB22" s="252">
        <v>0</v>
      </c>
      <c r="ETC22" s="252">
        <v>0</v>
      </c>
      <c r="ETD22" s="252">
        <v>0</v>
      </c>
      <c r="ETE22" s="252">
        <v>0</v>
      </c>
      <c r="ETF22" s="252">
        <v>0</v>
      </c>
      <c r="ETG22" s="252">
        <v>0</v>
      </c>
      <c r="ETH22" s="252">
        <v>0</v>
      </c>
      <c r="ETI22" s="252">
        <v>0</v>
      </c>
      <c r="ETJ22" s="252">
        <v>0</v>
      </c>
      <c r="ETK22" s="252">
        <v>0</v>
      </c>
      <c r="ETL22" s="252">
        <v>0</v>
      </c>
      <c r="ETM22" s="252">
        <v>0</v>
      </c>
      <c r="ETN22" s="252">
        <v>0</v>
      </c>
      <c r="ETO22" s="252">
        <v>0</v>
      </c>
      <c r="ETP22" s="252">
        <v>0</v>
      </c>
      <c r="ETQ22" s="252">
        <v>0</v>
      </c>
      <c r="ETR22" s="252">
        <v>0</v>
      </c>
      <c r="ETS22" s="252">
        <v>0</v>
      </c>
      <c r="ETT22" s="252">
        <v>0</v>
      </c>
      <c r="ETU22" s="252">
        <v>0</v>
      </c>
      <c r="ETV22" s="252">
        <v>0</v>
      </c>
      <c r="ETW22" s="252">
        <v>0</v>
      </c>
      <c r="ETX22" s="252">
        <v>0</v>
      </c>
      <c r="ETY22" s="252">
        <v>0</v>
      </c>
      <c r="ETZ22" s="252">
        <v>0</v>
      </c>
      <c r="EUA22" s="252">
        <v>0</v>
      </c>
      <c r="EUB22" s="252">
        <v>0</v>
      </c>
      <c r="EUC22" s="252">
        <v>0</v>
      </c>
      <c r="EUD22" s="252">
        <v>0</v>
      </c>
      <c r="EUE22" s="252">
        <v>0</v>
      </c>
      <c r="EUF22" s="252">
        <v>0</v>
      </c>
      <c r="EUG22" s="252">
        <v>0</v>
      </c>
      <c r="EUH22" s="252">
        <v>0</v>
      </c>
      <c r="EUI22" s="252">
        <v>0</v>
      </c>
      <c r="EUJ22" s="252">
        <v>0</v>
      </c>
      <c r="EUK22" s="252">
        <v>0</v>
      </c>
      <c r="EUL22" s="252">
        <v>0</v>
      </c>
      <c r="EUM22" s="252">
        <v>0</v>
      </c>
      <c r="EUN22" s="252">
        <v>0</v>
      </c>
      <c r="EUO22" s="252">
        <v>0</v>
      </c>
      <c r="EUP22" s="252">
        <v>0</v>
      </c>
      <c r="EUQ22" s="252">
        <v>0</v>
      </c>
      <c r="EUR22" s="252">
        <v>0</v>
      </c>
      <c r="EUS22" s="252">
        <v>0</v>
      </c>
      <c r="EUT22" s="252">
        <v>0</v>
      </c>
      <c r="EUU22" s="252">
        <v>0</v>
      </c>
      <c r="EUV22" s="252">
        <v>0</v>
      </c>
      <c r="EUW22" s="252">
        <v>0</v>
      </c>
      <c r="EUX22" s="252">
        <v>0</v>
      </c>
      <c r="EUY22" s="252">
        <v>0</v>
      </c>
      <c r="EUZ22" s="252">
        <v>0</v>
      </c>
      <c r="EVA22" s="252">
        <v>0</v>
      </c>
      <c r="EVB22" s="252">
        <v>0</v>
      </c>
      <c r="EVC22" s="252">
        <v>0</v>
      </c>
      <c r="EVD22" s="252">
        <v>0</v>
      </c>
      <c r="EVE22" s="252">
        <v>0</v>
      </c>
      <c r="EVF22" s="252">
        <v>0</v>
      </c>
      <c r="EVG22" s="252">
        <v>0</v>
      </c>
      <c r="EVH22" s="252">
        <v>0</v>
      </c>
      <c r="EVI22" s="252">
        <v>0</v>
      </c>
      <c r="EVJ22" s="252">
        <v>0</v>
      </c>
      <c r="EVK22" s="252">
        <v>0</v>
      </c>
      <c r="EVL22" s="252">
        <v>0</v>
      </c>
      <c r="EVM22" s="252">
        <v>0</v>
      </c>
      <c r="EVN22" s="252">
        <v>0</v>
      </c>
      <c r="EVO22" s="252">
        <v>0</v>
      </c>
      <c r="EVP22" s="252">
        <v>0</v>
      </c>
      <c r="EVQ22" s="252">
        <v>0</v>
      </c>
      <c r="EVR22" s="252">
        <v>0</v>
      </c>
      <c r="EVS22" s="252">
        <v>0</v>
      </c>
      <c r="EVT22" s="252">
        <v>0</v>
      </c>
      <c r="EVU22" s="252">
        <v>0</v>
      </c>
      <c r="EVV22" s="252">
        <v>0</v>
      </c>
      <c r="EVW22" s="252">
        <v>0</v>
      </c>
      <c r="EVX22" s="252">
        <v>0</v>
      </c>
      <c r="EVY22" s="252">
        <v>0</v>
      </c>
      <c r="EVZ22" s="252">
        <v>0</v>
      </c>
      <c r="EWA22" s="252">
        <v>0</v>
      </c>
      <c r="EWB22" s="252">
        <v>0</v>
      </c>
      <c r="EWC22" s="252">
        <v>0</v>
      </c>
      <c r="EWD22" s="252">
        <v>0</v>
      </c>
      <c r="EWE22" s="252">
        <v>0</v>
      </c>
      <c r="EWF22" s="252">
        <v>0</v>
      </c>
      <c r="EWG22" s="252">
        <v>0</v>
      </c>
      <c r="EWH22" s="252">
        <v>0</v>
      </c>
      <c r="EWI22" s="252">
        <v>0</v>
      </c>
      <c r="EWJ22" s="252">
        <v>0</v>
      </c>
      <c r="EWK22" s="252">
        <v>0</v>
      </c>
      <c r="EWL22" s="252">
        <v>0</v>
      </c>
      <c r="EWM22" s="252">
        <v>0</v>
      </c>
      <c r="EWN22" s="252">
        <v>0</v>
      </c>
      <c r="EWO22" s="252">
        <v>0</v>
      </c>
      <c r="EWP22" s="252">
        <v>0</v>
      </c>
      <c r="EWQ22" s="252">
        <v>0</v>
      </c>
      <c r="EWR22" s="252">
        <v>0</v>
      </c>
      <c r="EWS22" s="252">
        <v>0</v>
      </c>
      <c r="EWT22" s="252">
        <v>0</v>
      </c>
      <c r="EWU22" s="252">
        <v>0</v>
      </c>
      <c r="EWV22" s="252">
        <v>0</v>
      </c>
      <c r="EWW22" s="252">
        <v>0</v>
      </c>
      <c r="EWX22" s="252">
        <v>0</v>
      </c>
      <c r="EWY22" s="252">
        <v>0</v>
      </c>
      <c r="EWZ22" s="252">
        <v>0</v>
      </c>
      <c r="EXA22" s="252">
        <v>0</v>
      </c>
      <c r="EXB22" s="252">
        <v>0</v>
      </c>
      <c r="EXC22" s="252">
        <v>0</v>
      </c>
      <c r="EXD22" s="252">
        <v>0</v>
      </c>
      <c r="EXE22" s="252">
        <v>0</v>
      </c>
      <c r="EXF22" s="252">
        <v>0</v>
      </c>
      <c r="EXG22" s="252">
        <v>0</v>
      </c>
      <c r="EXH22" s="252">
        <v>0</v>
      </c>
      <c r="EXI22" s="252">
        <v>0</v>
      </c>
      <c r="EXJ22" s="252">
        <v>0</v>
      </c>
      <c r="EXK22" s="252">
        <v>0</v>
      </c>
      <c r="EXL22" s="252">
        <v>0</v>
      </c>
      <c r="EXM22" s="252">
        <v>0</v>
      </c>
      <c r="EXN22" s="252">
        <v>0</v>
      </c>
      <c r="EXO22" s="252">
        <v>0</v>
      </c>
      <c r="EXP22" s="252">
        <v>0</v>
      </c>
      <c r="EXQ22" s="252">
        <v>0</v>
      </c>
      <c r="EXR22" s="252">
        <v>0</v>
      </c>
      <c r="EXS22" s="252">
        <v>0</v>
      </c>
      <c r="EXT22" s="252">
        <v>0</v>
      </c>
      <c r="EXU22" s="252">
        <v>0</v>
      </c>
      <c r="EXV22" s="252">
        <v>0</v>
      </c>
      <c r="EXW22" s="252">
        <v>0</v>
      </c>
      <c r="EXX22" s="252">
        <v>0</v>
      </c>
      <c r="EXY22" s="252">
        <v>0</v>
      </c>
      <c r="EXZ22" s="252">
        <v>0</v>
      </c>
      <c r="EYA22" s="252">
        <v>0</v>
      </c>
      <c r="EYB22" s="252">
        <v>0</v>
      </c>
      <c r="EYC22" s="252">
        <v>0</v>
      </c>
      <c r="EYD22" s="252">
        <v>0</v>
      </c>
      <c r="EYE22" s="252">
        <v>0</v>
      </c>
      <c r="EYF22" s="252">
        <v>0</v>
      </c>
      <c r="EYG22" s="252">
        <v>0</v>
      </c>
      <c r="EYH22" s="252">
        <v>0</v>
      </c>
      <c r="EYI22" s="252">
        <v>0</v>
      </c>
      <c r="EYJ22" s="252">
        <v>0</v>
      </c>
      <c r="EYK22" s="252">
        <v>0</v>
      </c>
      <c r="EYL22" s="252">
        <v>0</v>
      </c>
      <c r="EYM22" s="252">
        <v>0</v>
      </c>
      <c r="EYN22" s="252">
        <v>0</v>
      </c>
      <c r="EYO22" s="252">
        <v>0</v>
      </c>
      <c r="EYP22" s="252">
        <v>0</v>
      </c>
      <c r="EYQ22" s="252">
        <v>0</v>
      </c>
      <c r="EYR22" s="252">
        <v>0</v>
      </c>
      <c r="EYS22" s="252">
        <v>0</v>
      </c>
      <c r="EYT22" s="252">
        <v>0</v>
      </c>
      <c r="EYU22" s="252">
        <v>0</v>
      </c>
      <c r="EYV22" s="252">
        <v>0</v>
      </c>
      <c r="EYW22" s="252">
        <v>0</v>
      </c>
      <c r="EYX22" s="252">
        <v>0</v>
      </c>
      <c r="EYY22" s="252">
        <v>0</v>
      </c>
      <c r="EYZ22" s="252">
        <v>0</v>
      </c>
      <c r="EZA22" s="252">
        <v>0</v>
      </c>
      <c r="EZB22" s="252">
        <v>0</v>
      </c>
      <c r="EZC22" s="252">
        <v>0</v>
      </c>
      <c r="EZD22" s="252">
        <v>0</v>
      </c>
      <c r="EZE22" s="252">
        <v>0</v>
      </c>
      <c r="EZF22" s="252">
        <v>0</v>
      </c>
      <c r="EZG22" s="252">
        <v>0</v>
      </c>
      <c r="EZH22" s="252">
        <v>0</v>
      </c>
      <c r="EZI22" s="252">
        <v>0</v>
      </c>
      <c r="EZJ22" s="252">
        <v>0</v>
      </c>
      <c r="EZK22" s="252">
        <v>0</v>
      </c>
      <c r="EZL22" s="252">
        <v>0</v>
      </c>
      <c r="EZM22" s="252">
        <v>0</v>
      </c>
      <c r="EZN22" s="252">
        <v>0</v>
      </c>
      <c r="EZO22" s="252">
        <v>0</v>
      </c>
      <c r="EZP22" s="252">
        <v>0</v>
      </c>
      <c r="EZQ22" s="252">
        <v>0</v>
      </c>
      <c r="EZR22" s="252">
        <v>0</v>
      </c>
      <c r="EZS22" s="252">
        <v>0</v>
      </c>
      <c r="EZT22" s="252">
        <v>0</v>
      </c>
      <c r="EZU22" s="252">
        <v>0</v>
      </c>
      <c r="EZV22" s="252">
        <v>0</v>
      </c>
      <c r="EZW22" s="252">
        <v>0</v>
      </c>
      <c r="EZX22" s="252">
        <v>0</v>
      </c>
      <c r="EZY22" s="252">
        <v>0</v>
      </c>
      <c r="EZZ22" s="252">
        <v>0</v>
      </c>
      <c r="FAA22" s="252">
        <v>0</v>
      </c>
      <c r="FAB22" s="252">
        <v>0</v>
      </c>
      <c r="FAC22" s="252">
        <v>0</v>
      </c>
      <c r="FAD22" s="252">
        <v>0</v>
      </c>
      <c r="FAE22" s="252">
        <v>0</v>
      </c>
      <c r="FAF22" s="252">
        <v>0</v>
      </c>
      <c r="FAG22" s="252">
        <v>0</v>
      </c>
      <c r="FAH22" s="252">
        <v>0</v>
      </c>
      <c r="FAI22" s="252">
        <v>0</v>
      </c>
      <c r="FAJ22" s="252">
        <v>0</v>
      </c>
      <c r="FAK22" s="252">
        <v>0</v>
      </c>
      <c r="FAL22" s="252">
        <v>0</v>
      </c>
      <c r="FAM22" s="252">
        <v>0</v>
      </c>
      <c r="FAN22" s="252">
        <v>0</v>
      </c>
      <c r="FAO22" s="252">
        <v>0</v>
      </c>
      <c r="FAP22" s="252">
        <v>0</v>
      </c>
      <c r="FAQ22" s="252">
        <v>0</v>
      </c>
      <c r="FAR22" s="252">
        <v>0</v>
      </c>
      <c r="FAS22" s="252">
        <v>0</v>
      </c>
      <c r="FAT22" s="252">
        <v>0</v>
      </c>
      <c r="FAU22" s="252">
        <v>0</v>
      </c>
      <c r="FAV22" s="252">
        <v>0</v>
      </c>
      <c r="FAW22" s="252">
        <v>0</v>
      </c>
      <c r="FAX22" s="252">
        <v>0</v>
      </c>
      <c r="FAY22" s="252">
        <v>0</v>
      </c>
      <c r="FAZ22" s="252">
        <v>0</v>
      </c>
      <c r="FBA22" s="252">
        <v>0</v>
      </c>
      <c r="FBB22" s="252">
        <v>0</v>
      </c>
      <c r="FBC22" s="252">
        <v>0</v>
      </c>
      <c r="FBD22" s="252">
        <v>0</v>
      </c>
      <c r="FBE22" s="252">
        <v>0</v>
      </c>
      <c r="FBF22" s="252">
        <v>0</v>
      </c>
      <c r="FBG22" s="252">
        <v>0</v>
      </c>
      <c r="FBH22" s="252">
        <v>0</v>
      </c>
      <c r="FBI22" s="252">
        <v>0</v>
      </c>
      <c r="FBJ22" s="252">
        <v>0</v>
      </c>
      <c r="FBK22" s="252">
        <v>0</v>
      </c>
      <c r="FBL22" s="252">
        <v>0</v>
      </c>
      <c r="FBM22" s="252">
        <v>0</v>
      </c>
      <c r="FBN22" s="252">
        <v>0</v>
      </c>
      <c r="FBO22" s="252">
        <v>0</v>
      </c>
      <c r="FBP22" s="252">
        <v>0</v>
      </c>
      <c r="FBQ22" s="252">
        <v>0</v>
      </c>
      <c r="FBR22" s="252">
        <v>0</v>
      </c>
      <c r="FBS22" s="252">
        <v>0</v>
      </c>
      <c r="FBT22" s="252">
        <v>0</v>
      </c>
      <c r="FBU22" s="252">
        <v>0</v>
      </c>
      <c r="FBV22" s="252">
        <v>0</v>
      </c>
      <c r="FBW22" s="252">
        <v>0</v>
      </c>
      <c r="FBX22" s="252">
        <v>0</v>
      </c>
      <c r="FBY22" s="252">
        <v>0</v>
      </c>
      <c r="FBZ22" s="252">
        <v>0</v>
      </c>
      <c r="FCA22" s="252">
        <v>0</v>
      </c>
      <c r="FCB22" s="252">
        <v>0</v>
      </c>
      <c r="FCC22" s="252">
        <v>0</v>
      </c>
      <c r="FCD22" s="252">
        <v>0</v>
      </c>
      <c r="FCE22" s="252">
        <v>0</v>
      </c>
      <c r="FCF22" s="252">
        <v>0</v>
      </c>
      <c r="FCG22" s="252">
        <v>0</v>
      </c>
      <c r="FCH22" s="252">
        <v>0</v>
      </c>
      <c r="FCI22" s="252">
        <v>0</v>
      </c>
      <c r="FCJ22" s="252">
        <v>0</v>
      </c>
      <c r="FCK22" s="252">
        <v>0</v>
      </c>
      <c r="FCL22" s="252">
        <v>0</v>
      </c>
      <c r="FCM22" s="252">
        <v>0</v>
      </c>
      <c r="FCN22" s="252">
        <v>0</v>
      </c>
      <c r="FCO22" s="252">
        <v>0</v>
      </c>
      <c r="FCP22" s="252">
        <v>0</v>
      </c>
      <c r="FCQ22" s="252">
        <v>0</v>
      </c>
      <c r="FCR22" s="252">
        <v>0</v>
      </c>
      <c r="FCS22" s="252">
        <v>0</v>
      </c>
      <c r="FCT22" s="252">
        <v>0</v>
      </c>
      <c r="FCU22" s="252">
        <v>0</v>
      </c>
      <c r="FCV22" s="252">
        <v>0</v>
      </c>
      <c r="FCW22" s="252">
        <v>0</v>
      </c>
      <c r="FCX22" s="252">
        <v>0</v>
      </c>
      <c r="FCY22" s="252">
        <v>0</v>
      </c>
      <c r="FCZ22" s="252">
        <v>0</v>
      </c>
      <c r="FDA22" s="252">
        <v>0</v>
      </c>
      <c r="FDB22" s="252">
        <v>0</v>
      </c>
      <c r="FDC22" s="252">
        <v>0</v>
      </c>
      <c r="FDD22" s="252">
        <v>0</v>
      </c>
      <c r="FDE22" s="252">
        <v>0</v>
      </c>
      <c r="FDF22" s="252">
        <v>0</v>
      </c>
      <c r="FDG22" s="252">
        <v>0</v>
      </c>
      <c r="FDH22" s="252">
        <v>0</v>
      </c>
      <c r="FDI22" s="252">
        <v>0</v>
      </c>
      <c r="FDJ22" s="252">
        <v>0</v>
      </c>
      <c r="FDK22" s="252">
        <v>0</v>
      </c>
      <c r="FDL22" s="252">
        <v>0</v>
      </c>
      <c r="FDM22" s="252">
        <v>0</v>
      </c>
      <c r="FDN22" s="252">
        <v>0</v>
      </c>
      <c r="FDO22" s="252">
        <v>0</v>
      </c>
      <c r="FDP22" s="252">
        <v>0</v>
      </c>
      <c r="FDQ22" s="252">
        <v>0</v>
      </c>
      <c r="FDR22" s="252">
        <v>0</v>
      </c>
      <c r="FDS22" s="252">
        <v>0</v>
      </c>
      <c r="FDT22" s="252">
        <v>0</v>
      </c>
      <c r="FDU22" s="252">
        <v>0</v>
      </c>
      <c r="FDV22" s="252">
        <v>0</v>
      </c>
      <c r="FDW22" s="252">
        <v>0</v>
      </c>
      <c r="FDX22" s="252">
        <v>0</v>
      </c>
      <c r="FDY22" s="252">
        <v>0</v>
      </c>
      <c r="FDZ22" s="252">
        <v>0</v>
      </c>
      <c r="FEA22" s="252">
        <v>0</v>
      </c>
      <c r="FEB22" s="252">
        <v>0</v>
      </c>
      <c r="FEC22" s="252">
        <v>0</v>
      </c>
      <c r="FED22" s="252">
        <v>0</v>
      </c>
      <c r="FEE22" s="252">
        <v>0</v>
      </c>
      <c r="FEF22" s="252">
        <v>0</v>
      </c>
      <c r="FEG22" s="252">
        <v>0</v>
      </c>
      <c r="FEH22" s="252">
        <v>0</v>
      </c>
      <c r="FEI22" s="252">
        <v>0</v>
      </c>
      <c r="FEJ22" s="252">
        <v>0</v>
      </c>
      <c r="FEK22" s="252">
        <v>0</v>
      </c>
      <c r="FEL22" s="252">
        <v>0</v>
      </c>
      <c r="FEM22" s="252">
        <v>0</v>
      </c>
      <c r="FEN22" s="252">
        <v>0</v>
      </c>
      <c r="FEO22" s="252">
        <v>0</v>
      </c>
      <c r="FEP22" s="252">
        <v>0</v>
      </c>
      <c r="FEQ22" s="252">
        <v>0</v>
      </c>
      <c r="FER22" s="252">
        <v>0</v>
      </c>
      <c r="FES22" s="252">
        <v>0</v>
      </c>
      <c r="FET22" s="252">
        <v>0</v>
      </c>
      <c r="FEU22" s="252">
        <v>0</v>
      </c>
      <c r="FEV22" s="252">
        <v>0</v>
      </c>
      <c r="FEW22" s="252">
        <v>0</v>
      </c>
      <c r="FEX22" s="252">
        <v>0</v>
      </c>
      <c r="FEY22" s="252">
        <v>0</v>
      </c>
      <c r="FEZ22" s="252">
        <v>0</v>
      </c>
      <c r="FFA22" s="252">
        <v>0</v>
      </c>
      <c r="FFB22" s="252">
        <v>0</v>
      </c>
      <c r="FFC22" s="252">
        <v>0</v>
      </c>
      <c r="FFD22" s="252">
        <v>0</v>
      </c>
      <c r="FFE22" s="252">
        <v>0</v>
      </c>
      <c r="FFF22" s="252">
        <v>0</v>
      </c>
      <c r="FFG22" s="252">
        <v>0</v>
      </c>
      <c r="FFH22" s="252">
        <v>0</v>
      </c>
      <c r="FFI22" s="252">
        <v>0</v>
      </c>
      <c r="FFJ22" s="252">
        <v>0</v>
      </c>
      <c r="FFK22" s="252">
        <v>0</v>
      </c>
      <c r="FFL22" s="252">
        <v>0</v>
      </c>
      <c r="FFM22" s="252">
        <v>0</v>
      </c>
      <c r="FFN22" s="252">
        <v>0</v>
      </c>
      <c r="FFO22" s="252">
        <v>0</v>
      </c>
      <c r="FFP22" s="252">
        <v>0</v>
      </c>
      <c r="FFQ22" s="252">
        <v>0</v>
      </c>
      <c r="FFR22" s="252">
        <v>0</v>
      </c>
      <c r="FFS22" s="252">
        <v>0</v>
      </c>
      <c r="FFT22" s="252">
        <v>0</v>
      </c>
      <c r="FFU22" s="252">
        <v>0</v>
      </c>
      <c r="FFV22" s="252">
        <v>0</v>
      </c>
      <c r="FFW22" s="252">
        <v>0</v>
      </c>
      <c r="FFX22" s="252">
        <v>0</v>
      </c>
      <c r="FFY22" s="252">
        <v>0</v>
      </c>
      <c r="FFZ22" s="252">
        <v>0</v>
      </c>
      <c r="FGA22" s="252">
        <v>0</v>
      </c>
      <c r="FGB22" s="252">
        <v>0</v>
      </c>
      <c r="FGC22" s="252">
        <v>0</v>
      </c>
      <c r="FGD22" s="252">
        <v>0</v>
      </c>
      <c r="FGE22" s="252">
        <v>0</v>
      </c>
      <c r="FGF22" s="252">
        <v>0</v>
      </c>
      <c r="FGG22" s="252">
        <v>0</v>
      </c>
      <c r="FGH22" s="252">
        <v>0</v>
      </c>
      <c r="FGI22" s="252">
        <v>0</v>
      </c>
      <c r="FGJ22" s="252">
        <v>0</v>
      </c>
      <c r="FGK22" s="252">
        <v>0</v>
      </c>
      <c r="FGL22" s="252">
        <v>0</v>
      </c>
      <c r="FGM22" s="252">
        <v>0</v>
      </c>
      <c r="FGN22" s="252">
        <v>0</v>
      </c>
      <c r="FGO22" s="252">
        <v>0</v>
      </c>
      <c r="FGP22" s="252">
        <v>0</v>
      </c>
      <c r="FGQ22" s="252">
        <v>0</v>
      </c>
      <c r="FGR22" s="252">
        <v>0</v>
      </c>
      <c r="FGS22" s="252">
        <v>0</v>
      </c>
      <c r="FGT22" s="252">
        <v>0</v>
      </c>
      <c r="FGU22" s="252">
        <v>0</v>
      </c>
      <c r="FGV22" s="252">
        <v>0</v>
      </c>
      <c r="FGW22" s="252">
        <v>0</v>
      </c>
      <c r="FGX22" s="252">
        <v>0</v>
      </c>
      <c r="FGY22" s="252">
        <v>0</v>
      </c>
      <c r="FGZ22" s="252">
        <v>0</v>
      </c>
      <c r="FHA22" s="252">
        <v>0</v>
      </c>
      <c r="FHB22" s="252">
        <v>0</v>
      </c>
      <c r="FHC22" s="252">
        <v>0</v>
      </c>
      <c r="FHD22" s="252">
        <v>0</v>
      </c>
      <c r="FHE22" s="252">
        <v>0</v>
      </c>
      <c r="FHF22" s="252">
        <v>0</v>
      </c>
      <c r="FHG22" s="252">
        <v>0</v>
      </c>
      <c r="FHH22" s="252">
        <v>0</v>
      </c>
      <c r="FHI22" s="252">
        <v>0</v>
      </c>
      <c r="FHJ22" s="252">
        <v>0</v>
      </c>
      <c r="FHK22" s="252">
        <v>0</v>
      </c>
      <c r="FHL22" s="252">
        <v>0</v>
      </c>
      <c r="FHM22" s="252">
        <v>0</v>
      </c>
      <c r="FHN22" s="252">
        <v>0</v>
      </c>
      <c r="FHO22" s="252">
        <v>0</v>
      </c>
      <c r="FHP22" s="252">
        <v>0</v>
      </c>
      <c r="FHQ22" s="252">
        <v>0</v>
      </c>
      <c r="FHR22" s="252">
        <v>0</v>
      </c>
      <c r="FHS22" s="252">
        <v>0</v>
      </c>
      <c r="FHT22" s="252">
        <v>0</v>
      </c>
      <c r="FHU22" s="252">
        <v>0</v>
      </c>
      <c r="FHV22" s="252">
        <v>0</v>
      </c>
      <c r="FHW22" s="252">
        <v>0</v>
      </c>
      <c r="FHX22" s="252">
        <v>0</v>
      </c>
      <c r="FHY22" s="252">
        <v>0</v>
      </c>
      <c r="FHZ22" s="252">
        <v>0</v>
      </c>
      <c r="FIA22" s="252">
        <v>0</v>
      </c>
      <c r="FIB22" s="252">
        <v>0</v>
      </c>
      <c r="FIC22" s="252">
        <v>0</v>
      </c>
      <c r="FID22" s="252">
        <v>0</v>
      </c>
      <c r="FIE22" s="252">
        <v>0</v>
      </c>
      <c r="FIF22" s="252">
        <v>0</v>
      </c>
      <c r="FIG22" s="252">
        <v>0</v>
      </c>
      <c r="FIH22" s="252">
        <v>0</v>
      </c>
      <c r="FII22" s="252">
        <v>0</v>
      </c>
      <c r="FIJ22" s="252">
        <v>0</v>
      </c>
      <c r="FIK22" s="252">
        <v>0</v>
      </c>
      <c r="FIL22" s="252">
        <v>0</v>
      </c>
      <c r="FIM22" s="252">
        <v>0</v>
      </c>
      <c r="FIN22" s="252">
        <v>0</v>
      </c>
      <c r="FIO22" s="252">
        <v>0</v>
      </c>
      <c r="FIP22" s="252">
        <v>0</v>
      </c>
      <c r="FIQ22" s="252">
        <v>0</v>
      </c>
      <c r="FIR22" s="252">
        <v>0</v>
      </c>
      <c r="FIS22" s="252">
        <v>0</v>
      </c>
      <c r="FIT22" s="252">
        <v>0</v>
      </c>
      <c r="FIU22" s="252">
        <v>0</v>
      </c>
      <c r="FIV22" s="252">
        <v>0</v>
      </c>
      <c r="FIW22" s="252">
        <v>0</v>
      </c>
      <c r="FIX22" s="252">
        <v>0</v>
      </c>
      <c r="FIY22" s="252">
        <v>0</v>
      </c>
      <c r="FIZ22" s="252">
        <v>0</v>
      </c>
      <c r="FJA22" s="252">
        <v>0</v>
      </c>
      <c r="FJB22" s="252">
        <v>0</v>
      </c>
      <c r="FJC22" s="252">
        <v>0</v>
      </c>
      <c r="FJD22" s="252">
        <v>0</v>
      </c>
      <c r="FJE22" s="252">
        <v>0</v>
      </c>
      <c r="FJF22" s="252">
        <v>0</v>
      </c>
      <c r="FJG22" s="252">
        <v>0</v>
      </c>
      <c r="FJH22" s="252">
        <v>0</v>
      </c>
      <c r="FJI22" s="252">
        <v>0</v>
      </c>
      <c r="FJJ22" s="252">
        <v>0</v>
      </c>
      <c r="FJK22" s="252">
        <v>0</v>
      </c>
      <c r="FJL22" s="252">
        <v>0</v>
      </c>
      <c r="FJM22" s="252">
        <v>0</v>
      </c>
      <c r="FJN22" s="252">
        <v>0</v>
      </c>
      <c r="FJO22" s="252">
        <v>0</v>
      </c>
      <c r="FJP22" s="252">
        <v>0</v>
      </c>
      <c r="FJQ22" s="252">
        <v>0</v>
      </c>
      <c r="FJR22" s="252">
        <v>0</v>
      </c>
      <c r="FJS22" s="252">
        <v>0</v>
      </c>
      <c r="FJT22" s="252">
        <v>0</v>
      </c>
      <c r="FJU22" s="252">
        <v>0</v>
      </c>
      <c r="FJV22" s="252">
        <v>0</v>
      </c>
      <c r="FJW22" s="252">
        <v>0</v>
      </c>
      <c r="FJX22" s="252">
        <v>0</v>
      </c>
      <c r="FJY22" s="252">
        <v>0</v>
      </c>
      <c r="FJZ22" s="252">
        <v>0</v>
      </c>
      <c r="FKA22" s="252">
        <v>0</v>
      </c>
      <c r="FKB22" s="252">
        <v>0</v>
      </c>
      <c r="FKC22" s="252">
        <v>0</v>
      </c>
      <c r="FKD22" s="252">
        <v>0</v>
      </c>
      <c r="FKE22" s="252">
        <v>0</v>
      </c>
      <c r="FKF22" s="252">
        <v>0</v>
      </c>
      <c r="FKG22" s="252">
        <v>0</v>
      </c>
      <c r="FKH22" s="252">
        <v>0</v>
      </c>
      <c r="FKI22" s="252">
        <v>0</v>
      </c>
      <c r="FKJ22" s="252">
        <v>0</v>
      </c>
      <c r="FKK22" s="252">
        <v>0</v>
      </c>
      <c r="FKL22" s="252">
        <v>0</v>
      </c>
      <c r="FKM22" s="252">
        <v>0</v>
      </c>
      <c r="FKN22" s="252">
        <v>0</v>
      </c>
      <c r="FKO22" s="252">
        <v>0</v>
      </c>
      <c r="FKP22" s="252">
        <v>0</v>
      </c>
      <c r="FKQ22" s="252">
        <v>0</v>
      </c>
      <c r="FKR22" s="252">
        <v>0</v>
      </c>
      <c r="FKS22" s="252">
        <v>0</v>
      </c>
      <c r="FKT22" s="252">
        <v>0</v>
      </c>
      <c r="FKU22" s="252">
        <v>0</v>
      </c>
      <c r="FKV22" s="252">
        <v>0</v>
      </c>
      <c r="FKW22" s="252">
        <v>0</v>
      </c>
      <c r="FKX22" s="252">
        <v>0</v>
      </c>
      <c r="FKY22" s="252">
        <v>0</v>
      </c>
      <c r="FKZ22" s="252">
        <v>0</v>
      </c>
      <c r="FLA22" s="252">
        <v>0</v>
      </c>
      <c r="FLB22" s="252">
        <v>0</v>
      </c>
      <c r="FLC22" s="252">
        <v>0</v>
      </c>
      <c r="FLD22" s="252">
        <v>0</v>
      </c>
      <c r="FLE22" s="252">
        <v>0</v>
      </c>
      <c r="FLF22" s="252">
        <v>0</v>
      </c>
      <c r="FLG22" s="252">
        <v>0</v>
      </c>
      <c r="FLH22" s="252">
        <v>0</v>
      </c>
      <c r="FLI22" s="252">
        <v>0</v>
      </c>
      <c r="FLJ22" s="252">
        <v>0</v>
      </c>
      <c r="FLK22" s="252">
        <v>0</v>
      </c>
      <c r="FLL22" s="252">
        <v>0</v>
      </c>
      <c r="FLM22" s="252">
        <v>0</v>
      </c>
      <c r="FLN22" s="252">
        <v>0</v>
      </c>
      <c r="FLO22" s="252">
        <v>0</v>
      </c>
      <c r="FLP22" s="252">
        <v>0</v>
      </c>
      <c r="FLQ22" s="252">
        <v>0</v>
      </c>
      <c r="FLR22" s="252">
        <v>0</v>
      </c>
      <c r="FLS22" s="252">
        <v>0</v>
      </c>
      <c r="FLT22" s="252">
        <v>0</v>
      </c>
      <c r="FLU22" s="252">
        <v>0</v>
      </c>
      <c r="FLV22" s="252">
        <v>0</v>
      </c>
      <c r="FLW22" s="252">
        <v>0</v>
      </c>
      <c r="FLX22" s="252">
        <v>0</v>
      </c>
      <c r="FLY22" s="252">
        <v>0</v>
      </c>
      <c r="FLZ22" s="252">
        <v>0</v>
      </c>
      <c r="FMA22" s="252">
        <v>0</v>
      </c>
      <c r="FMB22" s="252">
        <v>0</v>
      </c>
      <c r="FMC22" s="252">
        <v>0</v>
      </c>
      <c r="FMD22" s="252">
        <v>0</v>
      </c>
      <c r="FME22" s="252">
        <v>0</v>
      </c>
      <c r="FMF22" s="252">
        <v>0</v>
      </c>
      <c r="FMG22" s="252">
        <v>0</v>
      </c>
      <c r="FMH22" s="252">
        <v>0</v>
      </c>
      <c r="FMI22" s="252">
        <v>0</v>
      </c>
      <c r="FMJ22" s="252">
        <v>0</v>
      </c>
      <c r="FMK22" s="252">
        <v>0</v>
      </c>
      <c r="FML22" s="252">
        <v>0</v>
      </c>
      <c r="FMM22" s="252">
        <v>0</v>
      </c>
      <c r="FMN22" s="252">
        <v>0</v>
      </c>
      <c r="FMO22" s="252">
        <v>0</v>
      </c>
      <c r="FMP22" s="252">
        <v>0</v>
      </c>
      <c r="FMQ22" s="252">
        <v>0</v>
      </c>
      <c r="FMR22" s="252">
        <v>0</v>
      </c>
      <c r="FMS22" s="252">
        <v>0</v>
      </c>
      <c r="FMT22" s="252">
        <v>0</v>
      </c>
      <c r="FMU22" s="252">
        <v>0</v>
      </c>
      <c r="FMV22" s="252">
        <v>0</v>
      </c>
      <c r="FMW22" s="252">
        <v>0</v>
      </c>
      <c r="FMX22" s="252">
        <v>0</v>
      </c>
      <c r="FMY22" s="252">
        <v>0</v>
      </c>
      <c r="FMZ22" s="252">
        <v>0</v>
      </c>
      <c r="FNA22" s="252">
        <v>0</v>
      </c>
      <c r="FNB22" s="252">
        <v>0</v>
      </c>
      <c r="FNC22" s="252">
        <v>0</v>
      </c>
      <c r="FND22" s="252">
        <v>0</v>
      </c>
      <c r="FNE22" s="252">
        <v>0</v>
      </c>
      <c r="FNF22" s="252">
        <v>0</v>
      </c>
      <c r="FNG22" s="252">
        <v>0</v>
      </c>
      <c r="FNH22" s="252">
        <v>0</v>
      </c>
      <c r="FNI22" s="252">
        <v>0</v>
      </c>
      <c r="FNJ22" s="252">
        <v>0</v>
      </c>
      <c r="FNK22" s="252">
        <v>0</v>
      </c>
      <c r="FNL22" s="252">
        <v>0</v>
      </c>
      <c r="FNM22" s="252">
        <v>0</v>
      </c>
      <c r="FNN22" s="252">
        <v>0</v>
      </c>
      <c r="FNO22" s="252">
        <v>0</v>
      </c>
      <c r="FNP22" s="252">
        <v>0</v>
      </c>
      <c r="FNQ22" s="252">
        <v>0</v>
      </c>
      <c r="FNR22" s="252">
        <v>0</v>
      </c>
      <c r="FNS22" s="252">
        <v>0</v>
      </c>
      <c r="FNT22" s="252">
        <v>0</v>
      </c>
      <c r="FNU22" s="252">
        <v>0</v>
      </c>
      <c r="FNV22" s="252">
        <v>0</v>
      </c>
      <c r="FNW22" s="252">
        <v>0</v>
      </c>
      <c r="FNX22" s="252">
        <v>0</v>
      </c>
      <c r="FNY22" s="252">
        <v>0</v>
      </c>
      <c r="FNZ22" s="252">
        <v>0</v>
      </c>
      <c r="FOA22" s="252">
        <v>0</v>
      </c>
      <c r="FOB22" s="252">
        <v>0</v>
      </c>
      <c r="FOC22" s="252">
        <v>0</v>
      </c>
      <c r="FOD22" s="252">
        <v>0</v>
      </c>
      <c r="FOE22" s="252">
        <v>0</v>
      </c>
      <c r="FOF22" s="252">
        <v>0</v>
      </c>
      <c r="FOG22" s="252">
        <v>0</v>
      </c>
      <c r="FOH22" s="252">
        <v>0</v>
      </c>
      <c r="FOI22" s="252">
        <v>0</v>
      </c>
      <c r="FOJ22" s="252">
        <v>0</v>
      </c>
      <c r="FOK22" s="252">
        <v>0</v>
      </c>
      <c r="FOL22" s="252">
        <v>0</v>
      </c>
      <c r="FOM22" s="252">
        <v>0</v>
      </c>
      <c r="FON22" s="252">
        <v>0</v>
      </c>
      <c r="FOO22" s="252">
        <v>0</v>
      </c>
      <c r="FOP22" s="252">
        <v>0</v>
      </c>
      <c r="FOQ22" s="252">
        <v>0</v>
      </c>
      <c r="FOR22" s="252">
        <v>0</v>
      </c>
      <c r="FOS22" s="252">
        <v>0</v>
      </c>
      <c r="FOT22" s="252">
        <v>0</v>
      </c>
      <c r="FOU22" s="252">
        <v>0</v>
      </c>
      <c r="FOV22" s="252">
        <v>0</v>
      </c>
      <c r="FOW22" s="252">
        <v>0</v>
      </c>
      <c r="FOX22" s="252">
        <v>0</v>
      </c>
      <c r="FOY22" s="252">
        <v>0</v>
      </c>
      <c r="FOZ22" s="252">
        <v>0</v>
      </c>
      <c r="FPA22" s="252">
        <v>0</v>
      </c>
      <c r="FPB22" s="252">
        <v>0</v>
      </c>
      <c r="FPC22" s="252">
        <v>0</v>
      </c>
      <c r="FPD22" s="252">
        <v>0</v>
      </c>
      <c r="FPE22" s="252">
        <v>0</v>
      </c>
      <c r="FPF22" s="252">
        <v>0</v>
      </c>
      <c r="FPG22" s="252">
        <v>0</v>
      </c>
      <c r="FPH22" s="252">
        <v>0</v>
      </c>
      <c r="FPI22" s="252">
        <v>0</v>
      </c>
      <c r="FPJ22" s="252">
        <v>0</v>
      </c>
      <c r="FPK22" s="252">
        <v>0</v>
      </c>
      <c r="FPL22" s="252">
        <v>0</v>
      </c>
      <c r="FPM22" s="252">
        <v>0</v>
      </c>
      <c r="FPN22" s="252">
        <v>0</v>
      </c>
      <c r="FPO22" s="252">
        <v>0</v>
      </c>
      <c r="FPP22" s="252">
        <v>0</v>
      </c>
      <c r="FPQ22" s="252">
        <v>0</v>
      </c>
      <c r="FPR22" s="252">
        <v>0</v>
      </c>
      <c r="FPS22" s="252">
        <v>0</v>
      </c>
      <c r="FPT22" s="252">
        <v>0</v>
      </c>
      <c r="FPU22" s="252">
        <v>0</v>
      </c>
      <c r="FPV22" s="252">
        <v>0</v>
      </c>
      <c r="FPW22" s="252">
        <v>0</v>
      </c>
      <c r="FPX22" s="252">
        <v>0</v>
      </c>
      <c r="FPY22" s="252">
        <v>0</v>
      </c>
      <c r="FPZ22" s="252">
        <v>0</v>
      </c>
      <c r="FQA22" s="252">
        <v>0</v>
      </c>
      <c r="FQB22" s="252">
        <v>0</v>
      </c>
      <c r="FQC22" s="252">
        <v>0</v>
      </c>
      <c r="FQD22" s="252">
        <v>0</v>
      </c>
      <c r="FQE22" s="252">
        <v>0</v>
      </c>
      <c r="FQF22" s="252">
        <v>0</v>
      </c>
      <c r="FQG22" s="252">
        <v>0</v>
      </c>
      <c r="FQH22" s="252">
        <v>0</v>
      </c>
      <c r="FQI22" s="252">
        <v>0</v>
      </c>
      <c r="FQJ22" s="252">
        <v>0</v>
      </c>
      <c r="FQK22" s="252">
        <v>0</v>
      </c>
      <c r="FQL22" s="252">
        <v>0</v>
      </c>
      <c r="FQM22" s="252">
        <v>0</v>
      </c>
      <c r="FQN22" s="252">
        <v>0</v>
      </c>
      <c r="FQO22" s="252">
        <v>0</v>
      </c>
      <c r="FQP22" s="252">
        <v>0</v>
      </c>
      <c r="FQQ22" s="252">
        <v>0</v>
      </c>
      <c r="FQR22" s="252">
        <v>0</v>
      </c>
      <c r="FQS22" s="252">
        <v>0</v>
      </c>
      <c r="FQT22" s="252">
        <v>0</v>
      </c>
      <c r="FQU22" s="252">
        <v>0</v>
      </c>
      <c r="FQV22" s="252">
        <v>0</v>
      </c>
      <c r="FQW22" s="252">
        <v>0</v>
      </c>
      <c r="FQX22" s="252">
        <v>0</v>
      </c>
      <c r="FQY22" s="252">
        <v>0</v>
      </c>
      <c r="FQZ22" s="252">
        <v>0</v>
      </c>
      <c r="FRA22" s="252">
        <v>0</v>
      </c>
      <c r="FRB22" s="252">
        <v>0</v>
      </c>
      <c r="FRC22" s="252">
        <v>0</v>
      </c>
      <c r="FRD22" s="252">
        <v>0</v>
      </c>
      <c r="FRE22" s="252">
        <v>0</v>
      </c>
      <c r="FRF22" s="252">
        <v>0</v>
      </c>
      <c r="FRG22" s="252">
        <v>0</v>
      </c>
      <c r="FRH22" s="252">
        <v>0</v>
      </c>
      <c r="FRI22" s="252">
        <v>0</v>
      </c>
      <c r="FRJ22" s="252">
        <v>0</v>
      </c>
      <c r="FRK22" s="252">
        <v>0</v>
      </c>
      <c r="FRL22" s="252">
        <v>0</v>
      </c>
      <c r="FRM22" s="252">
        <v>0</v>
      </c>
      <c r="FRN22" s="252">
        <v>0</v>
      </c>
      <c r="FRO22" s="252">
        <v>0</v>
      </c>
      <c r="FRP22" s="252">
        <v>0</v>
      </c>
      <c r="FRQ22" s="252">
        <v>0</v>
      </c>
      <c r="FRR22" s="252">
        <v>0</v>
      </c>
      <c r="FRS22" s="252">
        <v>0</v>
      </c>
      <c r="FRT22" s="252">
        <v>0</v>
      </c>
      <c r="FRU22" s="252">
        <v>0</v>
      </c>
      <c r="FRV22" s="252">
        <v>0</v>
      </c>
      <c r="FRW22" s="252">
        <v>0</v>
      </c>
      <c r="FRX22" s="252">
        <v>0</v>
      </c>
      <c r="FRY22" s="252">
        <v>0</v>
      </c>
      <c r="FRZ22" s="252">
        <v>0</v>
      </c>
      <c r="FSA22" s="252">
        <v>0</v>
      </c>
      <c r="FSB22" s="252">
        <v>0</v>
      </c>
      <c r="FSC22" s="252">
        <v>0</v>
      </c>
      <c r="FSD22" s="252">
        <v>0</v>
      </c>
      <c r="FSE22" s="252">
        <v>0</v>
      </c>
      <c r="FSF22" s="252">
        <v>0</v>
      </c>
      <c r="FSG22" s="252">
        <v>0</v>
      </c>
      <c r="FSH22" s="252">
        <v>0</v>
      </c>
      <c r="FSI22" s="252">
        <v>0</v>
      </c>
      <c r="FSJ22" s="252">
        <v>0</v>
      </c>
      <c r="FSK22" s="252">
        <v>0</v>
      </c>
      <c r="FSL22" s="252">
        <v>0</v>
      </c>
      <c r="FSM22" s="252">
        <v>0</v>
      </c>
      <c r="FSN22" s="252">
        <v>0</v>
      </c>
      <c r="FSO22" s="252">
        <v>0</v>
      </c>
      <c r="FSP22" s="252">
        <v>0</v>
      </c>
      <c r="FSQ22" s="252">
        <v>0</v>
      </c>
      <c r="FSR22" s="252">
        <v>0</v>
      </c>
      <c r="FSS22" s="252">
        <v>0</v>
      </c>
      <c r="FST22" s="252">
        <v>0</v>
      </c>
      <c r="FSU22" s="252">
        <v>0</v>
      </c>
      <c r="FSV22" s="252">
        <v>0</v>
      </c>
      <c r="FSW22" s="252">
        <v>0</v>
      </c>
      <c r="FSX22" s="252">
        <v>0</v>
      </c>
      <c r="FSY22" s="252">
        <v>0</v>
      </c>
      <c r="FSZ22" s="252">
        <v>0</v>
      </c>
      <c r="FTA22" s="252">
        <v>0</v>
      </c>
      <c r="FTB22" s="252">
        <v>0</v>
      </c>
      <c r="FTC22" s="252">
        <v>0</v>
      </c>
      <c r="FTD22" s="252">
        <v>0</v>
      </c>
      <c r="FTE22" s="252">
        <v>0</v>
      </c>
      <c r="FTF22" s="252">
        <v>0</v>
      </c>
      <c r="FTG22" s="252">
        <v>0</v>
      </c>
      <c r="FTH22" s="252">
        <v>0</v>
      </c>
      <c r="FTI22" s="252">
        <v>0</v>
      </c>
      <c r="FTJ22" s="252">
        <v>0</v>
      </c>
      <c r="FTK22" s="252">
        <v>0</v>
      </c>
      <c r="FTL22" s="252">
        <v>0</v>
      </c>
      <c r="FTM22" s="252">
        <v>0</v>
      </c>
      <c r="FTN22" s="252">
        <v>0</v>
      </c>
      <c r="FTO22" s="252">
        <v>0</v>
      </c>
      <c r="FTP22" s="252">
        <v>0</v>
      </c>
      <c r="FTQ22" s="252">
        <v>0</v>
      </c>
      <c r="FTR22" s="252">
        <v>0</v>
      </c>
      <c r="FTS22" s="252">
        <v>0</v>
      </c>
      <c r="FTT22" s="252">
        <v>0</v>
      </c>
      <c r="FTU22" s="252">
        <v>0</v>
      </c>
      <c r="FTV22" s="252">
        <v>0</v>
      </c>
      <c r="FTW22" s="252">
        <v>0</v>
      </c>
      <c r="FTX22" s="252">
        <v>0</v>
      </c>
      <c r="FTY22" s="252">
        <v>0</v>
      </c>
      <c r="FTZ22" s="252">
        <v>0</v>
      </c>
      <c r="FUA22" s="252">
        <v>0</v>
      </c>
      <c r="FUB22" s="252">
        <v>0</v>
      </c>
      <c r="FUC22" s="252">
        <v>0</v>
      </c>
      <c r="FUD22" s="252">
        <v>0</v>
      </c>
      <c r="FUE22" s="252">
        <v>0</v>
      </c>
      <c r="FUF22" s="252">
        <v>0</v>
      </c>
      <c r="FUG22" s="252">
        <v>0</v>
      </c>
      <c r="FUH22" s="252">
        <v>0</v>
      </c>
      <c r="FUI22" s="252">
        <v>0</v>
      </c>
      <c r="FUJ22" s="252">
        <v>0</v>
      </c>
      <c r="FUK22" s="252">
        <v>0</v>
      </c>
      <c r="FUL22" s="252">
        <v>0</v>
      </c>
      <c r="FUM22" s="252">
        <v>0</v>
      </c>
      <c r="FUN22" s="252">
        <v>0</v>
      </c>
      <c r="FUO22" s="252">
        <v>0</v>
      </c>
      <c r="FUP22" s="252">
        <v>0</v>
      </c>
      <c r="FUQ22" s="252">
        <v>0</v>
      </c>
      <c r="FUR22" s="252">
        <v>0</v>
      </c>
      <c r="FUS22" s="252">
        <v>0</v>
      </c>
      <c r="FUT22" s="252">
        <v>0</v>
      </c>
      <c r="FUU22" s="252">
        <v>0</v>
      </c>
      <c r="FUV22" s="252">
        <v>0</v>
      </c>
      <c r="FUW22" s="252">
        <v>0</v>
      </c>
      <c r="FUX22" s="252">
        <v>0</v>
      </c>
      <c r="FUY22" s="252">
        <v>0</v>
      </c>
      <c r="FUZ22" s="252">
        <v>0</v>
      </c>
      <c r="FVA22" s="252">
        <v>0</v>
      </c>
      <c r="FVB22" s="252">
        <v>0</v>
      </c>
      <c r="FVC22" s="252">
        <v>0</v>
      </c>
      <c r="FVD22" s="252">
        <v>0</v>
      </c>
      <c r="FVE22" s="252">
        <v>0</v>
      </c>
      <c r="FVF22" s="252">
        <v>0</v>
      </c>
      <c r="FVG22" s="252">
        <v>0</v>
      </c>
      <c r="FVH22" s="252">
        <v>0</v>
      </c>
      <c r="FVI22" s="252">
        <v>0</v>
      </c>
      <c r="FVJ22" s="252">
        <v>0</v>
      </c>
      <c r="FVK22" s="252">
        <v>0</v>
      </c>
      <c r="FVL22" s="252">
        <v>0</v>
      </c>
      <c r="FVM22" s="252">
        <v>0</v>
      </c>
      <c r="FVN22" s="252">
        <v>0</v>
      </c>
      <c r="FVO22" s="252">
        <v>0</v>
      </c>
      <c r="FVP22" s="252">
        <v>0</v>
      </c>
      <c r="FVQ22" s="252">
        <v>0</v>
      </c>
      <c r="FVR22" s="252">
        <v>0</v>
      </c>
      <c r="FVS22" s="252">
        <v>0</v>
      </c>
      <c r="FVT22" s="252">
        <v>0</v>
      </c>
      <c r="FVU22" s="252">
        <v>0</v>
      </c>
      <c r="FVV22" s="252">
        <v>0</v>
      </c>
      <c r="FVW22" s="252">
        <v>0</v>
      </c>
      <c r="FVX22" s="252">
        <v>0</v>
      </c>
      <c r="FVY22" s="252">
        <v>0</v>
      </c>
      <c r="FVZ22" s="252">
        <v>0</v>
      </c>
      <c r="FWA22" s="252">
        <v>0</v>
      </c>
      <c r="FWB22" s="252">
        <v>0</v>
      </c>
      <c r="FWC22" s="252">
        <v>0</v>
      </c>
      <c r="FWD22" s="252">
        <v>0</v>
      </c>
      <c r="FWE22" s="252">
        <v>0</v>
      </c>
      <c r="FWF22" s="252">
        <v>0</v>
      </c>
      <c r="FWG22" s="252">
        <v>0</v>
      </c>
      <c r="FWH22" s="252">
        <v>0</v>
      </c>
      <c r="FWI22" s="252">
        <v>0</v>
      </c>
      <c r="FWJ22" s="252">
        <v>0</v>
      </c>
      <c r="FWK22" s="252">
        <v>0</v>
      </c>
      <c r="FWL22" s="252">
        <v>0</v>
      </c>
      <c r="FWM22" s="252">
        <v>0</v>
      </c>
      <c r="FWN22" s="252">
        <v>0</v>
      </c>
      <c r="FWO22" s="252">
        <v>0</v>
      </c>
      <c r="FWP22" s="252">
        <v>0</v>
      </c>
      <c r="FWQ22" s="252">
        <v>0</v>
      </c>
      <c r="FWR22" s="252">
        <v>0</v>
      </c>
      <c r="FWS22" s="252">
        <v>0</v>
      </c>
      <c r="FWT22" s="252">
        <v>0</v>
      </c>
      <c r="FWU22" s="252">
        <v>0</v>
      </c>
      <c r="FWV22" s="252">
        <v>0</v>
      </c>
      <c r="FWW22" s="252">
        <v>0</v>
      </c>
      <c r="FWX22" s="252">
        <v>0</v>
      </c>
      <c r="FWY22" s="252">
        <v>0</v>
      </c>
      <c r="FWZ22" s="252">
        <v>0</v>
      </c>
      <c r="FXA22" s="252">
        <v>0</v>
      </c>
      <c r="FXB22" s="252">
        <v>0</v>
      </c>
      <c r="FXC22" s="252">
        <v>0</v>
      </c>
      <c r="FXD22" s="252">
        <v>0</v>
      </c>
      <c r="FXE22" s="252">
        <v>0</v>
      </c>
      <c r="FXF22" s="252">
        <v>0</v>
      </c>
      <c r="FXG22" s="252">
        <v>0</v>
      </c>
      <c r="FXH22" s="252">
        <v>0</v>
      </c>
      <c r="FXI22" s="252">
        <v>0</v>
      </c>
      <c r="FXJ22" s="252">
        <v>0</v>
      </c>
      <c r="FXK22" s="252">
        <v>0</v>
      </c>
      <c r="FXL22" s="252">
        <v>0</v>
      </c>
      <c r="FXM22" s="252">
        <v>0</v>
      </c>
      <c r="FXN22" s="252">
        <v>0</v>
      </c>
      <c r="FXO22" s="252">
        <v>0</v>
      </c>
      <c r="FXP22" s="252">
        <v>0</v>
      </c>
      <c r="FXQ22" s="252">
        <v>0</v>
      </c>
      <c r="FXR22" s="252">
        <v>0</v>
      </c>
      <c r="FXS22" s="252">
        <v>0</v>
      </c>
      <c r="FXT22" s="252">
        <v>0</v>
      </c>
      <c r="FXU22" s="252">
        <v>0</v>
      </c>
      <c r="FXV22" s="252">
        <v>0</v>
      </c>
      <c r="FXW22" s="252">
        <v>0</v>
      </c>
      <c r="FXX22" s="252">
        <v>0</v>
      </c>
      <c r="FXY22" s="252">
        <v>0</v>
      </c>
      <c r="FXZ22" s="252">
        <v>0</v>
      </c>
      <c r="FYA22" s="252">
        <v>0</v>
      </c>
      <c r="FYB22" s="252">
        <v>0</v>
      </c>
      <c r="FYC22" s="252">
        <v>0</v>
      </c>
      <c r="FYD22" s="252">
        <v>0</v>
      </c>
      <c r="FYE22" s="252">
        <v>0</v>
      </c>
      <c r="FYF22" s="252">
        <v>0</v>
      </c>
      <c r="FYG22" s="252">
        <v>0</v>
      </c>
      <c r="FYH22" s="252">
        <v>0</v>
      </c>
      <c r="FYI22" s="252">
        <v>0</v>
      </c>
      <c r="FYJ22" s="252">
        <v>0</v>
      </c>
      <c r="FYK22" s="252">
        <v>0</v>
      </c>
      <c r="FYL22" s="252">
        <v>0</v>
      </c>
      <c r="FYM22" s="252">
        <v>0</v>
      </c>
      <c r="FYN22" s="252">
        <v>0</v>
      </c>
      <c r="FYO22" s="252">
        <v>0</v>
      </c>
      <c r="FYP22" s="252">
        <v>0</v>
      </c>
      <c r="FYQ22" s="252">
        <v>0</v>
      </c>
      <c r="FYR22" s="252">
        <v>0</v>
      </c>
      <c r="FYS22" s="252">
        <v>0</v>
      </c>
      <c r="FYT22" s="252">
        <v>0</v>
      </c>
      <c r="FYU22" s="252">
        <v>0</v>
      </c>
      <c r="FYV22" s="252">
        <v>0</v>
      </c>
      <c r="FYW22" s="252">
        <v>0</v>
      </c>
      <c r="FYX22" s="252">
        <v>0</v>
      </c>
      <c r="FYY22" s="252">
        <v>0</v>
      </c>
      <c r="FYZ22" s="252">
        <v>0</v>
      </c>
      <c r="FZA22" s="252">
        <v>0</v>
      </c>
      <c r="FZB22" s="252">
        <v>0</v>
      </c>
      <c r="FZC22" s="252">
        <v>0</v>
      </c>
      <c r="FZD22" s="252">
        <v>0</v>
      </c>
      <c r="FZE22" s="252">
        <v>0</v>
      </c>
      <c r="FZF22" s="252">
        <v>0</v>
      </c>
      <c r="FZG22" s="252">
        <v>0</v>
      </c>
      <c r="FZH22" s="252">
        <v>0</v>
      </c>
      <c r="FZI22" s="252">
        <v>0</v>
      </c>
      <c r="FZJ22" s="252">
        <v>0</v>
      </c>
      <c r="FZK22" s="252">
        <v>0</v>
      </c>
      <c r="FZL22" s="252">
        <v>0</v>
      </c>
      <c r="FZM22" s="252">
        <v>0</v>
      </c>
      <c r="FZN22" s="252">
        <v>0</v>
      </c>
      <c r="FZO22" s="252">
        <v>0</v>
      </c>
      <c r="FZP22" s="252">
        <v>0</v>
      </c>
      <c r="FZQ22" s="252">
        <v>0</v>
      </c>
      <c r="FZR22" s="252">
        <v>0</v>
      </c>
      <c r="FZS22" s="252">
        <v>0</v>
      </c>
      <c r="FZT22" s="252">
        <v>0</v>
      </c>
      <c r="FZU22" s="252">
        <v>0</v>
      </c>
      <c r="FZV22" s="252">
        <v>0</v>
      </c>
      <c r="FZW22" s="252">
        <v>0</v>
      </c>
      <c r="FZX22" s="252">
        <v>0</v>
      </c>
      <c r="FZY22" s="252">
        <v>0</v>
      </c>
      <c r="FZZ22" s="252">
        <v>0</v>
      </c>
      <c r="GAA22" s="252">
        <v>0</v>
      </c>
      <c r="GAB22" s="252">
        <v>0</v>
      </c>
      <c r="GAC22" s="252">
        <v>0</v>
      </c>
      <c r="GAD22" s="252">
        <v>0</v>
      </c>
      <c r="GAE22" s="252">
        <v>0</v>
      </c>
      <c r="GAF22" s="252">
        <v>0</v>
      </c>
      <c r="GAG22" s="252">
        <v>0</v>
      </c>
      <c r="GAH22" s="252">
        <v>0</v>
      </c>
      <c r="GAI22" s="252">
        <v>0</v>
      </c>
      <c r="GAJ22" s="252">
        <v>0</v>
      </c>
      <c r="GAK22" s="252">
        <v>0</v>
      </c>
      <c r="GAL22" s="252">
        <v>0</v>
      </c>
      <c r="GAM22" s="252">
        <v>0</v>
      </c>
      <c r="GAN22" s="252">
        <v>0</v>
      </c>
      <c r="GAO22" s="252">
        <v>0</v>
      </c>
      <c r="GAP22" s="252">
        <v>0</v>
      </c>
      <c r="GAQ22" s="252">
        <v>0</v>
      </c>
      <c r="GAR22" s="252">
        <v>0</v>
      </c>
      <c r="GAS22" s="252">
        <v>0</v>
      </c>
      <c r="GAT22" s="252">
        <v>0</v>
      </c>
      <c r="GAU22" s="252">
        <v>0</v>
      </c>
      <c r="GAV22" s="252">
        <v>0</v>
      </c>
      <c r="GAW22" s="252">
        <v>0</v>
      </c>
      <c r="GAX22" s="252">
        <v>0</v>
      </c>
      <c r="GAY22" s="252">
        <v>0</v>
      </c>
      <c r="GAZ22" s="252">
        <v>0</v>
      </c>
      <c r="GBA22" s="252">
        <v>0</v>
      </c>
      <c r="GBB22" s="252">
        <v>0</v>
      </c>
      <c r="GBC22" s="252">
        <v>0</v>
      </c>
      <c r="GBD22" s="252">
        <v>0</v>
      </c>
      <c r="GBE22" s="252">
        <v>0</v>
      </c>
      <c r="GBF22" s="252">
        <v>0</v>
      </c>
      <c r="GBG22" s="252">
        <v>0</v>
      </c>
      <c r="GBH22" s="252">
        <v>0</v>
      </c>
      <c r="GBI22" s="252">
        <v>0</v>
      </c>
      <c r="GBJ22" s="252">
        <v>0</v>
      </c>
      <c r="GBK22" s="252">
        <v>0</v>
      </c>
      <c r="GBL22" s="252">
        <v>0</v>
      </c>
      <c r="GBM22" s="252">
        <v>0</v>
      </c>
      <c r="GBN22" s="252">
        <v>0</v>
      </c>
      <c r="GBO22" s="252">
        <v>0</v>
      </c>
      <c r="GBP22" s="252">
        <v>0</v>
      </c>
      <c r="GBQ22" s="252">
        <v>0</v>
      </c>
      <c r="GBR22" s="252">
        <v>0</v>
      </c>
      <c r="GBS22" s="252">
        <v>0</v>
      </c>
      <c r="GBT22" s="252">
        <v>0</v>
      </c>
      <c r="GBU22" s="252">
        <v>0</v>
      </c>
      <c r="GBV22" s="252">
        <v>0</v>
      </c>
      <c r="GBW22" s="252">
        <v>0</v>
      </c>
      <c r="GBX22" s="252">
        <v>0</v>
      </c>
      <c r="GBY22" s="252">
        <v>0</v>
      </c>
      <c r="GBZ22" s="252">
        <v>0</v>
      </c>
      <c r="GCA22" s="252">
        <v>0</v>
      </c>
      <c r="GCB22" s="252">
        <v>0</v>
      </c>
      <c r="GCC22" s="252">
        <v>0</v>
      </c>
      <c r="GCD22" s="252">
        <v>0</v>
      </c>
      <c r="GCE22" s="252">
        <v>0</v>
      </c>
      <c r="GCF22" s="252">
        <v>0</v>
      </c>
      <c r="GCG22" s="252">
        <v>0</v>
      </c>
      <c r="GCH22" s="252">
        <v>0</v>
      </c>
      <c r="GCI22" s="252">
        <v>0</v>
      </c>
      <c r="GCJ22" s="252">
        <v>0</v>
      </c>
      <c r="GCK22" s="252">
        <v>0</v>
      </c>
      <c r="GCL22" s="252">
        <v>0</v>
      </c>
      <c r="GCM22" s="252">
        <v>0</v>
      </c>
      <c r="GCN22" s="252">
        <v>0</v>
      </c>
      <c r="GCO22" s="252">
        <v>0</v>
      </c>
      <c r="GCP22" s="252">
        <v>0</v>
      </c>
      <c r="GCQ22" s="252">
        <v>0</v>
      </c>
      <c r="GCR22" s="252">
        <v>0</v>
      </c>
      <c r="GCS22" s="252">
        <v>0</v>
      </c>
      <c r="GCT22" s="252">
        <v>0</v>
      </c>
      <c r="GCU22" s="252">
        <v>0</v>
      </c>
      <c r="GCV22" s="252">
        <v>0</v>
      </c>
      <c r="GCW22" s="252">
        <v>0</v>
      </c>
      <c r="GCX22" s="252">
        <v>0</v>
      </c>
      <c r="GCY22" s="252">
        <v>0</v>
      </c>
      <c r="GCZ22" s="252">
        <v>0</v>
      </c>
      <c r="GDA22" s="252">
        <v>0</v>
      </c>
      <c r="GDB22" s="252">
        <v>0</v>
      </c>
      <c r="GDC22" s="252">
        <v>0</v>
      </c>
      <c r="GDD22" s="252">
        <v>0</v>
      </c>
      <c r="GDE22" s="252">
        <v>0</v>
      </c>
      <c r="GDF22" s="252">
        <v>0</v>
      </c>
      <c r="GDG22" s="252">
        <v>0</v>
      </c>
      <c r="GDH22" s="252">
        <v>0</v>
      </c>
      <c r="GDI22" s="252">
        <v>0</v>
      </c>
      <c r="GDJ22" s="252">
        <v>0</v>
      </c>
      <c r="GDK22" s="252">
        <v>0</v>
      </c>
      <c r="GDL22" s="252">
        <v>0</v>
      </c>
      <c r="GDM22" s="252">
        <v>0</v>
      </c>
      <c r="GDN22" s="252">
        <v>0</v>
      </c>
      <c r="GDO22" s="252">
        <v>0</v>
      </c>
      <c r="GDP22" s="252">
        <v>0</v>
      </c>
      <c r="GDQ22" s="252">
        <v>0</v>
      </c>
      <c r="GDR22" s="252">
        <v>0</v>
      </c>
      <c r="GDS22" s="252">
        <v>0</v>
      </c>
      <c r="GDT22" s="252">
        <v>0</v>
      </c>
      <c r="GDU22" s="252">
        <v>0</v>
      </c>
      <c r="GDV22" s="252">
        <v>0</v>
      </c>
      <c r="GDW22" s="252">
        <v>0</v>
      </c>
      <c r="GDX22" s="252">
        <v>0</v>
      </c>
      <c r="GDY22" s="252">
        <v>0</v>
      </c>
      <c r="GDZ22" s="252">
        <v>0</v>
      </c>
      <c r="GEA22" s="252">
        <v>0</v>
      </c>
      <c r="GEB22" s="252">
        <v>0</v>
      </c>
      <c r="GEC22" s="252">
        <v>0</v>
      </c>
      <c r="GED22" s="252">
        <v>0</v>
      </c>
      <c r="GEE22" s="252">
        <v>0</v>
      </c>
      <c r="GEF22" s="252">
        <v>0</v>
      </c>
      <c r="GEG22" s="252">
        <v>0</v>
      </c>
      <c r="GEH22" s="252">
        <v>0</v>
      </c>
      <c r="GEI22" s="252">
        <v>0</v>
      </c>
      <c r="GEJ22" s="252">
        <v>0</v>
      </c>
      <c r="GEK22" s="252">
        <v>0</v>
      </c>
      <c r="GEL22" s="252">
        <v>0</v>
      </c>
      <c r="GEM22" s="252">
        <v>0</v>
      </c>
      <c r="GEN22" s="252">
        <v>0</v>
      </c>
      <c r="GEO22" s="252">
        <v>0</v>
      </c>
      <c r="GEP22" s="252">
        <v>0</v>
      </c>
      <c r="GEQ22" s="252">
        <v>0</v>
      </c>
      <c r="GER22" s="252">
        <v>0</v>
      </c>
      <c r="GES22" s="252">
        <v>0</v>
      </c>
      <c r="GET22" s="252">
        <v>0</v>
      </c>
      <c r="GEU22" s="252">
        <v>0</v>
      </c>
      <c r="GEV22" s="252">
        <v>0</v>
      </c>
      <c r="GEW22" s="252">
        <v>0</v>
      </c>
      <c r="GEX22" s="252">
        <v>0</v>
      </c>
      <c r="GEY22" s="252">
        <v>0</v>
      </c>
      <c r="GEZ22" s="252">
        <v>0</v>
      </c>
      <c r="GFA22" s="252">
        <v>0</v>
      </c>
      <c r="GFB22" s="252">
        <v>0</v>
      </c>
      <c r="GFC22" s="252">
        <v>0</v>
      </c>
      <c r="GFD22" s="252">
        <v>0</v>
      </c>
      <c r="GFE22" s="252">
        <v>0</v>
      </c>
      <c r="GFF22" s="252">
        <v>0</v>
      </c>
      <c r="GFG22" s="252">
        <v>0</v>
      </c>
      <c r="GFH22" s="252">
        <v>0</v>
      </c>
      <c r="GFI22" s="252">
        <v>0</v>
      </c>
      <c r="GFJ22" s="252">
        <v>0</v>
      </c>
      <c r="GFK22" s="252">
        <v>0</v>
      </c>
      <c r="GFL22" s="252">
        <v>0</v>
      </c>
      <c r="GFM22" s="252">
        <v>0</v>
      </c>
      <c r="GFN22" s="252">
        <v>0</v>
      </c>
      <c r="GFO22" s="252">
        <v>0</v>
      </c>
      <c r="GFP22" s="252">
        <v>0</v>
      </c>
      <c r="GFQ22" s="252">
        <v>0</v>
      </c>
      <c r="GFR22" s="252">
        <v>0</v>
      </c>
      <c r="GFS22" s="252">
        <v>0</v>
      </c>
      <c r="GFT22" s="252">
        <v>0</v>
      </c>
      <c r="GFU22" s="252">
        <v>0</v>
      </c>
      <c r="GFV22" s="252">
        <v>0</v>
      </c>
      <c r="GFW22" s="252">
        <v>0</v>
      </c>
      <c r="GFX22" s="252">
        <v>0</v>
      </c>
      <c r="GFY22" s="252">
        <v>0</v>
      </c>
      <c r="GFZ22" s="252">
        <v>0</v>
      </c>
      <c r="GGA22" s="252">
        <v>0</v>
      </c>
      <c r="GGB22" s="252">
        <v>0</v>
      </c>
      <c r="GGC22" s="252">
        <v>0</v>
      </c>
      <c r="GGD22" s="252">
        <v>0</v>
      </c>
      <c r="GGE22" s="252">
        <v>0</v>
      </c>
      <c r="GGF22" s="252">
        <v>0</v>
      </c>
      <c r="GGG22" s="252">
        <v>0</v>
      </c>
      <c r="GGH22" s="252">
        <v>0</v>
      </c>
      <c r="GGI22" s="252">
        <v>0</v>
      </c>
      <c r="GGJ22" s="252">
        <v>0</v>
      </c>
      <c r="GGK22" s="252">
        <v>0</v>
      </c>
      <c r="GGL22" s="252">
        <v>0</v>
      </c>
      <c r="GGM22" s="252">
        <v>0</v>
      </c>
      <c r="GGN22" s="252">
        <v>0</v>
      </c>
      <c r="GGO22" s="252">
        <v>0</v>
      </c>
      <c r="GGP22" s="252">
        <v>0</v>
      </c>
      <c r="GGQ22" s="252">
        <v>0</v>
      </c>
      <c r="GGR22" s="252">
        <v>0</v>
      </c>
      <c r="GGS22" s="252">
        <v>0</v>
      </c>
      <c r="GGT22" s="252">
        <v>0</v>
      </c>
      <c r="GGU22" s="252">
        <v>0</v>
      </c>
      <c r="GGV22" s="252">
        <v>0</v>
      </c>
      <c r="GGW22" s="252">
        <v>0</v>
      </c>
      <c r="GGX22" s="252">
        <v>0</v>
      </c>
      <c r="GGY22" s="252">
        <v>0</v>
      </c>
      <c r="GGZ22" s="252">
        <v>0</v>
      </c>
      <c r="GHA22" s="252">
        <v>0</v>
      </c>
      <c r="GHB22" s="252">
        <v>0</v>
      </c>
      <c r="GHC22" s="252">
        <v>0</v>
      </c>
      <c r="GHD22" s="252">
        <v>0</v>
      </c>
      <c r="GHE22" s="252">
        <v>0</v>
      </c>
      <c r="GHF22" s="252">
        <v>0</v>
      </c>
      <c r="GHG22" s="252">
        <v>0</v>
      </c>
      <c r="GHH22" s="252">
        <v>0</v>
      </c>
      <c r="GHI22" s="252">
        <v>0</v>
      </c>
      <c r="GHJ22" s="252">
        <v>0</v>
      </c>
      <c r="GHK22" s="252">
        <v>0</v>
      </c>
      <c r="GHL22" s="252">
        <v>0</v>
      </c>
      <c r="GHM22" s="252">
        <v>0</v>
      </c>
      <c r="GHN22" s="252">
        <v>0</v>
      </c>
      <c r="GHO22" s="252">
        <v>0</v>
      </c>
      <c r="GHP22" s="252">
        <v>0</v>
      </c>
      <c r="GHQ22" s="252">
        <v>0</v>
      </c>
      <c r="GHR22" s="252">
        <v>0</v>
      </c>
      <c r="GHS22" s="252">
        <v>0</v>
      </c>
      <c r="GHT22" s="252">
        <v>0</v>
      </c>
      <c r="GHU22" s="252">
        <v>0</v>
      </c>
      <c r="GHV22" s="252">
        <v>0</v>
      </c>
      <c r="GHW22" s="252">
        <v>0</v>
      </c>
      <c r="GHX22" s="252">
        <v>0</v>
      </c>
      <c r="GHY22" s="252">
        <v>0</v>
      </c>
      <c r="GHZ22" s="252">
        <v>0</v>
      </c>
      <c r="GIA22" s="252">
        <v>0</v>
      </c>
      <c r="GIB22" s="252">
        <v>0</v>
      </c>
      <c r="GIC22" s="252">
        <v>0</v>
      </c>
      <c r="GID22" s="252">
        <v>0</v>
      </c>
      <c r="GIE22" s="252">
        <v>0</v>
      </c>
      <c r="GIF22" s="252">
        <v>0</v>
      </c>
      <c r="GIG22" s="252">
        <v>0</v>
      </c>
      <c r="GIH22" s="252">
        <v>0</v>
      </c>
      <c r="GII22" s="252">
        <v>0</v>
      </c>
      <c r="GIJ22" s="252">
        <v>0</v>
      </c>
      <c r="GIK22" s="252">
        <v>0</v>
      </c>
      <c r="GIL22" s="252">
        <v>0</v>
      </c>
      <c r="GIM22" s="252">
        <v>0</v>
      </c>
      <c r="GIN22" s="252">
        <v>0</v>
      </c>
      <c r="GIO22" s="252">
        <v>0</v>
      </c>
      <c r="GIP22" s="252">
        <v>0</v>
      </c>
      <c r="GIQ22" s="252">
        <v>0</v>
      </c>
      <c r="GIR22" s="252">
        <v>0</v>
      </c>
      <c r="GIS22" s="252">
        <v>0</v>
      </c>
      <c r="GIT22" s="252">
        <v>0</v>
      </c>
      <c r="GIU22" s="252">
        <v>0</v>
      </c>
      <c r="GIV22" s="252">
        <v>0</v>
      </c>
      <c r="GIW22" s="252">
        <v>0</v>
      </c>
      <c r="GIX22" s="252">
        <v>0</v>
      </c>
      <c r="GIY22" s="252">
        <v>0</v>
      </c>
      <c r="GIZ22" s="252">
        <v>0</v>
      </c>
      <c r="GJA22" s="252">
        <v>0</v>
      </c>
      <c r="GJB22" s="252">
        <v>0</v>
      </c>
      <c r="GJC22" s="252">
        <v>0</v>
      </c>
      <c r="GJD22" s="252">
        <v>0</v>
      </c>
      <c r="GJE22" s="252">
        <v>0</v>
      </c>
      <c r="GJF22" s="252">
        <v>0</v>
      </c>
      <c r="GJG22" s="252">
        <v>0</v>
      </c>
      <c r="GJH22" s="252">
        <v>0</v>
      </c>
      <c r="GJI22" s="252">
        <v>0</v>
      </c>
      <c r="GJJ22" s="252">
        <v>0</v>
      </c>
      <c r="GJK22" s="252">
        <v>0</v>
      </c>
      <c r="GJL22" s="252">
        <v>0</v>
      </c>
      <c r="GJM22" s="252">
        <v>0</v>
      </c>
      <c r="GJN22" s="252">
        <v>0</v>
      </c>
      <c r="GJO22" s="252">
        <v>0</v>
      </c>
      <c r="GJP22" s="252">
        <v>0</v>
      </c>
      <c r="GJQ22" s="252">
        <v>0</v>
      </c>
      <c r="GJR22" s="252">
        <v>0</v>
      </c>
      <c r="GJS22" s="252">
        <v>0</v>
      </c>
      <c r="GJT22" s="252">
        <v>0</v>
      </c>
      <c r="GJU22" s="252">
        <v>0</v>
      </c>
      <c r="GJV22" s="252">
        <v>0</v>
      </c>
      <c r="GJW22" s="252">
        <v>0</v>
      </c>
      <c r="GJX22" s="252">
        <v>0</v>
      </c>
      <c r="GJY22" s="252">
        <v>0</v>
      </c>
      <c r="GJZ22" s="252">
        <v>0</v>
      </c>
      <c r="GKA22" s="252">
        <v>0</v>
      </c>
      <c r="GKB22" s="252">
        <v>0</v>
      </c>
      <c r="GKC22" s="252">
        <v>0</v>
      </c>
      <c r="GKD22" s="252">
        <v>0</v>
      </c>
      <c r="GKE22" s="252">
        <v>0</v>
      </c>
      <c r="GKF22" s="252">
        <v>0</v>
      </c>
      <c r="GKG22" s="252">
        <v>0</v>
      </c>
      <c r="GKH22" s="252">
        <v>0</v>
      </c>
      <c r="GKI22" s="252">
        <v>0</v>
      </c>
      <c r="GKJ22" s="252">
        <v>0</v>
      </c>
      <c r="GKK22" s="252">
        <v>0</v>
      </c>
      <c r="GKL22" s="252">
        <v>0</v>
      </c>
      <c r="GKM22" s="252">
        <v>0</v>
      </c>
      <c r="GKN22" s="252">
        <v>0</v>
      </c>
      <c r="GKO22" s="252">
        <v>0</v>
      </c>
      <c r="GKP22" s="252">
        <v>0</v>
      </c>
      <c r="GKQ22" s="252">
        <v>0</v>
      </c>
      <c r="GKR22" s="252">
        <v>0</v>
      </c>
      <c r="GKS22" s="252">
        <v>0</v>
      </c>
      <c r="GKT22" s="252">
        <v>0</v>
      </c>
      <c r="GKU22" s="252">
        <v>0</v>
      </c>
      <c r="GKV22" s="252">
        <v>0</v>
      </c>
      <c r="GKW22" s="252">
        <v>0</v>
      </c>
      <c r="GKX22" s="252">
        <v>0</v>
      </c>
      <c r="GKY22" s="252">
        <v>0</v>
      </c>
      <c r="GKZ22" s="252">
        <v>0</v>
      </c>
      <c r="GLA22" s="252">
        <v>0</v>
      </c>
      <c r="GLB22" s="252">
        <v>0</v>
      </c>
      <c r="GLC22" s="252">
        <v>0</v>
      </c>
      <c r="GLD22" s="252">
        <v>0</v>
      </c>
      <c r="GLE22" s="252">
        <v>0</v>
      </c>
      <c r="GLF22" s="252">
        <v>0</v>
      </c>
      <c r="GLG22" s="252">
        <v>0</v>
      </c>
      <c r="GLH22" s="252">
        <v>0</v>
      </c>
      <c r="GLI22" s="252">
        <v>0</v>
      </c>
      <c r="GLJ22" s="252">
        <v>0</v>
      </c>
      <c r="GLK22" s="252">
        <v>0</v>
      </c>
      <c r="GLL22" s="252">
        <v>0</v>
      </c>
      <c r="GLM22" s="252">
        <v>0</v>
      </c>
      <c r="GLN22" s="252">
        <v>0</v>
      </c>
      <c r="GLO22" s="252">
        <v>0</v>
      </c>
      <c r="GLP22" s="252">
        <v>0</v>
      </c>
      <c r="GLQ22" s="252">
        <v>0</v>
      </c>
      <c r="GLR22" s="252">
        <v>0</v>
      </c>
      <c r="GLS22" s="252">
        <v>0</v>
      </c>
      <c r="GLT22" s="252">
        <v>0</v>
      </c>
      <c r="GLU22" s="252">
        <v>0</v>
      </c>
      <c r="GLV22" s="252">
        <v>0</v>
      </c>
      <c r="GLW22" s="252">
        <v>0</v>
      </c>
      <c r="GLX22" s="252">
        <v>0</v>
      </c>
      <c r="GLY22" s="252">
        <v>0</v>
      </c>
      <c r="GLZ22" s="252">
        <v>0</v>
      </c>
      <c r="GMA22" s="252">
        <v>0</v>
      </c>
      <c r="GMB22" s="252">
        <v>0</v>
      </c>
      <c r="GMC22" s="252">
        <v>0</v>
      </c>
      <c r="GMD22" s="252">
        <v>0</v>
      </c>
      <c r="GME22" s="252">
        <v>0</v>
      </c>
      <c r="GMF22" s="252">
        <v>0</v>
      </c>
      <c r="GMG22" s="252">
        <v>0</v>
      </c>
      <c r="GMH22" s="252">
        <v>0</v>
      </c>
      <c r="GMI22" s="252">
        <v>0</v>
      </c>
      <c r="GMJ22" s="252">
        <v>0</v>
      </c>
      <c r="GMK22" s="252">
        <v>0</v>
      </c>
      <c r="GML22" s="252">
        <v>0</v>
      </c>
      <c r="GMM22" s="252">
        <v>0</v>
      </c>
      <c r="GMN22" s="252">
        <v>0</v>
      </c>
      <c r="GMO22" s="252">
        <v>0</v>
      </c>
      <c r="GMP22" s="252">
        <v>0</v>
      </c>
      <c r="GMQ22" s="252">
        <v>0</v>
      </c>
      <c r="GMR22" s="252">
        <v>0</v>
      </c>
      <c r="GMS22" s="252">
        <v>0</v>
      </c>
      <c r="GMT22" s="252">
        <v>0</v>
      </c>
      <c r="GMU22" s="252">
        <v>0</v>
      </c>
      <c r="GMV22" s="252">
        <v>0</v>
      </c>
      <c r="GMW22" s="252">
        <v>0</v>
      </c>
      <c r="GMX22" s="252">
        <v>0</v>
      </c>
      <c r="GMY22" s="252">
        <v>0</v>
      </c>
      <c r="GMZ22" s="252">
        <v>0</v>
      </c>
      <c r="GNA22" s="252">
        <v>0</v>
      </c>
      <c r="GNB22" s="252">
        <v>0</v>
      </c>
      <c r="GNC22" s="252">
        <v>0</v>
      </c>
      <c r="GND22" s="252">
        <v>0</v>
      </c>
      <c r="GNE22" s="252">
        <v>0</v>
      </c>
      <c r="GNF22" s="252">
        <v>0</v>
      </c>
      <c r="GNG22" s="252">
        <v>0</v>
      </c>
      <c r="GNH22" s="252">
        <v>0</v>
      </c>
      <c r="GNI22" s="252">
        <v>0</v>
      </c>
      <c r="GNJ22" s="252">
        <v>0</v>
      </c>
      <c r="GNK22" s="252">
        <v>0</v>
      </c>
      <c r="GNL22" s="252">
        <v>0</v>
      </c>
      <c r="GNM22" s="252">
        <v>0</v>
      </c>
      <c r="GNN22" s="252">
        <v>0</v>
      </c>
      <c r="GNO22" s="252">
        <v>0</v>
      </c>
      <c r="GNP22" s="252">
        <v>0</v>
      </c>
      <c r="GNQ22" s="252">
        <v>0</v>
      </c>
      <c r="GNR22" s="252">
        <v>0</v>
      </c>
      <c r="GNS22" s="252">
        <v>0</v>
      </c>
      <c r="GNT22" s="252">
        <v>0</v>
      </c>
      <c r="GNU22" s="252">
        <v>0</v>
      </c>
      <c r="GNV22" s="252">
        <v>0</v>
      </c>
      <c r="GNW22" s="252">
        <v>0</v>
      </c>
      <c r="GNX22" s="252">
        <v>0</v>
      </c>
      <c r="GNY22" s="252">
        <v>0</v>
      </c>
      <c r="GNZ22" s="252">
        <v>0</v>
      </c>
      <c r="GOA22" s="252">
        <v>0</v>
      </c>
      <c r="GOB22" s="252">
        <v>0</v>
      </c>
      <c r="GOC22" s="252">
        <v>0</v>
      </c>
      <c r="GOD22" s="252">
        <v>0</v>
      </c>
      <c r="GOE22" s="252">
        <v>0</v>
      </c>
      <c r="GOF22" s="252">
        <v>0</v>
      </c>
      <c r="GOG22" s="252">
        <v>0</v>
      </c>
      <c r="GOH22" s="252">
        <v>0</v>
      </c>
      <c r="GOI22" s="252">
        <v>0</v>
      </c>
      <c r="GOJ22" s="252">
        <v>0</v>
      </c>
      <c r="GOK22" s="252">
        <v>0</v>
      </c>
      <c r="GOL22" s="252">
        <v>0</v>
      </c>
      <c r="GOM22" s="252">
        <v>0</v>
      </c>
      <c r="GON22" s="252">
        <v>0</v>
      </c>
      <c r="GOO22" s="252">
        <v>0</v>
      </c>
      <c r="GOP22" s="252">
        <v>0</v>
      </c>
      <c r="GOQ22" s="252">
        <v>0</v>
      </c>
      <c r="GOR22" s="252">
        <v>0</v>
      </c>
      <c r="GOS22" s="252">
        <v>0</v>
      </c>
      <c r="GOT22" s="252">
        <v>0</v>
      </c>
      <c r="GOU22" s="252">
        <v>0</v>
      </c>
      <c r="GOV22" s="252">
        <v>0</v>
      </c>
      <c r="GOW22" s="252">
        <v>0</v>
      </c>
      <c r="GOX22" s="252">
        <v>0</v>
      </c>
      <c r="GOY22" s="252">
        <v>0</v>
      </c>
      <c r="GOZ22" s="252">
        <v>0</v>
      </c>
      <c r="GPA22" s="252">
        <v>0</v>
      </c>
      <c r="GPB22" s="252">
        <v>0</v>
      </c>
      <c r="GPC22" s="252">
        <v>0</v>
      </c>
      <c r="GPD22" s="252">
        <v>0</v>
      </c>
      <c r="GPE22" s="252">
        <v>0</v>
      </c>
      <c r="GPF22" s="252">
        <v>0</v>
      </c>
      <c r="GPG22" s="252">
        <v>0</v>
      </c>
      <c r="GPH22" s="252">
        <v>0</v>
      </c>
      <c r="GPI22" s="252">
        <v>0</v>
      </c>
      <c r="GPJ22" s="252">
        <v>0</v>
      </c>
      <c r="GPK22" s="252">
        <v>0</v>
      </c>
      <c r="GPL22" s="252">
        <v>0</v>
      </c>
      <c r="GPM22" s="252">
        <v>0</v>
      </c>
      <c r="GPN22" s="252">
        <v>0</v>
      </c>
      <c r="GPO22" s="252">
        <v>0</v>
      </c>
      <c r="GPP22" s="252">
        <v>0</v>
      </c>
      <c r="GPQ22" s="252">
        <v>0</v>
      </c>
      <c r="GPR22" s="252">
        <v>0</v>
      </c>
      <c r="GPS22" s="252">
        <v>0</v>
      </c>
      <c r="GPT22" s="252">
        <v>0</v>
      </c>
      <c r="GPU22" s="252">
        <v>0</v>
      </c>
      <c r="GPV22" s="252">
        <v>0</v>
      </c>
      <c r="GPW22" s="252">
        <v>0</v>
      </c>
      <c r="GPX22" s="252">
        <v>0</v>
      </c>
      <c r="GPY22" s="252">
        <v>0</v>
      </c>
      <c r="GPZ22" s="252">
        <v>0</v>
      </c>
      <c r="GQA22" s="252">
        <v>0</v>
      </c>
      <c r="GQB22" s="252">
        <v>0</v>
      </c>
      <c r="GQC22" s="252">
        <v>0</v>
      </c>
      <c r="GQD22" s="252">
        <v>0</v>
      </c>
      <c r="GQE22" s="252">
        <v>0</v>
      </c>
      <c r="GQF22" s="252">
        <v>0</v>
      </c>
      <c r="GQG22" s="252">
        <v>0</v>
      </c>
      <c r="GQH22" s="252">
        <v>0</v>
      </c>
      <c r="GQI22" s="252">
        <v>0</v>
      </c>
      <c r="GQJ22" s="252">
        <v>0</v>
      </c>
      <c r="GQK22" s="252">
        <v>0</v>
      </c>
      <c r="GQL22" s="252">
        <v>0</v>
      </c>
      <c r="GQM22" s="252">
        <v>0</v>
      </c>
      <c r="GQN22" s="252">
        <v>0</v>
      </c>
      <c r="GQO22" s="252">
        <v>0</v>
      </c>
      <c r="GQP22" s="252">
        <v>0</v>
      </c>
      <c r="GQQ22" s="252">
        <v>0</v>
      </c>
      <c r="GQR22" s="252">
        <v>0</v>
      </c>
      <c r="GQS22" s="252">
        <v>0</v>
      </c>
      <c r="GQT22" s="252">
        <v>0</v>
      </c>
      <c r="GQU22" s="252">
        <v>0</v>
      </c>
      <c r="GQV22" s="252">
        <v>0</v>
      </c>
      <c r="GQW22" s="252">
        <v>0</v>
      </c>
      <c r="GQX22" s="252">
        <v>0</v>
      </c>
      <c r="GQY22" s="252">
        <v>0</v>
      </c>
      <c r="GQZ22" s="252">
        <v>0</v>
      </c>
      <c r="GRA22" s="252">
        <v>0</v>
      </c>
      <c r="GRB22" s="252">
        <v>0</v>
      </c>
      <c r="GRC22" s="252">
        <v>0</v>
      </c>
      <c r="GRD22" s="252">
        <v>0</v>
      </c>
      <c r="GRE22" s="252">
        <v>0</v>
      </c>
      <c r="GRF22" s="252">
        <v>0</v>
      </c>
      <c r="GRG22" s="252">
        <v>0</v>
      </c>
      <c r="GRH22" s="252">
        <v>0</v>
      </c>
      <c r="GRI22" s="252">
        <v>0</v>
      </c>
      <c r="GRJ22" s="252">
        <v>0</v>
      </c>
      <c r="GRK22" s="252">
        <v>0</v>
      </c>
      <c r="GRL22" s="252">
        <v>0</v>
      </c>
      <c r="GRM22" s="252">
        <v>0</v>
      </c>
      <c r="GRN22" s="252">
        <v>0</v>
      </c>
      <c r="GRO22" s="252">
        <v>0</v>
      </c>
      <c r="GRP22" s="252">
        <v>0</v>
      </c>
      <c r="GRQ22" s="252">
        <v>0</v>
      </c>
      <c r="GRR22" s="252">
        <v>0</v>
      </c>
      <c r="GRS22" s="252">
        <v>0</v>
      </c>
      <c r="GRT22" s="252">
        <v>0</v>
      </c>
      <c r="GRU22" s="252">
        <v>0</v>
      </c>
      <c r="GRV22" s="252">
        <v>0</v>
      </c>
      <c r="GRW22" s="252">
        <v>0</v>
      </c>
      <c r="GRX22" s="252">
        <v>0</v>
      </c>
      <c r="GRY22" s="252">
        <v>0</v>
      </c>
      <c r="GRZ22" s="252">
        <v>0</v>
      </c>
      <c r="GSA22" s="252">
        <v>0</v>
      </c>
      <c r="GSB22" s="252">
        <v>0</v>
      </c>
      <c r="GSC22" s="252">
        <v>0</v>
      </c>
      <c r="GSD22" s="252">
        <v>0</v>
      </c>
      <c r="GSE22" s="252">
        <v>0</v>
      </c>
      <c r="GSF22" s="252">
        <v>0</v>
      </c>
      <c r="GSG22" s="252">
        <v>0</v>
      </c>
      <c r="GSH22" s="252">
        <v>0</v>
      </c>
      <c r="GSI22" s="252">
        <v>0</v>
      </c>
      <c r="GSJ22" s="252">
        <v>0</v>
      </c>
      <c r="GSK22" s="252">
        <v>0</v>
      </c>
      <c r="GSL22" s="252">
        <v>0</v>
      </c>
      <c r="GSM22" s="252">
        <v>0</v>
      </c>
      <c r="GSN22" s="252">
        <v>0</v>
      </c>
      <c r="GSO22" s="252">
        <v>0</v>
      </c>
      <c r="GSP22" s="252">
        <v>0</v>
      </c>
      <c r="GSQ22" s="252">
        <v>0</v>
      </c>
      <c r="GSR22" s="252">
        <v>0</v>
      </c>
      <c r="GSS22" s="252">
        <v>0</v>
      </c>
      <c r="GST22" s="252">
        <v>0</v>
      </c>
      <c r="GSU22" s="252">
        <v>0</v>
      </c>
      <c r="GSV22" s="252">
        <v>0</v>
      </c>
      <c r="GSW22" s="252">
        <v>0</v>
      </c>
      <c r="GSX22" s="252">
        <v>0</v>
      </c>
      <c r="GSY22" s="252">
        <v>0</v>
      </c>
      <c r="GSZ22" s="252">
        <v>0</v>
      </c>
      <c r="GTA22" s="252">
        <v>0</v>
      </c>
      <c r="GTB22" s="252">
        <v>0</v>
      </c>
      <c r="GTC22" s="252">
        <v>0</v>
      </c>
      <c r="GTD22" s="252">
        <v>0</v>
      </c>
      <c r="GTE22" s="252">
        <v>0</v>
      </c>
      <c r="GTF22" s="252">
        <v>0</v>
      </c>
      <c r="GTG22" s="252">
        <v>0</v>
      </c>
      <c r="GTH22" s="252">
        <v>0</v>
      </c>
      <c r="GTI22" s="252">
        <v>0</v>
      </c>
      <c r="GTJ22" s="252">
        <v>0</v>
      </c>
      <c r="GTK22" s="252">
        <v>0</v>
      </c>
      <c r="GTL22" s="252">
        <v>0</v>
      </c>
      <c r="GTM22" s="252">
        <v>0</v>
      </c>
      <c r="GTN22" s="252">
        <v>0</v>
      </c>
      <c r="GTO22" s="252">
        <v>0</v>
      </c>
      <c r="GTP22" s="252">
        <v>0</v>
      </c>
      <c r="GTQ22" s="252">
        <v>0</v>
      </c>
      <c r="GTR22" s="252">
        <v>0</v>
      </c>
      <c r="GTS22" s="252">
        <v>0</v>
      </c>
      <c r="GTT22" s="252">
        <v>0</v>
      </c>
      <c r="GTU22" s="252">
        <v>0</v>
      </c>
      <c r="GTV22" s="252">
        <v>0</v>
      </c>
      <c r="GTW22" s="252">
        <v>0</v>
      </c>
      <c r="GTX22" s="252">
        <v>0</v>
      </c>
      <c r="GTY22" s="252">
        <v>0</v>
      </c>
      <c r="GTZ22" s="252">
        <v>0</v>
      </c>
      <c r="GUA22" s="252">
        <v>0</v>
      </c>
      <c r="GUB22" s="252">
        <v>0</v>
      </c>
      <c r="GUC22" s="252">
        <v>0</v>
      </c>
      <c r="GUD22" s="252">
        <v>0</v>
      </c>
      <c r="GUE22" s="252">
        <v>0</v>
      </c>
      <c r="GUF22" s="252">
        <v>0</v>
      </c>
      <c r="GUG22" s="252">
        <v>0</v>
      </c>
      <c r="GUH22" s="252">
        <v>0</v>
      </c>
      <c r="GUI22" s="252">
        <v>0</v>
      </c>
      <c r="GUJ22" s="252">
        <v>0</v>
      </c>
      <c r="GUK22" s="252">
        <v>0</v>
      </c>
      <c r="GUL22" s="252">
        <v>0</v>
      </c>
      <c r="GUM22" s="252">
        <v>0</v>
      </c>
      <c r="GUN22" s="252">
        <v>0</v>
      </c>
      <c r="GUO22" s="252">
        <v>0</v>
      </c>
      <c r="GUP22" s="252">
        <v>0</v>
      </c>
      <c r="GUQ22" s="252">
        <v>0</v>
      </c>
      <c r="GUR22" s="252">
        <v>0</v>
      </c>
      <c r="GUS22" s="252">
        <v>0</v>
      </c>
      <c r="GUT22" s="252">
        <v>0</v>
      </c>
      <c r="GUU22" s="252">
        <v>0</v>
      </c>
      <c r="GUV22" s="252">
        <v>0</v>
      </c>
      <c r="GUW22" s="252">
        <v>0</v>
      </c>
      <c r="GUX22" s="252">
        <v>0</v>
      </c>
      <c r="GUY22" s="252">
        <v>0</v>
      </c>
      <c r="GUZ22" s="252">
        <v>0</v>
      </c>
      <c r="GVA22" s="252">
        <v>0</v>
      </c>
      <c r="GVB22" s="252">
        <v>0</v>
      </c>
      <c r="GVC22" s="252">
        <v>0</v>
      </c>
      <c r="GVD22" s="252">
        <v>0</v>
      </c>
      <c r="GVE22" s="252">
        <v>0</v>
      </c>
      <c r="GVF22" s="252">
        <v>0</v>
      </c>
      <c r="GVG22" s="252">
        <v>0</v>
      </c>
      <c r="GVH22" s="252">
        <v>0</v>
      </c>
      <c r="GVI22" s="252">
        <v>0</v>
      </c>
      <c r="GVJ22" s="252">
        <v>0</v>
      </c>
      <c r="GVK22" s="252">
        <v>0</v>
      </c>
      <c r="GVL22" s="252">
        <v>0</v>
      </c>
      <c r="GVM22" s="252">
        <v>0</v>
      </c>
      <c r="GVN22" s="252">
        <v>0</v>
      </c>
      <c r="GVO22" s="252">
        <v>0</v>
      </c>
      <c r="GVP22" s="252">
        <v>0</v>
      </c>
      <c r="GVQ22" s="252">
        <v>0</v>
      </c>
      <c r="GVR22" s="252">
        <v>0</v>
      </c>
      <c r="GVS22" s="252">
        <v>0</v>
      </c>
      <c r="GVT22" s="252">
        <v>0</v>
      </c>
      <c r="GVU22" s="252">
        <v>0</v>
      </c>
      <c r="GVV22" s="252">
        <v>0</v>
      </c>
      <c r="GVW22" s="252">
        <v>0</v>
      </c>
      <c r="GVX22" s="252">
        <v>0</v>
      </c>
      <c r="GVY22" s="252">
        <v>0</v>
      </c>
      <c r="GVZ22" s="252">
        <v>0</v>
      </c>
      <c r="GWA22" s="252">
        <v>0</v>
      </c>
      <c r="GWB22" s="252">
        <v>0</v>
      </c>
      <c r="GWC22" s="252">
        <v>0</v>
      </c>
      <c r="GWD22" s="252">
        <v>0</v>
      </c>
      <c r="GWE22" s="252">
        <v>0</v>
      </c>
      <c r="GWF22" s="252">
        <v>0</v>
      </c>
      <c r="GWG22" s="252">
        <v>0</v>
      </c>
      <c r="GWH22" s="252">
        <v>0</v>
      </c>
      <c r="GWI22" s="252">
        <v>0</v>
      </c>
      <c r="GWJ22" s="252">
        <v>0</v>
      </c>
      <c r="GWK22" s="252">
        <v>0</v>
      </c>
      <c r="GWL22" s="252">
        <v>0</v>
      </c>
      <c r="GWM22" s="252">
        <v>0</v>
      </c>
      <c r="GWN22" s="252">
        <v>0</v>
      </c>
      <c r="GWO22" s="252">
        <v>0</v>
      </c>
      <c r="GWP22" s="252">
        <v>0</v>
      </c>
      <c r="GWQ22" s="252">
        <v>0</v>
      </c>
      <c r="GWR22" s="252">
        <v>0</v>
      </c>
      <c r="GWS22" s="252">
        <v>0</v>
      </c>
      <c r="GWT22" s="252">
        <v>0</v>
      </c>
      <c r="GWU22" s="252">
        <v>0</v>
      </c>
      <c r="GWV22" s="252">
        <v>0</v>
      </c>
      <c r="GWW22" s="252">
        <v>0</v>
      </c>
      <c r="GWX22" s="252">
        <v>0</v>
      </c>
      <c r="GWY22" s="252">
        <v>0</v>
      </c>
      <c r="GWZ22" s="252">
        <v>0</v>
      </c>
      <c r="GXA22" s="252">
        <v>0</v>
      </c>
      <c r="GXB22" s="252">
        <v>0</v>
      </c>
      <c r="GXC22" s="252">
        <v>0</v>
      </c>
      <c r="GXD22" s="252">
        <v>0</v>
      </c>
      <c r="GXE22" s="252">
        <v>0</v>
      </c>
      <c r="GXF22" s="252">
        <v>0</v>
      </c>
      <c r="GXG22" s="252">
        <v>0</v>
      </c>
      <c r="GXH22" s="252">
        <v>0</v>
      </c>
      <c r="GXI22" s="252">
        <v>0</v>
      </c>
      <c r="GXJ22" s="252">
        <v>0</v>
      </c>
      <c r="GXK22" s="252">
        <v>0</v>
      </c>
      <c r="GXL22" s="252">
        <v>0</v>
      </c>
      <c r="GXM22" s="252">
        <v>0</v>
      </c>
      <c r="GXN22" s="252">
        <v>0</v>
      </c>
      <c r="GXO22" s="252">
        <v>0</v>
      </c>
      <c r="GXP22" s="252">
        <v>0</v>
      </c>
      <c r="GXQ22" s="252">
        <v>0</v>
      </c>
      <c r="GXR22" s="252">
        <v>0</v>
      </c>
      <c r="GXS22" s="252">
        <v>0</v>
      </c>
      <c r="GXT22" s="252">
        <v>0</v>
      </c>
      <c r="GXU22" s="252">
        <v>0</v>
      </c>
      <c r="GXV22" s="252">
        <v>0</v>
      </c>
      <c r="GXW22" s="252">
        <v>0</v>
      </c>
      <c r="GXX22" s="252">
        <v>0</v>
      </c>
      <c r="GXY22" s="252">
        <v>0</v>
      </c>
      <c r="GXZ22" s="252">
        <v>0</v>
      </c>
      <c r="GYA22" s="252">
        <v>0</v>
      </c>
      <c r="GYB22" s="252">
        <v>0</v>
      </c>
      <c r="GYC22" s="252">
        <v>0</v>
      </c>
      <c r="GYD22" s="252">
        <v>0</v>
      </c>
      <c r="GYE22" s="252">
        <v>0</v>
      </c>
      <c r="GYF22" s="252">
        <v>0</v>
      </c>
      <c r="GYG22" s="252">
        <v>0</v>
      </c>
      <c r="GYH22" s="252">
        <v>0</v>
      </c>
      <c r="GYI22" s="252">
        <v>0</v>
      </c>
      <c r="GYJ22" s="252">
        <v>0</v>
      </c>
      <c r="GYK22" s="252">
        <v>0</v>
      </c>
      <c r="GYL22" s="252">
        <v>0</v>
      </c>
      <c r="GYM22" s="252">
        <v>0</v>
      </c>
      <c r="GYN22" s="252">
        <v>0</v>
      </c>
      <c r="GYO22" s="252">
        <v>0</v>
      </c>
      <c r="GYP22" s="252">
        <v>0</v>
      </c>
      <c r="GYQ22" s="252">
        <v>0</v>
      </c>
      <c r="GYR22" s="252">
        <v>0</v>
      </c>
      <c r="GYS22" s="252">
        <v>0</v>
      </c>
      <c r="GYT22" s="252">
        <v>0</v>
      </c>
      <c r="GYU22" s="252">
        <v>0</v>
      </c>
      <c r="GYV22" s="252">
        <v>0</v>
      </c>
      <c r="GYW22" s="252">
        <v>0</v>
      </c>
      <c r="GYX22" s="252">
        <v>0</v>
      </c>
      <c r="GYY22" s="252">
        <v>0</v>
      </c>
      <c r="GYZ22" s="252">
        <v>0</v>
      </c>
      <c r="GZA22" s="252">
        <v>0</v>
      </c>
      <c r="GZB22" s="252">
        <v>0</v>
      </c>
      <c r="GZC22" s="252">
        <v>0</v>
      </c>
      <c r="GZD22" s="252">
        <v>0</v>
      </c>
      <c r="GZE22" s="252">
        <v>0</v>
      </c>
      <c r="GZF22" s="252">
        <v>0</v>
      </c>
      <c r="GZG22" s="252">
        <v>0</v>
      </c>
      <c r="GZH22" s="252">
        <v>0</v>
      </c>
      <c r="GZI22" s="252">
        <v>0</v>
      </c>
      <c r="GZJ22" s="252">
        <v>0</v>
      </c>
      <c r="GZK22" s="252">
        <v>0</v>
      </c>
      <c r="GZL22" s="252">
        <v>0</v>
      </c>
      <c r="GZM22" s="252">
        <v>0</v>
      </c>
      <c r="GZN22" s="252">
        <v>0</v>
      </c>
      <c r="GZO22" s="252">
        <v>0</v>
      </c>
      <c r="GZP22" s="252">
        <v>0</v>
      </c>
      <c r="GZQ22" s="252">
        <v>0</v>
      </c>
      <c r="GZR22" s="252">
        <v>0</v>
      </c>
      <c r="GZS22" s="252">
        <v>0</v>
      </c>
      <c r="GZT22" s="252">
        <v>0</v>
      </c>
      <c r="GZU22" s="252">
        <v>0</v>
      </c>
      <c r="GZV22" s="252">
        <v>0</v>
      </c>
      <c r="GZW22" s="252">
        <v>0</v>
      </c>
      <c r="GZX22" s="252">
        <v>0</v>
      </c>
      <c r="GZY22" s="252">
        <v>0</v>
      </c>
      <c r="GZZ22" s="252">
        <v>0</v>
      </c>
      <c r="HAA22" s="252">
        <v>0</v>
      </c>
      <c r="HAB22" s="252">
        <v>0</v>
      </c>
      <c r="HAC22" s="252">
        <v>0</v>
      </c>
      <c r="HAD22" s="252">
        <v>0</v>
      </c>
      <c r="HAE22" s="252">
        <v>0</v>
      </c>
      <c r="HAF22" s="252">
        <v>0</v>
      </c>
      <c r="HAG22" s="252">
        <v>0</v>
      </c>
      <c r="HAH22" s="252">
        <v>0</v>
      </c>
      <c r="HAI22" s="252">
        <v>0</v>
      </c>
      <c r="HAJ22" s="252">
        <v>0</v>
      </c>
      <c r="HAK22" s="252">
        <v>0</v>
      </c>
      <c r="HAL22" s="252">
        <v>0</v>
      </c>
      <c r="HAM22" s="252">
        <v>0</v>
      </c>
      <c r="HAN22" s="252">
        <v>0</v>
      </c>
      <c r="HAO22" s="252">
        <v>0</v>
      </c>
      <c r="HAP22" s="252">
        <v>0</v>
      </c>
      <c r="HAQ22" s="252">
        <v>0</v>
      </c>
      <c r="HAR22" s="252">
        <v>0</v>
      </c>
      <c r="HAS22" s="252">
        <v>0</v>
      </c>
      <c r="HAT22" s="252">
        <v>0</v>
      </c>
      <c r="HAU22" s="252">
        <v>0</v>
      </c>
      <c r="HAV22" s="252">
        <v>0</v>
      </c>
      <c r="HAW22" s="252">
        <v>0</v>
      </c>
      <c r="HAX22" s="252">
        <v>0</v>
      </c>
      <c r="HAY22" s="252">
        <v>0</v>
      </c>
      <c r="HAZ22" s="252">
        <v>0</v>
      </c>
      <c r="HBA22" s="252">
        <v>0</v>
      </c>
      <c r="HBB22" s="252">
        <v>0</v>
      </c>
      <c r="HBC22" s="252">
        <v>0</v>
      </c>
      <c r="HBD22" s="252">
        <v>0</v>
      </c>
      <c r="HBE22" s="252">
        <v>0</v>
      </c>
      <c r="HBF22" s="252">
        <v>0</v>
      </c>
      <c r="HBG22" s="252">
        <v>0</v>
      </c>
      <c r="HBH22" s="252">
        <v>0</v>
      </c>
      <c r="HBI22" s="252">
        <v>0</v>
      </c>
      <c r="HBJ22" s="252">
        <v>0</v>
      </c>
      <c r="HBK22" s="252">
        <v>0</v>
      </c>
      <c r="HBL22" s="252">
        <v>0</v>
      </c>
      <c r="HBM22" s="252">
        <v>0</v>
      </c>
      <c r="HBN22" s="252">
        <v>0</v>
      </c>
      <c r="HBO22" s="252">
        <v>0</v>
      </c>
      <c r="HBP22" s="252">
        <v>0</v>
      </c>
      <c r="HBQ22" s="252">
        <v>0</v>
      </c>
      <c r="HBR22" s="252">
        <v>0</v>
      </c>
      <c r="HBS22" s="252">
        <v>0</v>
      </c>
      <c r="HBT22" s="252">
        <v>0</v>
      </c>
      <c r="HBU22" s="252">
        <v>0</v>
      </c>
      <c r="HBV22" s="252">
        <v>0</v>
      </c>
      <c r="HBW22" s="252">
        <v>0</v>
      </c>
      <c r="HBX22" s="252">
        <v>0</v>
      </c>
      <c r="HBY22" s="252">
        <v>0</v>
      </c>
      <c r="HBZ22" s="252">
        <v>0</v>
      </c>
      <c r="HCA22" s="252">
        <v>0</v>
      </c>
      <c r="HCB22" s="252">
        <v>0</v>
      </c>
      <c r="HCC22" s="252">
        <v>0</v>
      </c>
      <c r="HCD22" s="252">
        <v>0</v>
      </c>
      <c r="HCE22" s="252">
        <v>0</v>
      </c>
      <c r="HCF22" s="252">
        <v>0</v>
      </c>
      <c r="HCG22" s="252">
        <v>0</v>
      </c>
      <c r="HCH22" s="252">
        <v>0</v>
      </c>
      <c r="HCI22" s="252">
        <v>0</v>
      </c>
      <c r="HCJ22" s="252">
        <v>0</v>
      </c>
      <c r="HCK22" s="252">
        <v>0</v>
      </c>
      <c r="HCL22" s="252">
        <v>0</v>
      </c>
      <c r="HCM22" s="252">
        <v>0</v>
      </c>
      <c r="HCN22" s="252">
        <v>0</v>
      </c>
      <c r="HCO22" s="252">
        <v>0</v>
      </c>
      <c r="HCP22" s="252">
        <v>0</v>
      </c>
      <c r="HCQ22" s="252">
        <v>0</v>
      </c>
      <c r="HCR22" s="252">
        <v>0</v>
      </c>
      <c r="HCS22" s="252">
        <v>0</v>
      </c>
      <c r="HCT22" s="252">
        <v>0</v>
      </c>
      <c r="HCU22" s="252">
        <v>0</v>
      </c>
      <c r="HCV22" s="252">
        <v>0</v>
      </c>
      <c r="HCW22" s="252">
        <v>0</v>
      </c>
      <c r="HCX22" s="252">
        <v>0</v>
      </c>
      <c r="HCY22" s="252">
        <v>0</v>
      </c>
      <c r="HCZ22" s="252">
        <v>0</v>
      </c>
      <c r="HDA22" s="252">
        <v>0</v>
      </c>
      <c r="HDB22" s="252">
        <v>0</v>
      </c>
      <c r="HDC22" s="252">
        <v>0</v>
      </c>
      <c r="HDD22" s="252">
        <v>0</v>
      </c>
      <c r="HDE22" s="252">
        <v>0</v>
      </c>
      <c r="HDF22" s="252">
        <v>0</v>
      </c>
      <c r="HDG22" s="252">
        <v>0</v>
      </c>
      <c r="HDH22" s="252">
        <v>0</v>
      </c>
      <c r="HDI22" s="252">
        <v>0</v>
      </c>
      <c r="HDJ22" s="252">
        <v>0</v>
      </c>
      <c r="HDK22" s="252">
        <v>0</v>
      </c>
      <c r="HDL22" s="252">
        <v>0</v>
      </c>
      <c r="HDM22" s="252">
        <v>0</v>
      </c>
      <c r="HDN22" s="252">
        <v>0</v>
      </c>
      <c r="HDO22" s="252">
        <v>0</v>
      </c>
      <c r="HDP22" s="252">
        <v>0</v>
      </c>
      <c r="HDQ22" s="252">
        <v>0</v>
      </c>
      <c r="HDR22" s="252">
        <v>0</v>
      </c>
      <c r="HDS22" s="252">
        <v>0</v>
      </c>
      <c r="HDT22" s="252">
        <v>0</v>
      </c>
      <c r="HDU22" s="252">
        <v>0</v>
      </c>
      <c r="HDV22" s="252">
        <v>0</v>
      </c>
      <c r="HDW22" s="252">
        <v>0</v>
      </c>
      <c r="HDX22" s="252">
        <v>0</v>
      </c>
      <c r="HDY22" s="252">
        <v>0</v>
      </c>
      <c r="HDZ22" s="252">
        <v>0</v>
      </c>
      <c r="HEA22" s="252">
        <v>0</v>
      </c>
      <c r="HEB22" s="252">
        <v>0</v>
      </c>
      <c r="HEC22" s="252">
        <v>0</v>
      </c>
      <c r="HED22" s="252">
        <v>0</v>
      </c>
      <c r="HEE22" s="252">
        <v>0</v>
      </c>
      <c r="HEF22" s="252">
        <v>0</v>
      </c>
      <c r="HEG22" s="252">
        <v>0</v>
      </c>
      <c r="HEH22" s="252">
        <v>0</v>
      </c>
      <c r="HEI22" s="252">
        <v>0</v>
      </c>
      <c r="HEJ22" s="252">
        <v>0</v>
      </c>
      <c r="HEK22" s="252">
        <v>0</v>
      </c>
      <c r="HEL22" s="252">
        <v>0</v>
      </c>
      <c r="HEM22" s="252">
        <v>0</v>
      </c>
      <c r="HEN22" s="252">
        <v>0</v>
      </c>
      <c r="HEO22" s="252">
        <v>0</v>
      </c>
      <c r="HEP22" s="252">
        <v>0</v>
      </c>
      <c r="HEQ22" s="252">
        <v>0</v>
      </c>
      <c r="HER22" s="252">
        <v>0</v>
      </c>
      <c r="HES22" s="252">
        <v>0</v>
      </c>
      <c r="HET22" s="252">
        <v>0</v>
      </c>
      <c r="HEU22" s="252">
        <v>0</v>
      </c>
      <c r="HEV22" s="252">
        <v>0</v>
      </c>
      <c r="HEW22" s="252">
        <v>0</v>
      </c>
      <c r="HEX22" s="252">
        <v>0</v>
      </c>
      <c r="HEY22" s="252">
        <v>0</v>
      </c>
      <c r="HEZ22" s="252">
        <v>0</v>
      </c>
      <c r="HFA22" s="252">
        <v>0</v>
      </c>
      <c r="HFB22" s="252">
        <v>0</v>
      </c>
      <c r="HFC22" s="252">
        <v>0</v>
      </c>
      <c r="HFD22" s="252">
        <v>0</v>
      </c>
      <c r="HFE22" s="252">
        <v>0</v>
      </c>
      <c r="HFF22" s="252">
        <v>0</v>
      </c>
      <c r="HFG22" s="252">
        <v>0</v>
      </c>
      <c r="HFH22" s="252">
        <v>0</v>
      </c>
      <c r="HFI22" s="252">
        <v>0</v>
      </c>
      <c r="HFJ22" s="252">
        <v>0</v>
      </c>
      <c r="HFK22" s="252">
        <v>0</v>
      </c>
      <c r="HFL22" s="252">
        <v>0</v>
      </c>
      <c r="HFM22" s="252">
        <v>0</v>
      </c>
      <c r="HFN22" s="252">
        <v>0</v>
      </c>
      <c r="HFO22" s="252">
        <v>0</v>
      </c>
      <c r="HFP22" s="252">
        <v>0</v>
      </c>
      <c r="HFQ22" s="252">
        <v>0</v>
      </c>
      <c r="HFR22" s="252">
        <v>0</v>
      </c>
      <c r="HFS22" s="252">
        <v>0</v>
      </c>
      <c r="HFT22" s="252">
        <v>0</v>
      </c>
      <c r="HFU22" s="252">
        <v>0</v>
      </c>
      <c r="HFV22" s="252">
        <v>0</v>
      </c>
      <c r="HFW22" s="252">
        <v>0</v>
      </c>
      <c r="HFX22" s="252">
        <v>0</v>
      </c>
      <c r="HFY22" s="252">
        <v>0</v>
      </c>
      <c r="HFZ22" s="252">
        <v>0</v>
      </c>
      <c r="HGA22" s="252">
        <v>0</v>
      </c>
      <c r="HGB22" s="252">
        <v>0</v>
      </c>
      <c r="HGC22" s="252">
        <v>0</v>
      </c>
      <c r="HGD22" s="252">
        <v>0</v>
      </c>
      <c r="HGE22" s="252">
        <v>0</v>
      </c>
      <c r="HGF22" s="252">
        <v>0</v>
      </c>
      <c r="HGG22" s="252">
        <v>0</v>
      </c>
      <c r="HGH22" s="252">
        <v>0</v>
      </c>
      <c r="HGI22" s="252">
        <v>0</v>
      </c>
      <c r="HGJ22" s="252">
        <v>0</v>
      </c>
      <c r="HGK22" s="252">
        <v>0</v>
      </c>
      <c r="HGL22" s="252">
        <v>0</v>
      </c>
      <c r="HGM22" s="252">
        <v>0</v>
      </c>
      <c r="HGN22" s="252">
        <v>0</v>
      </c>
      <c r="HGO22" s="252">
        <v>0</v>
      </c>
      <c r="HGP22" s="252">
        <v>0</v>
      </c>
      <c r="HGQ22" s="252">
        <v>0</v>
      </c>
      <c r="HGR22" s="252">
        <v>0</v>
      </c>
      <c r="HGS22" s="252">
        <v>0</v>
      </c>
      <c r="HGT22" s="252">
        <v>0</v>
      </c>
      <c r="HGU22" s="252">
        <v>0</v>
      </c>
      <c r="HGV22" s="252">
        <v>0</v>
      </c>
      <c r="HGW22" s="252">
        <v>0</v>
      </c>
      <c r="HGX22" s="252">
        <v>0</v>
      </c>
      <c r="HGY22" s="252">
        <v>0</v>
      </c>
      <c r="HGZ22" s="252">
        <v>0</v>
      </c>
      <c r="HHA22" s="252">
        <v>0</v>
      </c>
      <c r="HHB22" s="252">
        <v>0</v>
      </c>
      <c r="HHC22" s="252">
        <v>0</v>
      </c>
      <c r="HHD22" s="252">
        <v>0</v>
      </c>
      <c r="HHE22" s="252">
        <v>0</v>
      </c>
      <c r="HHF22" s="252">
        <v>0</v>
      </c>
      <c r="HHG22" s="252">
        <v>0</v>
      </c>
      <c r="HHH22" s="252">
        <v>0</v>
      </c>
      <c r="HHI22" s="252">
        <v>0</v>
      </c>
      <c r="HHJ22" s="252">
        <v>0</v>
      </c>
      <c r="HHK22" s="252">
        <v>0</v>
      </c>
      <c r="HHL22" s="252">
        <v>0</v>
      </c>
      <c r="HHM22" s="252">
        <v>0</v>
      </c>
      <c r="HHN22" s="252">
        <v>0</v>
      </c>
      <c r="HHO22" s="252">
        <v>0</v>
      </c>
      <c r="HHP22" s="252">
        <v>0</v>
      </c>
      <c r="HHQ22" s="252">
        <v>0</v>
      </c>
      <c r="HHR22" s="252">
        <v>0</v>
      </c>
      <c r="HHS22" s="252">
        <v>0</v>
      </c>
      <c r="HHT22" s="252">
        <v>0</v>
      </c>
      <c r="HHU22" s="252">
        <v>0</v>
      </c>
      <c r="HHV22" s="252">
        <v>0</v>
      </c>
      <c r="HHW22" s="252">
        <v>0</v>
      </c>
      <c r="HHX22" s="252">
        <v>0</v>
      </c>
      <c r="HHY22" s="252">
        <v>0</v>
      </c>
      <c r="HHZ22" s="252">
        <v>0</v>
      </c>
      <c r="HIA22" s="252">
        <v>0</v>
      </c>
      <c r="HIB22" s="252">
        <v>0</v>
      </c>
      <c r="HIC22" s="252">
        <v>0</v>
      </c>
      <c r="HID22" s="252">
        <v>0</v>
      </c>
      <c r="HIE22" s="252">
        <v>0</v>
      </c>
      <c r="HIF22" s="252">
        <v>0</v>
      </c>
      <c r="HIG22" s="252">
        <v>0</v>
      </c>
      <c r="HIH22" s="252">
        <v>0</v>
      </c>
      <c r="HII22" s="252">
        <v>0</v>
      </c>
      <c r="HIJ22" s="252">
        <v>0</v>
      </c>
      <c r="HIK22" s="252">
        <v>0</v>
      </c>
      <c r="HIL22" s="252">
        <v>0</v>
      </c>
      <c r="HIM22" s="252">
        <v>0</v>
      </c>
      <c r="HIN22" s="252">
        <v>0</v>
      </c>
      <c r="HIO22" s="252">
        <v>0</v>
      </c>
      <c r="HIP22" s="252">
        <v>0</v>
      </c>
      <c r="HIQ22" s="252">
        <v>0</v>
      </c>
      <c r="HIR22" s="252">
        <v>0</v>
      </c>
      <c r="HIS22" s="252">
        <v>0</v>
      </c>
      <c r="HIT22" s="252">
        <v>0</v>
      </c>
      <c r="HIU22" s="252">
        <v>0</v>
      </c>
      <c r="HIV22" s="252">
        <v>0</v>
      </c>
      <c r="HIW22" s="252">
        <v>0</v>
      </c>
      <c r="HIX22" s="252">
        <v>0</v>
      </c>
      <c r="HIY22" s="252">
        <v>0</v>
      </c>
      <c r="HIZ22" s="252">
        <v>0</v>
      </c>
      <c r="HJA22" s="252">
        <v>0</v>
      </c>
      <c r="HJB22" s="252">
        <v>0</v>
      </c>
      <c r="HJC22" s="252">
        <v>0</v>
      </c>
      <c r="HJD22" s="252">
        <v>0</v>
      </c>
      <c r="HJE22" s="252">
        <v>0</v>
      </c>
      <c r="HJF22" s="252">
        <v>0</v>
      </c>
      <c r="HJG22" s="252">
        <v>0</v>
      </c>
      <c r="HJH22" s="252">
        <v>0</v>
      </c>
      <c r="HJI22" s="252">
        <v>0</v>
      </c>
      <c r="HJJ22" s="252">
        <v>0</v>
      </c>
      <c r="HJK22" s="252">
        <v>0</v>
      </c>
      <c r="HJL22" s="252">
        <v>0</v>
      </c>
      <c r="HJM22" s="252">
        <v>0</v>
      </c>
      <c r="HJN22" s="252">
        <v>0</v>
      </c>
      <c r="HJO22" s="252">
        <v>0</v>
      </c>
      <c r="HJP22" s="252">
        <v>0</v>
      </c>
      <c r="HJQ22" s="252">
        <v>0</v>
      </c>
      <c r="HJR22" s="252">
        <v>0</v>
      </c>
      <c r="HJS22" s="252">
        <v>0</v>
      </c>
      <c r="HJT22" s="252">
        <v>0</v>
      </c>
      <c r="HJU22" s="252">
        <v>0</v>
      </c>
      <c r="HJV22" s="252">
        <v>0</v>
      </c>
      <c r="HJW22" s="252">
        <v>0</v>
      </c>
      <c r="HJX22" s="252">
        <v>0</v>
      </c>
      <c r="HJY22" s="252">
        <v>0</v>
      </c>
      <c r="HJZ22" s="252">
        <v>0</v>
      </c>
      <c r="HKA22" s="252">
        <v>0</v>
      </c>
      <c r="HKB22" s="252">
        <v>0</v>
      </c>
      <c r="HKC22" s="252">
        <v>0</v>
      </c>
      <c r="HKD22" s="252">
        <v>0</v>
      </c>
      <c r="HKE22" s="252">
        <v>0</v>
      </c>
      <c r="HKF22" s="252">
        <v>0</v>
      </c>
      <c r="HKG22" s="252">
        <v>0</v>
      </c>
      <c r="HKH22" s="252">
        <v>0</v>
      </c>
      <c r="HKI22" s="252">
        <v>0</v>
      </c>
      <c r="HKJ22" s="252">
        <v>0</v>
      </c>
      <c r="HKK22" s="252">
        <v>0</v>
      </c>
      <c r="HKL22" s="252">
        <v>0</v>
      </c>
      <c r="HKM22" s="252">
        <v>0</v>
      </c>
      <c r="HKN22" s="252">
        <v>0</v>
      </c>
      <c r="HKO22" s="252">
        <v>0</v>
      </c>
      <c r="HKP22" s="252">
        <v>0</v>
      </c>
      <c r="HKQ22" s="252">
        <v>0</v>
      </c>
      <c r="HKR22" s="252">
        <v>0</v>
      </c>
      <c r="HKS22" s="252">
        <v>0</v>
      </c>
      <c r="HKT22" s="252">
        <v>0</v>
      </c>
      <c r="HKU22" s="252">
        <v>0</v>
      </c>
      <c r="HKV22" s="252">
        <v>0</v>
      </c>
      <c r="HKW22" s="252">
        <v>0</v>
      </c>
      <c r="HKX22" s="252">
        <v>0</v>
      </c>
      <c r="HKY22" s="252">
        <v>0</v>
      </c>
      <c r="HKZ22" s="252">
        <v>0</v>
      </c>
      <c r="HLA22" s="252">
        <v>0</v>
      </c>
      <c r="HLB22" s="252">
        <v>0</v>
      </c>
      <c r="HLC22" s="252">
        <v>0</v>
      </c>
      <c r="HLD22" s="252">
        <v>0</v>
      </c>
      <c r="HLE22" s="252">
        <v>0</v>
      </c>
      <c r="HLF22" s="252">
        <v>0</v>
      </c>
      <c r="HLG22" s="252">
        <v>0</v>
      </c>
      <c r="HLH22" s="252">
        <v>0</v>
      </c>
      <c r="HLI22" s="252">
        <v>0</v>
      </c>
      <c r="HLJ22" s="252">
        <v>0</v>
      </c>
      <c r="HLK22" s="252">
        <v>0</v>
      </c>
      <c r="HLL22" s="252">
        <v>0</v>
      </c>
      <c r="HLM22" s="252">
        <v>0</v>
      </c>
      <c r="HLN22" s="252">
        <v>0</v>
      </c>
      <c r="HLO22" s="252">
        <v>0</v>
      </c>
      <c r="HLP22" s="252">
        <v>0</v>
      </c>
      <c r="HLQ22" s="252">
        <v>0</v>
      </c>
      <c r="HLR22" s="252">
        <v>0</v>
      </c>
      <c r="HLS22" s="252">
        <v>0</v>
      </c>
      <c r="HLT22" s="252">
        <v>0</v>
      </c>
      <c r="HLU22" s="252">
        <v>0</v>
      </c>
      <c r="HLV22" s="252">
        <v>0</v>
      </c>
      <c r="HLW22" s="252">
        <v>0</v>
      </c>
      <c r="HLX22" s="252">
        <v>0</v>
      </c>
      <c r="HLY22" s="252">
        <v>0</v>
      </c>
      <c r="HLZ22" s="252">
        <v>0</v>
      </c>
      <c r="HMA22" s="252">
        <v>0</v>
      </c>
      <c r="HMB22" s="252">
        <v>0</v>
      </c>
      <c r="HMC22" s="252">
        <v>0</v>
      </c>
      <c r="HMD22" s="252">
        <v>0</v>
      </c>
      <c r="HME22" s="252">
        <v>0</v>
      </c>
      <c r="HMF22" s="252">
        <v>0</v>
      </c>
      <c r="HMG22" s="252">
        <v>0</v>
      </c>
      <c r="HMH22" s="252">
        <v>0</v>
      </c>
      <c r="HMI22" s="252">
        <v>0</v>
      </c>
      <c r="HMJ22" s="252">
        <v>0</v>
      </c>
      <c r="HMK22" s="252">
        <v>0</v>
      </c>
      <c r="HML22" s="252">
        <v>0</v>
      </c>
      <c r="HMM22" s="252">
        <v>0</v>
      </c>
      <c r="HMN22" s="252">
        <v>0</v>
      </c>
      <c r="HMO22" s="252">
        <v>0</v>
      </c>
      <c r="HMP22" s="252">
        <v>0</v>
      </c>
      <c r="HMQ22" s="252">
        <v>0</v>
      </c>
      <c r="HMR22" s="252">
        <v>0</v>
      </c>
      <c r="HMS22" s="252">
        <v>0</v>
      </c>
      <c r="HMT22" s="252">
        <v>0</v>
      </c>
      <c r="HMU22" s="252">
        <v>0</v>
      </c>
      <c r="HMV22" s="252">
        <v>0</v>
      </c>
      <c r="HMW22" s="252">
        <v>0</v>
      </c>
      <c r="HMX22" s="252">
        <v>0</v>
      </c>
      <c r="HMY22" s="252">
        <v>0</v>
      </c>
      <c r="HMZ22" s="252">
        <v>0</v>
      </c>
      <c r="HNA22" s="252">
        <v>0</v>
      </c>
      <c r="HNB22" s="252">
        <v>0</v>
      </c>
      <c r="HNC22" s="252">
        <v>0</v>
      </c>
      <c r="HND22" s="252">
        <v>0</v>
      </c>
      <c r="HNE22" s="252">
        <v>0</v>
      </c>
      <c r="HNF22" s="252">
        <v>0</v>
      </c>
      <c r="HNG22" s="252">
        <v>0</v>
      </c>
      <c r="HNH22" s="252">
        <v>0</v>
      </c>
      <c r="HNI22" s="252">
        <v>0</v>
      </c>
      <c r="HNJ22" s="252">
        <v>0</v>
      </c>
      <c r="HNK22" s="252">
        <v>0</v>
      </c>
      <c r="HNL22" s="252">
        <v>0</v>
      </c>
      <c r="HNM22" s="252">
        <v>0</v>
      </c>
      <c r="HNN22" s="252">
        <v>0</v>
      </c>
      <c r="HNO22" s="252">
        <v>0</v>
      </c>
      <c r="HNP22" s="252">
        <v>0</v>
      </c>
      <c r="HNQ22" s="252">
        <v>0</v>
      </c>
      <c r="HNR22" s="252">
        <v>0</v>
      </c>
      <c r="HNS22" s="252">
        <v>0</v>
      </c>
      <c r="HNT22" s="252">
        <v>0</v>
      </c>
      <c r="HNU22" s="252">
        <v>0</v>
      </c>
      <c r="HNV22" s="252">
        <v>0</v>
      </c>
      <c r="HNW22" s="252">
        <v>0</v>
      </c>
      <c r="HNX22" s="252">
        <v>0</v>
      </c>
      <c r="HNY22" s="252">
        <v>0</v>
      </c>
      <c r="HNZ22" s="252">
        <v>0</v>
      </c>
      <c r="HOA22" s="252">
        <v>0</v>
      </c>
      <c r="HOB22" s="252">
        <v>0</v>
      </c>
      <c r="HOC22" s="252">
        <v>0</v>
      </c>
      <c r="HOD22" s="252">
        <v>0</v>
      </c>
      <c r="HOE22" s="252">
        <v>0</v>
      </c>
      <c r="HOF22" s="252">
        <v>0</v>
      </c>
      <c r="HOG22" s="252">
        <v>0</v>
      </c>
      <c r="HOH22" s="252">
        <v>0</v>
      </c>
      <c r="HOI22" s="252">
        <v>0</v>
      </c>
      <c r="HOJ22" s="252">
        <v>0</v>
      </c>
      <c r="HOK22" s="252">
        <v>0</v>
      </c>
      <c r="HOL22" s="252">
        <v>0</v>
      </c>
      <c r="HOM22" s="252">
        <v>0</v>
      </c>
      <c r="HON22" s="252">
        <v>0</v>
      </c>
      <c r="HOO22" s="252">
        <v>0</v>
      </c>
      <c r="HOP22" s="252">
        <v>0</v>
      </c>
      <c r="HOQ22" s="252">
        <v>0</v>
      </c>
      <c r="HOR22" s="252">
        <v>0</v>
      </c>
      <c r="HOS22" s="252">
        <v>0</v>
      </c>
      <c r="HOT22" s="252">
        <v>0</v>
      </c>
      <c r="HOU22" s="252">
        <v>0</v>
      </c>
      <c r="HOV22" s="252">
        <v>0</v>
      </c>
      <c r="HOW22" s="252">
        <v>0</v>
      </c>
      <c r="HOX22" s="252">
        <v>0</v>
      </c>
      <c r="HOY22" s="252">
        <v>0</v>
      </c>
      <c r="HOZ22" s="252">
        <v>0</v>
      </c>
      <c r="HPA22" s="252">
        <v>0</v>
      </c>
      <c r="HPB22" s="252">
        <v>0</v>
      </c>
      <c r="HPC22" s="252">
        <v>0</v>
      </c>
      <c r="HPD22" s="252">
        <v>0</v>
      </c>
      <c r="HPE22" s="252">
        <v>0</v>
      </c>
      <c r="HPF22" s="252">
        <v>0</v>
      </c>
      <c r="HPG22" s="252">
        <v>0</v>
      </c>
      <c r="HPH22" s="252">
        <v>0</v>
      </c>
      <c r="HPI22" s="252">
        <v>0</v>
      </c>
      <c r="HPJ22" s="252">
        <v>0</v>
      </c>
      <c r="HPK22" s="252">
        <v>0</v>
      </c>
      <c r="HPL22" s="252">
        <v>0</v>
      </c>
      <c r="HPM22" s="252">
        <v>0</v>
      </c>
      <c r="HPN22" s="252">
        <v>0</v>
      </c>
      <c r="HPO22" s="252">
        <v>0</v>
      </c>
      <c r="HPP22" s="252">
        <v>0</v>
      </c>
      <c r="HPQ22" s="252">
        <v>0</v>
      </c>
      <c r="HPR22" s="252">
        <v>0</v>
      </c>
      <c r="HPS22" s="252">
        <v>0</v>
      </c>
      <c r="HPT22" s="252">
        <v>0</v>
      </c>
      <c r="HPU22" s="252">
        <v>0</v>
      </c>
      <c r="HPV22" s="252">
        <v>0</v>
      </c>
      <c r="HPW22" s="252">
        <v>0</v>
      </c>
      <c r="HPX22" s="252">
        <v>0</v>
      </c>
      <c r="HPY22" s="252">
        <v>0</v>
      </c>
      <c r="HPZ22" s="252">
        <v>0</v>
      </c>
      <c r="HQA22" s="252">
        <v>0</v>
      </c>
      <c r="HQB22" s="252">
        <v>0</v>
      </c>
      <c r="HQC22" s="252">
        <v>0</v>
      </c>
      <c r="HQD22" s="252">
        <v>0</v>
      </c>
      <c r="HQE22" s="252">
        <v>0</v>
      </c>
      <c r="HQF22" s="252">
        <v>0</v>
      </c>
      <c r="HQG22" s="252">
        <v>0</v>
      </c>
      <c r="HQH22" s="252">
        <v>0</v>
      </c>
      <c r="HQI22" s="252">
        <v>0</v>
      </c>
      <c r="HQJ22" s="252">
        <v>0</v>
      </c>
      <c r="HQK22" s="252">
        <v>0</v>
      </c>
      <c r="HQL22" s="252">
        <v>0</v>
      </c>
      <c r="HQM22" s="252">
        <v>0</v>
      </c>
      <c r="HQN22" s="252">
        <v>0</v>
      </c>
      <c r="HQO22" s="252">
        <v>0</v>
      </c>
      <c r="HQP22" s="252">
        <v>0</v>
      </c>
      <c r="HQQ22" s="252">
        <v>0</v>
      </c>
      <c r="HQR22" s="252">
        <v>0</v>
      </c>
      <c r="HQS22" s="252">
        <v>0</v>
      </c>
      <c r="HQT22" s="252">
        <v>0</v>
      </c>
      <c r="HQU22" s="252">
        <v>0</v>
      </c>
      <c r="HQV22" s="252">
        <v>0</v>
      </c>
      <c r="HQW22" s="252">
        <v>0</v>
      </c>
      <c r="HQX22" s="252">
        <v>0</v>
      </c>
      <c r="HQY22" s="252">
        <v>0</v>
      </c>
      <c r="HQZ22" s="252">
        <v>0</v>
      </c>
      <c r="HRA22" s="252">
        <v>0</v>
      </c>
      <c r="HRB22" s="252">
        <v>0</v>
      </c>
      <c r="HRC22" s="252">
        <v>0</v>
      </c>
      <c r="HRD22" s="252">
        <v>0</v>
      </c>
      <c r="HRE22" s="252">
        <v>0</v>
      </c>
      <c r="HRF22" s="252">
        <v>0</v>
      </c>
      <c r="HRG22" s="252">
        <v>0</v>
      </c>
      <c r="HRH22" s="252">
        <v>0</v>
      </c>
      <c r="HRI22" s="252">
        <v>0</v>
      </c>
      <c r="HRJ22" s="252">
        <v>0</v>
      </c>
      <c r="HRK22" s="252">
        <v>0</v>
      </c>
      <c r="HRL22" s="252">
        <v>0</v>
      </c>
      <c r="HRM22" s="252">
        <v>0</v>
      </c>
      <c r="HRN22" s="252">
        <v>0</v>
      </c>
      <c r="HRO22" s="252">
        <v>0</v>
      </c>
      <c r="HRP22" s="252">
        <v>0</v>
      </c>
      <c r="HRQ22" s="252">
        <v>0</v>
      </c>
      <c r="HRR22" s="252">
        <v>0</v>
      </c>
      <c r="HRS22" s="252">
        <v>0</v>
      </c>
      <c r="HRT22" s="252">
        <v>0</v>
      </c>
      <c r="HRU22" s="252">
        <v>0</v>
      </c>
      <c r="HRV22" s="252">
        <v>0</v>
      </c>
      <c r="HRW22" s="252">
        <v>0</v>
      </c>
      <c r="HRX22" s="252">
        <v>0</v>
      </c>
      <c r="HRY22" s="252">
        <v>0</v>
      </c>
      <c r="HRZ22" s="252">
        <v>0</v>
      </c>
      <c r="HSA22" s="252">
        <v>0</v>
      </c>
      <c r="HSB22" s="252">
        <v>0</v>
      </c>
      <c r="HSC22" s="252">
        <v>0</v>
      </c>
      <c r="HSD22" s="252">
        <v>0</v>
      </c>
      <c r="HSE22" s="252">
        <v>0</v>
      </c>
      <c r="HSF22" s="252">
        <v>0</v>
      </c>
      <c r="HSG22" s="252">
        <v>0</v>
      </c>
      <c r="HSH22" s="252">
        <v>0</v>
      </c>
      <c r="HSI22" s="252">
        <v>0</v>
      </c>
      <c r="HSJ22" s="252">
        <v>0</v>
      </c>
      <c r="HSK22" s="252">
        <v>0</v>
      </c>
      <c r="HSL22" s="252">
        <v>0</v>
      </c>
      <c r="HSM22" s="252">
        <v>0</v>
      </c>
      <c r="HSN22" s="252">
        <v>0</v>
      </c>
      <c r="HSO22" s="252">
        <v>0</v>
      </c>
      <c r="HSP22" s="252">
        <v>0</v>
      </c>
      <c r="HSQ22" s="252">
        <v>0</v>
      </c>
      <c r="HSR22" s="252">
        <v>0</v>
      </c>
      <c r="HSS22" s="252">
        <v>0</v>
      </c>
      <c r="HST22" s="252">
        <v>0</v>
      </c>
      <c r="HSU22" s="252">
        <v>0</v>
      </c>
      <c r="HSV22" s="252">
        <v>0</v>
      </c>
      <c r="HSW22" s="252">
        <v>0</v>
      </c>
      <c r="HSX22" s="252">
        <v>0</v>
      </c>
      <c r="HSY22" s="252">
        <v>0</v>
      </c>
      <c r="HSZ22" s="252">
        <v>0</v>
      </c>
      <c r="HTA22" s="252">
        <v>0</v>
      </c>
      <c r="HTB22" s="252">
        <v>0</v>
      </c>
      <c r="HTC22" s="252">
        <v>0</v>
      </c>
      <c r="HTD22" s="252">
        <v>0</v>
      </c>
      <c r="HTE22" s="252">
        <v>0</v>
      </c>
      <c r="HTF22" s="252">
        <v>0</v>
      </c>
      <c r="HTG22" s="252">
        <v>0</v>
      </c>
      <c r="HTH22" s="252">
        <v>0</v>
      </c>
      <c r="HTI22" s="252">
        <v>0</v>
      </c>
      <c r="HTJ22" s="252">
        <v>0</v>
      </c>
      <c r="HTK22" s="252">
        <v>0</v>
      </c>
      <c r="HTL22" s="252">
        <v>0</v>
      </c>
      <c r="HTM22" s="252">
        <v>0</v>
      </c>
      <c r="HTN22" s="252">
        <v>0</v>
      </c>
      <c r="HTO22" s="252">
        <v>0</v>
      </c>
      <c r="HTP22" s="252">
        <v>0</v>
      </c>
      <c r="HTQ22" s="252">
        <v>0</v>
      </c>
      <c r="HTR22" s="252">
        <v>0</v>
      </c>
      <c r="HTS22" s="252">
        <v>0</v>
      </c>
      <c r="HTT22" s="252">
        <v>0</v>
      </c>
      <c r="HTU22" s="252">
        <v>0</v>
      </c>
      <c r="HTV22" s="252">
        <v>0</v>
      </c>
      <c r="HTW22" s="252">
        <v>0</v>
      </c>
      <c r="HTX22" s="252">
        <v>0</v>
      </c>
      <c r="HTY22" s="252">
        <v>0</v>
      </c>
      <c r="HTZ22" s="252">
        <v>0</v>
      </c>
      <c r="HUA22" s="252">
        <v>0</v>
      </c>
      <c r="HUB22" s="252">
        <v>0</v>
      </c>
      <c r="HUC22" s="252">
        <v>0</v>
      </c>
      <c r="HUD22" s="252">
        <v>0</v>
      </c>
      <c r="HUE22" s="252">
        <v>0</v>
      </c>
      <c r="HUF22" s="252">
        <v>0</v>
      </c>
      <c r="HUG22" s="252">
        <v>0</v>
      </c>
      <c r="HUH22" s="252">
        <v>0</v>
      </c>
      <c r="HUI22" s="252">
        <v>0</v>
      </c>
      <c r="HUJ22" s="252">
        <v>0</v>
      </c>
      <c r="HUK22" s="252">
        <v>0</v>
      </c>
      <c r="HUL22" s="252">
        <v>0</v>
      </c>
      <c r="HUM22" s="252">
        <v>0</v>
      </c>
      <c r="HUN22" s="252">
        <v>0</v>
      </c>
      <c r="HUO22" s="252">
        <v>0</v>
      </c>
      <c r="HUP22" s="252">
        <v>0</v>
      </c>
      <c r="HUQ22" s="252">
        <v>0</v>
      </c>
      <c r="HUR22" s="252">
        <v>0</v>
      </c>
      <c r="HUS22" s="252">
        <v>0</v>
      </c>
      <c r="HUT22" s="252">
        <v>0</v>
      </c>
      <c r="HUU22" s="252">
        <v>0</v>
      </c>
      <c r="HUV22" s="252">
        <v>0</v>
      </c>
      <c r="HUW22" s="252">
        <v>0</v>
      </c>
      <c r="HUX22" s="252">
        <v>0</v>
      </c>
      <c r="HUY22" s="252">
        <v>0</v>
      </c>
      <c r="HUZ22" s="252">
        <v>0</v>
      </c>
      <c r="HVA22" s="252">
        <v>0</v>
      </c>
      <c r="HVB22" s="252">
        <v>0</v>
      </c>
      <c r="HVC22" s="252">
        <v>0</v>
      </c>
      <c r="HVD22" s="252">
        <v>0</v>
      </c>
      <c r="HVE22" s="252">
        <v>0</v>
      </c>
      <c r="HVF22" s="252">
        <v>0</v>
      </c>
      <c r="HVG22" s="252">
        <v>0</v>
      </c>
      <c r="HVH22" s="252">
        <v>0</v>
      </c>
      <c r="HVI22" s="252">
        <v>0</v>
      </c>
      <c r="HVJ22" s="252">
        <v>0</v>
      </c>
      <c r="HVK22" s="252">
        <v>0</v>
      </c>
      <c r="HVL22" s="252">
        <v>0</v>
      </c>
      <c r="HVM22" s="252">
        <v>0</v>
      </c>
      <c r="HVN22" s="252">
        <v>0</v>
      </c>
      <c r="HVO22" s="252">
        <v>0</v>
      </c>
      <c r="HVP22" s="252">
        <v>0</v>
      </c>
      <c r="HVQ22" s="252">
        <v>0</v>
      </c>
      <c r="HVR22" s="252">
        <v>0</v>
      </c>
      <c r="HVS22" s="252">
        <v>0</v>
      </c>
      <c r="HVT22" s="252">
        <v>0</v>
      </c>
      <c r="HVU22" s="252">
        <v>0</v>
      </c>
      <c r="HVV22" s="252">
        <v>0</v>
      </c>
      <c r="HVW22" s="252">
        <v>0</v>
      </c>
      <c r="HVX22" s="252">
        <v>0</v>
      </c>
      <c r="HVY22" s="252">
        <v>0</v>
      </c>
      <c r="HVZ22" s="252">
        <v>0</v>
      </c>
      <c r="HWA22" s="252">
        <v>0</v>
      </c>
      <c r="HWB22" s="252">
        <v>0</v>
      </c>
      <c r="HWC22" s="252">
        <v>0</v>
      </c>
      <c r="HWD22" s="252">
        <v>0</v>
      </c>
      <c r="HWE22" s="252">
        <v>0</v>
      </c>
      <c r="HWF22" s="252">
        <v>0</v>
      </c>
      <c r="HWG22" s="252">
        <v>0</v>
      </c>
      <c r="HWH22" s="252">
        <v>0</v>
      </c>
      <c r="HWI22" s="252">
        <v>0</v>
      </c>
      <c r="HWJ22" s="252">
        <v>0</v>
      </c>
      <c r="HWK22" s="252">
        <v>0</v>
      </c>
      <c r="HWL22" s="252">
        <v>0</v>
      </c>
      <c r="HWM22" s="252">
        <v>0</v>
      </c>
      <c r="HWN22" s="252">
        <v>0</v>
      </c>
      <c r="HWO22" s="252">
        <v>0</v>
      </c>
      <c r="HWP22" s="252">
        <v>0</v>
      </c>
      <c r="HWQ22" s="252">
        <v>0</v>
      </c>
      <c r="HWR22" s="252">
        <v>0</v>
      </c>
      <c r="HWS22" s="252">
        <v>0</v>
      </c>
      <c r="HWT22" s="252">
        <v>0</v>
      </c>
      <c r="HWU22" s="252">
        <v>0</v>
      </c>
      <c r="HWV22" s="252">
        <v>0</v>
      </c>
      <c r="HWW22" s="252">
        <v>0</v>
      </c>
      <c r="HWX22" s="252">
        <v>0</v>
      </c>
      <c r="HWY22" s="252">
        <v>0</v>
      </c>
      <c r="HWZ22" s="252">
        <v>0</v>
      </c>
      <c r="HXA22" s="252">
        <v>0</v>
      </c>
      <c r="HXB22" s="252">
        <v>0</v>
      </c>
      <c r="HXC22" s="252">
        <v>0</v>
      </c>
      <c r="HXD22" s="252">
        <v>0</v>
      </c>
      <c r="HXE22" s="252">
        <v>0</v>
      </c>
      <c r="HXF22" s="252">
        <v>0</v>
      </c>
      <c r="HXG22" s="252">
        <v>0</v>
      </c>
      <c r="HXH22" s="252">
        <v>0</v>
      </c>
      <c r="HXI22" s="252">
        <v>0</v>
      </c>
      <c r="HXJ22" s="252">
        <v>0</v>
      </c>
      <c r="HXK22" s="252">
        <v>0</v>
      </c>
      <c r="HXL22" s="252">
        <v>0</v>
      </c>
      <c r="HXM22" s="252">
        <v>0</v>
      </c>
      <c r="HXN22" s="252">
        <v>0</v>
      </c>
      <c r="HXO22" s="252">
        <v>0</v>
      </c>
      <c r="HXP22" s="252">
        <v>0</v>
      </c>
      <c r="HXQ22" s="252">
        <v>0</v>
      </c>
      <c r="HXR22" s="252">
        <v>0</v>
      </c>
      <c r="HXS22" s="252">
        <v>0</v>
      </c>
      <c r="HXT22" s="252">
        <v>0</v>
      </c>
      <c r="HXU22" s="252">
        <v>0</v>
      </c>
      <c r="HXV22" s="252">
        <v>0</v>
      </c>
      <c r="HXW22" s="252">
        <v>0</v>
      </c>
      <c r="HXX22" s="252">
        <v>0</v>
      </c>
      <c r="HXY22" s="252">
        <v>0</v>
      </c>
      <c r="HXZ22" s="252">
        <v>0</v>
      </c>
      <c r="HYA22" s="252">
        <v>0</v>
      </c>
      <c r="HYB22" s="252">
        <v>0</v>
      </c>
      <c r="HYC22" s="252">
        <v>0</v>
      </c>
      <c r="HYD22" s="252">
        <v>0</v>
      </c>
      <c r="HYE22" s="252">
        <v>0</v>
      </c>
      <c r="HYF22" s="252">
        <v>0</v>
      </c>
      <c r="HYG22" s="252">
        <v>0</v>
      </c>
      <c r="HYH22" s="252">
        <v>0</v>
      </c>
      <c r="HYI22" s="252">
        <v>0</v>
      </c>
      <c r="HYJ22" s="252">
        <v>0</v>
      </c>
      <c r="HYK22" s="252">
        <v>0</v>
      </c>
      <c r="HYL22" s="252">
        <v>0</v>
      </c>
      <c r="HYM22" s="252">
        <v>0</v>
      </c>
      <c r="HYN22" s="252">
        <v>0</v>
      </c>
      <c r="HYO22" s="252">
        <v>0</v>
      </c>
      <c r="HYP22" s="252">
        <v>0</v>
      </c>
      <c r="HYQ22" s="252">
        <v>0</v>
      </c>
      <c r="HYR22" s="252">
        <v>0</v>
      </c>
      <c r="HYS22" s="252">
        <v>0</v>
      </c>
      <c r="HYT22" s="252">
        <v>0</v>
      </c>
      <c r="HYU22" s="252">
        <v>0</v>
      </c>
      <c r="HYV22" s="252">
        <v>0</v>
      </c>
      <c r="HYW22" s="252">
        <v>0</v>
      </c>
      <c r="HYX22" s="252">
        <v>0</v>
      </c>
      <c r="HYY22" s="252">
        <v>0</v>
      </c>
      <c r="HYZ22" s="252">
        <v>0</v>
      </c>
      <c r="HZA22" s="252">
        <v>0</v>
      </c>
      <c r="HZB22" s="252">
        <v>0</v>
      </c>
      <c r="HZC22" s="252">
        <v>0</v>
      </c>
      <c r="HZD22" s="252">
        <v>0</v>
      </c>
      <c r="HZE22" s="252">
        <v>0</v>
      </c>
      <c r="HZF22" s="252">
        <v>0</v>
      </c>
      <c r="HZG22" s="252">
        <v>0</v>
      </c>
      <c r="HZH22" s="252">
        <v>0</v>
      </c>
      <c r="HZI22" s="252">
        <v>0</v>
      </c>
      <c r="HZJ22" s="252">
        <v>0</v>
      </c>
      <c r="HZK22" s="252">
        <v>0</v>
      </c>
      <c r="HZL22" s="252">
        <v>0</v>
      </c>
      <c r="HZM22" s="252">
        <v>0</v>
      </c>
      <c r="HZN22" s="252">
        <v>0</v>
      </c>
      <c r="HZO22" s="252">
        <v>0</v>
      </c>
      <c r="HZP22" s="252">
        <v>0</v>
      </c>
      <c r="HZQ22" s="252">
        <v>0</v>
      </c>
      <c r="HZR22" s="252">
        <v>0</v>
      </c>
      <c r="HZS22" s="252">
        <v>0</v>
      </c>
      <c r="HZT22" s="252">
        <v>0</v>
      </c>
      <c r="HZU22" s="252">
        <v>0</v>
      </c>
      <c r="HZV22" s="252">
        <v>0</v>
      </c>
      <c r="HZW22" s="252">
        <v>0</v>
      </c>
      <c r="HZX22" s="252">
        <v>0</v>
      </c>
      <c r="HZY22" s="252">
        <v>0</v>
      </c>
      <c r="HZZ22" s="252">
        <v>0</v>
      </c>
      <c r="IAA22" s="252">
        <v>0</v>
      </c>
      <c r="IAB22" s="252">
        <v>0</v>
      </c>
      <c r="IAC22" s="252">
        <v>0</v>
      </c>
      <c r="IAD22" s="252">
        <v>0</v>
      </c>
      <c r="IAE22" s="252">
        <v>0</v>
      </c>
      <c r="IAF22" s="252">
        <v>0</v>
      </c>
      <c r="IAG22" s="252">
        <v>0</v>
      </c>
      <c r="IAH22" s="252">
        <v>0</v>
      </c>
      <c r="IAI22" s="252">
        <v>0</v>
      </c>
      <c r="IAJ22" s="252">
        <v>0</v>
      </c>
      <c r="IAK22" s="252">
        <v>0</v>
      </c>
      <c r="IAL22" s="252">
        <v>0</v>
      </c>
      <c r="IAM22" s="252">
        <v>0</v>
      </c>
      <c r="IAN22" s="252">
        <v>0</v>
      </c>
      <c r="IAO22" s="252">
        <v>0</v>
      </c>
      <c r="IAP22" s="252">
        <v>0</v>
      </c>
      <c r="IAQ22" s="252">
        <v>0</v>
      </c>
      <c r="IAR22" s="252">
        <v>0</v>
      </c>
      <c r="IAS22" s="252">
        <v>0</v>
      </c>
      <c r="IAT22" s="252">
        <v>0</v>
      </c>
      <c r="IAU22" s="252">
        <v>0</v>
      </c>
      <c r="IAV22" s="252">
        <v>0</v>
      </c>
      <c r="IAW22" s="252">
        <v>0</v>
      </c>
      <c r="IAX22" s="252">
        <v>0</v>
      </c>
      <c r="IAY22" s="252">
        <v>0</v>
      </c>
      <c r="IAZ22" s="252">
        <v>0</v>
      </c>
      <c r="IBA22" s="252">
        <v>0</v>
      </c>
      <c r="IBB22" s="252">
        <v>0</v>
      </c>
      <c r="IBC22" s="252">
        <v>0</v>
      </c>
      <c r="IBD22" s="252">
        <v>0</v>
      </c>
      <c r="IBE22" s="252">
        <v>0</v>
      </c>
      <c r="IBF22" s="252">
        <v>0</v>
      </c>
      <c r="IBG22" s="252">
        <v>0</v>
      </c>
      <c r="IBH22" s="252">
        <v>0</v>
      </c>
      <c r="IBI22" s="252">
        <v>0</v>
      </c>
      <c r="IBJ22" s="252">
        <v>0</v>
      </c>
      <c r="IBK22" s="252">
        <v>0</v>
      </c>
      <c r="IBL22" s="252">
        <v>0</v>
      </c>
      <c r="IBM22" s="252">
        <v>0</v>
      </c>
      <c r="IBN22" s="252">
        <v>0</v>
      </c>
      <c r="IBO22" s="252">
        <v>0</v>
      </c>
      <c r="IBP22" s="252">
        <v>0</v>
      </c>
      <c r="IBQ22" s="252">
        <v>0</v>
      </c>
      <c r="IBR22" s="252">
        <v>0</v>
      </c>
      <c r="IBS22" s="252">
        <v>0</v>
      </c>
      <c r="IBT22" s="252">
        <v>0</v>
      </c>
      <c r="IBU22" s="252">
        <v>0</v>
      </c>
      <c r="IBV22" s="252">
        <v>0</v>
      </c>
      <c r="IBW22" s="252">
        <v>0</v>
      </c>
      <c r="IBX22" s="252">
        <v>0</v>
      </c>
      <c r="IBY22" s="252">
        <v>0</v>
      </c>
      <c r="IBZ22" s="252">
        <v>0</v>
      </c>
      <c r="ICA22" s="252">
        <v>0</v>
      </c>
      <c r="ICB22" s="252">
        <v>0</v>
      </c>
      <c r="ICC22" s="252">
        <v>0</v>
      </c>
      <c r="ICD22" s="252">
        <v>0</v>
      </c>
      <c r="ICE22" s="252">
        <v>0</v>
      </c>
      <c r="ICF22" s="252">
        <v>0</v>
      </c>
      <c r="ICG22" s="252">
        <v>0</v>
      </c>
      <c r="ICH22" s="252">
        <v>0</v>
      </c>
      <c r="ICI22" s="252">
        <v>0</v>
      </c>
      <c r="ICJ22" s="252">
        <v>0</v>
      </c>
      <c r="ICK22" s="252">
        <v>0</v>
      </c>
      <c r="ICL22" s="252">
        <v>0</v>
      </c>
      <c r="ICM22" s="252">
        <v>0</v>
      </c>
      <c r="ICN22" s="252">
        <v>0</v>
      </c>
      <c r="ICO22" s="252">
        <v>0</v>
      </c>
      <c r="ICP22" s="252">
        <v>0</v>
      </c>
      <c r="ICQ22" s="252">
        <v>0</v>
      </c>
      <c r="ICR22" s="252">
        <v>0</v>
      </c>
      <c r="ICS22" s="252">
        <v>0</v>
      </c>
      <c r="ICT22" s="252">
        <v>0</v>
      </c>
      <c r="ICU22" s="252">
        <v>0</v>
      </c>
      <c r="ICV22" s="252">
        <v>0</v>
      </c>
      <c r="ICW22" s="252">
        <v>0</v>
      </c>
      <c r="ICX22" s="252">
        <v>0</v>
      </c>
      <c r="ICY22" s="252">
        <v>0</v>
      </c>
      <c r="ICZ22" s="252">
        <v>0</v>
      </c>
      <c r="IDA22" s="252">
        <v>0</v>
      </c>
      <c r="IDB22" s="252">
        <v>0</v>
      </c>
      <c r="IDC22" s="252">
        <v>0</v>
      </c>
      <c r="IDD22" s="252">
        <v>0</v>
      </c>
      <c r="IDE22" s="252">
        <v>0</v>
      </c>
      <c r="IDF22" s="252">
        <v>0</v>
      </c>
      <c r="IDG22" s="252">
        <v>0</v>
      </c>
      <c r="IDH22" s="252">
        <v>0</v>
      </c>
      <c r="IDI22" s="252">
        <v>0</v>
      </c>
      <c r="IDJ22" s="252">
        <v>0</v>
      </c>
      <c r="IDK22" s="252">
        <v>0</v>
      </c>
      <c r="IDL22" s="252">
        <v>0</v>
      </c>
      <c r="IDM22" s="252">
        <v>0</v>
      </c>
      <c r="IDN22" s="252">
        <v>0</v>
      </c>
      <c r="IDO22" s="252">
        <v>0</v>
      </c>
      <c r="IDP22" s="252">
        <v>0</v>
      </c>
      <c r="IDQ22" s="252">
        <v>0</v>
      </c>
      <c r="IDR22" s="252">
        <v>0</v>
      </c>
      <c r="IDS22" s="252">
        <v>0</v>
      </c>
      <c r="IDT22" s="252">
        <v>0</v>
      </c>
      <c r="IDU22" s="252">
        <v>0</v>
      </c>
      <c r="IDV22" s="252">
        <v>0</v>
      </c>
      <c r="IDW22" s="252">
        <v>0</v>
      </c>
      <c r="IDX22" s="252">
        <v>0</v>
      </c>
      <c r="IDY22" s="252">
        <v>0</v>
      </c>
      <c r="IDZ22" s="252">
        <v>0</v>
      </c>
      <c r="IEA22" s="252">
        <v>0</v>
      </c>
      <c r="IEB22" s="252">
        <v>0</v>
      </c>
      <c r="IEC22" s="252">
        <v>0</v>
      </c>
      <c r="IED22" s="252">
        <v>0</v>
      </c>
      <c r="IEE22" s="252">
        <v>0</v>
      </c>
      <c r="IEF22" s="252">
        <v>0</v>
      </c>
      <c r="IEG22" s="252">
        <v>0</v>
      </c>
      <c r="IEH22" s="252">
        <v>0</v>
      </c>
      <c r="IEI22" s="252">
        <v>0</v>
      </c>
      <c r="IEJ22" s="252">
        <v>0</v>
      </c>
      <c r="IEK22" s="252">
        <v>0</v>
      </c>
      <c r="IEL22" s="252">
        <v>0</v>
      </c>
      <c r="IEM22" s="252">
        <v>0</v>
      </c>
      <c r="IEN22" s="252">
        <v>0</v>
      </c>
      <c r="IEO22" s="252">
        <v>0</v>
      </c>
      <c r="IEP22" s="252">
        <v>0</v>
      </c>
      <c r="IEQ22" s="252">
        <v>0</v>
      </c>
      <c r="IER22" s="252">
        <v>0</v>
      </c>
      <c r="IES22" s="252">
        <v>0</v>
      </c>
      <c r="IET22" s="252">
        <v>0</v>
      </c>
      <c r="IEU22" s="252">
        <v>0</v>
      </c>
      <c r="IEV22" s="252">
        <v>0</v>
      </c>
      <c r="IEW22" s="252">
        <v>0</v>
      </c>
      <c r="IEX22" s="252">
        <v>0</v>
      </c>
      <c r="IEY22" s="252">
        <v>0</v>
      </c>
      <c r="IEZ22" s="252">
        <v>0</v>
      </c>
      <c r="IFA22" s="252">
        <v>0</v>
      </c>
      <c r="IFB22" s="252">
        <v>0</v>
      </c>
      <c r="IFC22" s="252">
        <v>0</v>
      </c>
      <c r="IFD22" s="252">
        <v>0</v>
      </c>
      <c r="IFE22" s="252">
        <v>0</v>
      </c>
      <c r="IFF22" s="252">
        <v>0</v>
      </c>
      <c r="IFG22" s="252">
        <v>0</v>
      </c>
      <c r="IFH22" s="252">
        <v>0</v>
      </c>
      <c r="IFI22" s="252">
        <v>0</v>
      </c>
      <c r="IFJ22" s="252">
        <v>0</v>
      </c>
      <c r="IFK22" s="252">
        <v>0</v>
      </c>
      <c r="IFL22" s="252">
        <v>0</v>
      </c>
      <c r="IFM22" s="252">
        <v>0</v>
      </c>
      <c r="IFN22" s="252">
        <v>0</v>
      </c>
      <c r="IFO22" s="252">
        <v>0</v>
      </c>
      <c r="IFP22" s="252">
        <v>0</v>
      </c>
      <c r="IFQ22" s="252">
        <v>0</v>
      </c>
      <c r="IFR22" s="252">
        <v>0</v>
      </c>
      <c r="IFS22" s="252">
        <v>0</v>
      </c>
      <c r="IFT22" s="252">
        <v>0</v>
      </c>
      <c r="IFU22" s="252">
        <v>0</v>
      </c>
      <c r="IFV22" s="252">
        <v>0</v>
      </c>
      <c r="IFW22" s="252">
        <v>0</v>
      </c>
      <c r="IFX22" s="252">
        <v>0</v>
      </c>
      <c r="IFY22" s="252">
        <v>0</v>
      </c>
      <c r="IFZ22" s="252">
        <v>0</v>
      </c>
      <c r="IGA22" s="252">
        <v>0</v>
      </c>
      <c r="IGB22" s="252">
        <v>0</v>
      </c>
      <c r="IGC22" s="252">
        <v>0</v>
      </c>
      <c r="IGD22" s="252">
        <v>0</v>
      </c>
      <c r="IGE22" s="252">
        <v>0</v>
      </c>
      <c r="IGF22" s="252">
        <v>0</v>
      </c>
      <c r="IGG22" s="252">
        <v>0</v>
      </c>
      <c r="IGH22" s="252">
        <v>0</v>
      </c>
      <c r="IGI22" s="252">
        <v>0</v>
      </c>
      <c r="IGJ22" s="252">
        <v>0</v>
      </c>
      <c r="IGK22" s="252">
        <v>0</v>
      </c>
      <c r="IGL22" s="252">
        <v>0</v>
      </c>
      <c r="IGM22" s="252">
        <v>0</v>
      </c>
      <c r="IGN22" s="252">
        <v>0</v>
      </c>
      <c r="IGO22" s="252">
        <v>0</v>
      </c>
      <c r="IGP22" s="252">
        <v>0</v>
      </c>
      <c r="IGQ22" s="252">
        <v>0</v>
      </c>
      <c r="IGR22" s="252">
        <v>0</v>
      </c>
      <c r="IGS22" s="252">
        <v>0</v>
      </c>
      <c r="IGT22" s="252">
        <v>0</v>
      </c>
      <c r="IGU22" s="252">
        <v>0</v>
      </c>
      <c r="IGV22" s="252">
        <v>0</v>
      </c>
      <c r="IGW22" s="252">
        <v>0</v>
      </c>
      <c r="IGX22" s="252">
        <v>0</v>
      </c>
      <c r="IGY22" s="252">
        <v>0</v>
      </c>
      <c r="IGZ22" s="252">
        <v>0</v>
      </c>
      <c r="IHA22" s="252">
        <v>0</v>
      </c>
      <c r="IHB22" s="252">
        <v>0</v>
      </c>
      <c r="IHC22" s="252">
        <v>0</v>
      </c>
      <c r="IHD22" s="252">
        <v>0</v>
      </c>
      <c r="IHE22" s="252">
        <v>0</v>
      </c>
      <c r="IHF22" s="252">
        <v>0</v>
      </c>
      <c r="IHG22" s="252">
        <v>0</v>
      </c>
      <c r="IHH22" s="252">
        <v>0</v>
      </c>
      <c r="IHI22" s="252">
        <v>0</v>
      </c>
      <c r="IHJ22" s="252">
        <v>0</v>
      </c>
      <c r="IHK22" s="252">
        <v>0</v>
      </c>
      <c r="IHL22" s="252">
        <v>0</v>
      </c>
      <c r="IHM22" s="252">
        <v>0</v>
      </c>
      <c r="IHN22" s="252">
        <v>0</v>
      </c>
      <c r="IHO22" s="252">
        <v>0</v>
      </c>
      <c r="IHP22" s="252">
        <v>0</v>
      </c>
      <c r="IHQ22" s="252">
        <v>0</v>
      </c>
      <c r="IHR22" s="252">
        <v>0</v>
      </c>
      <c r="IHS22" s="252">
        <v>0</v>
      </c>
      <c r="IHT22" s="252">
        <v>0</v>
      </c>
      <c r="IHU22" s="252">
        <v>0</v>
      </c>
      <c r="IHV22" s="252">
        <v>0</v>
      </c>
      <c r="IHW22" s="252">
        <v>0</v>
      </c>
      <c r="IHX22" s="252">
        <v>0</v>
      </c>
      <c r="IHY22" s="252">
        <v>0</v>
      </c>
      <c r="IHZ22" s="252">
        <v>0</v>
      </c>
      <c r="IIA22" s="252">
        <v>0</v>
      </c>
      <c r="IIB22" s="252">
        <v>0</v>
      </c>
      <c r="IIC22" s="252">
        <v>0</v>
      </c>
      <c r="IID22" s="252">
        <v>0</v>
      </c>
      <c r="IIE22" s="252">
        <v>0</v>
      </c>
      <c r="IIF22" s="252">
        <v>0</v>
      </c>
      <c r="IIG22" s="252">
        <v>0</v>
      </c>
      <c r="IIH22" s="252">
        <v>0</v>
      </c>
      <c r="III22" s="252">
        <v>0</v>
      </c>
      <c r="IIJ22" s="252">
        <v>0</v>
      </c>
      <c r="IIK22" s="252">
        <v>0</v>
      </c>
      <c r="IIL22" s="252">
        <v>0</v>
      </c>
      <c r="IIM22" s="252">
        <v>0</v>
      </c>
      <c r="IIN22" s="252">
        <v>0</v>
      </c>
      <c r="IIO22" s="252">
        <v>0</v>
      </c>
      <c r="IIP22" s="252">
        <v>0</v>
      </c>
      <c r="IIQ22" s="252">
        <v>0</v>
      </c>
      <c r="IIR22" s="252">
        <v>0</v>
      </c>
      <c r="IIS22" s="252">
        <v>0</v>
      </c>
      <c r="IIT22" s="252">
        <v>0</v>
      </c>
      <c r="IIU22" s="252">
        <v>0</v>
      </c>
      <c r="IIV22" s="252">
        <v>0</v>
      </c>
      <c r="IIW22" s="252">
        <v>0</v>
      </c>
      <c r="IIX22" s="252">
        <v>0</v>
      </c>
      <c r="IIY22" s="252">
        <v>0</v>
      </c>
      <c r="IIZ22" s="252">
        <v>0</v>
      </c>
      <c r="IJA22" s="252">
        <v>0</v>
      </c>
      <c r="IJB22" s="252">
        <v>0</v>
      </c>
      <c r="IJC22" s="252">
        <v>0</v>
      </c>
      <c r="IJD22" s="252">
        <v>0</v>
      </c>
      <c r="IJE22" s="252">
        <v>0</v>
      </c>
      <c r="IJF22" s="252">
        <v>0</v>
      </c>
      <c r="IJG22" s="252">
        <v>0</v>
      </c>
      <c r="IJH22" s="252">
        <v>0</v>
      </c>
      <c r="IJI22" s="252">
        <v>0</v>
      </c>
      <c r="IJJ22" s="252">
        <v>0</v>
      </c>
      <c r="IJK22" s="252">
        <v>0</v>
      </c>
      <c r="IJL22" s="252">
        <v>0</v>
      </c>
      <c r="IJM22" s="252">
        <v>0</v>
      </c>
      <c r="IJN22" s="252">
        <v>0</v>
      </c>
      <c r="IJO22" s="252">
        <v>0</v>
      </c>
      <c r="IJP22" s="252">
        <v>0</v>
      </c>
      <c r="IJQ22" s="252">
        <v>0</v>
      </c>
      <c r="IJR22" s="252">
        <v>0</v>
      </c>
      <c r="IJS22" s="252">
        <v>0</v>
      </c>
      <c r="IJT22" s="252">
        <v>0</v>
      </c>
      <c r="IJU22" s="252">
        <v>0</v>
      </c>
      <c r="IJV22" s="252">
        <v>0</v>
      </c>
      <c r="IJW22" s="252">
        <v>0</v>
      </c>
      <c r="IJX22" s="252">
        <v>0</v>
      </c>
      <c r="IJY22" s="252">
        <v>0</v>
      </c>
      <c r="IJZ22" s="252">
        <v>0</v>
      </c>
      <c r="IKA22" s="252">
        <v>0</v>
      </c>
      <c r="IKB22" s="252">
        <v>0</v>
      </c>
      <c r="IKC22" s="252">
        <v>0</v>
      </c>
      <c r="IKD22" s="252">
        <v>0</v>
      </c>
      <c r="IKE22" s="252">
        <v>0</v>
      </c>
      <c r="IKF22" s="252">
        <v>0</v>
      </c>
      <c r="IKG22" s="252">
        <v>0</v>
      </c>
      <c r="IKH22" s="252">
        <v>0</v>
      </c>
      <c r="IKI22" s="252">
        <v>0</v>
      </c>
      <c r="IKJ22" s="252">
        <v>0</v>
      </c>
      <c r="IKK22" s="252">
        <v>0</v>
      </c>
      <c r="IKL22" s="252">
        <v>0</v>
      </c>
      <c r="IKM22" s="252">
        <v>0</v>
      </c>
      <c r="IKN22" s="252">
        <v>0</v>
      </c>
      <c r="IKO22" s="252">
        <v>0</v>
      </c>
      <c r="IKP22" s="252">
        <v>0</v>
      </c>
      <c r="IKQ22" s="252">
        <v>0</v>
      </c>
      <c r="IKR22" s="252">
        <v>0</v>
      </c>
      <c r="IKS22" s="252">
        <v>0</v>
      </c>
      <c r="IKT22" s="252">
        <v>0</v>
      </c>
      <c r="IKU22" s="252">
        <v>0</v>
      </c>
      <c r="IKV22" s="252">
        <v>0</v>
      </c>
      <c r="IKW22" s="252">
        <v>0</v>
      </c>
      <c r="IKX22" s="252">
        <v>0</v>
      </c>
      <c r="IKY22" s="252">
        <v>0</v>
      </c>
      <c r="IKZ22" s="252">
        <v>0</v>
      </c>
      <c r="ILA22" s="252">
        <v>0</v>
      </c>
      <c r="ILB22" s="252">
        <v>0</v>
      </c>
      <c r="ILC22" s="252">
        <v>0</v>
      </c>
      <c r="ILD22" s="252">
        <v>0</v>
      </c>
      <c r="ILE22" s="252">
        <v>0</v>
      </c>
      <c r="ILF22" s="252">
        <v>0</v>
      </c>
      <c r="ILG22" s="252">
        <v>0</v>
      </c>
      <c r="ILH22" s="252">
        <v>0</v>
      </c>
      <c r="ILI22" s="252">
        <v>0</v>
      </c>
      <c r="ILJ22" s="252">
        <v>0</v>
      </c>
      <c r="ILK22" s="252">
        <v>0</v>
      </c>
      <c r="ILL22" s="252">
        <v>0</v>
      </c>
      <c r="ILM22" s="252">
        <v>0</v>
      </c>
      <c r="ILN22" s="252">
        <v>0</v>
      </c>
      <c r="ILO22" s="252">
        <v>0</v>
      </c>
      <c r="ILP22" s="252">
        <v>0</v>
      </c>
      <c r="ILQ22" s="252">
        <v>0</v>
      </c>
      <c r="ILR22" s="252">
        <v>0</v>
      </c>
      <c r="ILS22" s="252">
        <v>0</v>
      </c>
      <c r="ILT22" s="252">
        <v>0</v>
      </c>
      <c r="ILU22" s="252">
        <v>0</v>
      </c>
      <c r="ILV22" s="252">
        <v>0</v>
      </c>
      <c r="ILW22" s="252">
        <v>0</v>
      </c>
      <c r="ILX22" s="252">
        <v>0</v>
      </c>
      <c r="ILY22" s="252">
        <v>0</v>
      </c>
      <c r="ILZ22" s="252">
        <v>0</v>
      </c>
      <c r="IMA22" s="252">
        <v>0</v>
      </c>
      <c r="IMB22" s="252">
        <v>0</v>
      </c>
      <c r="IMC22" s="252">
        <v>0</v>
      </c>
      <c r="IMD22" s="252">
        <v>0</v>
      </c>
      <c r="IME22" s="252">
        <v>0</v>
      </c>
      <c r="IMF22" s="252">
        <v>0</v>
      </c>
      <c r="IMG22" s="252">
        <v>0</v>
      </c>
      <c r="IMH22" s="252">
        <v>0</v>
      </c>
      <c r="IMI22" s="252">
        <v>0</v>
      </c>
      <c r="IMJ22" s="252">
        <v>0</v>
      </c>
      <c r="IMK22" s="252">
        <v>0</v>
      </c>
      <c r="IML22" s="252">
        <v>0</v>
      </c>
      <c r="IMM22" s="252">
        <v>0</v>
      </c>
      <c r="IMN22" s="252">
        <v>0</v>
      </c>
      <c r="IMO22" s="252">
        <v>0</v>
      </c>
      <c r="IMP22" s="252">
        <v>0</v>
      </c>
      <c r="IMQ22" s="252">
        <v>0</v>
      </c>
      <c r="IMR22" s="252">
        <v>0</v>
      </c>
      <c r="IMS22" s="252">
        <v>0</v>
      </c>
      <c r="IMT22" s="252">
        <v>0</v>
      </c>
      <c r="IMU22" s="252">
        <v>0</v>
      </c>
      <c r="IMV22" s="252">
        <v>0</v>
      </c>
      <c r="IMW22" s="252">
        <v>0</v>
      </c>
      <c r="IMX22" s="252">
        <v>0</v>
      </c>
      <c r="IMY22" s="252">
        <v>0</v>
      </c>
      <c r="IMZ22" s="252">
        <v>0</v>
      </c>
      <c r="INA22" s="252">
        <v>0</v>
      </c>
      <c r="INB22" s="252">
        <v>0</v>
      </c>
      <c r="INC22" s="252">
        <v>0</v>
      </c>
      <c r="IND22" s="252">
        <v>0</v>
      </c>
      <c r="INE22" s="252">
        <v>0</v>
      </c>
      <c r="INF22" s="252">
        <v>0</v>
      </c>
      <c r="ING22" s="252">
        <v>0</v>
      </c>
      <c r="INH22" s="252">
        <v>0</v>
      </c>
      <c r="INI22" s="252">
        <v>0</v>
      </c>
      <c r="INJ22" s="252">
        <v>0</v>
      </c>
      <c r="INK22" s="252">
        <v>0</v>
      </c>
      <c r="INL22" s="252">
        <v>0</v>
      </c>
      <c r="INM22" s="252">
        <v>0</v>
      </c>
      <c r="INN22" s="252">
        <v>0</v>
      </c>
      <c r="INO22" s="252">
        <v>0</v>
      </c>
      <c r="INP22" s="252">
        <v>0</v>
      </c>
      <c r="INQ22" s="252">
        <v>0</v>
      </c>
      <c r="INR22" s="252">
        <v>0</v>
      </c>
      <c r="INS22" s="252">
        <v>0</v>
      </c>
      <c r="INT22" s="252">
        <v>0</v>
      </c>
      <c r="INU22" s="252">
        <v>0</v>
      </c>
      <c r="INV22" s="252">
        <v>0</v>
      </c>
      <c r="INW22" s="252">
        <v>0</v>
      </c>
      <c r="INX22" s="252">
        <v>0</v>
      </c>
      <c r="INY22" s="252">
        <v>0</v>
      </c>
      <c r="INZ22" s="252">
        <v>0</v>
      </c>
      <c r="IOA22" s="252">
        <v>0</v>
      </c>
      <c r="IOB22" s="252">
        <v>0</v>
      </c>
      <c r="IOC22" s="252">
        <v>0</v>
      </c>
      <c r="IOD22" s="252">
        <v>0</v>
      </c>
      <c r="IOE22" s="252">
        <v>0</v>
      </c>
      <c r="IOF22" s="252">
        <v>0</v>
      </c>
      <c r="IOG22" s="252">
        <v>0</v>
      </c>
      <c r="IOH22" s="252">
        <v>0</v>
      </c>
      <c r="IOI22" s="252">
        <v>0</v>
      </c>
      <c r="IOJ22" s="252">
        <v>0</v>
      </c>
      <c r="IOK22" s="252">
        <v>0</v>
      </c>
      <c r="IOL22" s="252">
        <v>0</v>
      </c>
      <c r="IOM22" s="252">
        <v>0</v>
      </c>
      <c r="ION22" s="252">
        <v>0</v>
      </c>
      <c r="IOO22" s="252">
        <v>0</v>
      </c>
      <c r="IOP22" s="252">
        <v>0</v>
      </c>
      <c r="IOQ22" s="252">
        <v>0</v>
      </c>
      <c r="IOR22" s="252">
        <v>0</v>
      </c>
      <c r="IOS22" s="252">
        <v>0</v>
      </c>
      <c r="IOT22" s="252">
        <v>0</v>
      </c>
      <c r="IOU22" s="252">
        <v>0</v>
      </c>
      <c r="IOV22" s="252">
        <v>0</v>
      </c>
      <c r="IOW22" s="252">
        <v>0</v>
      </c>
      <c r="IOX22" s="252">
        <v>0</v>
      </c>
      <c r="IOY22" s="252">
        <v>0</v>
      </c>
      <c r="IOZ22" s="252">
        <v>0</v>
      </c>
      <c r="IPA22" s="252">
        <v>0</v>
      </c>
      <c r="IPB22" s="252">
        <v>0</v>
      </c>
      <c r="IPC22" s="252">
        <v>0</v>
      </c>
      <c r="IPD22" s="252">
        <v>0</v>
      </c>
      <c r="IPE22" s="252">
        <v>0</v>
      </c>
      <c r="IPF22" s="252">
        <v>0</v>
      </c>
      <c r="IPG22" s="252">
        <v>0</v>
      </c>
      <c r="IPH22" s="252">
        <v>0</v>
      </c>
      <c r="IPI22" s="252">
        <v>0</v>
      </c>
      <c r="IPJ22" s="252">
        <v>0</v>
      </c>
      <c r="IPK22" s="252">
        <v>0</v>
      </c>
      <c r="IPL22" s="252">
        <v>0</v>
      </c>
      <c r="IPM22" s="252">
        <v>0</v>
      </c>
      <c r="IPN22" s="252">
        <v>0</v>
      </c>
      <c r="IPO22" s="252">
        <v>0</v>
      </c>
      <c r="IPP22" s="252">
        <v>0</v>
      </c>
      <c r="IPQ22" s="252">
        <v>0</v>
      </c>
      <c r="IPR22" s="252">
        <v>0</v>
      </c>
      <c r="IPS22" s="252">
        <v>0</v>
      </c>
      <c r="IPT22" s="252">
        <v>0</v>
      </c>
      <c r="IPU22" s="252">
        <v>0</v>
      </c>
      <c r="IPV22" s="252">
        <v>0</v>
      </c>
      <c r="IPW22" s="252">
        <v>0</v>
      </c>
      <c r="IPX22" s="252">
        <v>0</v>
      </c>
      <c r="IPY22" s="252">
        <v>0</v>
      </c>
      <c r="IPZ22" s="252">
        <v>0</v>
      </c>
      <c r="IQA22" s="252">
        <v>0</v>
      </c>
      <c r="IQB22" s="252">
        <v>0</v>
      </c>
      <c r="IQC22" s="252">
        <v>0</v>
      </c>
      <c r="IQD22" s="252">
        <v>0</v>
      </c>
      <c r="IQE22" s="252">
        <v>0</v>
      </c>
      <c r="IQF22" s="252">
        <v>0</v>
      </c>
      <c r="IQG22" s="252">
        <v>0</v>
      </c>
      <c r="IQH22" s="252">
        <v>0</v>
      </c>
      <c r="IQI22" s="252">
        <v>0</v>
      </c>
      <c r="IQJ22" s="252">
        <v>0</v>
      </c>
      <c r="IQK22" s="252">
        <v>0</v>
      </c>
      <c r="IQL22" s="252">
        <v>0</v>
      </c>
      <c r="IQM22" s="252">
        <v>0</v>
      </c>
      <c r="IQN22" s="252">
        <v>0</v>
      </c>
      <c r="IQO22" s="252">
        <v>0</v>
      </c>
      <c r="IQP22" s="252">
        <v>0</v>
      </c>
      <c r="IQQ22" s="252">
        <v>0</v>
      </c>
      <c r="IQR22" s="252">
        <v>0</v>
      </c>
      <c r="IQS22" s="252">
        <v>0</v>
      </c>
      <c r="IQT22" s="252">
        <v>0</v>
      </c>
      <c r="IQU22" s="252">
        <v>0</v>
      </c>
      <c r="IQV22" s="252">
        <v>0</v>
      </c>
      <c r="IQW22" s="252">
        <v>0</v>
      </c>
      <c r="IQX22" s="252">
        <v>0</v>
      </c>
      <c r="IQY22" s="252">
        <v>0</v>
      </c>
      <c r="IQZ22" s="252">
        <v>0</v>
      </c>
      <c r="IRA22" s="252">
        <v>0</v>
      </c>
      <c r="IRB22" s="252">
        <v>0</v>
      </c>
      <c r="IRC22" s="252">
        <v>0</v>
      </c>
      <c r="IRD22" s="252">
        <v>0</v>
      </c>
      <c r="IRE22" s="252">
        <v>0</v>
      </c>
      <c r="IRF22" s="252">
        <v>0</v>
      </c>
      <c r="IRG22" s="252">
        <v>0</v>
      </c>
      <c r="IRH22" s="252">
        <v>0</v>
      </c>
      <c r="IRI22" s="252">
        <v>0</v>
      </c>
      <c r="IRJ22" s="252">
        <v>0</v>
      </c>
      <c r="IRK22" s="252">
        <v>0</v>
      </c>
      <c r="IRL22" s="252">
        <v>0</v>
      </c>
      <c r="IRM22" s="252">
        <v>0</v>
      </c>
      <c r="IRN22" s="252">
        <v>0</v>
      </c>
      <c r="IRO22" s="252">
        <v>0</v>
      </c>
      <c r="IRP22" s="252">
        <v>0</v>
      </c>
      <c r="IRQ22" s="252">
        <v>0</v>
      </c>
      <c r="IRR22" s="252">
        <v>0</v>
      </c>
      <c r="IRS22" s="252">
        <v>0</v>
      </c>
      <c r="IRT22" s="252">
        <v>0</v>
      </c>
      <c r="IRU22" s="252">
        <v>0</v>
      </c>
      <c r="IRV22" s="252">
        <v>0</v>
      </c>
      <c r="IRW22" s="252">
        <v>0</v>
      </c>
      <c r="IRX22" s="252">
        <v>0</v>
      </c>
      <c r="IRY22" s="252">
        <v>0</v>
      </c>
      <c r="IRZ22" s="252">
        <v>0</v>
      </c>
      <c r="ISA22" s="252">
        <v>0</v>
      </c>
      <c r="ISB22" s="252">
        <v>0</v>
      </c>
      <c r="ISC22" s="252">
        <v>0</v>
      </c>
      <c r="ISD22" s="252">
        <v>0</v>
      </c>
      <c r="ISE22" s="252">
        <v>0</v>
      </c>
      <c r="ISF22" s="252">
        <v>0</v>
      </c>
      <c r="ISG22" s="252">
        <v>0</v>
      </c>
      <c r="ISH22" s="252">
        <v>0</v>
      </c>
      <c r="ISI22" s="252">
        <v>0</v>
      </c>
      <c r="ISJ22" s="252">
        <v>0</v>
      </c>
      <c r="ISK22" s="252">
        <v>0</v>
      </c>
      <c r="ISL22" s="252">
        <v>0</v>
      </c>
      <c r="ISM22" s="252">
        <v>0</v>
      </c>
      <c r="ISN22" s="252">
        <v>0</v>
      </c>
      <c r="ISO22" s="252">
        <v>0</v>
      </c>
      <c r="ISP22" s="252">
        <v>0</v>
      </c>
      <c r="ISQ22" s="252">
        <v>0</v>
      </c>
      <c r="ISR22" s="252">
        <v>0</v>
      </c>
      <c r="ISS22" s="252">
        <v>0</v>
      </c>
      <c r="IST22" s="252">
        <v>0</v>
      </c>
      <c r="ISU22" s="252">
        <v>0</v>
      </c>
      <c r="ISV22" s="252">
        <v>0</v>
      </c>
      <c r="ISW22" s="252">
        <v>0</v>
      </c>
      <c r="ISX22" s="252">
        <v>0</v>
      </c>
      <c r="ISY22" s="252">
        <v>0</v>
      </c>
      <c r="ISZ22" s="252">
        <v>0</v>
      </c>
      <c r="ITA22" s="252">
        <v>0</v>
      </c>
      <c r="ITB22" s="252">
        <v>0</v>
      </c>
      <c r="ITC22" s="252">
        <v>0</v>
      </c>
      <c r="ITD22" s="252">
        <v>0</v>
      </c>
      <c r="ITE22" s="252">
        <v>0</v>
      </c>
      <c r="ITF22" s="252">
        <v>0</v>
      </c>
      <c r="ITG22" s="252">
        <v>0</v>
      </c>
      <c r="ITH22" s="252">
        <v>0</v>
      </c>
      <c r="ITI22" s="252">
        <v>0</v>
      </c>
      <c r="ITJ22" s="252">
        <v>0</v>
      </c>
      <c r="ITK22" s="252">
        <v>0</v>
      </c>
      <c r="ITL22" s="252">
        <v>0</v>
      </c>
      <c r="ITM22" s="252">
        <v>0</v>
      </c>
      <c r="ITN22" s="252">
        <v>0</v>
      </c>
      <c r="ITO22" s="252">
        <v>0</v>
      </c>
      <c r="ITP22" s="252">
        <v>0</v>
      </c>
      <c r="ITQ22" s="252">
        <v>0</v>
      </c>
      <c r="ITR22" s="252">
        <v>0</v>
      </c>
      <c r="ITS22" s="252">
        <v>0</v>
      </c>
      <c r="ITT22" s="252">
        <v>0</v>
      </c>
      <c r="ITU22" s="252">
        <v>0</v>
      </c>
      <c r="ITV22" s="252">
        <v>0</v>
      </c>
      <c r="ITW22" s="252">
        <v>0</v>
      </c>
      <c r="ITX22" s="252">
        <v>0</v>
      </c>
      <c r="ITY22" s="252">
        <v>0</v>
      </c>
      <c r="ITZ22" s="252">
        <v>0</v>
      </c>
      <c r="IUA22" s="252">
        <v>0</v>
      </c>
      <c r="IUB22" s="252">
        <v>0</v>
      </c>
      <c r="IUC22" s="252">
        <v>0</v>
      </c>
      <c r="IUD22" s="252">
        <v>0</v>
      </c>
      <c r="IUE22" s="252">
        <v>0</v>
      </c>
      <c r="IUF22" s="252">
        <v>0</v>
      </c>
      <c r="IUG22" s="252">
        <v>0</v>
      </c>
      <c r="IUH22" s="252">
        <v>0</v>
      </c>
      <c r="IUI22" s="252">
        <v>0</v>
      </c>
      <c r="IUJ22" s="252">
        <v>0</v>
      </c>
      <c r="IUK22" s="252">
        <v>0</v>
      </c>
      <c r="IUL22" s="252">
        <v>0</v>
      </c>
      <c r="IUM22" s="252">
        <v>0</v>
      </c>
      <c r="IUN22" s="252">
        <v>0</v>
      </c>
      <c r="IUO22" s="252">
        <v>0</v>
      </c>
      <c r="IUP22" s="252">
        <v>0</v>
      </c>
      <c r="IUQ22" s="252">
        <v>0</v>
      </c>
      <c r="IUR22" s="252">
        <v>0</v>
      </c>
      <c r="IUS22" s="252">
        <v>0</v>
      </c>
      <c r="IUT22" s="252">
        <v>0</v>
      </c>
      <c r="IUU22" s="252">
        <v>0</v>
      </c>
      <c r="IUV22" s="252">
        <v>0</v>
      </c>
      <c r="IUW22" s="252">
        <v>0</v>
      </c>
      <c r="IUX22" s="252">
        <v>0</v>
      </c>
      <c r="IUY22" s="252">
        <v>0</v>
      </c>
      <c r="IUZ22" s="252">
        <v>0</v>
      </c>
      <c r="IVA22" s="252">
        <v>0</v>
      </c>
      <c r="IVB22" s="252">
        <v>0</v>
      </c>
      <c r="IVC22" s="252">
        <v>0</v>
      </c>
      <c r="IVD22" s="252">
        <v>0</v>
      </c>
      <c r="IVE22" s="252">
        <v>0</v>
      </c>
      <c r="IVF22" s="252">
        <v>0</v>
      </c>
      <c r="IVG22" s="252">
        <v>0</v>
      </c>
      <c r="IVH22" s="252">
        <v>0</v>
      </c>
      <c r="IVI22" s="252">
        <v>0</v>
      </c>
      <c r="IVJ22" s="252">
        <v>0</v>
      </c>
      <c r="IVK22" s="252">
        <v>0</v>
      </c>
      <c r="IVL22" s="252">
        <v>0</v>
      </c>
      <c r="IVM22" s="252">
        <v>0</v>
      </c>
      <c r="IVN22" s="252">
        <v>0</v>
      </c>
      <c r="IVO22" s="252">
        <v>0</v>
      </c>
      <c r="IVP22" s="252">
        <v>0</v>
      </c>
      <c r="IVQ22" s="252">
        <v>0</v>
      </c>
      <c r="IVR22" s="252">
        <v>0</v>
      </c>
      <c r="IVS22" s="252">
        <v>0</v>
      </c>
      <c r="IVT22" s="252">
        <v>0</v>
      </c>
      <c r="IVU22" s="252">
        <v>0</v>
      </c>
      <c r="IVV22" s="252">
        <v>0</v>
      </c>
      <c r="IVW22" s="252">
        <v>0</v>
      </c>
      <c r="IVX22" s="252">
        <v>0</v>
      </c>
      <c r="IVY22" s="252">
        <v>0</v>
      </c>
      <c r="IVZ22" s="252">
        <v>0</v>
      </c>
      <c r="IWA22" s="252">
        <v>0</v>
      </c>
      <c r="IWB22" s="252">
        <v>0</v>
      </c>
      <c r="IWC22" s="252">
        <v>0</v>
      </c>
      <c r="IWD22" s="252">
        <v>0</v>
      </c>
      <c r="IWE22" s="252">
        <v>0</v>
      </c>
      <c r="IWF22" s="252">
        <v>0</v>
      </c>
      <c r="IWG22" s="252">
        <v>0</v>
      </c>
      <c r="IWH22" s="252">
        <v>0</v>
      </c>
      <c r="IWI22" s="252">
        <v>0</v>
      </c>
      <c r="IWJ22" s="252">
        <v>0</v>
      </c>
      <c r="IWK22" s="252">
        <v>0</v>
      </c>
      <c r="IWL22" s="252">
        <v>0</v>
      </c>
      <c r="IWM22" s="252">
        <v>0</v>
      </c>
      <c r="IWN22" s="252">
        <v>0</v>
      </c>
      <c r="IWO22" s="252">
        <v>0</v>
      </c>
      <c r="IWP22" s="252">
        <v>0</v>
      </c>
      <c r="IWQ22" s="252">
        <v>0</v>
      </c>
      <c r="IWR22" s="252">
        <v>0</v>
      </c>
      <c r="IWS22" s="252">
        <v>0</v>
      </c>
      <c r="IWT22" s="252">
        <v>0</v>
      </c>
      <c r="IWU22" s="252">
        <v>0</v>
      </c>
      <c r="IWV22" s="252">
        <v>0</v>
      </c>
      <c r="IWW22" s="252">
        <v>0</v>
      </c>
      <c r="IWX22" s="252">
        <v>0</v>
      </c>
      <c r="IWY22" s="252">
        <v>0</v>
      </c>
      <c r="IWZ22" s="252">
        <v>0</v>
      </c>
      <c r="IXA22" s="252">
        <v>0</v>
      </c>
      <c r="IXB22" s="252">
        <v>0</v>
      </c>
      <c r="IXC22" s="252">
        <v>0</v>
      </c>
      <c r="IXD22" s="252">
        <v>0</v>
      </c>
      <c r="IXE22" s="252">
        <v>0</v>
      </c>
      <c r="IXF22" s="252">
        <v>0</v>
      </c>
      <c r="IXG22" s="252">
        <v>0</v>
      </c>
      <c r="IXH22" s="252">
        <v>0</v>
      </c>
      <c r="IXI22" s="252">
        <v>0</v>
      </c>
      <c r="IXJ22" s="252">
        <v>0</v>
      </c>
      <c r="IXK22" s="252">
        <v>0</v>
      </c>
      <c r="IXL22" s="252">
        <v>0</v>
      </c>
      <c r="IXM22" s="252">
        <v>0</v>
      </c>
      <c r="IXN22" s="252">
        <v>0</v>
      </c>
      <c r="IXO22" s="252">
        <v>0</v>
      </c>
      <c r="IXP22" s="252">
        <v>0</v>
      </c>
      <c r="IXQ22" s="252">
        <v>0</v>
      </c>
      <c r="IXR22" s="252">
        <v>0</v>
      </c>
      <c r="IXS22" s="252">
        <v>0</v>
      </c>
      <c r="IXT22" s="252">
        <v>0</v>
      </c>
      <c r="IXU22" s="252">
        <v>0</v>
      </c>
      <c r="IXV22" s="252">
        <v>0</v>
      </c>
      <c r="IXW22" s="252">
        <v>0</v>
      </c>
      <c r="IXX22" s="252">
        <v>0</v>
      </c>
      <c r="IXY22" s="252">
        <v>0</v>
      </c>
      <c r="IXZ22" s="252">
        <v>0</v>
      </c>
      <c r="IYA22" s="252">
        <v>0</v>
      </c>
      <c r="IYB22" s="252">
        <v>0</v>
      </c>
      <c r="IYC22" s="252">
        <v>0</v>
      </c>
      <c r="IYD22" s="252">
        <v>0</v>
      </c>
      <c r="IYE22" s="252">
        <v>0</v>
      </c>
      <c r="IYF22" s="252">
        <v>0</v>
      </c>
      <c r="IYG22" s="252">
        <v>0</v>
      </c>
      <c r="IYH22" s="252">
        <v>0</v>
      </c>
      <c r="IYI22" s="252">
        <v>0</v>
      </c>
      <c r="IYJ22" s="252">
        <v>0</v>
      </c>
      <c r="IYK22" s="252">
        <v>0</v>
      </c>
      <c r="IYL22" s="252">
        <v>0</v>
      </c>
      <c r="IYM22" s="252">
        <v>0</v>
      </c>
      <c r="IYN22" s="252">
        <v>0</v>
      </c>
      <c r="IYO22" s="252">
        <v>0</v>
      </c>
      <c r="IYP22" s="252">
        <v>0</v>
      </c>
      <c r="IYQ22" s="252">
        <v>0</v>
      </c>
      <c r="IYR22" s="252">
        <v>0</v>
      </c>
      <c r="IYS22" s="252">
        <v>0</v>
      </c>
      <c r="IYT22" s="252">
        <v>0</v>
      </c>
      <c r="IYU22" s="252">
        <v>0</v>
      </c>
      <c r="IYV22" s="252">
        <v>0</v>
      </c>
      <c r="IYW22" s="252">
        <v>0</v>
      </c>
      <c r="IYX22" s="252">
        <v>0</v>
      </c>
      <c r="IYY22" s="252">
        <v>0</v>
      </c>
      <c r="IYZ22" s="252">
        <v>0</v>
      </c>
      <c r="IZA22" s="252">
        <v>0</v>
      </c>
      <c r="IZB22" s="252">
        <v>0</v>
      </c>
      <c r="IZC22" s="252">
        <v>0</v>
      </c>
      <c r="IZD22" s="252">
        <v>0</v>
      </c>
      <c r="IZE22" s="252">
        <v>0</v>
      </c>
      <c r="IZF22" s="252">
        <v>0</v>
      </c>
      <c r="IZG22" s="252">
        <v>0</v>
      </c>
      <c r="IZH22" s="252">
        <v>0</v>
      </c>
      <c r="IZI22" s="252">
        <v>0</v>
      </c>
      <c r="IZJ22" s="252">
        <v>0</v>
      </c>
      <c r="IZK22" s="252">
        <v>0</v>
      </c>
      <c r="IZL22" s="252">
        <v>0</v>
      </c>
      <c r="IZM22" s="252">
        <v>0</v>
      </c>
      <c r="IZN22" s="252">
        <v>0</v>
      </c>
      <c r="IZO22" s="252">
        <v>0</v>
      </c>
      <c r="IZP22" s="252">
        <v>0</v>
      </c>
      <c r="IZQ22" s="252">
        <v>0</v>
      </c>
      <c r="IZR22" s="252">
        <v>0</v>
      </c>
      <c r="IZS22" s="252">
        <v>0</v>
      </c>
      <c r="IZT22" s="252">
        <v>0</v>
      </c>
      <c r="IZU22" s="252">
        <v>0</v>
      </c>
      <c r="IZV22" s="252">
        <v>0</v>
      </c>
      <c r="IZW22" s="252">
        <v>0</v>
      </c>
      <c r="IZX22" s="252">
        <v>0</v>
      </c>
      <c r="IZY22" s="252">
        <v>0</v>
      </c>
      <c r="IZZ22" s="252">
        <v>0</v>
      </c>
      <c r="JAA22" s="252">
        <v>0</v>
      </c>
      <c r="JAB22" s="252">
        <v>0</v>
      </c>
      <c r="JAC22" s="252">
        <v>0</v>
      </c>
      <c r="JAD22" s="252">
        <v>0</v>
      </c>
      <c r="JAE22" s="252">
        <v>0</v>
      </c>
      <c r="JAF22" s="252">
        <v>0</v>
      </c>
      <c r="JAG22" s="252">
        <v>0</v>
      </c>
      <c r="JAH22" s="252">
        <v>0</v>
      </c>
      <c r="JAI22" s="252">
        <v>0</v>
      </c>
      <c r="JAJ22" s="252">
        <v>0</v>
      </c>
      <c r="JAK22" s="252">
        <v>0</v>
      </c>
      <c r="JAL22" s="252">
        <v>0</v>
      </c>
      <c r="JAM22" s="252">
        <v>0</v>
      </c>
      <c r="JAN22" s="252">
        <v>0</v>
      </c>
      <c r="JAO22" s="252">
        <v>0</v>
      </c>
      <c r="JAP22" s="252">
        <v>0</v>
      </c>
      <c r="JAQ22" s="252">
        <v>0</v>
      </c>
      <c r="JAR22" s="252">
        <v>0</v>
      </c>
      <c r="JAS22" s="252">
        <v>0</v>
      </c>
      <c r="JAT22" s="252">
        <v>0</v>
      </c>
      <c r="JAU22" s="252">
        <v>0</v>
      </c>
      <c r="JAV22" s="252">
        <v>0</v>
      </c>
      <c r="JAW22" s="252">
        <v>0</v>
      </c>
      <c r="JAX22" s="252">
        <v>0</v>
      </c>
      <c r="JAY22" s="252">
        <v>0</v>
      </c>
      <c r="JAZ22" s="252">
        <v>0</v>
      </c>
      <c r="JBA22" s="252">
        <v>0</v>
      </c>
      <c r="JBB22" s="252">
        <v>0</v>
      </c>
      <c r="JBC22" s="252">
        <v>0</v>
      </c>
      <c r="JBD22" s="252">
        <v>0</v>
      </c>
      <c r="JBE22" s="252">
        <v>0</v>
      </c>
      <c r="JBF22" s="252">
        <v>0</v>
      </c>
      <c r="JBG22" s="252">
        <v>0</v>
      </c>
      <c r="JBH22" s="252">
        <v>0</v>
      </c>
      <c r="JBI22" s="252">
        <v>0</v>
      </c>
      <c r="JBJ22" s="252">
        <v>0</v>
      </c>
      <c r="JBK22" s="252">
        <v>0</v>
      </c>
      <c r="JBL22" s="252">
        <v>0</v>
      </c>
      <c r="JBM22" s="252">
        <v>0</v>
      </c>
      <c r="JBN22" s="252">
        <v>0</v>
      </c>
      <c r="JBO22" s="252">
        <v>0</v>
      </c>
      <c r="JBP22" s="252">
        <v>0</v>
      </c>
      <c r="JBQ22" s="252">
        <v>0</v>
      </c>
      <c r="JBR22" s="252">
        <v>0</v>
      </c>
      <c r="JBS22" s="252">
        <v>0</v>
      </c>
      <c r="JBT22" s="252">
        <v>0</v>
      </c>
      <c r="JBU22" s="252">
        <v>0</v>
      </c>
      <c r="JBV22" s="252">
        <v>0</v>
      </c>
      <c r="JBW22" s="252">
        <v>0</v>
      </c>
      <c r="JBX22" s="252">
        <v>0</v>
      </c>
      <c r="JBY22" s="252">
        <v>0</v>
      </c>
      <c r="JBZ22" s="252">
        <v>0</v>
      </c>
      <c r="JCA22" s="252">
        <v>0</v>
      </c>
      <c r="JCB22" s="252">
        <v>0</v>
      </c>
      <c r="JCC22" s="252">
        <v>0</v>
      </c>
      <c r="JCD22" s="252">
        <v>0</v>
      </c>
      <c r="JCE22" s="252">
        <v>0</v>
      </c>
      <c r="JCF22" s="252">
        <v>0</v>
      </c>
      <c r="JCG22" s="252">
        <v>0</v>
      </c>
      <c r="JCH22" s="252">
        <v>0</v>
      </c>
      <c r="JCI22" s="252">
        <v>0</v>
      </c>
      <c r="JCJ22" s="252">
        <v>0</v>
      </c>
      <c r="JCK22" s="252">
        <v>0</v>
      </c>
      <c r="JCL22" s="252">
        <v>0</v>
      </c>
      <c r="JCM22" s="252">
        <v>0</v>
      </c>
      <c r="JCN22" s="252">
        <v>0</v>
      </c>
      <c r="JCO22" s="252">
        <v>0</v>
      </c>
      <c r="JCP22" s="252">
        <v>0</v>
      </c>
      <c r="JCQ22" s="252">
        <v>0</v>
      </c>
      <c r="JCR22" s="252">
        <v>0</v>
      </c>
      <c r="JCS22" s="252">
        <v>0</v>
      </c>
      <c r="JCT22" s="252">
        <v>0</v>
      </c>
      <c r="JCU22" s="252">
        <v>0</v>
      </c>
      <c r="JCV22" s="252">
        <v>0</v>
      </c>
      <c r="JCW22" s="252">
        <v>0</v>
      </c>
      <c r="JCX22" s="252">
        <v>0</v>
      </c>
      <c r="JCY22" s="252">
        <v>0</v>
      </c>
      <c r="JCZ22" s="252">
        <v>0</v>
      </c>
      <c r="JDA22" s="252">
        <v>0</v>
      </c>
      <c r="JDB22" s="252">
        <v>0</v>
      </c>
      <c r="JDC22" s="252">
        <v>0</v>
      </c>
      <c r="JDD22" s="252">
        <v>0</v>
      </c>
      <c r="JDE22" s="252">
        <v>0</v>
      </c>
      <c r="JDF22" s="252">
        <v>0</v>
      </c>
      <c r="JDG22" s="252">
        <v>0</v>
      </c>
      <c r="JDH22" s="252">
        <v>0</v>
      </c>
      <c r="JDI22" s="252">
        <v>0</v>
      </c>
      <c r="JDJ22" s="252">
        <v>0</v>
      </c>
      <c r="JDK22" s="252">
        <v>0</v>
      </c>
      <c r="JDL22" s="252">
        <v>0</v>
      </c>
      <c r="JDM22" s="252">
        <v>0</v>
      </c>
      <c r="JDN22" s="252">
        <v>0</v>
      </c>
      <c r="JDO22" s="252">
        <v>0</v>
      </c>
      <c r="JDP22" s="252">
        <v>0</v>
      </c>
      <c r="JDQ22" s="252">
        <v>0</v>
      </c>
      <c r="JDR22" s="252">
        <v>0</v>
      </c>
      <c r="JDS22" s="252">
        <v>0</v>
      </c>
      <c r="JDT22" s="252">
        <v>0</v>
      </c>
      <c r="JDU22" s="252">
        <v>0</v>
      </c>
      <c r="JDV22" s="252">
        <v>0</v>
      </c>
      <c r="JDW22" s="252">
        <v>0</v>
      </c>
      <c r="JDX22" s="252">
        <v>0</v>
      </c>
      <c r="JDY22" s="252">
        <v>0</v>
      </c>
      <c r="JDZ22" s="252">
        <v>0</v>
      </c>
      <c r="JEA22" s="252">
        <v>0</v>
      </c>
      <c r="JEB22" s="252">
        <v>0</v>
      </c>
      <c r="JEC22" s="252">
        <v>0</v>
      </c>
      <c r="JED22" s="252">
        <v>0</v>
      </c>
      <c r="JEE22" s="252">
        <v>0</v>
      </c>
      <c r="JEF22" s="252">
        <v>0</v>
      </c>
      <c r="JEG22" s="252">
        <v>0</v>
      </c>
      <c r="JEH22" s="252">
        <v>0</v>
      </c>
      <c r="JEI22" s="252">
        <v>0</v>
      </c>
      <c r="JEJ22" s="252">
        <v>0</v>
      </c>
      <c r="JEK22" s="252">
        <v>0</v>
      </c>
      <c r="JEL22" s="252">
        <v>0</v>
      </c>
      <c r="JEM22" s="252">
        <v>0</v>
      </c>
      <c r="JEN22" s="252">
        <v>0</v>
      </c>
      <c r="JEO22" s="252">
        <v>0</v>
      </c>
      <c r="JEP22" s="252">
        <v>0</v>
      </c>
      <c r="JEQ22" s="252">
        <v>0</v>
      </c>
      <c r="JER22" s="252">
        <v>0</v>
      </c>
      <c r="JES22" s="252">
        <v>0</v>
      </c>
      <c r="JET22" s="252">
        <v>0</v>
      </c>
      <c r="JEU22" s="252">
        <v>0</v>
      </c>
      <c r="JEV22" s="252">
        <v>0</v>
      </c>
      <c r="JEW22" s="252">
        <v>0</v>
      </c>
      <c r="JEX22" s="252">
        <v>0</v>
      </c>
      <c r="JEY22" s="252">
        <v>0</v>
      </c>
      <c r="JEZ22" s="252">
        <v>0</v>
      </c>
      <c r="JFA22" s="252">
        <v>0</v>
      </c>
      <c r="JFB22" s="252">
        <v>0</v>
      </c>
      <c r="JFC22" s="252">
        <v>0</v>
      </c>
      <c r="JFD22" s="252">
        <v>0</v>
      </c>
      <c r="JFE22" s="252">
        <v>0</v>
      </c>
      <c r="JFF22" s="252">
        <v>0</v>
      </c>
      <c r="JFG22" s="252">
        <v>0</v>
      </c>
      <c r="JFH22" s="252">
        <v>0</v>
      </c>
      <c r="JFI22" s="252">
        <v>0</v>
      </c>
      <c r="JFJ22" s="252">
        <v>0</v>
      </c>
      <c r="JFK22" s="252">
        <v>0</v>
      </c>
      <c r="JFL22" s="252">
        <v>0</v>
      </c>
      <c r="JFM22" s="252">
        <v>0</v>
      </c>
      <c r="JFN22" s="252">
        <v>0</v>
      </c>
      <c r="JFO22" s="252">
        <v>0</v>
      </c>
      <c r="JFP22" s="252">
        <v>0</v>
      </c>
      <c r="JFQ22" s="252">
        <v>0</v>
      </c>
      <c r="JFR22" s="252">
        <v>0</v>
      </c>
      <c r="JFS22" s="252">
        <v>0</v>
      </c>
      <c r="JFT22" s="252">
        <v>0</v>
      </c>
      <c r="JFU22" s="252">
        <v>0</v>
      </c>
      <c r="JFV22" s="252">
        <v>0</v>
      </c>
      <c r="JFW22" s="252">
        <v>0</v>
      </c>
      <c r="JFX22" s="252">
        <v>0</v>
      </c>
      <c r="JFY22" s="252">
        <v>0</v>
      </c>
      <c r="JFZ22" s="252">
        <v>0</v>
      </c>
      <c r="JGA22" s="252">
        <v>0</v>
      </c>
      <c r="JGB22" s="252">
        <v>0</v>
      </c>
      <c r="JGC22" s="252">
        <v>0</v>
      </c>
      <c r="JGD22" s="252">
        <v>0</v>
      </c>
      <c r="JGE22" s="252">
        <v>0</v>
      </c>
      <c r="JGF22" s="252">
        <v>0</v>
      </c>
      <c r="JGG22" s="252">
        <v>0</v>
      </c>
      <c r="JGH22" s="252">
        <v>0</v>
      </c>
      <c r="JGI22" s="252">
        <v>0</v>
      </c>
      <c r="JGJ22" s="252">
        <v>0</v>
      </c>
      <c r="JGK22" s="252">
        <v>0</v>
      </c>
      <c r="JGL22" s="252">
        <v>0</v>
      </c>
      <c r="JGM22" s="252">
        <v>0</v>
      </c>
      <c r="JGN22" s="252">
        <v>0</v>
      </c>
      <c r="JGO22" s="252">
        <v>0</v>
      </c>
      <c r="JGP22" s="252">
        <v>0</v>
      </c>
      <c r="JGQ22" s="252">
        <v>0</v>
      </c>
      <c r="JGR22" s="252">
        <v>0</v>
      </c>
      <c r="JGS22" s="252">
        <v>0</v>
      </c>
      <c r="JGT22" s="252">
        <v>0</v>
      </c>
      <c r="JGU22" s="252">
        <v>0</v>
      </c>
      <c r="JGV22" s="252">
        <v>0</v>
      </c>
      <c r="JGW22" s="252">
        <v>0</v>
      </c>
      <c r="JGX22" s="252">
        <v>0</v>
      </c>
      <c r="JGY22" s="252">
        <v>0</v>
      </c>
      <c r="JGZ22" s="252">
        <v>0</v>
      </c>
      <c r="JHA22" s="252">
        <v>0</v>
      </c>
      <c r="JHB22" s="252">
        <v>0</v>
      </c>
      <c r="JHC22" s="252">
        <v>0</v>
      </c>
      <c r="JHD22" s="252">
        <v>0</v>
      </c>
      <c r="JHE22" s="252">
        <v>0</v>
      </c>
      <c r="JHF22" s="252">
        <v>0</v>
      </c>
      <c r="JHG22" s="252">
        <v>0</v>
      </c>
      <c r="JHH22" s="252">
        <v>0</v>
      </c>
      <c r="JHI22" s="252">
        <v>0</v>
      </c>
      <c r="JHJ22" s="252">
        <v>0</v>
      </c>
      <c r="JHK22" s="252">
        <v>0</v>
      </c>
      <c r="JHL22" s="252">
        <v>0</v>
      </c>
      <c r="JHM22" s="252">
        <v>0</v>
      </c>
      <c r="JHN22" s="252">
        <v>0</v>
      </c>
      <c r="JHO22" s="252">
        <v>0</v>
      </c>
      <c r="JHP22" s="252">
        <v>0</v>
      </c>
      <c r="JHQ22" s="252">
        <v>0</v>
      </c>
      <c r="JHR22" s="252">
        <v>0</v>
      </c>
      <c r="JHS22" s="252">
        <v>0</v>
      </c>
      <c r="JHT22" s="252">
        <v>0</v>
      </c>
      <c r="JHU22" s="252">
        <v>0</v>
      </c>
      <c r="JHV22" s="252">
        <v>0</v>
      </c>
      <c r="JHW22" s="252">
        <v>0</v>
      </c>
      <c r="JHX22" s="252">
        <v>0</v>
      </c>
      <c r="JHY22" s="252">
        <v>0</v>
      </c>
      <c r="JHZ22" s="252">
        <v>0</v>
      </c>
      <c r="JIA22" s="252">
        <v>0</v>
      </c>
      <c r="JIB22" s="252">
        <v>0</v>
      </c>
      <c r="JIC22" s="252">
        <v>0</v>
      </c>
      <c r="JID22" s="252">
        <v>0</v>
      </c>
      <c r="JIE22" s="252">
        <v>0</v>
      </c>
      <c r="JIF22" s="252">
        <v>0</v>
      </c>
      <c r="JIG22" s="252">
        <v>0</v>
      </c>
      <c r="JIH22" s="252">
        <v>0</v>
      </c>
      <c r="JII22" s="252">
        <v>0</v>
      </c>
      <c r="JIJ22" s="252">
        <v>0</v>
      </c>
      <c r="JIK22" s="252">
        <v>0</v>
      </c>
      <c r="JIL22" s="252">
        <v>0</v>
      </c>
      <c r="JIM22" s="252">
        <v>0</v>
      </c>
      <c r="JIN22" s="252">
        <v>0</v>
      </c>
      <c r="JIO22" s="252">
        <v>0</v>
      </c>
      <c r="JIP22" s="252">
        <v>0</v>
      </c>
      <c r="JIQ22" s="252">
        <v>0</v>
      </c>
      <c r="JIR22" s="252">
        <v>0</v>
      </c>
      <c r="JIS22" s="252">
        <v>0</v>
      </c>
      <c r="JIT22" s="252">
        <v>0</v>
      </c>
      <c r="JIU22" s="252">
        <v>0</v>
      </c>
      <c r="JIV22" s="252">
        <v>0</v>
      </c>
      <c r="JIW22" s="252">
        <v>0</v>
      </c>
      <c r="JIX22" s="252">
        <v>0</v>
      </c>
      <c r="JIY22" s="252">
        <v>0</v>
      </c>
      <c r="JIZ22" s="252">
        <v>0</v>
      </c>
      <c r="JJA22" s="252">
        <v>0</v>
      </c>
      <c r="JJB22" s="252">
        <v>0</v>
      </c>
      <c r="JJC22" s="252">
        <v>0</v>
      </c>
      <c r="JJD22" s="252">
        <v>0</v>
      </c>
      <c r="JJE22" s="252">
        <v>0</v>
      </c>
      <c r="JJF22" s="252">
        <v>0</v>
      </c>
      <c r="JJG22" s="252">
        <v>0</v>
      </c>
      <c r="JJH22" s="252">
        <v>0</v>
      </c>
      <c r="JJI22" s="252">
        <v>0</v>
      </c>
      <c r="JJJ22" s="252">
        <v>0</v>
      </c>
      <c r="JJK22" s="252">
        <v>0</v>
      </c>
      <c r="JJL22" s="252">
        <v>0</v>
      </c>
      <c r="JJM22" s="252">
        <v>0</v>
      </c>
      <c r="JJN22" s="252">
        <v>0</v>
      </c>
      <c r="JJO22" s="252">
        <v>0</v>
      </c>
      <c r="JJP22" s="252">
        <v>0</v>
      </c>
      <c r="JJQ22" s="252">
        <v>0</v>
      </c>
      <c r="JJR22" s="252">
        <v>0</v>
      </c>
      <c r="JJS22" s="252">
        <v>0</v>
      </c>
      <c r="JJT22" s="252">
        <v>0</v>
      </c>
      <c r="JJU22" s="252">
        <v>0</v>
      </c>
      <c r="JJV22" s="252">
        <v>0</v>
      </c>
      <c r="JJW22" s="252">
        <v>0</v>
      </c>
      <c r="JJX22" s="252">
        <v>0</v>
      </c>
      <c r="JJY22" s="252">
        <v>0</v>
      </c>
      <c r="JJZ22" s="252">
        <v>0</v>
      </c>
      <c r="JKA22" s="252">
        <v>0</v>
      </c>
      <c r="JKB22" s="252">
        <v>0</v>
      </c>
      <c r="JKC22" s="252">
        <v>0</v>
      </c>
      <c r="JKD22" s="252">
        <v>0</v>
      </c>
      <c r="JKE22" s="252">
        <v>0</v>
      </c>
      <c r="JKF22" s="252">
        <v>0</v>
      </c>
      <c r="JKG22" s="252">
        <v>0</v>
      </c>
      <c r="JKH22" s="252">
        <v>0</v>
      </c>
      <c r="JKI22" s="252">
        <v>0</v>
      </c>
      <c r="JKJ22" s="252">
        <v>0</v>
      </c>
      <c r="JKK22" s="252">
        <v>0</v>
      </c>
      <c r="JKL22" s="252">
        <v>0</v>
      </c>
      <c r="JKM22" s="252">
        <v>0</v>
      </c>
      <c r="JKN22" s="252">
        <v>0</v>
      </c>
      <c r="JKO22" s="252">
        <v>0</v>
      </c>
      <c r="JKP22" s="252">
        <v>0</v>
      </c>
      <c r="JKQ22" s="252">
        <v>0</v>
      </c>
      <c r="JKR22" s="252">
        <v>0</v>
      </c>
      <c r="JKS22" s="252">
        <v>0</v>
      </c>
      <c r="JKT22" s="252">
        <v>0</v>
      </c>
      <c r="JKU22" s="252">
        <v>0</v>
      </c>
      <c r="JKV22" s="252">
        <v>0</v>
      </c>
      <c r="JKW22" s="252">
        <v>0</v>
      </c>
      <c r="JKX22" s="252">
        <v>0</v>
      </c>
      <c r="JKY22" s="252">
        <v>0</v>
      </c>
      <c r="JKZ22" s="252">
        <v>0</v>
      </c>
      <c r="JLA22" s="252">
        <v>0</v>
      </c>
      <c r="JLB22" s="252">
        <v>0</v>
      </c>
      <c r="JLC22" s="252">
        <v>0</v>
      </c>
      <c r="JLD22" s="252">
        <v>0</v>
      </c>
      <c r="JLE22" s="252">
        <v>0</v>
      </c>
      <c r="JLF22" s="252">
        <v>0</v>
      </c>
      <c r="JLG22" s="252">
        <v>0</v>
      </c>
      <c r="JLH22" s="252">
        <v>0</v>
      </c>
      <c r="JLI22" s="252">
        <v>0</v>
      </c>
      <c r="JLJ22" s="252">
        <v>0</v>
      </c>
      <c r="JLK22" s="252">
        <v>0</v>
      </c>
      <c r="JLL22" s="252">
        <v>0</v>
      </c>
      <c r="JLM22" s="252">
        <v>0</v>
      </c>
      <c r="JLN22" s="252">
        <v>0</v>
      </c>
      <c r="JLO22" s="252">
        <v>0</v>
      </c>
      <c r="JLP22" s="252">
        <v>0</v>
      </c>
      <c r="JLQ22" s="252">
        <v>0</v>
      </c>
      <c r="JLR22" s="252">
        <v>0</v>
      </c>
      <c r="JLS22" s="252">
        <v>0</v>
      </c>
      <c r="JLT22" s="252">
        <v>0</v>
      </c>
      <c r="JLU22" s="252">
        <v>0</v>
      </c>
      <c r="JLV22" s="252">
        <v>0</v>
      </c>
      <c r="JLW22" s="252">
        <v>0</v>
      </c>
      <c r="JLX22" s="252">
        <v>0</v>
      </c>
      <c r="JLY22" s="252">
        <v>0</v>
      </c>
      <c r="JLZ22" s="252">
        <v>0</v>
      </c>
      <c r="JMA22" s="252">
        <v>0</v>
      </c>
      <c r="JMB22" s="252">
        <v>0</v>
      </c>
      <c r="JMC22" s="252">
        <v>0</v>
      </c>
      <c r="JMD22" s="252">
        <v>0</v>
      </c>
      <c r="JME22" s="252">
        <v>0</v>
      </c>
      <c r="JMF22" s="252">
        <v>0</v>
      </c>
      <c r="JMG22" s="252">
        <v>0</v>
      </c>
      <c r="JMH22" s="252">
        <v>0</v>
      </c>
      <c r="JMI22" s="252">
        <v>0</v>
      </c>
      <c r="JMJ22" s="252">
        <v>0</v>
      </c>
      <c r="JMK22" s="252">
        <v>0</v>
      </c>
      <c r="JML22" s="252">
        <v>0</v>
      </c>
      <c r="JMM22" s="252">
        <v>0</v>
      </c>
      <c r="JMN22" s="252">
        <v>0</v>
      </c>
      <c r="JMO22" s="252">
        <v>0</v>
      </c>
      <c r="JMP22" s="252">
        <v>0</v>
      </c>
      <c r="JMQ22" s="252">
        <v>0</v>
      </c>
      <c r="JMR22" s="252">
        <v>0</v>
      </c>
      <c r="JMS22" s="252">
        <v>0</v>
      </c>
      <c r="JMT22" s="252">
        <v>0</v>
      </c>
      <c r="JMU22" s="252">
        <v>0</v>
      </c>
      <c r="JMV22" s="252">
        <v>0</v>
      </c>
      <c r="JMW22" s="252">
        <v>0</v>
      </c>
      <c r="JMX22" s="252">
        <v>0</v>
      </c>
      <c r="JMY22" s="252">
        <v>0</v>
      </c>
      <c r="JMZ22" s="252">
        <v>0</v>
      </c>
      <c r="JNA22" s="252">
        <v>0</v>
      </c>
      <c r="JNB22" s="252">
        <v>0</v>
      </c>
      <c r="JNC22" s="252">
        <v>0</v>
      </c>
      <c r="JND22" s="252">
        <v>0</v>
      </c>
      <c r="JNE22" s="252">
        <v>0</v>
      </c>
      <c r="JNF22" s="252">
        <v>0</v>
      </c>
      <c r="JNG22" s="252">
        <v>0</v>
      </c>
      <c r="JNH22" s="252">
        <v>0</v>
      </c>
      <c r="JNI22" s="252">
        <v>0</v>
      </c>
      <c r="JNJ22" s="252">
        <v>0</v>
      </c>
      <c r="JNK22" s="252">
        <v>0</v>
      </c>
      <c r="JNL22" s="252">
        <v>0</v>
      </c>
      <c r="JNM22" s="252">
        <v>0</v>
      </c>
      <c r="JNN22" s="252">
        <v>0</v>
      </c>
      <c r="JNO22" s="252">
        <v>0</v>
      </c>
      <c r="JNP22" s="252">
        <v>0</v>
      </c>
      <c r="JNQ22" s="252">
        <v>0</v>
      </c>
      <c r="JNR22" s="252">
        <v>0</v>
      </c>
      <c r="JNS22" s="252">
        <v>0</v>
      </c>
      <c r="JNT22" s="252">
        <v>0</v>
      </c>
      <c r="JNU22" s="252">
        <v>0</v>
      </c>
      <c r="JNV22" s="252">
        <v>0</v>
      </c>
      <c r="JNW22" s="252">
        <v>0</v>
      </c>
      <c r="JNX22" s="252">
        <v>0</v>
      </c>
      <c r="JNY22" s="252">
        <v>0</v>
      </c>
      <c r="JNZ22" s="252">
        <v>0</v>
      </c>
      <c r="JOA22" s="252">
        <v>0</v>
      </c>
      <c r="JOB22" s="252">
        <v>0</v>
      </c>
      <c r="JOC22" s="252">
        <v>0</v>
      </c>
      <c r="JOD22" s="252">
        <v>0</v>
      </c>
      <c r="JOE22" s="252">
        <v>0</v>
      </c>
      <c r="JOF22" s="252">
        <v>0</v>
      </c>
      <c r="JOG22" s="252">
        <v>0</v>
      </c>
      <c r="JOH22" s="252">
        <v>0</v>
      </c>
      <c r="JOI22" s="252">
        <v>0</v>
      </c>
      <c r="JOJ22" s="252">
        <v>0</v>
      </c>
      <c r="JOK22" s="252">
        <v>0</v>
      </c>
      <c r="JOL22" s="252">
        <v>0</v>
      </c>
      <c r="JOM22" s="252">
        <v>0</v>
      </c>
      <c r="JON22" s="252">
        <v>0</v>
      </c>
      <c r="JOO22" s="252">
        <v>0</v>
      </c>
      <c r="JOP22" s="252">
        <v>0</v>
      </c>
      <c r="JOQ22" s="252">
        <v>0</v>
      </c>
      <c r="JOR22" s="252">
        <v>0</v>
      </c>
      <c r="JOS22" s="252">
        <v>0</v>
      </c>
      <c r="JOT22" s="252">
        <v>0</v>
      </c>
      <c r="JOU22" s="252">
        <v>0</v>
      </c>
      <c r="JOV22" s="252">
        <v>0</v>
      </c>
      <c r="JOW22" s="252">
        <v>0</v>
      </c>
      <c r="JOX22" s="252">
        <v>0</v>
      </c>
      <c r="JOY22" s="252">
        <v>0</v>
      </c>
      <c r="JOZ22" s="252">
        <v>0</v>
      </c>
      <c r="JPA22" s="252">
        <v>0</v>
      </c>
      <c r="JPB22" s="252">
        <v>0</v>
      </c>
      <c r="JPC22" s="252">
        <v>0</v>
      </c>
      <c r="JPD22" s="252">
        <v>0</v>
      </c>
      <c r="JPE22" s="252">
        <v>0</v>
      </c>
      <c r="JPF22" s="252">
        <v>0</v>
      </c>
      <c r="JPG22" s="252">
        <v>0</v>
      </c>
      <c r="JPH22" s="252">
        <v>0</v>
      </c>
      <c r="JPI22" s="252">
        <v>0</v>
      </c>
      <c r="JPJ22" s="252">
        <v>0</v>
      </c>
      <c r="JPK22" s="252">
        <v>0</v>
      </c>
      <c r="JPL22" s="252">
        <v>0</v>
      </c>
      <c r="JPM22" s="252">
        <v>0</v>
      </c>
      <c r="JPN22" s="252">
        <v>0</v>
      </c>
      <c r="JPO22" s="252">
        <v>0</v>
      </c>
      <c r="JPP22" s="252">
        <v>0</v>
      </c>
      <c r="JPQ22" s="252">
        <v>0</v>
      </c>
      <c r="JPR22" s="252">
        <v>0</v>
      </c>
      <c r="JPS22" s="252">
        <v>0</v>
      </c>
      <c r="JPT22" s="252">
        <v>0</v>
      </c>
      <c r="JPU22" s="252">
        <v>0</v>
      </c>
      <c r="JPV22" s="252">
        <v>0</v>
      </c>
      <c r="JPW22" s="252">
        <v>0</v>
      </c>
      <c r="JPX22" s="252">
        <v>0</v>
      </c>
      <c r="JPY22" s="252">
        <v>0</v>
      </c>
      <c r="JPZ22" s="252">
        <v>0</v>
      </c>
      <c r="JQA22" s="252">
        <v>0</v>
      </c>
      <c r="JQB22" s="252">
        <v>0</v>
      </c>
      <c r="JQC22" s="252">
        <v>0</v>
      </c>
      <c r="JQD22" s="252">
        <v>0</v>
      </c>
      <c r="JQE22" s="252">
        <v>0</v>
      </c>
      <c r="JQF22" s="252">
        <v>0</v>
      </c>
      <c r="JQG22" s="252">
        <v>0</v>
      </c>
      <c r="JQH22" s="252">
        <v>0</v>
      </c>
      <c r="JQI22" s="252">
        <v>0</v>
      </c>
      <c r="JQJ22" s="252">
        <v>0</v>
      </c>
      <c r="JQK22" s="252">
        <v>0</v>
      </c>
      <c r="JQL22" s="252">
        <v>0</v>
      </c>
      <c r="JQM22" s="252">
        <v>0</v>
      </c>
      <c r="JQN22" s="252">
        <v>0</v>
      </c>
      <c r="JQO22" s="252">
        <v>0</v>
      </c>
      <c r="JQP22" s="252">
        <v>0</v>
      </c>
      <c r="JQQ22" s="252">
        <v>0</v>
      </c>
      <c r="JQR22" s="252">
        <v>0</v>
      </c>
      <c r="JQS22" s="252">
        <v>0</v>
      </c>
      <c r="JQT22" s="252">
        <v>0</v>
      </c>
      <c r="JQU22" s="252">
        <v>0</v>
      </c>
      <c r="JQV22" s="252">
        <v>0</v>
      </c>
      <c r="JQW22" s="252">
        <v>0</v>
      </c>
      <c r="JQX22" s="252">
        <v>0</v>
      </c>
      <c r="JQY22" s="252">
        <v>0</v>
      </c>
      <c r="JQZ22" s="252">
        <v>0</v>
      </c>
      <c r="JRA22" s="252">
        <v>0</v>
      </c>
      <c r="JRB22" s="252">
        <v>0</v>
      </c>
      <c r="JRC22" s="252">
        <v>0</v>
      </c>
      <c r="JRD22" s="252">
        <v>0</v>
      </c>
      <c r="JRE22" s="252">
        <v>0</v>
      </c>
      <c r="JRF22" s="252">
        <v>0</v>
      </c>
      <c r="JRG22" s="252">
        <v>0</v>
      </c>
      <c r="JRH22" s="252">
        <v>0</v>
      </c>
      <c r="JRI22" s="252">
        <v>0</v>
      </c>
      <c r="JRJ22" s="252">
        <v>0</v>
      </c>
      <c r="JRK22" s="252">
        <v>0</v>
      </c>
      <c r="JRL22" s="252">
        <v>0</v>
      </c>
      <c r="JRM22" s="252">
        <v>0</v>
      </c>
      <c r="JRN22" s="252">
        <v>0</v>
      </c>
      <c r="JRO22" s="252">
        <v>0</v>
      </c>
      <c r="JRP22" s="252">
        <v>0</v>
      </c>
      <c r="JRQ22" s="252">
        <v>0</v>
      </c>
      <c r="JRR22" s="252">
        <v>0</v>
      </c>
      <c r="JRS22" s="252">
        <v>0</v>
      </c>
      <c r="JRT22" s="252">
        <v>0</v>
      </c>
      <c r="JRU22" s="252">
        <v>0</v>
      </c>
      <c r="JRV22" s="252">
        <v>0</v>
      </c>
      <c r="JRW22" s="252">
        <v>0</v>
      </c>
      <c r="JRX22" s="252">
        <v>0</v>
      </c>
      <c r="JRY22" s="252">
        <v>0</v>
      </c>
      <c r="JRZ22" s="252">
        <v>0</v>
      </c>
      <c r="JSA22" s="252">
        <v>0</v>
      </c>
      <c r="JSB22" s="252">
        <v>0</v>
      </c>
      <c r="JSC22" s="252">
        <v>0</v>
      </c>
      <c r="JSD22" s="252">
        <v>0</v>
      </c>
      <c r="JSE22" s="252">
        <v>0</v>
      </c>
      <c r="JSF22" s="252">
        <v>0</v>
      </c>
      <c r="JSG22" s="252">
        <v>0</v>
      </c>
      <c r="JSH22" s="252">
        <v>0</v>
      </c>
      <c r="JSI22" s="252">
        <v>0</v>
      </c>
      <c r="JSJ22" s="252">
        <v>0</v>
      </c>
      <c r="JSK22" s="252">
        <v>0</v>
      </c>
      <c r="JSL22" s="252">
        <v>0</v>
      </c>
      <c r="JSM22" s="252">
        <v>0</v>
      </c>
      <c r="JSN22" s="252">
        <v>0</v>
      </c>
      <c r="JSO22" s="252">
        <v>0</v>
      </c>
      <c r="JSP22" s="252">
        <v>0</v>
      </c>
      <c r="JSQ22" s="252">
        <v>0</v>
      </c>
      <c r="JSR22" s="252">
        <v>0</v>
      </c>
      <c r="JSS22" s="252">
        <v>0</v>
      </c>
      <c r="JST22" s="252">
        <v>0</v>
      </c>
      <c r="JSU22" s="252">
        <v>0</v>
      </c>
      <c r="JSV22" s="252">
        <v>0</v>
      </c>
      <c r="JSW22" s="252">
        <v>0</v>
      </c>
      <c r="JSX22" s="252">
        <v>0</v>
      </c>
      <c r="JSY22" s="252">
        <v>0</v>
      </c>
      <c r="JSZ22" s="252">
        <v>0</v>
      </c>
      <c r="JTA22" s="252">
        <v>0</v>
      </c>
      <c r="JTB22" s="252">
        <v>0</v>
      </c>
      <c r="JTC22" s="252">
        <v>0</v>
      </c>
      <c r="JTD22" s="252">
        <v>0</v>
      </c>
      <c r="JTE22" s="252">
        <v>0</v>
      </c>
      <c r="JTF22" s="252">
        <v>0</v>
      </c>
      <c r="JTG22" s="252">
        <v>0</v>
      </c>
      <c r="JTH22" s="252">
        <v>0</v>
      </c>
      <c r="JTI22" s="252">
        <v>0</v>
      </c>
      <c r="JTJ22" s="252">
        <v>0</v>
      </c>
      <c r="JTK22" s="252">
        <v>0</v>
      </c>
      <c r="JTL22" s="252">
        <v>0</v>
      </c>
      <c r="JTM22" s="252">
        <v>0</v>
      </c>
      <c r="JTN22" s="252">
        <v>0</v>
      </c>
      <c r="JTO22" s="252">
        <v>0</v>
      </c>
      <c r="JTP22" s="252">
        <v>0</v>
      </c>
      <c r="JTQ22" s="252">
        <v>0</v>
      </c>
      <c r="JTR22" s="252">
        <v>0</v>
      </c>
      <c r="JTS22" s="252">
        <v>0</v>
      </c>
      <c r="JTT22" s="252">
        <v>0</v>
      </c>
      <c r="JTU22" s="252">
        <v>0</v>
      </c>
      <c r="JTV22" s="252">
        <v>0</v>
      </c>
      <c r="JTW22" s="252">
        <v>0</v>
      </c>
      <c r="JTX22" s="252">
        <v>0</v>
      </c>
      <c r="JTY22" s="252">
        <v>0</v>
      </c>
      <c r="JTZ22" s="252">
        <v>0</v>
      </c>
      <c r="JUA22" s="252">
        <v>0</v>
      </c>
      <c r="JUB22" s="252">
        <v>0</v>
      </c>
      <c r="JUC22" s="252">
        <v>0</v>
      </c>
      <c r="JUD22" s="252">
        <v>0</v>
      </c>
      <c r="JUE22" s="252">
        <v>0</v>
      </c>
      <c r="JUF22" s="252">
        <v>0</v>
      </c>
      <c r="JUG22" s="252">
        <v>0</v>
      </c>
      <c r="JUH22" s="252">
        <v>0</v>
      </c>
      <c r="JUI22" s="252">
        <v>0</v>
      </c>
      <c r="JUJ22" s="252">
        <v>0</v>
      </c>
      <c r="JUK22" s="252">
        <v>0</v>
      </c>
      <c r="JUL22" s="252">
        <v>0</v>
      </c>
      <c r="JUM22" s="252">
        <v>0</v>
      </c>
      <c r="JUN22" s="252">
        <v>0</v>
      </c>
      <c r="JUO22" s="252">
        <v>0</v>
      </c>
      <c r="JUP22" s="252">
        <v>0</v>
      </c>
      <c r="JUQ22" s="252">
        <v>0</v>
      </c>
      <c r="JUR22" s="252">
        <v>0</v>
      </c>
      <c r="JUS22" s="252">
        <v>0</v>
      </c>
      <c r="JUT22" s="252">
        <v>0</v>
      </c>
      <c r="JUU22" s="252">
        <v>0</v>
      </c>
      <c r="JUV22" s="252">
        <v>0</v>
      </c>
      <c r="JUW22" s="252">
        <v>0</v>
      </c>
      <c r="JUX22" s="252">
        <v>0</v>
      </c>
      <c r="JUY22" s="252">
        <v>0</v>
      </c>
      <c r="JUZ22" s="252">
        <v>0</v>
      </c>
      <c r="JVA22" s="252">
        <v>0</v>
      </c>
      <c r="JVB22" s="252">
        <v>0</v>
      </c>
      <c r="JVC22" s="252">
        <v>0</v>
      </c>
      <c r="JVD22" s="252">
        <v>0</v>
      </c>
      <c r="JVE22" s="252">
        <v>0</v>
      </c>
      <c r="JVF22" s="252">
        <v>0</v>
      </c>
      <c r="JVG22" s="252">
        <v>0</v>
      </c>
      <c r="JVH22" s="252">
        <v>0</v>
      </c>
      <c r="JVI22" s="252">
        <v>0</v>
      </c>
      <c r="JVJ22" s="252">
        <v>0</v>
      </c>
      <c r="JVK22" s="252">
        <v>0</v>
      </c>
      <c r="JVL22" s="252">
        <v>0</v>
      </c>
      <c r="JVM22" s="252">
        <v>0</v>
      </c>
      <c r="JVN22" s="252">
        <v>0</v>
      </c>
      <c r="JVO22" s="252">
        <v>0</v>
      </c>
      <c r="JVP22" s="252">
        <v>0</v>
      </c>
      <c r="JVQ22" s="252">
        <v>0</v>
      </c>
      <c r="JVR22" s="252">
        <v>0</v>
      </c>
      <c r="JVS22" s="252">
        <v>0</v>
      </c>
      <c r="JVT22" s="252">
        <v>0</v>
      </c>
      <c r="JVU22" s="252">
        <v>0</v>
      </c>
      <c r="JVV22" s="252">
        <v>0</v>
      </c>
      <c r="JVW22" s="252">
        <v>0</v>
      </c>
      <c r="JVX22" s="252">
        <v>0</v>
      </c>
      <c r="JVY22" s="252">
        <v>0</v>
      </c>
      <c r="JVZ22" s="252">
        <v>0</v>
      </c>
      <c r="JWA22" s="252">
        <v>0</v>
      </c>
      <c r="JWB22" s="252">
        <v>0</v>
      </c>
      <c r="JWC22" s="252">
        <v>0</v>
      </c>
      <c r="JWD22" s="252">
        <v>0</v>
      </c>
      <c r="JWE22" s="252">
        <v>0</v>
      </c>
      <c r="JWF22" s="252">
        <v>0</v>
      </c>
      <c r="JWG22" s="252">
        <v>0</v>
      </c>
      <c r="JWH22" s="252">
        <v>0</v>
      </c>
      <c r="JWI22" s="252">
        <v>0</v>
      </c>
      <c r="JWJ22" s="252">
        <v>0</v>
      </c>
      <c r="JWK22" s="252">
        <v>0</v>
      </c>
      <c r="JWL22" s="252">
        <v>0</v>
      </c>
      <c r="JWM22" s="252">
        <v>0</v>
      </c>
      <c r="JWN22" s="252">
        <v>0</v>
      </c>
      <c r="JWO22" s="252">
        <v>0</v>
      </c>
      <c r="JWP22" s="252">
        <v>0</v>
      </c>
      <c r="JWQ22" s="252">
        <v>0</v>
      </c>
      <c r="JWR22" s="252">
        <v>0</v>
      </c>
      <c r="JWS22" s="252">
        <v>0</v>
      </c>
      <c r="JWT22" s="252">
        <v>0</v>
      </c>
      <c r="JWU22" s="252">
        <v>0</v>
      </c>
      <c r="JWV22" s="252">
        <v>0</v>
      </c>
      <c r="JWW22" s="252">
        <v>0</v>
      </c>
      <c r="JWX22" s="252">
        <v>0</v>
      </c>
      <c r="JWY22" s="252">
        <v>0</v>
      </c>
      <c r="JWZ22" s="252">
        <v>0</v>
      </c>
      <c r="JXA22" s="252">
        <v>0</v>
      </c>
      <c r="JXB22" s="252">
        <v>0</v>
      </c>
      <c r="JXC22" s="252">
        <v>0</v>
      </c>
      <c r="JXD22" s="252">
        <v>0</v>
      </c>
      <c r="JXE22" s="252">
        <v>0</v>
      </c>
      <c r="JXF22" s="252">
        <v>0</v>
      </c>
      <c r="JXG22" s="252">
        <v>0</v>
      </c>
      <c r="JXH22" s="252">
        <v>0</v>
      </c>
      <c r="JXI22" s="252">
        <v>0</v>
      </c>
      <c r="JXJ22" s="252">
        <v>0</v>
      </c>
      <c r="JXK22" s="252">
        <v>0</v>
      </c>
      <c r="JXL22" s="252">
        <v>0</v>
      </c>
      <c r="JXM22" s="252">
        <v>0</v>
      </c>
      <c r="JXN22" s="252">
        <v>0</v>
      </c>
      <c r="JXO22" s="252">
        <v>0</v>
      </c>
      <c r="JXP22" s="252">
        <v>0</v>
      </c>
      <c r="JXQ22" s="252">
        <v>0</v>
      </c>
      <c r="JXR22" s="252">
        <v>0</v>
      </c>
      <c r="JXS22" s="252">
        <v>0</v>
      </c>
      <c r="JXT22" s="252">
        <v>0</v>
      </c>
      <c r="JXU22" s="252">
        <v>0</v>
      </c>
      <c r="JXV22" s="252">
        <v>0</v>
      </c>
      <c r="JXW22" s="252">
        <v>0</v>
      </c>
      <c r="JXX22" s="252">
        <v>0</v>
      </c>
      <c r="JXY22" s="252">
        <v>0</v>
      </c>
      <c r="JXZ22" s="252">
        <v>0</v>
      </c>
      <c r="JYA22" s="252">
        <v>0</v>
      </c>
      <c r="JYB22" s="252">
        <v>0</v>
      </c>
      <c r="JYC22" s="252">
        <v>0</v>
      </c>
      <c r="JYD22" s="252">
        <v>0</v>
      </c>
      <c r="JYE22" s="252">
        <v>0</v>
      </c>
      <c r="JYF22" s="252">
        <v>0</v>
      </c>
      <c r="JYG22" s="252">
        <v>0</v>
      </c>
      <c r="JYH22" s="252">
        <v>0</v>
      </c>
      <c r="JYI22" s="252">
        <v>0</v>
      </c>
      <c r="JYJ22" s="252">
        <v>0</v>
      </c>
      <c r="JYK22" s="252">
        <v>0</v>
      </c>
      <c r="JYL22" s="252">
        <v>0</v>
      </c>
      <c r="JYM22" s="252">
        <v>0</v>
      </c>
      <c r="JYN22" s="252">
        <v>0</v>
      </c>
      <c r="JYO22" s="252">
        <v>0</v>
      </c>
      <c r="JYP22" s="252">
        <v>0</v>
      </c>
      <c r="JYQ22" s="252">
        <v>0</v>
      </c>
      <c r="JYR22" s="252">
        <v>0</v>
      </c>
      <c r="JYS22" s="252">
        <v>0</v>
      </c>
      <c r="JYT22" s="252">
        <v>0</v>
      </c>
      <c r="JYU22" s="252">
        <v>0</v>
      </c>
      <c r="JYV22" s="252">
        <v>0</v>
      </c>
      <c r="JYW22" s="252">
        <v>0</v>
      </c>
      <c r="JYX22" s="252">
        <v>0</v>
      </c>
      <c r="JYY22" s="252">
        <v>0</v>
      </c>
      <c r="JYZ22" s="252">
        <v>0</v>
      </c>
      <c r="JZA22" s="252">
        <v>0</v>
      </c>
      <c r="JZB22" s="252">
        <v>0</v>
      </c>
      <c r="JZC22" s="252">
        <v>0</v>
      </c>
      <c r="JZD22" s="252">
        <v>0</v>
      </c>
      <c r="JZE22" s="252">
        <v>0</v>
      </c>
      <c r="JZF22" s="252">
        <v>0</v>
      </c>
      <c r="JZG22" s="252">
        <v>0</v>
      </c>
      <c r="JZH22" s="252">
        <v>0</v>
      </c>
      <c r="JZI22" s="252">
        <v>0</v>
      </c>
      <c r="JZJ22" s="252">
        <v>0</v>
      </c>
      <c r="JZK22" s="252">
        <v>0</v>
      </c>
      <c r="JZL22" s="252">
        <v>0</v>
      </c>
      <c r="JZM22" s="252">
        <v>0</v>
      </c>
      <c r="JZN22" s="252">
        <v>0</v>
      </c>
      <c r="JZO22" s="252">
        <v>0</v>
      </c>
      <c r="JZP22" s="252">
        <v>0</v>
      </c>
      <c r="JZQ22" s="252">
        <v>0</v>
      </c>
      <c r="JZR22" s="252">
        <v>0</v>
      </c>
      <c r="JZS22" s="252">
        <v>0</v>
      </c>
      <c r="JZT22" s="252">
        <v>0</v>
      </c>
      <c r="JZU22" s="252">
        <v>0</v>
      </c>
      <c r="JZV22" s="252">
        <v>0</v>
      </c>
      <c r="JZW22" s="252">
        <v>0</v>
      </c>
      <c r="JZX22" s="252">
        <v>0</v>
      </c>
      <c r="JZY22" s="252">
        <v>0</v>
      </c>
      <c r="JZZ22" s="252">
        <v>0</v>
      </c>
      <c r="KAA22" s="252">
        <v>0</v>
      </c>
      <c r="KAB22" s="252">
        <v>0</v>
      </c>
      <c r="KAC22" s="252">
        <v>0</v>
      </c>
      <c r="KAD22" s="252">
        <v>0</v>
      </c>
      <c r="KAE22" s="252">
        <v>0</v>
      </c>
      <c r="KAF22" s="252">
        <v>0</v>
      </c>
      <c r="KAG22" s="252">
        <v>0</v>
      </c>
      <c r="KAH22" s="252">
        <v>0</v>
      </c>
      <c r="KAI22" s="252">
        <v>0</v>
      </c>
      <c r="KAJ22" s="252">
        <v>0</v>
      </c>
      <c r="KAK22" s="252">
        <v>0</v>
      </c>
      <c r="KAL22" s="252">
        <v>0</v>
      </c>
      <c r="KAM22" s="252">
        <v>0</v>
      </c>
      <c r="KAN22" s="252">
        <v>0</v>
      </c>
      <c r="KAO22" s="252">
        <v>0</v>
      </c>
      <c r="KAP22" s="252">
        <v>0</v>
      </c>
      <c r="KAQ22" s="252">
        <v>0</v>
      </c>
      <c r="KAR22" s="252">
        <v>0</v>
      </c>
      <c r="KAS22" s="252">
        <v>0</v>
      </c>
      <c r="KAT22" s="252">
        <v>0</v>
      </c>
      <c r="KAU22" s="252">
        <v>0</v>
      </c>
      <c r="KAV22" s="252">
        <v>0</v>
      </c>
      <c r="KAW22" s="252">
        <v>0</v>
      </c>
      <c r="KAX22" s="252">
        <v>0</v>
      </c>
      <c r="KAY22" s="252">
        <v>0</v>
      </c>
      <c r="KAZ22" s="252">
        <v>0</v>
      </c>
      <c r="KBA22" s="252">
        <v>0</v>
      </c>
      <c r="KBB22" s="252">
        <v>0</v>
      </c>
      <c r="KBC22" s="252">
        <v>0</v>
      </c>
      <c r="KBD22" s="252">
        <v>0</v>
      </c>
      <c r="KBE22" s="252">
        <v>0</v>
      </c>
      <c r="KBF22" s="252">
        <v>0</v>
      </c>
      <c r="KBG22" s="252">
        <v>0</v>
      </c>
      <c r="KBH22" s="252">
        <v>0</v>
      </c>
      <c r="KBI22" s="252">
        <v>0</v>
      </c>
      <c r="KBJ22" s="252">
        <v>0</v>
      </c>
      <c r="KBK22" s="252">
        <v>0</v>
      </c>
      <c r="KBL22" s="252">
        <v>0</v>
      </c>
      <c r="KBM22" s="252">
        <v>0</v>
      </c>
      <c r="KBN22" s="252">
        <v>0</v>
      </c>
      <c r="KBO22" s="252">
        <v>0</v>
      </c>
      <c r="KBP22" s="252">
        <v>0</v>
      </c>
      <c r="KBQ22" s="252">
        <v>0</v>
      </c>
      <c r="KBR22" s="252">
        <v>0</v>
      </c>
      <c r="KBS22" s="252">
        <v>0</v>
      </c>
      <c r="KBT22" s="252">
        <v>0</v>
      </c>
      <c r="KBU22" s="252">
        <v>0</v>
      </c>
      <c r="KBV22" s="252">
        <v>0</v>
      </c>
      <c r="KBW22" s="252">
        <v>0</v>
      </c>
      <c r="KBX22" s="252">
        <v>0</v>
      </c>
      <c r="KBY22" s="252">
        <v>0</v>
      </c>
      <c r="KBZ22" s="252">
        <v>0</v>
      </c>
      <c r="KCA22" s="252">
        <v>0</v>
      </c>
      <c r="KCB22" s="252">
        <v>0</v>
      </c>
      <c r="KCC22" s="252">
        <v>0</v>
      </c>
      <c r="KCD22" s="252">
        <v>0</v>
      </c>
      <c r="KCE22" s="252">
        <v>0</v>
      </c>
      <c r="KCF22" s="252">
        <v>0</v>
      </c>
      <c r="KCG22" s="252">
        <v>0</v>
      </c>
      <c r="KCH22" s="252">
        <v>0</v>
      </c>
      <c r="KCI22" s="252">
        <v>0</v>
      </c>
      <c r="KCJ22" s="252">
        <v>0</v>
      </c>
      <c r="KCK22" s="252">
        <v>0</v>
      </c>
      <c r="KCL22" s="252">
        <v>0</v>
      </c>
      <c r="KCM22" s="252">
        <v>0</v>
      </c>
      <c r="KCN22" s="252">
        <v>0</v>
      </c>
      <c r="KCO22" s="252">
        <v>0</v>
      </c>
      <c r="KCP22" s="252">
        <v>0</v>
      </c>
      <c r="KCQ22" s="252">
        <v>0</v>
      </c>
      <c r="KCR22" s="252">
        <v>0</v>
      </c>
      <c r="KCS22" s="252">
        <v>0</v>
      </c>
      <c r="KCT22" s="252">
        <v>0</v>
      </c>
      <c r="KCU22" s="252">
        <v>0</v>
      </c>
      <c r="KCV22" s="252">
        <v>0</v>
      </c>
      <c r="KCW22" s="252">
        <v>0</v>
      </c>
      <c r="KCX22" s="252">
        <v>0</v>
      </c>
      <c r="KCY22" s="252">
        <v>0</v>
      </c>
      <c r="KCZ22" s="252">
        <v>0</v>
      </c>
      <c r="KDA22" s="252">
        <v>0</v>
      </c>
      <c r="KDB22" s="252">
        <v>0</v>
      </c>
      <c r="KDC22" s="252">
        <v>0</v>
      </c>
      <c r="KDD22" s="252">
        <v>0</v>
      </c>
      <c r="KDE22" s="252">
        <v>0</v>
      </c>
      <c r="KDF22" s="252">
        <v>0</v>
      </c>
      <c r="KDG22" s="252">
        <v>0</v>
      </c>
      <c r="KDH22" s="252">
        <v>0</v>
      </c>
      <c r="KDI22" s="252">
        <v>0</v>
      </c>
      <c r="KDJ22" s="252">
        <v>0</v>
      </c>
      <c r="KDK22" s="252">
        <v>0</v>
      </c>
      <c r="KDL22" s="252">
        <v>0</v>
      </c>
      <c r="KDM22" s="252">
        <v>0</v>
      </c>
      <c r="KDN22" s="252">
        <v>0</v>
      </c>
      <c r="KDO22" s="252">
        <v>0</v>
      </c>
      <c r="KDP22" s="252">
        <v>0</v>
      </c>
      <c r="KDQ22" s="252">
        <v>0</v>
      </c>
      <c r="KDR22" s="252">
        <v>0</v>
      </c>
      <c r="KDS22" s="252">
        <v>0</v>
      </c>
      <c r="KDT22" s="252">
        <v>0</v>
      </c>
      <c r="KDU22" s="252">
        <v>0</v>
      </c>
      <c r="KDV22" s="252">
        <v>0</v>
      </c>
      <c r="KDW22" s="252">
        <v>0</v>
      </c>
      <c r="KDX22" s="252">
        <v>0</v>
      </c>
      <c r="KDY22" s="252">
        <v>0</v>
      </c>
      <c r="KDZ22" s="252">
        <v>0</v>
      </c>
      <c r="KEA22" s="252">
        <v>0</v>
      </c>
      <c r="KEB22" s="252">
        <v>0</v>
      </c>
      <c r="KEC22" s="252">
        <v>0</v>
      </c>
      <c r="KED22" s="252">
        <v>0</v>
      </c>
      <c r="KEE22" s="252">
        <v>0</v>
      </c>
      <c r="KEF22" s="252">
        <v>0</v>
      </c>
      <c r="KEG22" s="252">
        <v>0</v>
      </c>
      <c r="KEH22" s="252">
        <v>0</v>
      </c>
      <c r="KEI22" s="252">
        <v>0</v>
      </c>
      <c r="KEJ22" s="252">
        <v>0</v>
      </c>
      <c r="KEK22" s="252">
        <v>0</v>
      </c>
      <c r="KEL22" s="252">
        <v>0</v>
      </c>
      <c r="KEM22" s="252">
        <v>0</v>
      </c>
      <c r="KEN22" s="252">
        <v>0</v>
      </c>
      <c r="KEO22" s="252">
        <v>0</v>
      </c>
      <c r="KEP22" s="252">
        <v>0</v>
      </c>
      <c r="KEQ22" s="252">
        <v>0</v>
      </c>
      <c r="KER22" s="252">
        <v>0</v>
      </c>
      <c r="KES22" s="252">
        <v>0</v>
      </c>
      <c r="KET22" s="252">
        <v>0</v>
      </c>
      <c r="KEU22" s="252">
        <v>0</v>
      </c>
      <c r="KEV22" s="252">
        <v>0</v>
      </c>
      <c r="KEW22" s="252">
        <v>0</v>
      </c>
      <c r="KEX22" s="252">
        <v>0</v>
      </c>
      <c r="KEY22" s="252">
        <v>0</v>
      </c>
      <c r="KEZ22" s="252">
        <v>0</v>
      </c>
      <c r="KFA22" s="252">
        <v>0</v>
      </c>
      <c r="KFB22" s="252">
        <v>0</v>
      </c>
      <c r="KFC22" s="252">
        <v>0</v>
      </c>
      <c r="KFD22" s="252">
        <v>0</v>
      </c>
      <c r="KFE22" s="252">
        <v>0</v>
      </c>
      <c r="KFF22" s="252">
        <v>0</v>
      </c>
      <c r="KFG22" s="252">
        <v>0</v>
      </c>
      <c r="KFH22" s="252">
        <v>0</v>
      </c>
      <c r="KFI22" s="252">
        <v>0</v>
      </c>
      <c r="KFJ22" s="252">
        <v>0</v>
      </c>
      <c r="KFK22" s="252">
        <v>0</v>
      </c>
      <c r="KFL22" s="252">
        <v>0</v>
      </c>
      <c r="KFM22" s="252">
        <v>0</v>
      </c>
      <c r="KFN22" s="252">
        <v>0</v>
      </c>
      <c r="KFO22" s="252">
        <v>0</v>
      </c>
      <c r="KFP22" s="252">
        <v>0</v>
      </c>
      <c r="KFQ22" s="252">
        <v>0</v>
      </c>
      <c r="KFR22" s="252">
        <v>0</v>
      </c>
      <c r="KFS22" s="252">
        <v>0</v>
      </c>
      <c r="KFT22" s="252">
        <v>0</v>
      </c>
      <c r="KFU22" s="252">
        <v>0</v>
      </c>
      <c r="KFV22" s="252">
        <v>0</v>
      </c>
      <c r="KFW22" s="252">
        <v>0</v>
      </c>
      <c r="KFX22" s="252">
        <v>0</v>
      </c>
      <c r="KFY22" s="252">
        <v>0</v>
      </c>
      <c r="KFZ22" s="252">
        <v>0</v>
      </c>
      <c r="KGA22" s="252">
        <v>0</v>
      </c>
      <c r="KGB22" s="252">
        <v>0</v>
      </c>
      <c r="KGC22" s="252">
        <v>0</v>
      </c>
      <c r="KGD22" s="252">
        <v>0</v>
      </c>
      <c r="KGE22" s="252">
        <v>0</v>
      </c>
      <c r="KGF22" s="252">
        <v>0</v>
      </c>
      <c r="KGG22" s="252">
        <v>0</v>
      </c>
      <c r="KGH22" s="252">
        <v>0</v>
      </c>
      <c r="KGI22" s="252">
        <v>0</v>
      </c>
      <c r="KGJ22" s="252">
        <v>0</v>
      </c>
      <c r="KGK22" s="252">
        <v>0</v>
      </c>
      <c r="KGL22" s="252">
        <v>0</v>
      </c>
      <c r="KGM22" s="252">
        <v>0</v>
      </c>
      <c r="KGN22" s="252">
        <v>0</v>
      </c>
      <c r="KGO22" s="252">
        <v>0</v>
      </c>
      <c r="KGP22" s="252">
        <v>0</v>
      </c>
      <c r="KGQ22" s="252">
        <v>0</v>
      </c>
      <c r="KGR22" s="252">
        <v>0</v>
      </c>
      <c r="KGS22" s="252">
        <v>0</v>
      </c>
      <c r="KGT22" s="252">
        <v>0</v>
      </c>
      <c r="KGU22" s="252">
        <v>0</v>
      </c>
      <c r="KGV22" s="252">
        <v>0</v>
      </c>
      <c r="KGW22" s="252">
        <v>0</v>
      </c>
      <c r="KGX22" s="252">
        <v>0</v>
      </c>
      <c r="KGY22" s="252">
        <v>0</v>
      </c>
      <c r="KGZ22" s="252">
        <v>0</v>
      </c>
      <c r="KHA22" s="252">
        <v>0</v>
      </c>
      <c r="KHB22" s="252">
        <v>0</v>
      </c>
      <c r="KHC22" s="252">
        <v>0</v>
      </c>
      <c r="KHD22" s="252">
        <v>0</v>
      </c>
      <c r="KHE22" s="252">
        <v>0</v>
      </c>
      <c r="KHF22" s="252">
        <v>0</v>
      </c>
      <c r="KHG22" s="252">
        <v>0</v>
      </c>
      <c r="KHH22" s="252">
        <v>0</v>
      </c>
      <c r="KHI22" s="252">
        <v>0</v>
      </c>
      <c r="KHJ22" s="252">
        <v>0</v>
      </c>
      <c r="KHK22" s="252">
        <v>0</v>
      </c>
      <c r="KHL22" s="252">
        <v>0</v>
      </c>
      <c r="KHM22" s="252">
        <v>0</v>
      </c>
      <c r="KHN22" s="252">
        <v>0</v>
      </c>
      <c r="KHO22" s="252">
        <v>0</v>
      </c>
      <c r="KHP22" s="252">
        <v>0</v>
      </c>
      <c r="KHQ22" s="252">
        <v>0</v>
      </c>
      <c r="KHR22" s="252">
        <v>0</v>
      </c>
      <c r="KHS22" s="252">
        <v>0</v>
      </c>
      <c r="KHT22" s="252">
        <v>0</v>
      </c>
      <c r="KHU22" s="252">
        <v>0</v>
      </c>
      <c r="KHV22" s="252">
        <v>0</v>
      </c>
      <c r="KHW22" s="252">
        <v>0</v>
      </c>
      <c r="KHX22" s="252">
        <v>0</v>
      </c>
      <c r="KHY22" s="252">
        <v>0</v>
      </c>
      <c r="KHZ22" s="252">
        <v>0</v>
      </c>
      <c r="KIA22" s="252">
        <v>0</v>
      </c>
      <c r="KIB22" s="252">
        <v>0</v>
      </c>
      <c r="KIC22" s="252">
        <v>0</v>
      </c>
      <c r="KID22" s="252">
        <v>0</v>
      </c>
      <c r="KIE22" s="252">
        <v>0</v>
      </c>
      <c r="KIF22" s="252">
        <v>0</v>
      </c>
      <c r="KIG22" s="252">
        <v>0</v>
      </c>
      <c r="KIH22" s="252">
        <v>0</v>
      </c>
      <c r="KII22" s="252">
        <v>0</v>
      </c>
      <c r="KIJ22" s="252">
        <v>0</v>
      </c>
      <c r="KIK22" s="252">
        <v>0</v>
      </c>
      <c r="KIL22" s="252">
        <v>0</v>
      </c>
      <c r="KIM22" s="252">
        <v>0</v>
      </c>
      <c r="KIN22" s="252">
        <v>0</v>
      </c>
      <c r="KIO22" s="252">
        <v>0</v>
      </c>
      <c r="KIP22" s="252">
        <v>0</v>
      </c>
      <c r="KIQ22" s="252">
        <v>0</v>
      </c>
      <c r="KIR22" s="252">
        <v>0</v>
      </c>
      <c r="KIS22" s="252">
        <v>0</v>
      </c>
      <c r="KIT22" s="252">
        <v>0</v>
      </c>
      <c r="KIU22" s="252">
        <v>0</v>
      </c>
      <c r="KIV22" s="252">
        <v>0</v>
      </c>
      <c r="KIW22" s="252">
        <v>0</v>
      </c>
      <c r="KIX22" s="252">
        <v>0</v>
      </c>
      <c r="KIY22" s="252">
        <v>0</v>
      </c>
      <c r="KIZ22" s="252">
        <v>0</v>
      </c>
      <c r="KJA22" s="252">
        <v>0</v>
      </c>
      <c r="KJB22" s="252">
        <v>0</v>
      </c>
      <c r="KJC22" s="252">
        <v>0</v>
      </c>
      <c r="KJD22" s="252">
        <v>0</v>
      </c>
      <c r="KJE22" s="252">
        <v>0</v>
      </c>
      <c r="KJF22" s="252">
        <v>0</v>
      </c>
      <c r="KJG22" s="252">
        <v>0</v>
      </c>
      <c r="KJH22" s="252">
        <v>0</v>
      </c>
      <c r="KJI22" s="252">
        <v>0</v>
      </c>
      <c r="KJJ22" s="252">
        <v>0</v>
      </c>
      <c r="KJK22" s="252">
        <v>0</v>
      </c>
      <c r="KJL22" s="252">
        <v>0</v>
      </c>
      <c r="KJM22" s="252">
        <v>0</v>
      </c>
      <c r="KJN22" s="252">
        <v>0</v>
      </c>
      <c r="KJO22" s="252">
        <v>0</v>
      </c>
      <c r="KJP22" s="252">
        <v>0</v>
      </c>
      <c r="KJQ22" s="252">
        <v>0</v>
      </c>
      <c r="KJR22" s="252">
        <v>0</v>
      </c>
      <c r="KJS22" s="252">
        <v>0</v>
      </c>
      <c r="KJT22" s="252">
        <v>0</v>
      </c>
      <c r="KJU22" s="252">
        <v>0</v>
      </c>
      <c r="KJV22" s="252">
        <v>0</v>
      </c>
      <c r="KJW22" s="252">
        <v>0</v>
      </c>
      <c r="KJX22" s="252">
        <v>0</v>
      </c>
      <c r="KJY22" s="252">
        <v>0</v>
      </c>
      <c r="KJZ22" s="252">
        <v>0</v>
      </c>
      <c r="KKA22" s="252">
        <v>0</v>
      </c>
      <c r="KKB22" s="252">
        <v>0</v>
      </c>
      <c r="KKC22" s="252">
        <v>0</v>
      </c>
      <c r="KKD22" s="252">
        <v>0</v>
      </c>
      <c r="KKE22" s="252">
        <v>0</v>
      </c>
      <c r="KKF22" s="252">
        <v>0</v>
      </c>
      <c r="KKG22" s="252">
        <v>0</v>
      </c>
      <c r="KKH22" s="252">
        <v>0</v>
      </c>
      <c r="KKI22" s="252">
        <v>0</v>
      </c>
      <c r="KKJ22" s="252">
        <v>0</v>
      </c>
      <c r="KKK22" s="252">
        <v>0</v>
      </c>
      <c r="KKL22" s="252">
        <v>0</v>
      </c>
      <c r="KKM22" s="252">
        <v>0</v>
      </c>
      <c r="KKN22" s="252">
        <v>0</v>
      </c>
      <c r="KKO22" s="252">
        <v>0</v>
      </c>
      <c r="KKP22" s="252">
        <v>0</v>
      </c>
      <c r="KKQ22" s="252">
        <v>0</v>
      </c>
      <c r="KKR22" s="252">
        <v>0</v>
      </c>
      <c r="KKS22" s="252">
        <v>0</v>
      </c>
      <c r="KKT22" s="252">
        <v>0</v>
      </c>
      <c r="KKU22" s="252">
        <v>0</v>
      </c>
      <c r="KKV22" s="252">
        <v>0</v>
      </c>
      <c r="KKW22" s="252">
        <v>0</v>
      </c>
      <c r="KKX22" s="252">
        <v>0</v>
      </c>
      <c r="KKY22" s="252">
        <v>0</v>
      </c>
      <c r="KKZ22" s="252">
        <v>0</v>
      </c>
      <c r="KLA22" s="252">
        <v>0</v>
      </c>
      <c r="KLB22" s="252">
        <v>0</v>
      </c>
      <c r="KLC22" s="252">
        <v>0</v>
      </c>
      <c r="KLD22" s="252">
        <v>0</v>
      </c>
      <c r="KLE22" s="252">
        <v>0</v>
      </c>
      <c r="KLF22" s="252">
        <v>0</v>
      </c>
      <c r="KLG22" s="252">
        <v>0</v>
      </c>
      <c r="KLH22" s="252">
        <v>0</v>
      </c>
      <c r="KLI22" s="252">
        <v>0</v>
      </c>
      <c r="KLJ22" s="252">
        <v>0</v>
      </c>
      <c r="KLK22" s="252">
        <v>0</v>
      </c>
      <c r="KLL22" s="252">
        <v>0</v>
      </c>
      <c r="KLM22" s="252">
        <v>0</v>
      </c>
      <c r="KLN22" s="252">
        <v>0</v>
      </c>
      <c r="KLO22" s="252">
        <v>0</v>
      </c>
      <c r="KLP22" s="252">
        <v>0</v>
      </c>
      <c r="KLQ22" s="252">
        <v>0</v>
      </c>
      <c r="KLR22" s="252">
        <v>0</v>
      </c>
      <c r="KLS22" s="252">
        <v>0</v>
      </c>
      <c r="KLT22" s="252">
        <v>0</v>
      </c>
      <c r="KLU22" s="252">
        <v>0</v>
      </c>
      <c r="KLV22" s="252">
        <v>0</v>
      </c>
      <c r="KLW22" s="252">
        <v>0</v>
      </c>
      <c r="KLX22" s="252">
        <v>0</v>
      </c>
      <c r="KLY22" s="252">
        <v>0</v>
      </c>
      <c r="KLZ22" s="252">
        <v>0</v>
      </c>
      <c r="KMA22" s="252">
        <v>0</v>
      </c>
      <c r="KMB22" s="252">
        <v>0</v>
      </c>
      <c r="KMC22" s="252">
        <v>0</v>
      </c>
      <c r="KMD22" s="252">
        <v>0</v>
      </c>
      <c r="KME22" s="252">
        <v>0</v>
      </c>
      <c r="KMF22" s="252">
        <v>0</v>
      </c>
      <c r="KMG22" s="252">
        <v>0</v>
      </c>
      <c r="KMH22" s="252">
        <v>0</v>
      </c>
      <c r="KMI22" s="252">
        <v>0</v>
      </c>
      <c r="KMJ22" s="252">
        <v>0</v>
      </c>
      <c r="KMK22" s="252">
        <v>0</v>
      </c>
      <c r="KML22" s="252">
        <v>0</v>
      </c>
      <c r="KMM22" s="252">
        <v>0</v>
      </c>
      <c r="KMN22" s="252">
        <v>0</v>
      </c>
      <c r="KMO22" s="252">
        <v>0</v>
      </c>
      <c r="KMP22" s="252">
        <v>0</v>
      </c>
      <c r="KMQ22" s="252">
        <v>0</v>
      </c>
      <c r="KMR22" s="252">
        <v>0</v>
      </c>
      <c r="KMS22" s="252">
        <v>0</v>
      </c>
      <c r="KMT22" s="252">
        <v>0</v>
      </c>
      <c r="KMU22" s="252">
        <v>0</v>
      </c>
      <c r="KMV22" s="252">
        <v>0</v>
      </c>
      <c r="KMW22" s="252">
        <v>0</v>
      </c>
      <c r="KMX22" s="252">
        <v>0</v>
      </c>
      <c r="KMY22" s="252">
        <v>0</v>
      </c>
      <c r="KMZ22" s="252">
        <v>0</v>
      </c>
      <c r="KNA22" s="252">
        <v>0</v>
      </c>
      <c r="KNB22" s="252">
        <v>0</v>
      </c>
      <c r="KNC22" s="252">
        <v>0</v>
      </c>
      <c r="KND22" s="252">
        <v>0</v>
      </c>
      <c r="KNE22" s="252">
        <v>0</v>
      </c>
      <c r="KNF22" s="252">
        <v>0</v>
      </c>
      <c r="KNG22" s="252">
        <v>0</v>
      </c>
      <c r="KNH22" s="252">
        <v>0</v>
      </c>
      <c r="KNI22" s="252">
        <v>0</v>
      </c>
      <c r="KNJ22" s="252">
        <v>0</v>
      </c>
      <c r="KNK22" s="252">
        <v>0</v>
      </c>
      <c r="KNL22" s="252">
        <v>0</v>
      </c>
      <c r="KNM22" s="252">
        <v>0</v>
      </c>
      <c r="KNN22" s="252">
        <v>0</v>
      </c>
      <c r="KNO22" s="252">
        <v>0</v>
      </c>
      <c r="KNP22" s="252">
        <v>0</v>
      </c>
      <c r="KNQ22" s="252">
        <v>0</v>
      </c>
      <c r="KNR22" s="252">
        <v>0</v>
      </c>
      <c r="KNS22" s="252">
        <v>0</v>
      </c>
      <c r="KNT22" s="252">
        <v>0</v>
      </c>
      <c r="KNU22" s="252">
        <v>0</v>
      </c>
      <c r="KNV22" s="252">
        <v>0</v>
      </c>
      <c r="KNW22" s="252">
        <v>0</v>
      </c>
      <c r="KNX22" s="252">
        <v>0</v>
      </c>
      <c r="KNY22" s="252">
        <v>0</v>
      </c>
      <c r="KNZ22" s="252">
        <v>0</v>
      </c>
      <c r="KOA22" s="252">
        <v>0</v>
      </c>
      <c r="KOB22" s="252">
        <v>0</v>
      </c>
      <c r="KOC22" s="252">
        <v>0</v>
      </c>
      <c r="KOD22" s="252">
        <v>0</v>
      </c>
      <c r="KOE22" s="252">
        <v>0</v>
      </c>
      <c r="KOF22" s="252">
        <v>0</v>
      </c>
      <c r="KOG22" s="252">
        <v>0</v>
      </c>
      <c r="KOH22" s="252">
        <v>0</v>
      </c>
      <c r="KOI22" s="252">
        <v>0</v>
      </c>
      <c r="KOJ22" s="252">
        <v>0</v>
      </c>
      <c r="KOK22" s="252">
        <v>0</v>
      </c>
      <c r="KOL22" s="252">
        <v>0</v>
      </c>
      <c r="KOM22" s="252">
        <v>0</v>
      </c>
      <c r="KON22" s="252">
        <v>0</v>
      </c>
      <c r="KOO22" s="252">
        <v>0</v>
      </c>
      <c r="KOP22" s="252">
        <v>0</v>
      </c>
      <c r="KOQ22" s="252">
        <v>0</v>
      </c>
      <c r="KOR22" s="252">
        <v>0</v>
      </c>
      <c r="KOS22" s="252">
        <v>0</v>
      </c>
      <c r="KOT22" s="252">
        <v>0</v>
      </c>
      <c r="KOU22" s="252">
        <v>0</v>
      </c>
      <c r="KOV22" s="252">
        <v>0</v>
      </c>
      <c r="KOW22" s="252">
        <v>0</v>
      </c>
      <c r="KOX22" s="252">
        <v>0</v>
      </c>
      <c r="KOY22" s="252">
        <v>0</v>
      </c>
      <c r="KOZ22" s="252">
        <v>0</v>
      </c>
      <c r="KPA22" s="252">
        <v>0</v>
      </c>
      <c r="KPB22" s="252">
        <v>0</v>
      </c>
      <c r="KPC22" s="252">
        <v>0</v>
      </c>
      <c r="KPD22" s="252">
        <v>0</v>
      </c>
      <c r="KPE22" s="252">
        <v>0</v>
      </c>
      <c r="KPF22" s="252">
        <v>0</v>
      </c>
      <c r="KPG22" s="252">
        <v>0</v>
      </c>
      <c r="KPH22" s="252">
        <v>0</v>
      </c>
      <c r="KPI22" s="252">
        <v>0</v>
      </c>
      <c r="KPJ22" s="252">
        <v>0</v>
      </c>
      <c r="KPK22" s="252">
        <v>0</v>
      </c>
      <c r="KPL22" s="252">
        <v>0</v>
      </c>
      <c r="KPM22" s="252">
        <v>0</v>
      </c>
      <c r="KPN22" s="252">
        <v>0</v>
      </c>
      <c r="KPO22" s="252">
        <v>0</v>
      </c>
      <c r="KPP22" s="252">
        <v>0</v>
      </c>
      <c r="KPQ22" s="252">
        <v>0</v>
      </c>
      <c r="KPR22" s="252">
        <v>0</v>
      </c>
      <c r="KPS22" s="252">
        <v>0</v>
      </c>
      <c r="KPT22" s="252">
        <v>0</v>
      </c>
      <c r="KPU22" s="252">
        <v>0</v>
      </c>
      <c r="KPV22" s="252">
        <v>0</v>
      </c>
      <c r="KPW22" s="252">
        <v>0</v>
      </c>
      <c r="KPX22" s="252">
        <v>0</v>
      </c>
      <c r="KPY22" s="252">
        <v>0</v>
      </c>
      <c r="KPZ22" s="252">
        <v>0</v>
      </c>
      <c r="KQA22" s="252">
        <v>0</v>
      </c>
      <c r="KQB22" s="252">
        <v>0</v>
      </c>
      <c r="KQC22" s="252">
        <v>0</v>
      </c>
      <c r="KQD22" s="252">
        <v>0</v>
      </c>
      <c r="KQE22" s="252">
        <v>0</v>
      </c>
      <c r="KQF22" s="252">
        <v>0</v>
      </c>
      <c r="KQG22" s="252">
        <v>0</v>
      </c>
      <c r="KQH22" s="252">
        <v>0</v>
      </c>
      <c r="KQI22" s="252">
        <v>0</v>
      </c>
      <c r="KQJ22" s="252">
        <v>0</v>
      </c>
      <c r="KQK22" s="252">
        <v>0</v>
      </c>
      <c r="KQL22" s="252">
        <v>0</v>
      </c>
      <c r="KQM22" s="252">
        <v>0</v>
      </c>
      <c r="KQN22" s="252">
        <v>0</v>
      </c>
      <c r="KQO22" s="252">
        <v>0</v>
      </c>
      <c r="KQP22" s="252">
        <v>0</v>
      </c>
      <c r="KQQ22" s="252">
        <v>0</v>
      </c>
      <c r="KQR22" s="252">
        <v>0</v>
      </c>
      <c r="KQS22" s="252">
        <v>0</v>
      </c>
      <c r="KQT22" s="252">
        <v>0</v>
      </c>
      <c r="KQU22" s="252">
        <v>0</v>
      </c>
      <c r="KQV22" s="252">
        <v>0</v>
      </c>
      <c r="KQW22" s="252">
        <v>0</v>
      </c>
      <c r="KQX22" s="252">
        <v>0</v>
      </c>
      <c r="KQY22" s="252">
        <v>0</v>
      </c>
      <c r="KQZ22" s="252">
        <v>0</v>
      </c>
      <c r="KRA22" s="252">
        <v>0</v>
      </c>
      <c r="KRB22" s="252">
        <v>0</v>
      </c>
      <c r="KRC22" s="252">
        <v>0</v>
      </c>
      <c r="KRD22" s="252">
        <v>0</v>
      </c>
      <c r="KRE22" s="252">
        <v>0</v>
      </c>
      <c r="KRF22" s="252">
        <v>0</v>
      </c>
      <c r="KRG22" s="252">
        <v>0</v>
      </c>
      <c r="KRH22" s="252">
        <v>0</v>
      </c>
      <c r="KRI22" s="252">
        <v>0</v>
      </c>
      <c r="KRJ22" s="252">
        <v>0</v>
      </c>
      <c r="KRK22" s="252">
        <v>0</v>
      </c>
      <c r="KRL22" s="252">
        <v>0</v>
      </c>
      <c r="KRM22" s="252">
        <v>0</v>
      </c>
      <c r="KRN22" s="252">
        <v>0</v>
      </c>
      <c r="KRO22" s="252">
        <v>0</v>
      </c>
      <c r="KRP22" s="252">
        <v>0</v>
      </c>
      <c r="KRQ22" s="252">
        <v>0</v>
      </c>
      <c r="KRR22" s="252">
        <v>0</v>
      </c>
      <c r="KRS22" s="252">
        <v>0</v>
      </c>
      <c r="KRT22" s="252">
        <v>0</v>
      </c>
      <c r="KRU22" s="252">
        <v>0</v>
      </c>
      <c r="KRV22" s="252">
        <v>0</v>
      </c>
      <c r="KRW22" s="252">
        <v>0</v>
      </c>
      <c r="KRX22" s="252">
        <v>0</v>
      </c>
      <c r="KRY22" s="252">
        <v>0</v>
      </c>
      <c r="KRZ22" s="252">
        <v>0</v>
      </c>
      <c r="KSA22" s="252">
        <v>0</v>
      </c>
      <c r="KSB22" s="252">
        <v>0</v>
      </c>
      <c r="KSC22" s="252">
        <v>0</v>
      </c>
      <c r="KSD22" s="252">
        <v>0</v>
      </c>
      <c r="KSE22" s="252">
        <v>0</v>
      </c>
      <c r="KSF22" s="252">
        <v>0</v>
      </c>
      <c r="KSG22" s="252">
        <v>0</v>
      </c>
      <c r="KSH22" s="252">
        <v>0</v>
      </c>
      <c r="KSI22" s="252">
        <v>0</v>
      </c>
      <c r="KSJ22" s="252">
        <v>0</v>
      </c>
      <c r="KSK22" s="252">
        <v>0</v>
      </c>
      <c r="KSL22" s="252">
        <v>0</v>
      </c>
      <c r="KSM22" s="252">
        <v>0</v>
      </c>
      <c r="KSN22" s="252">
        <v>0</v>
      </c>
      <c r="KSO22" s="252">
        <v>0</v>
      </c>
      <c r="KSP22" s="252">
        <v>0</v>
      </c>
      <c r="KSQ22" s="252">
        <v>0</v>
      </c>
      <c r="KSR22" s="252">
        <v>0</v>
      </c>
      <c r="KSS22" s="252">
        <v>0</v>
      </c>
      <c r="KST22" s="252">
        <v>0</v>
      </c>
      <c r="KSU22" s="252">
        <v>0</v>
      </c>
      <c r="KSV22" s="252">
        <v>0</v>
      </c>
      <c r="KSW22" s="252">
        <v>0</v>
      </c>
      <c r="KSX22" s="252">
        <v>0</v>
      </c>
      <c r="KSY22" s="252">
        <v>0</v>
      </c>
      <c r="KSZ22" s="252">
        <v>0</v>
      </c>
      <c r="KTA22" s="252">
        <v>0</v>
      </c>
      <c r="KTB22" s="252">
        <v>0</v>
      </c>
      <c r="KTC22" s="252">
        <v>0</v>
      </c>
      <c r="KTD22" s="252">
        <v>0</v>
      </c>
      <c r="KTE22" s="252">
        <v>0</v>
      </c>
      <c r="KTF22" s="252">
        <v>0</v>
      </c>
      <c r="KTG22" s="252">
        <v>0</v>
      </c>
      <c r="KTH22" s="252">
        <v>0</v>
      </c>
      <c r="KTI22" s="252">
        <v>0</v>
      </c>
      <c r="KTJ22" s="252">
        <v>0</v>
      </c>
      <c r="KTK22" s="252">
        <v>0</v>
      </c>
      <c r="KTL22" s="252">
        <v>0</v>
      </c>
      <c r="KTM22" s="252">
        <v>0</v>
      </c>
      <c r="KTN22" s="252">
        <v>0</v>
      </c>
      <c r="KTO22" s="252">
        <v>0</v>
      </c>
      <c r="KTP22" s="252">
        <v>0</v>
      </c>
      <c r="KTQ22" s="252">
        <v>0</v>
      </c>
      <c r="KTR22" s="252">
        <v>0</v>
      </c>
      <c r="KTS22" s="252">
        <v>0</v>
      </c>
      <c r="KTT22" s="252">
        <v>0</v>
      </c>
      <c r="KTU22" s="252">
        <v>0</v>
      </c>
      <c r="KTV22" s="252">
        <v>0</v>
      </c>
      <c r="KTW22" s="252">
        <v>0</v>
      </c>
      <c r="KTX22" s="252">
        <v>0</v>
      </c>
      <c r="KTY22" s="252">
        <v>0</v>
      </c>
      <c r="KTZ22" s="252">
        <v>0</v>
      </c>
      <c r="KUA22" s="252">
        <v>0</v>
      </c>
      <c r="KUB22" s="252">
        <v>0</v>
      </c>
      <c r="KUC22" s="252">
        <v>0</v>
      </c>
      <c r="KUD22" s="252">
        <v>0</v>
      </c>
      <c r="KUE22" s="252">
        <v>0</v>
      </c>
      <c r="KUF22" s="252">
        <v>0</v>
      </c>
      <c r="KUG22" s="252">
        <v>0</v>
      </c>
      <c r="KUH22" s="252">
        <v>0</v>
      </c>
      <c r="KUI22" s="252">
        <v>0</v>
      </c>
      <c r="KUJ22" s="252">
        <v>0</v>
      </c>
      <c r="KUK22" s="252">
        <v>0</v>
      </c>
      <c r="KUL22" s="252">
        <v>0</v>
      </c>
      <c r="KUM22" s="252">
        <v>0</v>
      </c>
      <c r="KUN22" s="252">
        <v>0</v>
      </c>
      <c r="KUO22" s="252">
        <v>0</v>
      </c>
      <c r="KUP22" s="252">
        <v>0</v>
      </c>
      <c r="KUQ22" s="252">
        <v>0</v>
      </c>
      <c r="KUR22" s="252">
        <v>0</v>
      </c>
      <c r="KUS22" s="252">
        <v>0</v>
      </c>
      <c r="KUT22" s="252">
        <v>0</v>
      </c>
      <c r="KUU22" s="252">
        <v>0</v>
      </c>
      <c r="KUV22" s="252">
        <v>0</v>
      </c>
      <c r="KUW22" s="252">
        <v>0</v>
      </c>
      <c r="KUX22" s="252">
        <v>0</v>
      </c>
      <c r="KUY22" s="252">
        <v>0</v>
      </c>
      <c r="KUZ22" s="252">
        <v>0</v>
      </c>
      <c r="KVA22" s="252">
        <v>0</v>
      </c>
      <c r="KVB22" s="252">
        <v>0</v>
      </c>
      <c r="KVC22" s="252">
        <v>0</v>
      </c>
      <c r="KVD22" s="252">
        <v>0</v>
      </c>
      <c r="KVE22" s="252">
        <v>0</v>
      </c>
      <c r="KVF22" s="252">
        <v>0</v>
      </c>
      <c r="KVG22" s="252">
        <v>0</v>
      </c>
      <c r="KVH22" s="252">
        <v>0</v>
      </c>
      <c r="KVI22" s="252">
        <v>0</v>
      </c>
      <c r="KVJ22" s="252">
        <v>0</v>
      </c>
      <c r="KVK22" s="252">
        <v>0</v>
      </c>
      <c r="KVL22" s="252">
        <v>0</v>
      </c>
      <c r="KVM22" s="252">
        <v>0</v>
      </c>
      <c r="KVN22" s="252">
        <v>0</v>
      </c>
      <c r="KVO22" s="252">
        <v>0</v>
      </c>
      <c r="KVP22" s="252">
        <v>0</v>
      </c>
      <c r="KVQ22" s="252">
        <v>0</v>
      </c>
      <c r="KVR22" s="252">
        <v>0</v>
      </c>
      <c r="KVS22" s="252">
        <v>0</v>
      </c>
      <c r="KVT22" s="252">
        <v>0</v>
      </c>
      <c r="KVU22" s="252">
        <v>0</v>
      </c>
      <c r="KVV22" s="252">
        <v>0</v>
      </c>
      <c r="KVW22" s="252">
        <v>0</v>
      </c>
      <c r="KVX22" s="252">
        <v>0</v>
      </c>
      <c r="KVY22" s="252">
        <v>0</v>
      </c>
      <c r="KVZ22" s="252">
        <v>0</v>
      </c>
      <c r="KWA22" s="252">
        <v>0</v>
      </c>
      <c r="KWB22" s="252">
        <v>0</v>
      </c>
      <c r="KWC22" s="252">
        <v>0</v>
      </c>
      <c r="KWD22" s="252">
        <v>0</v>
      </c>
      <c r="KWE22" s="252">
        <v>0</v>
      </c>
      <c r="KWF22" s="252">
        <v>0</v>
      </c>
      <c r="KWG22" s="252">
        <v>0</v>
      </c>
      <c r="KWH22" s="252">
        <v>0</v>
      </c>
      <c r="KWI22" s="252">
        <v>0</v>
      </c>
      <c r="KWJ22" s="252">
        <v>0</v>
      </c>
      <c r="KWK22" s="252">
        <v>0</v>
      </c>
      <c r="KWL22" s="252">
        <v>0</v>
      </c>
      <c r="KWM22" s="252">
        <v>0</v>
      </c>
      <c r="KWN22" s="252">
        <v>0</v>
      </c>
      <c r="KWO22" s="252">
        <v>0</v>
      </c>
      <c r="KWP22" s="252">
        <v>0</v>
      </c>
      <c r="KWQ22" s="252">
        <v>0</v>
      </c>
      <c r="KWR22" s="252">
        <v>0</v>
      </c>
      <c r="KWS22" s="252">
        <v>0</v>
      </c>
      <c r="KWT22" s="252">
        <v>0</v>
      </c>
      <c r="KWU22" s="252">
        <v>0</v>
      </c>
      <c r="KWV22" s="252">
        <v>0</v>
      </c>
      <c r="KWW22" s="252">
        <v>0</v>
      </c>
      <c r="KWX22" s="252">
        <v>0</v>
      </c>
      <c r="KWY22" s="252">
        <v>0</v>
      </c>
      <c r="KWZ22" s="252">
        <v>0</v>
      </c>
      <c r="KXA22" s="252">
        <v>0</v>
      </c>
      <c r="KXB22" s="252">
        <v>0</v>
      </c>
      <c r="KXC22" s="252">
        <v>0</v>
      </c>
      <c r="KXD22" s="252">
        <v>0</v>
      </c>
      <c r="KXE22" s="252">
        <v>0</v>
      </c>
      <c r="KXF22" s="252">
        <v>0</v>
      </c>
      <c r="KXG22" s="252">
        <v>0</v>
      </c>
      <c r="KXH22" s="252">
        <v>0</v>
      </c>
      <c r="KXI22" s="252">
        <v>0</v>
      </c>
      <c r="KXJ22" s="252">
        <v>0</v>
      </c>
      <c r="KXK22" s="252">
        <v>0</v>
      </c>
      <c r="KXL22" s="252">
        <v>0</v>
      </c>
      <c r="KXM22" s="252">
        <v>0</v>
      </c>
      <c r="KXN22" s="252">
        <v>0</v>
      </c>
      <c r="KXO22" s="252">
        <v>0</v>
      </c>
      <c r="KXP22" s="252">
        <v>0</v>
      </c>
      <c r="KXQ22" s="252">
        <v>0</v>
      </c>
      <c r="KXR22" s="252">
        <v>0</v>
      </c>
      <c r="KXS22" s="252">
        <v>0</v>
      </c>
      <c r="KXT22" s="252">
        <v>0</v>
      </c>
      <c r="KXU22" s="252">
        <v>0</v>
      </c>
      <c r="KXV22" s="252">
        <v>0</v>
      </c>
      <c r="KXW22" s="252">
        <v>0</v>
      </c>
      <c r="KXX22" s="252">
        <v>0</v>
      </c>
      <c r="KXY22" s="252">
        <v>0</v>
      </c>
      <c r="KXZ22" s="252">
        <v>0</v>
      </c>
      <c r="KYA22" s="252">
        <v>0</v>
      </c>
      <c r="KYB22" s="252">
        <v>0</v>
      </c>
      <c r="KYC22" s="252">
        <v>0</v>
      </c>
      <c r="KYD22" s="252">
        <v>0</v>
      </c>
      <c r="KYE22" s="252">
        <v>0</v>
      </c>
      <c r="KYF22" s="252">
        <v>0</v>
      </c>
      <c r="KYG22" s="252">
        <v>0</v>
      </c>
      <c r="KYH22" s="252">
        <v>0</v>
      </c>
      <c r="KYI22" s="252">
        <v>0</v>
      </c>
      <c r="KYJ22" s="252">
        <v>0</v>
      </c>
      <c r="KYK22" s="252">
        <v>0</v>
      </c>
      <c r="KYL22" s="252">
        <v>0</v>
      </c>
      <c r="KYM22" s="252">
        <v>0</v>
      </c>
      <c r="KYN22" s="252">
        <v>0</v>
      </c>
      <c r="KYO22" s="252">
        <v>0</v>
      </c>
      <c r="KYP22" s="252">
        <v>0</v>
      </c>
      <c r="KYQ22" s="252">
        <v>0</v>
      </c>
      <c r="KYR22" s="252">
        <v>0</v>
      </c>
      <c r="KYS22" s="252">
        <v>0</v>
      </c>
      <c r="KYT22" s="252">
        <v>0</v>
      </c>
      <c r="KYU22" s="252">
        <v>0</v>
      </c>
      <c r="KYV22" s="252">
        <v>0</v>
      </c>
      <c r="KYW22" s="252">
        <v>0</v>
      </c>
      <c r="KYX22" s="252">
        <v>0</v>
      </c>
      <c r="KYY22" s="252">
        <v>0</v>
      </c>
      <c r="KYZ22" s="252">
        <v>0</v>
      </c>
      <c r="KZA22" s="252">
        <v>0</v>
      </c>
      <c r="KZB22" s="252">
        <v>0</v>
      </c>
      <c r="KZC22" s="252">
        <v>0</v>
      </c>
      <c r="KZD22" s="252">
        <v>0</v>
      </c>
      <c r="KZE22" s="252">
        <v>0</v>
      </c>
      <c r="KZF22" s="252">
        <v>0</v>
      </c>
      <c r="KZG22" s="252">
        <v>0</v>
      </c>
      <c r="KZH22" s="252">
        <v>0</v>
      </c>
      <c r="KZI22" s="252">
        <v>0</v>
      </c>
      <c r="KZJ22" s="252">
        <v>0</v>
      </c>
      <c r="KZK22" s="252">
        <v>0</v>
      </c>
      <c r="KZL22" s="252">
        <v>0</v>
      </c>
      <c r="KZM22" s="252">
        <v>0</v>
      </c>
      <c r="KZN22" s="252">
        <v>0</v>
      </c>
      <c r="KZO22" s="252">
        <v>0</v>
      </c>
      <c r="KZP22" s="252">
        <v>0</v>
      </c>
      <c r="KZQ22" s="252">
        <v>0</v>
      </c>
      <c r="KZR22" s="252">
        <v>0</v>
      </c>
      <c r="KZS22" s="252">
        <v>0</v>
      </c>
      <c r="KZT22" s="252">
        <v>0</v>
      </c>
      <c r="KZU22" s="252">
        <v>0</v>
      </c>
      <c r="KZV22" s="252">
        <v>0</v>
      </c>
      <c r="KZW22" s="252">
        <v>0</v>
      </c>
      <c r="KZX22" s="252">
        <v>0</v>
      </c>
      <c r="KZY22" s="252">
        <v>0</v>
      </c>
      <c r="KZZ22" s="252">
        <v>0</v>
      </c>
      <c r="LAA22" s="252">
        <v>0</v>
      </c>
      <c r="LAB22" s="252">
        <v>0</v>
      </c>
      <c r="LAC22" s="252">
        <v>0</v>
      </c>
      <c r="LAD22" s="252">
        <v>0</v>
      </c>
      <c r="LAE22" s="252">
        <v>0</v>
      </c>
      <c r="LAF22" s="252">
        <v>0</v>
      </c>
      <c r="LAG22" s="252">
        <v>0</v>
      </c>
      <c r="LAH22" s="252">
        <v>0</v>
      </c>
      <c r="LAI22" s="252">
        <v>0</v>
      </c>
      <c r="LAJ22" s="252">
        <v>0</v>
      </c>
      <c r="LAK22" s="252">
        <v>0</v>
      </c>
      <c r="LAL22" s="252">
        <v>0</v>
      </c>
      <c r="LAM22" s="252">
        <v>0</v>
      </c>
      <c r="LAN22" s="252">
        <v>0</v>
      </c>
      <c r="LAO22" s="252">
        <v>0</v>
      </c>
      <c r="LAP22" s="252">
        <v>0</v>
      </c>
      <c r="LAQ22" s="252">
        <v>0</v>
      </c>
      <c r="LAR22" s="252">
        <v>0</v>
      </c>
      <c r="LAS22" s="252">
        <v>0</v>
      </c>
      <c r="LAT22" s="252">
        <v>0</v>
      </c>
      <c r="LAU22" s="252">
        <v>0</v>
      </c>
      <c r="LAV22" s="252">
        <v>0</v>
      </c>
      <c r="LAW22" s="252">
        <v>0</v>
      </c>
      <c r="LAX22" s="252">
        <v>0</v>
      </c>
      <c r="LAY22" s="252">
        <v>0</v>
      </c>
      <c r="LAZ22" s="252">
        <v>0</v>
      </c>
      <c r="LBA22" s="252">
        <v>0</v>
      </c>
      <c r="LBB22" s="252">
        <v>0</v>
      </c>
      <c r="LBC22" s="252">
        <v>0</v>
      </c>
      <c r="LBD22" s="252">
        <v>0</v>
      </c>
      <c r="LBE22" s="252">
        <v>0</v>
      </c>
      <c r="LBF22" s="252">
        <v>0</v>
      </c>
      <c r="LBG22" s="252">
        <v>0</v>
      </c>
      <c r="LBH22" s="252">
        <v>0</v>
      </c>
      <c r="LBI22" s="252">
        <v>0</v>
      </c>
      <c r="LBJ22" s="252">
        <v>0</v>
      </c>
      <c r="LBK22" s="252">
        <v>0</v>
      </c>
      <c r="LBL22" s="252">
        <v>0</v>
      </c>
      <c r="LBM22" s="252">
        <v>0</v>
      </c>
      <c r="LBN22" s="252">
        <v>0</v>
      </c>
      <c r="LBO22" s="252">
        <v>0</v>
      </c>
      <c r="LBP22" s="252">
        <v>0</v>
      </c>
      <c r="LBQ22" s="252">
        <v>0</v>
      </c>
      <c r="LBR22" s="252">
        <v>0</v>
      </c>
      <c r="LBS22" s="252">
        <v>0</v>
      </c>
      <c r="LBT22" s="252">
        <v>0</v>
      </c>
      <c r="LBU22" s="252">
        <v>0</v>
      </c>
      <c r="LBV22" s="252">
        <v>0</v>
      </c>
      <c r="LBW22" s="252">
        <v>0</v>
      </c>
      <c r="LBX22" s="252">
        <v>0</v>
      </c>
      <c r="LBY22" s="252">
        <v>0</v>
      </c>
      <c r="LBZ22" s="252">
        <v>0</v>
      </c>
      <c r="LCA22" s="252">
        <v>0</v>
      </c>
      <c r="LCB22" s="252">
        <v>0</v>
      </c>
      <c r="LCC22" s="252">
        <v>0</v>
      </c>
      <c r="LCD22" s="252">
        <v>0</v>
      </c>
      <c r="LCE22" s="252">
        <v>0</v>
      </c>
      <c r="LCF22" s="252">
        <v>0</v>
      </c>
      <c r="LCG22" s="252">
        <v>0</v>
      </c>
      <c r="LCH22" s="252">
        <v>0</v>
      </c>
      <c r="LCI22" s="252">
        <v>0</v>
      </c>
      <c r="LCJ22" s="252">
        <v>0</v>
      </c>
      <c r="LCK22" s="252">
        <v>0</v>
      </c>
      <c r="LCL22" s="252">
        <v>0</v>
      </c>
      <c r="LCM22" s="252">
        <v>0</v>
      </c>
      <c r="LCN22" s="252">
        <v>0</v>
      </c>
      <c r="LCO22" s="252">
        <v>0</v>
      </c>
      <c r="LCP22" s="252">
        <v>0</v>
      </c>
      <c r="LCQ22" s="252">
        <v>0</v>
      </c>
      <c r="LCR22" s="252">
        <v>0</v>
      </c>
      <c r="LCS22" s="252">
        <v>0</v>
      </c>
      <c r="LCT22" s="252">
        <v>0</v>
      </c>
      <c r="LCU22" s="252">
        <v>0</v>
      </c>
      <c r="LCV22" s="252">
        <v>0</v>
      </c>
      <c r="LCW22" s="252">
        <v>0</v>
      </c>
      <c r="LCX22" s="252">
        <v>0</v>
      </c>
      <c r="LCY22" s="252">
        <v>0</v>
      </c>
      <c r="LCZ22" s="252">
        <v>0</v>
      </c>
      <c r="LDA22" s="252">
        <v>0</v>
      </c>
      <c r="LDB22" s="252">
        <v>0</v>
      </c>
      <c r="LDC22" s="252">
        <v>0</v>
      </c>
      <c r="LDD22" s="252">
        <v>0</v>
      </c>
      <c r="LDE22" s="252">
        <v>0</v>
      </c>
      <c r="LDF22" s="252">
        <v>0</v>
      </c>
      <c r="LDG22" s="252">
        <v>0</v>
      </c>
      <c r="LDH22" s="252">
        <v>0</v>
      </c>
      <c r="LDI22" s="252">
        <v>0</v>
      </c>
      <c r="LDJ22" s="252">
        <v>0</v>
      </c>
      <c r="LDK22" s="252">
        <v>0</v>
      </c>
      <c r="LDL22" s="252">
        <v>0</v>
      </c>
      <c r="LDM22" s="252">
        <v>0</v>
      </c>
      <c r="LDN22" s="252">
        <v>0</v>
      </c>
      <c r="LDO22" s="252">
        <v>0</v>
      </c>
      <c r="LDP22" s="252">
        <v>0</v>
      </c>
      <c r="LDQ22" s="252">
        <v>0</v>
      </c>
      <c r="LDR22" s="252">
        <v>0</v>
      </c>
      <c r="LDS22" s="252">
        <v>0</v>
      </c>
      <c r="LDT22" s="252">
        <v>0</v>
      </c>
      <c r="LDU22" s="252">
        <v>0</v>
      </c>
      <c r="LDV22" s="252">
        <v>0</v>
      </c>
      <c r="LDW22" s="252">
        <v>0</v>
      </c>
      <c r="LDX22" s="252">
        <v>0</v>
      </c>
      <c r="LDY22" s="252">
        <v>0</v>
      </c>
      <c r="LDZ22" s="252">
        <v>0</v>
      </c>
      <c r="LEA22" s="252">
        <v>0</v>
      </c>
      <c r="LEB22" s="252">
        <v>0</v>
      </c>
      <c r="LEC22" s="252">
        <v>0</v>
      </c>
      <c r="LED22" s="252">
        <v>0</v>
      </c>
      <c r="LEE22" s="252">
        <v>0</v>
      </c>
      <c r="LEF22" s="252">
        <v>0</v>
      </c>
      <c r="LEG22" s="252">
        <v>0</v>
      </c>
      <c r="LEH22" s="252">
        <v>0</v>
      </c>
      <c r="LEI22" s="252">
        <v>0</v>
      </c>
      <c r="LEJ22" s="252">
        <v>0</v>
      </c>
      <c r="LEK22" s="252">
        <v>0</v>
      </c>
      <c r="LEL22" s="252">
        <v>0</v>
      </c>
      <c r="LEM22" s="252">
        <v>0</v>
      </c>
      <c r="LEN22" s="252">
        <v>0</v>
      </c>
      <c r="LEO22" s="252">
        <v>0</v>
      </c>
      <c r="LEP22" s="252">
        <v>0</v>
      </c>
      <c r="LEQ22" s="252">
        <v>0</v>
      </c>
      <c r="LER22" s="252">
        <v>0</v>
      </c>
      <c r="LES22" s="252">
        <v>0</v>
      </c>
      <c r="LET22" s="252">
        <v>0</v>
      </c>
      <c r="LEU22" s="252">
        <v>0</v>
      </c>
      <c r="LEV22" s="252">
        <v>0</v>
      </c>
      <c r="LEW22" s="252">
        <v>0</v>
      </c>
      <c r="LEX22" s="252">
        <v>0</v>
      </c>
      <c r="LEY22" s="252">
        <v>0</v>
      </c>
      <c r="LEZ22" s="252">
        <v>0</v>
      </c>
      <c r="LFA22" s="252">
        <v>0</v>
      </c>
      <c r="LFB22" s="252">
        <v>0</v>
      </c>
      <c r="LFC22" s="252">
        <v>0</v>
      </c>
      <c r="LFD22" s="252">
        <v>0</v>
      </c>
      <c r="LFE22" s="252">
        <v>0</v>
      </c>
      <c r="LFF22" s="252">
        <v>0</v>
      </c>
      <c r="LFG22" s="252">
        <v>0</v>
      </c>
      <c r="LFH22" s="252">
        <v>0</v>
      </c>
      <c r="LFI22" s="252">
        <v>0</v>
      </c>
      <c r="LFJ22" s="252">
        <v>0</v>
      </c>
      <c r="LFK22" s="252">
        <v>0</v>
      </c>
      <c r="LFL22" s="252">
        <v>0</v>
      </c>
      <c r="LFM22" s="252">
        <v>0</v>
      </c>
      <c r="LFN22" s="252">
        <v>0</v>
      </c>
      <c r="LFO22" s="252">
        <v>0</v>
      </c>
      <c r="LFP22" s="252">
        <v>0</v>
      </c>
      <c r="LFQ22" s="252">
        <v>0</v>
      </c>
      <c r="LFR22" s="252">
        <v>0</v>
      </c>
      <c r="LFS22" s="252">
        <v>0</v>
      </c>
      <c r="LFT22" s="252">
        <v>0</v>
      </c>
      <c r="LFU22" s="252">
        <v>0</v>
      </c>
      <c r="LFV22" s="252">
        <v>0</v>
      </c>
      <c r="LFW22" s="252">
        <v>0</v>
      </c>
      <c r="LFX22" s="252">
        <v>0</v>
      </c>
      <c r="LFY22" s="252">
        <v>0</v>
      </c>
      <c r="LFZ22" s="252">
        <v>0</v>
      </c>
      <c r="LGA22" s="252">
        <v>0</v>
      </c>
      <c r="LGB22" s="252">
        <v>0</v>
      </c>
      <c r="LGC22" s="252">
        <v>0</v>
      </c>
      <c r="LGD22" s="252">
        <v>0</v>
      </c>
      <c r="LGE22" s="252">
        <v>0</v>
      </c>
      <c r="LGF22" s="252">
        <v>0</v>
      </c>
      <c r="LGG22" s="252">
        <v>0</v>
      </c>
      <c r="LGH22" s="252">
        <v>0</v>
      </c>
      <c r="LGI22" s="252">
        <v>0</v>
      </c>
      <c r="LGJ22" s="252">
        <v>0</v>
      </c>
      <c r="LGK22" s="252">
        <v>0</v>
      </c>
      <c r="LGL22" s="252">
        <v>0</v>
      </c>
      <c r="LGM22" s="252">
        <v>0</v>
      </c>
      <c r="LGN22" s="252">
        <v>0</v>
      </c>
      <c r="LGO22" s="252">
        <v>0</v>
      </c>
      <c r="LGP22" s="252">
        <v>0</v>
      </c>
      <c r="LGQ22" s="252">
        <v>0</v>
      </c>
      <c r="LGR22" s="252">
        <v>0</v>
      </c>
      <c r="LGS22" s="252">
        <v>0</v>
      </c>
      <c r="LGT22" s="252">
        <v>0</v>
      </c>
      <c r="LGU22" s="252">
        <v>0</v>
      </c>
      <c r="LGV22" s="252">
        <v>0</v>
      </c>
      <c r="LGW22" s="252">
        <v>0</v>
      </c>
      <c r="LGX22" s="252">
        <v>0</v>
      </c>
      <c r="LGY22" s="252">
        <v>0</v>
      </c>
      <c r="LGZ22" s="252">
        <v>0</v>
      </c>
      <c r="LHA22" s="252">
        <v>0</v>
      </c>
      <c r="LHB22" s="252">
        <v>0</v>
      </c>
      <c r="LHC22" s="252">
        <v>0</v>
      </c>
      <c r="LHD22" s="252">
        <v>0</v>
      </c>
      <c r="LHE22" s="252">
        <v>0</v>
      </c>
      <c r="LHF22" s="252">
        <v>0</v>
      </c>
      <c r="LHG22" s="252">
        <v>0</v>
      </c>
      <c r="LHH22" s="252">
        <v>0</v>
      </c>
      <c r="LHI22" s="252">
        <v>0</v>
      </c>
      <c r="LHJ22" s="252">
        <v>0</v>
      </c>
      <c r="LHK22" s="252">
        <v>0</v>
      </c>
      <c r="LHL22" s="252">
        <v>0</v>
      </c>
      <c r="LHM22" s="252">
        <v>0</v>
      </c>
      <c r="LHN22" s="252">
        <v>0</v>
      </c>
      <c r="LHO22" s="252">
        <v>0</v>
      </c>
      <c r="LHP22" s="252">
        <v>0</v>
      </c>
      <c r="LHQ22" s="252">
        <v>0</v>
      </c>
      <c r="LHR22" s="252">
        <v>0</v>
      </c>
      <c r="LHS22" s="252">
        <v>0</v>
      </c>
      <c r="LHT22" s="252">
        <v>0</v>
      </c>
      <c r="LHU22" s="252">
        <v>0</v>
      </c>
      <c r="LHV22" s="252">
        <v>0</v>
      </c>
      <c r="LHW22" s="252">
        <v>0</v>
      </c>
      <c r="LHX22" s="252">
        <v>0</v>
      </c>
      <c r="LHY22" s="252">
        <v>0</v>
      </c>
      <c r="LHZ22" s="252">
        <v>0</v>
      </c>
      <c r="LIA22" s="252">
        <v>0</v>
      </c>
      <c r="LIB22" s="252">
        <v>0</v>
      </c>
      <c r="LIC22" s="252">
        <v>0</v>
      </c>
      <c r="LID22" s="252">
        <v>0</v>
      </c>
      <c r="LIE22" s="252">
        <v>0</v>
      </c>
      <c r="LIF22" s="252">
        <v>0</v>
      </c>
      <c r="LIG22" s="252">
        <v>0</v>
      </c>
      <c r="LIH22" s="252">
        <v>0</v>
      </c>
      <c r="LII22" s="252">
        <v>0</v>
      </c>
      <c r="LIJ22" s="252">
        <v>0</v>
      </c>
      <c r="LIK22" s="252">
        <v>0</v>
      </c>
      <c r="LIL22" s="252">
        <v>0</v>
      </c>
      <c r="LIM22" s="252">
        <v>0</v>
      </c>
      <c r="LIN22" s="252">
        <v>0</v>
      </c>
      <c r="LIO22" s="252">
        <v>0</v>
      </c>
      <c r="LIP22" s="252">
        <v>0</v>
      </c>
      <c r="LIQ22" s="252">
        <v>0</v>
      </c>
      <c r="LIR22" s="252">
        <v>0</v>
      </c>
      <c r="LIS22" s="252">
        <v>0</v>
      </c>
      <c r="LIT22" s="252">
        <v>0</v>
      </c>
      <c r="LIU22" s="252">
        <v>0</v>
      </c>
      <c r="LIV22" s="252">
        <v>0</v>
      </c>
      <c r="LIW22" s="252">
        <v>0</v>
      </c>
      <c r="LIX22" s="252">
        <v>0</v>
      </c>
      <c r="LIY22" s="252">
        <v>0</v>
      </c>
      <c r="LIZ22" s="252">
        <v>0</v>
      </c>
      <c r="LJA22" s="252">
        <v>0</v>
      </c>
      <c r="LJB22" s="252">
        <v>0</v>
      </c>
      <c r="LJC22" s="252">
        <v>0</v>
      </c>
      <c r="LJD22" s="252">
        <v>0</v>
      </c>
      <c r="LJE22" s="252">
        <v>0</v>
      </c>
      <c r="LJF22" s="252">
        <v>0</v>
      </c>
      <c r="LJG22" s="252">
        <v>0</v>
      </c>
      <c r="LJH22" s="252">
        <v>0</v>
      </c>
      <c r="LJI22" s="252">
        <v>0</v>
      </c>
      <c r="LJJ22" s="252">
        <v>0</v>
      </c>
      <c r="LJK22" s="252">
        <v>0</v>
      </c>
      <c r="LJL22" s="252">
        <v>0</v>
      </c>
      <c r="LJM22" s="252">
        <v>0</v>
      </c>
      <c r="LJN22" s="252">
        <v>0</v>
      </c>
      <c r="LJO22" s="252">
        <v>0</v>
      </c>
      <c r="LJP22" s="252">
        <v>0</v>
      </c>
      <c r="LJQ22" s="252">
        <v>0</v>
      </c>
      <c r="LJR22" s="252">
        <v>0</v>
      </c>
      <c r="LJS22" s="252">
        <v>0</v>
      </c>
      <c r="LJT22" s="252">
        <v>0</v>
      </c>
      <c r="LJU22" s="252">
        <v>0</v>
      </c>
      <c r="LJV22" s="252">
        <v>0</v>
      </c>
      <c r="LJW22" s="252">
        <v>0</v>
      </c>
      <c r="LJX22" s="252">
        <v>0</v>
      </c>
      <c r="LJY22" s="252">
        <v>0</v>
      </c>
      <c r="LJZ22" s="252">
        <v>0</v>
      </c>
      <c r="LKA22" s="252">
        <v>0</v>
      </c>
      <c r="LKB22" s="252">
        <v>0</v>
      </c>
      <c r="LKC22" s="252">
        <v>0</v>
      </c>
      <c r="LKD22" s="252">
        <v>0</v>
      </c>
      <c r="LKE22" s="252">
        <v>0</v>
      </c>
      <c r="LKF22" s="252">
        <v>0</v>
      </c>
      <c r="LKG22" s="252">
        <v>0</v>
      </c>
      <c r="LKH22" s="252">
        <v>0</v>
      </c>
      <c r="LKI22" s="252">
        <v>0</v>
      </c>
      <c r="LKJ22" s="252">
        <v>0</v>
      </c>
      <c r="LKK22" s="252">
        <v>0</v>
      </c>
      <c r="LKL22" s="252">
        <v>0</v>
      </c>
      <c r="LKM22" s="252">
        <v>0</v>
      </c>
      <c r="LKN22" s="252">
        <v>0</v>
      </c>
      <c r="LKO22" s="252">
        <v>0</v>
      </c>
      <c r="LKP22" s="252">
        <v>0</v>
      </c>
      <c r="LKQ22" s="252">
        <v>0</v>
      </c>
      <c r="LKR22" s="252">
        <v>0</v>
      </c>
      <c r="LKS22" s="252">
        <v>0</v>
      </c>
      <c r="LKT22" s="252">
        <v>0</v>
      </c>
      <c r="LKU22" s="252">
        <v>0</v>
      </c>
      <c r="LKV22" s="252">
        <v>0</v>
      </c>
      <c r="LKW22" s="252">
        <v>0</v>
      </c>
      <c r="LKX22" s="252">
        <v>0</v>
      </c>
      <c r="LKY22" s="252">
        <v>0</v>
      </c>
      <c r="LKZ22" s="252">
        <v>0</v>
      </c>
      <c r="LLA22" s="252">
        <v>0</v>
      </c>
      <c r="LLB22" s="252">
        <v>0</v>
      </c>
      <c r="LLC22" s="252">
        <v>0</v>
      </c>
      <c r="LLD22" s="252">
        <v>0</v>
      </c>
      <c r="LLE22" s="252">
        <v>0</v>
      </c>
      <c r="LLF22" s="252">
        <v>0</v>
      </c>
      <c r="LLG22" s="252">
        <v>0</v>
      </c>
      <c r="LLH22" s="252">
        <v>0</v>
      </c>
      <c r="LLI22" s="252">
        <v>0</v>
      </c>
      <c r="LLJ22" s="252">
        <v>0</v>
      </c>
      <c r="LLK22" s="252">
        <v>0</v>
      </c>
      <c r="LLL22" s="252">
        <v>0</v>
      </c>
      <c r="LLM22" s="252">
        <v>0</v>
      </c>
      <c r="LLN22" s="252">
        <v>0</v>
      </c>
      <c r="LLO22" s="252">
        <v>0</v>
      </c>
      <c r="LLP22" s="252">
        <v>0</v>
      </c>
      <c r="LLQ22" s="252">
        <v>0</v>
      </c>
      <c r="LLR22" s="252">
        <v>0</v>
      </c>
      <c r="LLS22" s="252">
        <v>0</v>
      </c>
      <c r="LLT22" s="252">
        <v>0</v>
      </c>
      <c r="LLU22" s="252">
        <v>0</v>
      </c>
      <c r="LLV22" s="252">
        <v>0</v>
      </c>
      <c r="LLW22" s="252">
        <v>0</v>
      </c>
      <c r="LLX22" s="252">
        <v>0</v>
      </c>
      <c r="LLY22" s="252">
        <v>0</v>
      </c>
      <c r="LLZ22" s="252">
        <v>0</v>
      </c>
      <c r="LMA22" s="252">
        <v>0</v>
      </c>
      <c r="LMB22" s="252">
        <v>0</v>
      </c>
      <c r="LMC22" s="252">
        <v>0</v>
      </c>
      <c r="LMD22" s="252">
        <v>0</v>
      </c>
      <c r="LME22" s="252">
        <v>0</v>
      </c>
      <c r="LMF22" s="252">
        <v>0</v>
      </c>
      <c r="LMG22" s="252">
        <v>0</v>
      </c>
      <c r="LMH22" s="252">
        <v>0</v>
      </c>
      <c r="LMI22" s="252">
        <v>0</v>
      </c>
      <c r="LMJ22" s="252">
        <v>0</v>
      </c>
      <c r="LMK22" s="252">
        <v>0</v>
      </c>
      <c r="LML22" s="252">
        <v>0</v>
      </c>
      <c r="LMM22" s="252">
        <v>0</v>
      </c>
      <c r="LMN22" s="252">
        <v>0</v>
      </c>
      <c r="LMO22" s="252">
        <v>0</v>
      </c>
      <c r="LMP22" s="252">
        <v>0</v>
      </c>
      <c r="LMQ22" s="252">
        <v>0</v>
      </c>
      <c r="LMR22" s="252">
        <v>0</v>
      </c>
      <c r="LMS22" s="252">
        <v>0</v>
      </c>
      <c r="LMT22" s="252">
        <v>0</v>
      </c>
      <c r="LMU22" s="252">
        <v>0</v>
      </c>
      <c r="LMV22" s="252">
        <v>0</v>
      </c>
      <c r="LMW22" s="252">
        <v>0</v>
      </c>
      <c r="LMX22" s="252">
        <v>0</v>
      </c>
      <c r="LMY22" s="252">
        <v>0</v>
      </c>
      <c r="LMZ22" s="252">
        <v>0</v>
      </c>
      <c r="LNA22" s="252">
        <v>0</v>
      </c>
      <c r="LNB22" s="252">
        <v>0</v>
      </c>
      <c r="LNC22" s="252">
        <v>0</v>
      </c>
      <c r="LND22" s="252">
        <v>0</v>
      </c>
      <c r="LNE22" s="252">
        <v>0</v>
      </c>
      <c r="LNF22" s="252">
        <v>0</v>
      </c>
      <c r="LNG22" s="252">
        <v>0</v>
      </c>
      <c r="LNH22" s="252">
        <v>0</v>
      </c>
      <c r="LNI22" s="252">
        <v>0</v>
      </c>
      <c r="LNJ22" s="252">
        <v>0</v>
      </c>
      <c r="LNK22" s="252">
        <v>0</v>
      </c>
      <c r="LNL22" s="252">
        <v>0</v>
      </c>
      <c r="LNM22" s="252">
        <v>0</v>
      </c>
      <c r="LNN22" s="252">
        <v>0</v>
      </c>
      <c r="LNO22" s="252">
        <v>0</v>
      </c>
      <c r="LNP22" s="252">
        <v>0</v>
      </c>
      <c r="LNQ22" s="252">
        <v>0</v>
      </c>
      <c r="LNR22" s="252">
        <v>0</v>
      </c>
      <c r="LNS22" s="252">
        <v>0</v>
      </c>
      <c r="LNT22" s="252">
        <v>0</v>
      </c>
      <c r="LNU22" s="252">
        <v>0</v>
      </c>
      <c r="LNV22" s="252">
        <v>0</v>
      </c>
      <c r="LNW22" s="252">
        <v>0</v>
      </c>
      <c r="LNX22" s="252">
        <v>0</v>
      </c>
      <c r="LNY22" s="252">
        <v>0</v>
      </c>
      <c r="LNZ22" s="252">
        <v>0</v>
      </c>
      <c r="LOA22" s="252">
        <v>0</v>
      </c>
      <c r="LOB22" s="252">
        <v>0</v>
      </c>
      <c r="LOC22" s="252">
        <v>0</v>
      </c>
      <c r="LOD22" s="252">
        <v>0</v>
      </c>
      <c r="LOE22" s="252">
        <v>0</v>
      </c>
      <c r="LOF22" s="252">
        <v>0</v>
      </c>
      <c r="LOG22" s="252">
        <v>0</v>
      </c>
      <c r="LOH22" s="252">
        <v>0</v>
      </c>
      <c r="LOI22" s="252">
        <v>0</v>
      </c>
      <c r="LOJ22" s="252">
        <v>0</v>
      </c>
      <c r="LOK22" s="252">
        <v>0</v>
      </c>
      <c r="LOL22" s="252">
        <v>0</v>
      </c>
      <c r="LOM22" s="252">
        <v>0</v>
      </c>
      <c r="LON22" s="252">
        <v>0</v>
      </c>
      <c r="LOO22" s="252">
        <v>0</v>
      </c>
      <c r="LOP22" s="252">
        <v>0</v>
      </c>
      <c r="LOQ22" s="252">
        <v>0</v>
      </c>
      <c r="LOR22" s="252">
        <v>0</v>
      </c>
      <c r="LOS22" s="252">
        <v>0</v>
      </c>
      <c r="LOT22" s="252">
        <v>0</v>
      </c>
      <c r="LOU22" s="252">
        <v>0</v>
      </c>
      <c r="LOV22" s="252">
        <v>0</v>
      </c>
      <c r="LOW22" s="252">
        <v>0</v>
      </c>
      <c r="LOX22" s="252">
        <v>0</v>
      </c>
      <c r="LOY22" s="252">
        <v>0</v>
      </c>
      <c r="LOZ22" s="252">
        <v>0</v>
      </c>
      <c r="LPA22" s="252">
        <v>0</v>
      </c>
      <c r="LPB22" s="252">
        <v>0</v>
      </c>
      <c r="LPC22" s="252">
        <v>0</v>
      </c>
      <c r="LPD22" s="252">
        <v>0</v>
      </c>
      <c r="LPE22" s="252">
        <v>0</v>
      </c>
      <c r="LPF22" s="252">
        <v>0</v>
      </c>
      <c r="LPG22" s="252">
        <v>0</v>
      </c>
      <c r="LPH22" s="252">
        <v>0</v>
      </c>
      <c r="LPI22" s="252">
        <v>0</v>
      </c>
      <c r="LPJ22" s="252">
        <v>0</v>
      </c>
      <c r="LPK22" s="252">
        <v>0</v>
      </c>
      <c r="LPL22" s="252">
        <v>0</v>
      </c>
      <c r="LPM22" s="252">
        <v>0</v>
      </c>
      <c r="LPN22" s="252">
        <v>0</v>
      </c>
      <c r="LPO22" s="252">
        <v>0</v>
      </c>
      <c r="LPP22" s="252">
        <v>0</v>
      </c>
      <c r="LPQ22" s="252">
        <v>0</v>
      </c>
      <c r="LPR22" s="252">
        <v>0</v>
      </c>
      <c r="LPS22" s="252">
        <v>0</v>
      </c>
      <c r="LPT22" s="252">
        <v>0</v>
      </c>
      <c r="LPU22" s="252">
        <v>0</v>
      </c>
      <c r="LPV22" s="252">
        <v>0</v>
      </c>
      <c r="LPW22" s="252">
        <v>0</v>
      </c>
      <c r="LPX22" s="252">
        <v>0</v>
      </c>
      <c r="LPY22" s="252">
        <v>0</v>
      </c>
      <c r="LPZ22" s="252">
        <v>0</v>
      </c>
      <c r="LQA22" s="252">
        <v>0</v>
      </c>
      <c r="LQB22" s="252">
        <v>0</v>
      </c>
      <c r="LQC22" s="252">
        <v>0</v>
      </c>
      <c r="LQD22" s="252">
        <v>0</v>
      </c>
      <c r="LQE22" s="252">
        <v>0</v>
      </c>
      <c r="LQF22" s="252">
        <v>0</v>
      </c>
      <c r="LQG22" s="252">
        <v>0</v>
      </c>
      <c r="LQH22" s="252">
        <v>0</v>
      </c>
      <c r="LQI22" s="252">
        <v>0</v>
      </c>
      <c r="LQJ22" s="252">
        <v>0</v>
      </c>
      <c r="LQK22" s="252">
        <v>0</v>
      </c>
      <c r="LQL22" s="252">
        <v>0</v>
      </c>
      <c r="LQM22" s="252">
        <v>0</v>
      </c>
      <c r="LQN22" s="252">
        <v>0</v>
      </c>
      <c r="LQO22" s="252">
        <v>0</v>
      </c>
      <c r="LQP22" s="252">
        <v>0</v>
      </c>
      <c r="LQQ22" s="252">
        <v>0</v>
      </c>
      <c r="LQR22" s="252">
        <v>0</v>
      </c>
      <c r="LQS22" s="252">
        <v>0</v>
      </c>
      <c r="LQT22" s="252">
        <v>0</v>
      </c>
      <c r="LQU22" s="252">
        <v>0</v>
      </c>
      <c r="LQV22" s="252">
        <v>0</v>
      </c>
      <c r="LQW22" s="252">
        <v>0</v>
      </c>
      <c r="LQX22" s="252">
        <v>0</v>
      </c>
      <c r="LQY22" s="252">
        <v>0</v>
      </c>
      <c r="LQZ22" s="252">
        <v>0</v>
      </c>
      <c r="LRA22" s="252">
        <v>0</v>
      </c>
      <c r="LRB22" s="252">
        <v>0</v>
      </c>
      <c r="LRC22" s="252">
        <v>0</v>
      </c>
      <c r="LRD22" s="252">
        <v>0</v>
      </c>
      <c r="LRE22" s="252">
        <v>0</v>
      </c>
      <c r="LRF22" s="252">
        <v>0</v>
      </c>
      <c r="LRG22" s="252">
        <v>0</v>
      </c>
      <c r="LRH22" s="252">
        <v>0</v>
      </c>
      <c r="LRI22" s="252">
        <v>0</v>
      </c>
      <c r="LRJ22" s="252">
        <v>0</v>
      </c>
      <c r="LRK22" s="252">
        <v>0</v>
      </c>
      <c r="LRL22" s="252">
        <v>0</v>
      </c>
      <c r="LRM22" s="252">
        <v>0</v>
      </c>
      <c r="LRN22" s="252">
        <v>0</v>
      </c>
      <c r="LRO22" s="252">
        <v>0</v>
      </c>
      <c r="LRP22" s="252">
        <v>0</v>
      </c>
      <c r="LRQ22" s="252">
        <v>0</v>
      </c>
      <c r="LRR22" s="252">
        <v>0</v>
      </c>
      <c r="LRS22" s="252">
        <v>0</v>
      </c>
      <c r="LRT22" s="252">
        <v>0</v>
      </c>
      <c r="LRU22" s="252">
        <v>0</v>
      </c>
      <c r="LRV22" s="252">
        <v>0</v>
      </c>
      <c r="LRW22" s="252">
        <v>0</v>
      </c>
      <c r="LRX22" s="252">
        <v>0</v>
      </c>
      <c r="LRY22" s="252">
        <v>0</v>
      </c>
      <c r="LRZ22" s="252">
        <v>0</v>
      </c>
      <c r="LSA22" s="252">
        <v>0</v>
      </c>
      <c r="LSB22" s="252">
        <v>0</v>
      </c>
      <c r="LSC22" s="252">
        <v>0</v>
      </c>
      <c r="LSD22" s="252">
        <v>0</v>
      </c>
      <c r="LSE22" s="252">
        <v>0</v>
      </c>
      <c r="LSF22" s="252">
        <v>0</v>
      </c>
      <c r="LSG22" s="252">
        <v>0</v>
      </c>
      <c r="LSH22" s="252">
        <v>0</v>
      </c>
      <c r="LSI22" s="252">
        <v>0</v>
      </c>
      <c r="LSJ22" s="252">
        <v>0</v>
      </c>
      <c r="LSK22" s="252">
        <v>0</v>
      </c>
      <c r="LSL22" s="252">
        <v>0</v>
      </c>
      <c r="LSM22" s="252">
        <v>0</v>
      </c>
      <c r="LSN22" s="252">
        <v>0</v>
      </c>
      <c r="LSO22" s="252">
        <v>0</v>
      </c>
      <c r="LSP22" s="252">
        <v>0</v>
      </c>
      <c r="LSQ22" s="252">
        <v>0</v>
      </c>
      <c r="LSR22" s="252">
        <v>0</v>
      </c>
      <c r="LSS22" s="252">
        <v>0</v>
      </c>
      <c r="LST22" s="252">
        <v>0</v>
      </c>
      <c r="LSU22" s="252">
        <v>0</v>
      </c>
      <c r="LSV22" s="252">
        <v>0</v>
      </c>
      <c r="LSW22" s="252">
        <v>0</v>
      </c>
      <c r="LSX22" s="252">
        <v>0</v>
      </c>
      <c r="LSY22" s="252">
        <v>0</v>
      </c>
      <c r="LSZ22" s="252">
        <v>0</v>
      </c>
      <c r="LTA22" s="252">
        <v>0</v>
      </c>
      <c r="LTB22" s="252">
        <v>0</v>
      </c>
      <c r="LTC22" s="252">
        <v>0</v>
      </c>
      <c r="LTD22" s="252">
        <v>0</v>
      </c>
      <c r="LTE22" s="252">
        <v>0</v>
      </c>
      <c r="LTF22" s="252">
        <v>0</v>
      </c>
      <c r="LTG22" s="252">
        <v>0</v>
      </c>
      <c r="LTH22" s="252">
        <v>0</v>
      </c>
      <c r="LTI22" s="252">
        <v>0</v>
      </c>
      <c r="LTJ22" s="252">
        <v>0</v>
      </c>
      <c r="LTK22" s="252">
        <v>0</v>
      </c>
      <c r="LTL22" s="252">
        <v>0</v>
      </c>
      <c r="LTM22" s="252">
        <v>0</v>
      </c>
      <c r="LTN22" s="252">
        <v>0</v>
      </c>
      <c r="LTO22" s="252">
        <v>0</v>
      </c>
      <c r="LTP22" s="252">
        <v>0</v>
      </c>
      <c r="LTQ22" s="252">
        <v>0</v>
      </c>
      <c r="LTR22" s="252">
        <v>0</v>
      </c>
      <c r="LTS22" s="252">
        <v>0</v>
      </c>
      <c r="LTT22" s="252">
        <v>0</v>
      </c>
      <c r="LTU22" s="252">
        <v>0</v>
      </c>
      <c r="LTV22" s="252">
        <v>0</v>
      </c>
      <c r="LTW22" s="252">
        <v>0</v>
      </c>
      <c r="LTX22" s="252">
        <v>0</v>
      </c>
      <c r="LTY22" s="252">
        <v>0</v>
      </c>
      <c r="LTZ22" s="252">
        <v>0</v>
      </c>
      <c r="LUA22" s="252">
        <v>0</v>
      </c>
      <c r="LUB22" s="252">
        <v>0</v>
      </c>
      <c r="LUC22" s="252">
        <v>0</v>
      </c>
      <c r="LUD22" s="252">
        <v>0</v>
      </c>
      <c r="LUE22" s="252">
        <v>0</v>
      </c>
      <c r="LUF22" s="252">
        <v>0</v>
      </c>
      <c r="LUG22" s="252">
        <v>0</v>
      </c>
      <c r="LUH22" s="252">
        <v>0</v>
      </c>
      <c r="LUI22" s="252">
        <v>0</v>
      </c>
      <c r="LUJ22" s="252">
        <v>0</v>
      </c>
      <c r="LUK22" s="252">
        <v>0</v>
      </c>
      <c r="LUL22" s="252">
        <v>0</v>
      </c>
      <c r="LUM22" s="252">
        <v>0</v>
      </c>
      <c r="LUN22" s="252">
        <v>0</v>
      </c>
      <c r="LUO22" s="252">
        <v>0</v>
      </c>
      <c r="LUP22" s="252">
        <v>0</v>
      </c>
      <c r="LUQ22" s="252">
        <v>0</v>
      </c>
      <c r="LUR22" s="252">
        <v>0</v>
      </c>
      <c r="LUS22" s="252">
        <v>0</v>
      </c>
      <c r="LUT22" s="252">
        <v>0</v>
      </c>
      <c r="LUU22" s="252">
        <v>0</v>
      </c>
      <c r="LUV22" s="252">
        <v>0</v>
      </c>
      <c r="LUW22" s="252">
        <v>0</v>
      </c>
      <c r="LUX22" s="252">
        <v>0</v>
      </c>
      <c r="LUY22" s="252">
        <v>0</v>
      </c>
      <c r="LUZ22" s="252">
        <v>0</v>
      </c>
      <c r="LVA22" s="252">
        <v>0</v>
      </c>
      <c r="LVB22" s="252">
        <v>0</v>
      </c>
      <c r="LVC22" s="252">
        <v>0</v>
      </c>
      <c r="LVD22" s="252">
        <v>0</v>
      </c>
      <c r="LVE22" s="252">
        <v>0</v>
      </c>
      <c r="LVF22" s="252">
        <v>0</v>
      </c>
      <c r="LVG22" s="252">
        <v>0</v>
      </c>
      <c r="LVH22" s="252">
        <v>0</v>
      </c>
      <c r="LVI22" s="252">
        <v>0</v>
      </c>
      <c r="LVJ22" s="252">
        <v>0</v>
      </c>
      <c r="LVK22" s="252">
        <v>0</v>
      </c>
      <c r="LVL22" s="252">
        <v>0</v>
      </c>
      <c r="LVM22" s="252">
        <v>0</v>
      </c>
      <c r="LVN22" s="252">
        <v>0</v>
      </c>
      <c r="LVO22" s="252">
        <v>0</v>
      </c>
      <c r="LVP22" s="252">
        <v>0</v>
      </c>
      <c r="LVQ22" s="252">
        <v>0</v>
      </c>
      <c r="LVR22" s="252">
        <v>0</v>
      </c>
      <c r="LVS22" s="252">
        <v>0</v>
      </c>
      <c r="LVT22" s="252">
        <v>0</v>
      </c>
      <c r="LVU22" s="252">
        <v>0</v>
      </c>
      <c r="LVV22" s="252">
        <v>0</v>
      </c>
      <c r="LVW22" s="252">
        <v>0</v>
      </c>
      <c r="LVX22" s="252">
        <v>0</v>
      </c>
      <c r="LVY22" s="252">
        <v>0</v>
      </c>
      <c r="LVZ22" s="252">
        <v>0</v>
      </c>
      <c r="LWA22" s="252">
        <v>0</v>
      </c>
      <c r="LWB22" s="252">
        <v>0</v>
      </c>
      <c r="LWC22" s="252">
        <v>0</v>
      </c>
      <c r="LWD22" s="252">
        <v>0</v>
      </c>
      <c r="LWE22" s="252">
        <v>0</v>
      </c>
      <c r="LWF22" s="252">
        <v>0</v>
      </c>
      <c r="LWG22" s="252">
        <v>0</v>
      </c>
      <c r="LWH22" s="252">
        <v>0</v>
      </c>
      <c r="LWI22" s="252">
        <v>0</v>
      </c>
      <c r="LWJ22" s="252">
        <v>0</v>
      </c>
      <c r="LWK22" s="252">
        <v>0</v>
      </c>
      <c r="LWL22" s="252">
        <v>0</v>
      </c>
      <c r="LWM22" s="252">
        <v>0</v>
      </c>
      <c r="LWN22" s="252">
        <v>0</v>
      </c>
      <c r="LWO22" s="252">
        <v>0</v>
      </c>
      <c r="LWP22" s="252">
        <v>0</v>
      </c>
      <c r="LWQ22" s="252">
        <v>0</v>
      </c>
      <c r="LWR22" s="252">
        <v>0</v>
      </c>
      <c r="LWS22" s="252">
        <v>0</v>
      </c>
      <c r="LWT22" s="252">
        <v>0</v>
      </c>
      <c r="LWU22" s="252">
        <v>0</v>
      </c>
      <c r="LWV22" s="252">
        <v>0</v>
      </c>
      <c r="LWW22" s="252">
        <v>0</v>
      </c>
      <c r="LWX22" s="252">
        <v>0</v>
      </c>
      <c r="LWY22" s="252">
        <v>0</v>
      </c>
      <c r="LWZ22" s="252">
        <v>0</v>
      </c>
      <c r="LXA22" s="252">
        <v>0</v>
      </c>
      <c r="LXB22" s="252">
        <v>0</v>
      </c>
      <c r="LXC22" s="252">
        <v>0</v>
      </c>
      <c r="LXD22" s="252">
        <v>0</v>
      </c>
      <c r="LXE22" s="252">
        <v>0</v>
      </c>
      <c r="LXF22" s="252">
        <v>0</v>
      </c>
      <c r="LXG22" s="252">
        <v>0</v>
      </c>
      <c r="LXH22" s="252">
        <v>0</v>
      </c>
      <c r="LXI22" s="252">
        <v>0</v>
      </c>
      <c r="LXJ22" s="252">
        <v>0</v>
      </c>
      <c r="LXK22" s="252">
        <v>0</v>
      </c>
      <c r="LXL22" s="252">
        <v>0</v>
      </c>
      <c r="LXM22" s="252">
        <v>0</v>
      </c>
      <c r="LXN22" s="252">
        <v>0</v>
      </c>
      <c r="LXO22" s="252">
        <v>0</v>
      </c>
      <c r="LXP22" s="252">
        <v>0</v>
      </c>
      <c r="LXQ22" s="252">
        <v>0</v>
      </c>
      <c r="LXR22" s="252">
        <v>0</v>
      </c>
      <c r="LXS22" s="252">
        <v>0</v>
      </c>
      <c r="LXT22" s="252">
        <v>0</v>
      </c>
      <c r="LXU22" s="252">
        <v>0</v>
      </c>
      <c r="LXV22" s="252">
        <v>0</v>
      </c>
      <c r="LXW22" s="252">
        <v>0</v>
      </c>
      <c r="LXX22" s="252">
        <v>0</v>
      </c>
      <c r="LXY22" s="252">
        <v>0</v>
      </c>
      <c r="LXZ22" s="252">
        <v>0</v>
      </c>
      <c r="LYA22" s="252">
        <v>0</v>
      </c>
      <c r="LYB22" s="252">
        <v>0</v>
      </c>
      <c r="LYC22" s="252">
        <v>0</v>
      </c>
      <c r="LYD22" s="252">
        <v>0</v>
      </c>
      <c r="LYE22" s="252">
        <v>0</v>
      </c>
      <c r="LYF22" s="252">
        <v>0</v>
      </c>
      <c r="LYG22" s="252">
        <v>0</v>
      </c>
      <c r="LYH22" s="252">
        <v>0</v>
      </c>
      <c r="LYI22" s="252">
        <v>0</v>
      </c>
      <c r="LYJ22" s="252">
        <v>0</v>
      </c>
      <c r="LYK22" s="252">
        <v>0</v>
      </c>
      <c r="LYL22" s="252">
        <v>0</v>
      </c>
      <c r="LYM22" s="252">
        <v>0</v>
      </c>
      <c r="LYN22" s="252">
        <v>0</v>
      </c>
      <c r="LYO22" s="252">
        <v>0</v>
      </c>
      <c r="LYP22" s="252">
        <v>0</v>
      </c>
      <c r="LYQ22" s="252">
        <v>0</v>
      </c>
      <c r="LYR22" s="252">
        <v>0</v>
      </c>
      <c r="LYS22" s="252">
        <v>0</v>
      </c>
      <c r="LYT22" s="252">
        <v>0</v>
      </c>
      <c r="LYU22" s="252">
        <v>0</v>
      </c>
      <c r="LYV22" s="252">
        <v>0</v>
      </c>
      <c r="LYW22" s="252">
        <v>0</v>
      </c>
      <c r="LYX22" s="252">
        <v>0</v>
      </c>
      <c r="LYY22" s="252">
        <v>0</v>
      </c>
      <c r="LYZ22" s="252">
        <v>0</v>
      </c>
      <c r="LZA22" s="252">
        <v>0</v>
      </c>
      <c r="LZB22" s="252">
        <v>0</v>
      </c>
      <c r="LZC22" s="252">
        <v>0</v>
      </c>
      <c r="LZD22" s="252">
        <v>0</v>
      </c>
      <c r="LZE22" s="252">
        <v>0</v>
      </c>
      <c r="LZF22" s="252">
        <v>0</v>
      </c>
      <c r="LZG22" s="252">
        <v>0</v>
      </c>
      <c r="LZH22" s="252">
        <v>0</v>
      </c>
      <c r="LZI22" s="252">
        <v>0</v>
      </c>
      <c r="LZJ22" s="252">
        <v>0</v>
      </c>
      <c r="LZK22" s="252">
        <v>0</v>
      </c>
      <c r="LZL22" s="252">
        <v>0</v>
      </c>
      <c r="LZM22" s="252">
        <v>0</v>
      </c>
      <c r="LZN22" s="252">
        <v>0</v>
      </c>
      <c r="LZO22" s="252">
        <v>0</v>
      </c>
      <c r="LZP22" s="252">
        <v>0</v>
      </c>
      <c r="LZQ22" s="252">
        <v>0</v>
      </c>
      <c r="LZR22" s="252">
        <v>0</v>
      </c>
      <c r="LZS22" s="252">
        <v>0</v>
      </c>
      <c r="LZT22" s="252">
        <v>0</v>
      </c>
      <c r="LZU22" s="252">
        <v>0</v>
      </c>
      <c r="LZV22" s="252">
        <v>0</v>
      </c>
      <c r="LZW22" s="252">
        <v>0</v>
      </c>
      <c r="LZX22" s="252">
        <v>0</v>
      </c>
      <c r="LZY22" s="252">
        <v>0</v>
      </c>
      <c r="LZZ22" s="252">
        <v>0</v>
      </c>
      <c r="MAA22" s="252">
        <v>0</v>
      </c>
      <c r="MAB22" s="252">
        <v>0</v>
      </c>
      <c r="MAC22" s="252">
        <v>0</v>
      </c>
      <c r="MAD22" s="252">
        <v>0</v>
      </c>
      <c r="MAE22" s="252">
        <v>0</v>
      </c>
      <c r="MAF22" s="252">
        <v>0</v>
      </c>
      <c r="MAG22" s="252">
        <v>0</v>
      </c>
      <c r="MAH22" s="252">
        <v>0</v>
      </c>
      <c r="MAI22" s="252">
        <v>0</v>
      </c>
      <c r="MAJ22" s="252">
        <v>0</v>
      </c>
      <c r="MAK22" s="252">
        <v>0</v>
      </c>
      <c r="MAL22" s="252">
        <v>0</v>
      </c>
      <c r="MAM22" s="252">
        <v>0</v>
      </c>
      <c r="MAN22" s="252">
        <v>0</v>
      </c>
      <c r="MAO22" s="252">
        <v>0</v>
      </c>
      <c r="MAP22" s="252">
        <v>0</v>
      </c>
      <c r="MAQ22" s="252">
        <v>0</v>
      </c>
      <c r="MAR22" s="252">
        <v>0</v>
      </c>
      <c r="MAS22" s="252">
        <v>0</v>
      </c>
      <c r="MAT22" s="252">
        <v>0</v>
      </c>
      <c r="MAU22" s="252">
        <v>0</v>
      </c>
      <c r="MAV22" s="252">
        <v>0</v>
      </c>
      <c r="MAW22" s="252">
        <v>0</v>
      </c>
      <c r="MAX22" s="252">
        <v>0</v>
      </c>
      <c r="MAY22" s="252">
        <v>0</v>
      </c>
      <c r="MAZ22" s="252">
        <v>0</v>
      </c>
      <c r="MBA22" s="252">
        <v>0</v>
      </c>
      <c r="MBB22" s="252">
        <v>0</v>
      </c>
      <c r="MBC22" s="252">
        <v>0</v>
      </c>
      <c r="MBD22" s="252">
        <v>0</v>
      </c>
      <c r="MBE22" s="252">
        <v>0</v>
      </c>
      <c r="MBF22" s="252">
        <v>0</v>
      </c>
      <c r="MBG22" s="252">
        <v>0</v>
      </c>
      <c r="MBH22" s="252">
        <v>0</v>
      </c>
      <c r="MBI22" s="252">
        <v>0</v>
      </c>
      <c r="MBJ22" s="252">
        <v>0</v>
      </c>
      <c r="MBK22" s="252">
        <v>0</v>
      </c>
      <c r="MBL22" s="252">
        <v>0</v>
      </c>
      <c r="MBM22" s="252">
        <v>0</v>
      </c>
      <c r="MBN22" s="252">
        <v>0</v>
      </c>
      <c r="MBO22" s="252">
        <v>0</v>
      </c>
      <c r="MBP22" s="252">
        <v>0</v>
      </c>
      <c r="MBQ22" s="252">
        <v>0</v>
      </c>
      <c r="MBR22" s="252">
        <v>0</v>
      </c>
      <c r="MBS22" s="252">
        <v>0</v>
      </c>
      <c r="MBT22" s="252">
        <v>0</v>
      </c>
      <c r="MBU22" s="252">
        <v>0</v>
      </c>
      <c r="MBV22" s="252">
        <v>0</v>
      </c>
      <c r="MBW22" s="252">
        <v>0</v>
      </c>
      <c r="MBX22" s="252">
        <v>0</v>
      </c>
      <c r="MBY22" s="252">
        <v>0</v>
      </c>
      <c r="MBZ22" s="252">
        <v>0</v>
      </c>
      <c r="MCA22" s="252">
        <v>0</v>
      </c>
      <c r="MCB22" s="252">
        <v>0</v>
      </c>
      <c r="MCC22" s="252">
        <v>0</v>
      </c>
      <c r="MCD22" s="252">
        <v>0</v>
      </c>
      <c r="MCE22" s="252">
        <v>0</v>
      </c>
      <c r="MCF22" s="252">
        <v>0</v>
      </c>
      <c r="MCG22" s="252">
        <v>0</v>
      </c>
      <c r="MCH22" s="252">
        <v>0</v>
      </c>
      <c r="MCI22" s="252">
        <v>0</v>
      </c>
      <c r="MCJ22" s="252">
        <v>0</v>
      </c>
      <c r="MCK22" s="252">
        <v>0</v>
      </c>
      <c r="MCL22" s="252">
        <v>0</v>
      </c>
      <c r="MCM22" s="252">
        <v>0</v>
      </c>
      <c r="MCN22" s="252">
        <v>0</v>
      </c>
      <c r="MCO22" s="252">
        <v>0</v>
      </c>
      <c r="MCP22" s="252">
        <v>0</v>
      </c>
      <c r="MCQ22" s="252">
        <v>0</v>
      </c>
      <c r="MCR22" s="252">
        <v>0</v>
      </c>
      <c r="MCS22" s="252">
        <v>0</v>
      </c>
      <c r="MCT22" s="252">
        <v>0</v>
      </c>
      <c r="MCU22" s="252">
        <v>0</v>
      </c>
      <c r="MCV22" s="252">
        <v>0</v>
      </c>
      <c r="MCW22" s="252">
        <v>0</v>
      </c>
      <c r="MCX22" s="252">
        <v>0</v>
      </c>
      <c r="MCY22" s="252">
        <v>0</v>
      </c>
      <c r="MCZ22" s="252">
        <v>0</v>
      </c>
      <c r="MDA22" s="252">
        <v>0</v>
      </c>
      <c r="MDB22" s="252">
        <v>0</v>
      </c>
      <c r="MDC22" s="252">
        <v>0</v>
      </c>
      <c r="MDD22" s="252">
        <v>0</v>
      </c>
      <c r="MDE22" s="252">
        <v>0</v>
      </c>
      <c r="MDF22" s="252">
        <v>0</v>
      </c>
      <c r="MDG22" s="252">
        <v>0</v>
      </c>
      <c r="MDH22" s="252">
        <v>0</v>
      </c>
      <c r="MDI22" s="252">
        <v>0</v>
      </c>
      <c r="MDJ22" s="252">
        <v>0</v>
      </c>
      <c r="MDK22" s="252">
        <v>0</v>
      </c>
      <c r="MDL22" s="252">
        <v>0</v>
      </c>
      <c r="MDM22" s="252">
        <v>0</v>
      </c>
      <c r="MDN22" s="252">
        <v>0</v>
      </c>
      <c r="MDO22" s="252">
        <v>0</v>
      </c>
      <c r="MDP22" s="252">
        <v>0</v>
      </c>
      <c r="MDQ22" s="252">
        <v>0</v>
      </c>
      <c r="MDR22" s="252">
        <v>0</v>
      </c>
      <c r="MDS22" s="252">
        <v>0</v>
      </c>
      <c r="MDT22" s="252">
        <v>0</v>
      </c>
      <c r="MDU22" s="252">
        <v>0</v>
      </c>
      <c r="MDV22" s="252">
        <v>0</v>
      </c>
      <c r="MDW22" s="252">
        <v>0</v>
      </c>
      <c r="MDX22" s="252">
        <v>0</v>
      </c>
      <c r="MDY22" s="252">
        <v>0</v>
      </c>
      <c r="MDZ22" s="252">
        <v>0</v>
      </c>
      <c r="MEA22" s="252">
        <v>0</v>
      </c>
      <c r="MEB22" s="252">
        <v>0</v>
      </c>
      <c r="MEC22" s="252">
        <v>0</v>
      </c>
      <c r="MED22" s="252">
        <v>0</v>
      </c>
      <c r="MEE22" s="252">
        <v>0</v>
      </c>
      <c r="MEF22" s="252">
        <v>0</v>
      </c>
      <c r="MEG22" s="252">
        <v>0</v>
      </c>
      <c r="MEH22" s="252">
        <v>0</v>
      </c>
      <c r="MEI22" s="252">
        <v>0</v>
      </c>
      <c r="MEJ22" s="252">
        <v>0</v>
      </c>
      <c r="MEK22" s="252">
        <v>0</v>
      </c>
      <c r="MEL22" s="252">
        <v>0</v>
      </c>
      <c r="MEM22" s="252">
        <v>0</v>
      </c>
      <c r="MEN22" s="252">
        <v>0</v>
      </c>
      <c r="MEO22" s="252">
        <v>0</v>
      </c>
      <c r="MEP22" s="252">
        <v>0</v>
      </c>
      <c r="MEQ22" s="252">
        <v>0</v>
      </c>
      <c r="MER22" s="252">
        <v>0</v>
      </c>
      <c r="MES22" s="252">
        <v>0</v>
      </c>
      <c r="MET22" s="252">
        <v>0</v>
      </c>
      <c r="MEU22" s="252">
        <v>0</v>
      </c>
      <c r="MEV22" s="252">
        <v>0</v>
      </c>
      <c r="MEW22" s="252">
        <v>0</v>
      </c>
      <c r="MEX22" s="252">
        <v>0</v>
      </c>
      <c r="MEY22" s="252">
        <v>0</v>
      </c>
      <c r="MEZ22" s="252">
        <v>0</v>
      </c>
      <c r="MFA22" s="252">
        <v>0</v>
      </c>
      <c r="MFB22" s="252">
        <v>0</v>
      </c>
      <c r="MFC22" s="252">
        <v>0</v>
      </c>
      <c r="MFD22" s="252">
        <v>0</v>
      </c>
      <c r="MFE22" s="252">
        <v>0</v>
      </c>
      <c r="MFF22" s="252">
        <v>0</v>
      </c>
      <c r="MFG22" s="252">
        <v>0</v>
      </c>
      <c r="MFH22" s="252">
        <v>0</v>
      </c>
      <c r="MFI22" s="252">
        <v>0</v>
      </c>
      <c r="MFJ22" s="252">
        <v>0</v>
      </c>
      <c r="MFK22" s="252">
        <v>0</v>
      </c>
      <c r="MFL22" s="252">
        <v>0</v>
      </c>
      <c r="MFM22" s="252">
        <v>0</v>
      </c>
      <c r="MFN22" s="252">
        <v>0</v>
      </c>
      <c r="MFO22" s="252">
        <v>0</v>
      </c>
      <c r="MFP22" s="252">
        <v>0</v>
      </c>
      <c r="MFQ22" s="252">
        <v>0</v>
      </c>
      <c r="MFR22" s="252">
        <v>0</v>
      </c>
      <c r="MFS22" s="252">
        <v>0</v>
      </c>
      <c r="MFT22" s="252">
        <v>0</v>
      </c>
      <c r="MFU22" s="252">
        <v>0</v>
      </c>
      <c r="MFV22" s="252">
        <v>0</v>
      </c>
      <c r="MFW22" s="252">
        <v>0</v>
      </c>
      <c r="MFX22" s="252">
        <v>0</v>
      </c>
      <c r="MFY22" s="252">
        <v>0</v>
      </c>
      <c r="MFZ22" s="252">
        <v>0</v>
      </c>
      <c r="MGA22" s="252">
        <v>0</v>
      </c>
      <c r="MGB22" s="252">
        <v>0</v>
      </c>
      <c r="MGC22" s="252">
        <v>0</v>
      </c>
      <c r="MGD22" s="252">
        <v>0</v>
      </c>
      <c r="MGE22" s="252">
        <v>0</v>
      </c>
      <c r="MGF22" s="252">
        <v>0</v>
      </c>
      <c r="MGG22" s="252">
        <v>0</v>
      </c>
      <c r="MGH22" s="252">
        <v>0</v>
      </c>
      <c r="MGI22" s="252">
        <v>0</v>
      </c>
      <c r="MGJ22" s="252">
        <v>0</v>
      </c>
      <c r="MGK22" s="252">
        <v>0</v>
      </c>
      <c r="MGL22" s="252">
        <v>0</v>
      </c>
      <c r="MGM22" s="252">
        <v>0</v>
      </c>
      <c r="MGN22" s="252">
        <v>0</v>
      </c>
      <c r="MGO22" s="252">
        <v>0</v>
      </c>
      <c r="MGP22" s="252">
        <v>0</v>
      </c>
      <c r="MGQ22" s="252">
        <v>0</v>
      </c>
      <c r="MGR22" s="252">
        <v>0</v>
      </c>
      <c r="MGS22" s="252">
        <v>0</v>
      </c>
      <c r="MGT22" s="252">
        <v>0</v>
      </c>
      <c r="MGU22" s="252">
        <v>0</v>
      </c>
      <c r="MGV22" s="252">
        <v>0</v>
      </c>
      <c r="MGW22" s="252">
        <v>0</v>
      </c>
      <c r="MGX22" s="252">
        <v>0</v>
      </c>
      <c r="MGY22" s="252">
        <v>0</v>
      </c>
      <c r="MGZ22" s="252">
        <v>0</v>
      </c>
      <c r="MHA22" s="252">
        <v>0</v>
      </c>
      <c r="MHB22" s="252">
        <v>0</v>
      </c>
      <c r="MHC22" s="252">
        <v>0</v>
      </c>
      <c r="MHD22" s="252">
        <v>0</v>
      </c>
      <c r="MHE22" s="252">
        <v>0</v>
      </c>
      <c r="MHF22" s="252">
        <v>0</v>
      </c>
      <c r="MHG22" s="252">
        <v>0</v>
      </c>
      <c r="MHH22" s="252">
        <v>0</v>
      </c>
      <c r="MHI22" s="252">
        <v>0</v>
      </c>
      <c r="MHJ22" s="252">
        <v>0</v>
      </c>
      <c r="MHK22" s="252">
        <v>0</v>
      </c>
      <c r="MHL22" s="252">
        <v>0</v>
      </c>
      <c r="MHM22" s="252">
        <v>0</v>
      </c>
      <c r="MHN22" s="252">
        <v>0</v>
      </c>
      <c r="MHO22" s="252">
        <v>0</v>
      </c>
      <c r="MHP22" s="252">
        <v>0</v>
      </c>
      <c r="MHQ22" s="252">
        <v>0</v>
      </c>
      <c r="MHR22" s="252">
        <v>0</v>
      </c>
      <c r="MHS22" s="252">
        <v>0</v>
      </c>
      <c r="MHT22" s="252">
        <v>0</v>
      </c>
      <c r="MHU22" s="252">
        <v>0</v>
      </c>
      <c r="MHV22" s="252">
        <v>0</v>
      </c>
      <c r="MHW22" s="252">
        <v>0</v>
      </c>
      <c r="MHX22" s="252">
        <v>0</v>
      </c>
      <c r="MHY22" s="252">
        <v>0</v>
      </c>
      <c r="MHZ22" s="252">
        <v>0</v>
      </c>
      <c r="MIA22" s="252">
        <v>0</v>
      </c>
      <c r="MIB22" s="252">
        <v>0</v>
      </c>
      <c r="MIC22" s="252">
        <v>0</v>
      </c>
      <c r="MID22" s="252">
        <v>0</v>
      </c>
      <c r="MIE22" s="252">
        <v>0</v>
      </c>
      <c r="MIF22" s="252">
        <v>0</v>
      </c>
      <c r="MIG22" s="252">
        <v>0</v>
      </c>
      <c r="MIH22" s="252">
        <v>0</v>
      </c>
      <c r="MII22" s="252">
        <v>0</v>
      </c>
      <c r="MIJ22" s="252">
        <v>0</v>
      </c>
      <c r="MIK22" s="252">
        <v>0</v>
      </c>
      <c r="MIL22" s="252">
        <v>0</v>
      </c>
      <c r="MIM22" s="252">
        <v>0</v>
      </c>
      <c r="MIN22" s="252">
        <v>0</v>
      </c>
      <c r="MIO22" s="252">
        <v>0</v>
      </c>
      <c r="MIP22" s="252">
        <v>0</v>
      </c>
      <c r="MIQ22" s="252">
        <v>0</v>
      </c>
      <c r="MIR22" s="252">
        <v>0</v>
      </c>
      <c r="MIS22" s="252">
        <v>0</v>
      </c>
      <c r="MIT22" s="252">
        <v>0</v>
      </c>
      <c r="MIU22" s="252">
        <v>0</v>
      </c>
      <c r="MIV22" s="252">
        <v>0</v>
      </c>
      <c r="MIW22" s="252">
        <v>0</v>
      </c>
      <c r="MIX22" s="252">
        <v>0</v>
      </c>
      <c r="MIY22" s="252">
        <v>0</v>
      </c>
      <c r="MIZ22" s="252">
        <v>0</v>
      </c>
      <c r="MJA22" s="252">
        <v>0</v>
      </c>
      <c r="MJB22" s="252">
        <v>0</v>
      </c>
      <c r="MJC22" s="252">
        <v>0</v>
      </c>
      <c r="MJD22" s="252">
        <v>0</v>
      </c>
      <c r="MJE22" s="252">
        <v>0</v>
      </c>
      <c r="MJF22" s="252">
        <v>0</v>
      </c>
      <c r="MJG22" s="252">
        <v>0</v>
      </c>
      <c r="MJH22" s="252">
        <v>0</v>
      </c>
      <c r="MJI22" s="252">
        <v>0</v>
      </c>
      <c r="MJJ22" s="252">
        <v>0</v>
      </c>
      <c r="MJK22" s="252">
        <v>0</v>
      </c>
      <c r="MJL22" s="252">
        <v>0</v>
      </c>
      <c r="MJM22" s="252">
        <v>0</v>
      </c>
      <c r="MJN22" s="252">
        <v>0</v>
      </c>
      <c r="MJO22" s="252">
        <v>0</v>
      </c>
      <c r="MJP22" s="252">
        <v>0</v>
      </c>
      <c r="MJQ22" s="252">
        <v>0</v>
      </c>
      <c r="MJR22" s="252">
        <v>0</v>
      </c>
      <c r="MJS22" s="252">
        <v>0</v>
      </c>
      <c r="MJT22" s="252">
        <v>0</v>
      </c>
      <c r="MJU22" s="252">
        <v>0</v>
      </c>
      <c r="MJV22" s="252">
        <v>0</v>
      </c>
      <c r="MJW22" s="252">
        <v>0</v>
      </c>
      <c r="MJX22" s="252">
        <v>0</v>
      </c>
      <c r="MJY22" s="252">
        <v>0</v>
      </c>
      <c r="MJZ22" s="252">
        <v>0</v>
      </c>
      <c r="MKA22" s="252">
        <v>0</v>
      </c>
      <c r="MKB22" s="252">
        <v>0</v>
      </c>
      <c r="MKC22" s="252">
        <v>0</v>
      </c>
      <c r="MKD22" s="252">
        <v>0</v>
      </c>
      <c r="MKE22" s="252">
        <v>0</v>
      </c>
      <c r="MKF22" s="252">
        <v>0</v>
      </c>
      <c r="MKG22" s="252">
        <v>0</v>
      </c>
      <c r="MKH22" s="252">
        <v>0</v>
      </c>
      <c r="MKI22" s="252">
        <v>0</v>
      </c>
      <c r="MKJ22" s="252">
        <v>0</v>
      </c>
      <c r="MKK22" s="252">
        <v>0</v>
      </c>
      <c r="MKL22" s="252">
        <v>0</v>
      </c>
      <c r="MKM22" s="252">
        <v>0</v>
      </c>
      <c r="MKN22" s="252">
        <v>0</v>
      </c>
      <c r="MKO22" s="252">
        <v>0</v>
      </c>
      <c r="MKP22" s="252">
        <v>0</v>
      </c>
      <c r="MKQ22" s="252">
        <v>0</v>
      </c>
      <c r="MKR22" s="252">
        <v>0</v>
      </c>
      <c r="MKS22" s="252">
        <v>0</v>
      </c>
      <c r="MKT22" s="252">
        <v>0</v>
      </c>
      <c r="MKU22" s="252">
        <v>0</v>
      </c>
      <c r="MKV22" s="252">
        <v>0</v>
      </c>
      <c r="MKW22" s="252">
        <v>0</v>
      </c>
      <c r="MKX22" s="252">
        <v>0</v>
      </c>
      <c r="MKY22" s="252">
        <v>0</v>
      </c>
      <c r="MKZ22" s="252">
        <v>0</v>
      </c>
      <c r="MLA22" s="252">
        <v>0</v>
      </c>
      <c r="MLB22" s="252">
        <v>0</v>
      </c>
      <c r="MLC22" s="252">
        <v>0</v>
      </c>
      <c r="MLD22" s="252">
        <v>0</v>
      </c>
      <c r="MLE22" s="252">
        <v>0</v>
      </c>
      <c r="MLF22" s="252">
        <v>0</v>
      </c>
      <c r="MLG22" s="252">
        <v>0</v>
      </c>
      <c r="MLH22" s="252">
        <v>0</v>
      </c>
      <c r="MLI22" s="252">
        <v>0</v>
      </c>
      <c r="MLJ22" s="252">
        <v>0</v>
      </c>
      <c r="MLK22" s="252">
        <v>0</v>
      </c>
      <c r="MLL22" s="252">
        <v>0</v>
      </c>
      <c r="MLM22" s="252">
        <v>0</v>
      </c>
      <c r="MLN22" s="252">
        <v>0</v>
      </c>
      <c r="MLO22" s="252">
        <v>0</v>
      </c>
      <c r="MLP22" s="252">
        <v>0</v>
      </c>
      <c r="MLQ22" s="252">
        <v>0</v>
      </c>
      <c r="MLR22" s="252">
        <v>0</v>
      </c>
      <c r="MLS22" s="252">
        <v>0</v>
      </c>
      <c r="MLT22" s="252">
        <v>0</v>
      </c>
      <c r="MLU22" s="252">
        <v>0</v>
      </c>
      <c r="MLV22" s="252">
        <v>0</v>
      </c>
      <c r="MLW22" s="252">
        <v>0</v>
      </c>
      <c r="MLX22" s="252">
        <v>0</v>
      </c>
      <c r="MLY22" s="252">
        <v>0</v>
      </c>
      <c r="MLZ22" s="252">
        <v>0</v>
      </c>
      <c r="MMA22" s="252">
        <v>0</v>
      </c>
      <c r="MMB22" s="252">
        <v>0</v>
      </c>
      <c r="MMC22" s="252">
        <v>0</v>
      </c>
      <c r="MMD22" s="252">
        <v>0</v>
      </c>
      <c r="MME22" s="252">
        <v>0</v>
      </c>
      <c r="MMF22" s="252">
        <v>0</v>
      </c>
      <c r="MMG22" s="252">
        <v>0</v>
      </c>
      <c r="MMH22" s="252">
        <v>0</v>
      </c>
      <c r="MMI22" s="252">
        <v>0</v>
      </c>
      <c r="MMJ22" s="252">
        <v>0</v>
      </c>
      <c r="MMK22" s="252">
        <v>0</v>
      </c>
      <c r="MML22" s="252">
        <v>0</v>
      </c>
      <c r="MMM22" s="252">
        <v>0</v>
      </c>
      <c r="MMN22" s="252">
        <v>0</v>
      </c>
      <c r="MMO22" s="252">
        <v>0</v>
      </c>
      <c r="MMP22" s="252">
        <v>0</v>
      </c>
      <c r="MMQ22" s="252">
        <v>0</v>
      </c>
      <c r="MMR22" s="252">
        <v>0</v>
      </c>
      <c r="MMS22" s="252">
        <v>0</v>
      </c>
      <c r="MMT22" s="252">
        <v>0</v>
      </c>
      <c r="MMU22" s="252">
        <v>0</v>
      </c>
      <c r="MMV22" s="252">
        <v>0</v>
      </c>
      <c r="MMW22" s="252">
        <v>0</v>
      </c>
      <c r="MMX22" s="252">
        <v>0</v>
      </c>
      <c r="MMY22" s="252">
        <v>0</v>
      </c>
      <c r="MMZ22" s="252">
        <v>0</v>
      </c>
      <c r="MNA22" s="252">
        <v>0</v>
      </c>
      <c r="MNB22" s="252">
        <v>0</v>
      </c>
      <c r="MNC22" s="252">
        <v>0</v>
      </c>
      <c r="MND22" s="252">
        <v>0</v>
      </c>
      <c r="MNE22" s="252">
        <v>0</v>
      </c>
      <c r="MNF22" s="252">
        <v>0</v>
      </c>
      <c r="MNG22" s="252">
        <v>0</v>
      </c>
      <c r="MNH22" s="252">
        <v>0</v>
      </c>
      <c r="MNI22" s="252">
        <v>0</v>
      </c>
      <c r="MNJ22" s="252">
        <v>0</v>
      </c>
      <c r="MNK22" s="252">
        <v>0</v>
      </c>
      <c r="MNL22" s="252">
        <v>0</v>
      </c>
      <c r="MNM22" s="252">
        <v>0</v>
      </c>
      <c r="MNN22" s="252">
        <v>0</v>
      </c>
      <c r="MNO22" s="252">
        <v>0</v>
      </c>
      <c r="MNP22" s="252">
        <v>0</v>
      </c>
      <c r="MNQ22" s="252">
        <v>0</v>
      </c>
      <c r="MNR22" s="252">
        <v>0</v>
      </c>
      <c r="MNS22" s="252">
        <v>0</v>
      </c>
      <c r="MNT22" s="252">
        <v>0</v>
      </c>
      <c r="MNU22" s="252">
        <v>0</v>
      </c>
      <c r="MNV22" s="252">
        <v>0</v>
      </c>
      <c r="MNW22" s="252">
        <v>0</v>
      </c>
      <c r="MNX22" s="252">
        <v>0</v>
      </c>
      <c r="MNY22" s="252">
        <v>0</v>
      </c>
      <c r="MNZ22" s="252">
        <v>0</v>
      </c>
      <c r="MOA22" s="252">
        <v>0</v>
      </c>
      <c r="MOB22" s="252">
        <v>0</v>
      </c>
      <c r="MOC22" s="252">
        <v>0</v>
      </c>
      <c r="MOD22" s="252">
        <v>0</v>
      </c>
      <c r="MOE22" s="252">
        <v>0</v>
      </c>
      <c r="MOF22" s="252">
        <v>0</v>
      </c>
      <c r="MOG22" s="252">
        <v>0</v>
      </c>
      <c r="MOH22" s="252">
        <v>0</v>
      </c>
      <c r="MOI22" s="252">
        <v>0</v>
      </c>
      <c r="MOJ22" s="252">
        <v>0</v>
      </c>
      <c r="MOK22" s="252">
        <v>0</v>
      </c>
      <c r="MOL22" s="252">
        <v>0</v>
      </c>
      <c r="MOM22" s="252">
        <v>0</v>
      </c>
      <c r="MON22" s="252">
        <v>0</v>
      </c>
      <c r="MOO22" s="252">
        <v>0</v>
      </c>
      <c r="MOP22" s="252">
        <v>0</v>
      </c>
      <c r="MOQ22" s="252">
        <v>0</v>
      </c>
      <c r="MOR22" s="252">
        <v>0</v>
      </c>
      <c r="MOS22" s="252">
        <v>0</v>
      </c>
      <c r="MOT22" s="252">
        <v>0</v>
      </c>
      <c r="MOU22" s="252">
        <v>0</v>
      </c>
      <c r="MOV22" s="252">
        <v>0</v>
      </c>
      <c r="MOW22" s="252">
        <v>0</v>
      </c>
      <c r="MOX22" s="252">
        <v>0</v>
      </c>
      <c r="MOY22" s="252">
        <v>0</v>
      </c>
      <c r="MOZ22" s="252">
        <v>0</v>
      </c>
      <c r="MPA22" s="252">
        <v>0</v>
      </c>
      <c r="MPB22" s="252">
        <v>0</v>
      </c>
      <c r="MPC22" s="252">
        <v>0</v>
      </c>
      <c r="MPD22" s="252">
        <v>0</v>
      </c>
      <c r="MPE22" s="252">
        <v>0</v>
      </c>
      <c r="MPF22" s="252">
        <v>0</v>
      </c>
      <c r="MPG22" s="252">
        <v>0</v>
      </c>
      <c r="MPH22" s="252">
        <v>0</v>
      </c>
      <c r="MPI22" s="252">
        <v>0</v>
      </c>
      <c r="MPJ22" s="252">
        <v>0</v>
      </c>
      <c r="MPK22" s="252">
        <v>0</v>
      </c>
      <c r="MPL22" s="252">
        <v>0</v>
      </c>
      <c r="MPM22" s="252">
        <v>0</v>
      </c>
      <c r="MPN22" s="252">
        <v>0</v>
      </c>
      <c r="MPO22" s="252">
        <v>0</v>
      </c>
      <c r="MPP22" s="252">
        <v>0</v>
      </c>
      <c r="MPQ22" s="252">
        <v>0</v>
      </c>
      <c r="MPR22" s="252">
        <v>0</v>
      </c>
      <c r="MPS22" s="252">
        <v>0</v>
      </c>
      <c r="MPT22" s="252">
        <v>0</v>
      </c>
      <c r="MPU22" s="252">
        <v>0</v>
      </c>
      <c r="MPV22" s="252">
        <v>0</v>
      </c>
      <c r="MPW22" s="252">
        <v>0</v>
      </c>
      <c r="MPX22" s="252">
        <v>0</v>
      </c>
      <c r="MPY22" s="252">
        <v>0</v>
      </c>
      <c r="MPZ22" s="252">
        <v>0</v>
      </c>
      <c r="MQA22" s="252">
        <v>0</v>
      </c>
      <c r="MQB22" s="252">
        <v>0</v>
      </c>
      <c r="MQC22" s="252">
        <v>0</v>
      </c>
      <c r="MQD22" s="252">
        <v>0</v>
      </c>
      <c r="MQE22" s="252">
        <v>0</v>
      </c>
      <c r="MQF22" s="252">
        <v>0</v>
      </c>
      <c r="MQG22" s="252">
        <v>0</v>
      </c>
      <c r="MQH22" s="252">
        <v>0</v>
      </c>
      <c r="MQI22" s="252">
        <v>0</v>
      </c>
      <c r="MQJ22" s="252">
        <v>0</v>
      </c>
      <c r="MQK22" s="252">
        <v>0</v>
      </c>
      <c r="MQL22" s="252">
        <v>0</v>
      </c>
      <c r="MQM22" s="252">
        <v>0</v>
      </c>
      <c r="MQN22" s="252">
        <v>0</v>
      </c>
      <c r="MQO22" s="252">
        <v>0</v>
      </c>
      <c r="MQP22" s="252">
        <v>0</v>
      </c>
      <c r="MQQ22" s="252">
        <v>0</v>
      </c>
      <c r="MQR22" s="252">
        <v>0</v>
      </c>
      <c r="MQS22" s="252">
        <v>0</v>
      </c>
      <c r="MQT22" s="252">
        <v>0</v>
      </c>
      <c r="MQU22" s="252">
        <v>0</v>
      </c>
      <c r="MQV22" s="252">
        <v>0</v>
      </c>
      <c r="MQW22" s="252">
        <v>0</v>
      </c>
      <c r="MQX22" s="252">
        <v>0</v>
      </c>
      <c r="MQY22" s="252">
        <v>0</v>
      </c>
      <c r="MQZ22" s="252">
        <v>0</v>
      </c>
      <c r="MRA22" s="252">
        <v>0</v>
      </c>
      <c r="MRB22" s="252">
        <v>0</v>
      </c>
      <c r="MRC22" s="252">
        <v>0</v>
      </c>
      <c r="MRD22" s="252">
        <v>0</v>
      </c>
      <c r="MRE22" s="252">
        <v>0</v>
      </c>
      <c r="MRF22" s="252">
        <v>0</v>
      </c>
      <c r="MRG22" s="252">
        <v>0</v>
      </c>
      <c r="MRH22" s="252">
        <v>0</v>
      </c>
      <c r="MRI22" s="252">
        <v>0</v>
      </c>
      <c r="MRJ22" s="252">
        <v>0</v>
      </c>
      <c r="MRK22" s="252">
        <v>0</v>
      </c>
      <c r="MRL22" s="252">
        <v>0</v>
      </c>
      <c r="MRM22" s="252">
        <v>0</v>
      </c>
      <c r="MRN22" s="252">
        <v>0</v>
      </c>
      <c r="MRO22" s="252">
        <v>0</v>
      </c>
      <c r="MRP22" s="252">
        <v>0</v>
      </c>
      <c r="MRQ22" s="252">
        <v>0</v>
      </c>
      <c r="MRR22" s="252">
        <v>0</v>
      </c>
      <c r="MRS22" s="252">
        <v>0</v>
      </c>
      <c r="MRT22" s="252">
        <v>0</v>
      </c>
      <c r="MRU22" s="252">
        <v>0</v>
      </c>
      <c r="MRV22" s="252">
        <v>0</v>
      </c>
      <c r="MRW22" s="252">
        <v>0</v>
      </c>
      <c r="MRX22" s="252">
        <v>0</v>
      </c>
      <c r="MRY22" s="252">
        <v>0</v>
      </c>
      <c r="MRZ22" s="252">
        <v>0</v>
      </c>
      <c r="MSA22" s="252">
        <v>0</v>
      </c>
      <c r="MSB22" s="252">
        <v>0</v>
      </c>
      <c r="MSC22" s="252">
        <v>0</v>
      </c>
      <c r="MSD22" s="252">
        <v>0</v>
      </c>
      <c r="MSE22" s="252">
        <v>0</v>
      </c>
      <c r="MSF22" s="252">
        <v>0</v>
      </c>
      <c r="MSG22" s="252">
        <v>0</v>
      </c>
      <c r="MSH22" s="252">
        <v>0</v>
      </c>
      <c r="MSI22" s="252">
        <v>0</v>
      </c>
      <c r="MSJ22" s="252">
        <v>0</v>
      </c>
      <c r="MSK22" s="252">
        <v>0</v>
      </c>
      <c r="MSL22" s="252">
        <v>0</v>
      </c>
      <c r="MSM22" s="252">
        <v>0</v>
      </c>
      <c r="MSN22" s="252">
        <v>0</v>
      </c>
      <c r="MSO22" s="252">
        <v>0</v>
      </c>
      <c r="MSP22" s="252">
        <v>0</v>
      </c>
      <c r="MSQ22" s="252">
        <v>0</v>
      </c>
      <c r="MSR22" s="252">
        <v>0</v>
      </c>
      <c r="MSS22" s="252">
        <v>0</v>
      </c>
      <c r="MST22" s="252">
        <v>0</v>
      </c>
      <c r="MSU22" s="252">
        <v>0</v>
      </c>
      <c r="MSV22" s="252">
        <v>0</v>
      </c>
      <c r="MSW22" s="252">
        <v>0</v>
      </c>
      <c r="MSX22" s="252">
        <v>0</v>
      </c>
      <c r="MSY22" s="252">
        <v>0</v>
      </c>
      <c r="MSZ22" s="252">
        <v>0</v>
      </c>
      <c r="MTA22" s="252">
        <v>0</v>
      </c>
      <c r="MTB22" s="252">
        <v>0</v>
      </c>
      <c r="MTC22" s="252">
        <v>0</v>
      </c>
      <c r="MTD22" s="252">
        <v>0</v>
      </c>
      <c r="MTE22" s="252">
        <v>0</v>
      </c>
      <c r="MTF22" s="252">
        <v>0</v>
      </c>
      <c r="MTG22" s="252">
        <v>0</v>
      </c>
      <c r="MTH22" s="252">
        <v>0</v>
      </c>
      <c r="MTI22" s="252">
        <v>0</v>
      </c>
      <c r="MTJ22" s="252">
        <v>0</v>
      </c>
      <c r="MTK22" s="252">
        <v>0</v>
      </c>
      <c r="MTL22" s="252">
        <v>0</v>
      </c>
      <c r="MTM22" s="252">
        <v>0</v>
      </c>
      <c r="MTN22" s="252">
        <v>0</v>
      </c>
      <c r="MTO22" s="252">
        <v>0</v>
      </c>
      <c r="MTP22" s="252">
        <v>0</v>
      </c>
      <c r="MTQ22" s="252">
        <v>0</v>
      </c>
      <c r="MTR22" s="252">
        <v>0</v>
      </c>
      <c r="MTS22" s="252">
        <v>0</v>
      </c>
      <c r="MTT22" s="252">
        <v>0</v>
      </c>
      <c r="MTU22" s="252">
        <v>0</v>
      </c>
      <c r="MTV22" s="252">
        <v>0</v>
      </c>
      <c r="MTW22" s="252">
        <v>0</v>
      </c>
      <c r="MTX22" s="252">
        <v>0</v>
      </c>
      <c r="MTY22" s="252">
        <v>0</v>
      </c>
      <c r="MTZ22" s="252">
        <v>0</v>
      </c>
      <c r="MUA22" s="252">
        <v>0</v>
      </c>
      <c r="MUB22" s="252">
        <v>0</v>
      </c>
      <c r="MUC22" s="252">
        <v>0</v>
      </c>
      <c r="MUD22" s="252">
        <v>0</v>
      </c>
      <c r="MUE22" s="252">
        <v>0</v>
      </c>
      <c r="MUF22" s="252">
        <v>0</v>
      </c>
      <c r="MUG22" s="252">
        <v>0</v>
      </c>
      <c r="MUH22" s="252">
        <v>0</v>
      </c>
      <c r="MUI22" s="252">
        <v>0</v>
      </c>
      <c r="MUJ22" s="252">
        <v>0</v>
      </c>
      <c r="MUK22" s="252">
        <v>0</v>
      </c>
      <c r="MUL22" s="252">
        <v>0</v>
      </c>
      <c r="MUM22" s="252">
        <v>0</v>
      </c>
      <c r="MUN22" s="252">
        <v>0</v>
      </c>
      <c r="MUO22" s="252">
        <v>0</v>
      </c>
      <c r="MUP22" s="252">
        <v>0</v>
      </c>
      <c r="MUQ22" s="252">
        <v>0</v>
      </c>
      <c r="MUR22" s="252">
        <v>0</v>
      </c>
      <c r="MUS22" s="252">
        <v>0</v>
      </c>
      <c r="MUT22" s="252">
        <v>0</v>
      </c>
      <c r="MUU22" s="252">
        <v>0</v>
      </c>
      <c r="MUV22" s="252">
        <v>0</v>
      </c>
      <c r="MUW22" s="252">
        <v>0</v>
      </c>
      <c r="MUX22" s="252">
        <v>0</v>
      </c>
      <c r="MUY22" s="252">
        <v>0</v>
      </c>
      <c r="MUZ22" s="252">
        <v>0</v>
      </c>
      <c r="MVA22" s="252">
        <v>0</v>
      </c>
      <c r="MVB22" s="252">
        <v>0</v>
      </c>
      <c r="MVC22" s="252">
        <v>0</v>
      </c>
      <c r="MVD22" s="252">
        <v>0</v>
      </c>
      <c r="MVE22" s="252">
        <v>0</v>
      </c>
      <c r="MVF22" s="252">
        <v>0</v>
      </c>
      <c r="MVG22" s="252">
        <v>0</v>
      </c>
      <c r="MVH22" s="252">
        <v>0</v>
      </c>
      <c r="MVI22" s="252">
        <v>0</v>
      </c>
      <c r="MVJ22" s="252">
        <v>0</v>
      </c>
      <c r="MVK22" s="252">
        <v>0</v>
      </c>
      <c r="MVL22" s="252">
        <v>0</v>
      </c>
      <c r="MVM22" s="252">
        <v>0</v>
      </c>
      <c r="MVN22" s="252">
        <v>0</v>
      </c>
      <c r="MVO22" s="252">
        <v>0</v>
      </c>
      <c r="MVP22" s="252">
        <v>0</v>
      </c>
      <c r="MVQ22" s="252">
        <v>0</v>
      </c>
      <c r="MVR22" s="252">
        <v>0</v>
      </c>
      <c r="MVS22" s="252">
        <v>0</v>
      </c>
      <c r="MVT22" s="252">
        <v>0</v>
      </c>
      <c r="MVU22" s="252">
        <v>0</v>
      </c>
      <c r="MVV22" s="252">
        <v>0</v>
      </c>
      <c r="MVW22" s="252">
        <v>0</v>
      </c>
      <c r="MVX22" s="252">
        <v>0</v>
      </c>
      <c r="MVY22" s="252">
        <v>0</v>
      </c>
      <c r="MVZ22" s="252">
        <v>0</v>
      </c>
      <c r="MWA22" s="252">
        <v>0</v>
      </c>
      <c r="MWB22" s="252">
        <v>0</v>
      </c>
      <c r="MWC22" s="252">
        <v>0</v>
      </c>
      <c r="MWD22" s="252">
        <v>0</v>
      </c>
      <c r="MWE22" s="252">
        <v>0</v>
      </c>
      <c r="MWF22" s="252">
        <v>0</v>
      </c>
      <c r="MWG22" s="252">
        <v>0</v>
      </c>
      <c r="MWH22" s="252">
        <v>0</v>
      </c>
      <c r="MWI22" s="252">
        <v>0</v>
      </c>
      <c r="MWJ22" s="252">
        <v>0</v>
      </c>
      <c r="MWK22" s="252">
        <v>0</v>
      </c>
      <c r="MWL22" s="252">
        <v>0</v>
      </c>
      <c r="MWM22" s="252">
        <v>0</v>
      </c>
      <c r="MWN22" s="252">
        <v>0</v>
      </c>
      <c r="MWO22" s="252">
        <v>0</v>
      </c>
      <c r="MWP22" s="252">
        <v>0</v>
      </c>
      <c r="MWQ22" s="252">
        <v>0</v>
      </c>
      <c r="MWR22" s="252">
        <v>0</v>
      </c>
      <c r="MWS22" s="252">
        <v>0</v>
      </c>
      <c r="MWT22" s="252">
        <v>0</v>
      </c>
      <c r="MWU22" s="252">
        <v>0</v>
      </c>
      <c r="MWV22" s="252">
        <v>0</v>
      </c>
      <c r="MWW22" s="252">
        <v>0</v>
      </c>
      <c r="MWX22" s="252">
        <v>0</v>
      </c>
      <c r="MWY22" s="252">
        <v>0</v>
      </c>
      <c r="MWZ22" s="252">
        <v>0</v>
      </c>
      <c r="MXA22" s="252">
        <v>0</v>
      </c>
      <c r="MXB22" s="252">
        <v>0</v>
      </c>
      <c r="MXC22" s="252">
        <v>0</v>
      </c>
      <c r="MXD22" s="252">
        <v>0</v>
      </c>
      <c r="MXE22" s="252">
        <v>0</v>
      </c>
      <c r="MXF22" s="252">
        <v>0</v>
      </c>
      <c r="MXG22" s="252">
        <v>0</v>
      </c>
      <c r="MXH22" s="252">
        <v>0</v>
      </c>
      <c r="MXI22" s="252">
        <v>0</v>
      </c>
      <c r="MXJ22" s="252">
        <v>0</v>
      </c>
      <c r="MXK22" s="252">
        <v>0</v>
      </c>
      <c r="MXL22" s="252">
        <v>0</v>
      </c>
      <c r="MXM22" s="252">
        <v>0</v>
      </c>
      <c r="MXN22" s="252">
        <v>0</v>
      </c>
      <c r="MXO22" s="252">
        <v>0</v>
      </c>
      <c r="MXP22" s="252">
        <v>0</v>
      </c>
      <c r="MXQ22" s="252">
        <v>0</v>
      </c>
      <c r="MXR22" s="252">
        <v>0</v>
      </c>
      <c r="MXS22" s="252">
        <v>0</v>
      </c>
      <c r="MXT22" s="252">
        <v>0</v>
      </c>
      <c r="MXU22" s="252">
        <v>0</v>
      </c>
      <c r="MXV22" s="252">
        <v>0</v>
      </c>
      <c r="MXW22" s="252">
        <v>0</v>
      </c>
      <c r="MXX22" s="252">
        <v>0</v>
      </c>
      <c r="MXY22" s="252">
        <v>0</v>
      </c>
      <c r="MXZ22" s="252">
        <v>0</v>
      </c>
      <c r="MYA22" s="252">
        <v>0</v>
      </c>
      <c r="MYB22" s="252">
        <v>0</v>
      </c>
      <c r="MYC22" s="252">
        <v>0</v>
      </c>
      <c r="MYD22" s="252">
        <v>0</v>
      </c>
      <c r="MYE22" s="252">
        <v>0</v>
      </c>
      <c r="MYF22" s="252">
        <v>0</v>
      </c>
      <c r="MYG22" s="252">
        <v>0</v>
      </c>
      <c r="MYH22" s="252">
        <v>0</v>
      </c>
      <c r="MYI22" s="252">
        <v>0</v>
      </c>
      <c r="MYJ22" s="252">
        <v>0</v>
      </c>
      <c r="MYK22" s="252">
        <v>0</v>
      </c>
      <c r="MYL22" s="252">
        <v>0</v>
      </c>
      <c r="MYM22" s="252">
        <v>0</v>
      </c>
      <c r="MYN22" s="252">
        <v>0</v>
      </c>
      <c r="MYO22" s="252">
        <v>0</v>
      </c>
      <c r="MYP22" s="252">
        <v>0</v>
      </c>
      <c r="MYQ22" s="252">
        <v>0</v>
      </c>
      <c r="MYR22" s="252">
        <v>0</v>
      </c>
      <c r="MYS22" s="252">
        <v>0</v>
      </c>
      <c r="MYT22" s="252">
        <v>0</v>
      </c>
      <c r="MYU22" s="252">
        <v>0</v>
      </c>
      <c r="MYV22" s="252">
        <v>0</v>
      </c>
      <c r="MYW22" s="252">
        <v>0</v>
      </c>
      <c r="MYX22" s="252">
        <v>0</v>
      </c>
      <c r="MYY22" s="252">
        <v>0</v>
      </c>
      <c r="MYZ22" s="252">
        <v>0</v>
      </c>
      <c r="MZA22" s="252">
        <v>0</v>
      </c>
      <c r="MZB22" s="252">
        <v>0</v>
      </c>
      <c r="MZC22" s="252">
        <v>0</v>
      </c>
      <c r="MZD22" s="252">
        <v>0</v>
      </c>
      <c r="MZE22" s="252">
        <v>0</v>
      </c>
      <c r="MZF22" s="252">
        <v>0</v>
      </c>
      <c r="MZG22" s="252">
        <v>0</v>
      </c>
      <c r="MZH22" s="252">
        <v>0</v>
      </c>
      <c r="MZI22" s="252">
        <v>0</v>
      </c>
      <c r="MZJ22" s="252">
        <v>0</v>
      </c>
      <c r="MZK22" s="252">
        <v>0</v>
      </c>
      <c r="MZL22" s="252">
        <v>0</v>
      </c>
      <c r="MZM22" s="252">
        <v>0</v>
      </c>
      <c r="MZN22" s="252">
        <v>0</v>
      </c>
      <c r="MZO22" s="252">
        <v>0</v>
      </c>
      <c r="MZP22" s="252">
        <v>0</v>
      </c>
      <c r="MZQ22" s="252">
        <v>0</v>
      </c>
      <c r="MZR22" s="252">
        <v>0</v>
      </c>
      <c r="MZS22" s="252">
        <v>0</v>
      </c>
      <c r="MZT22" s="252">
        <v>0</v>
      </c>
      <c r="MZU22" s="252">
        <v>0</v>
      </c>
      <c r="MZV22" s="252">
        <v>0</v>
      </c>
      <c r="MZW22" s="252">
        <v>0</v>
      </c>
      <c r="MZX22" s="252">
        <v>0</v>
      </c>
      <c r="MZY22" s="252">
        <v>0</v>
      </c>
      <c r="MZZ22" s="252">
        <v>0</v>
      </c>
      <c r="NAA22" s="252">
        <v>0</v>
      </c>
      <c r="NAB22" s="252">
        <v>0</v>
      </c>
      <c r="NAC22" s="252">
        <v>0</v>
      </c>
      <c r="NAD22" s="252">
        <v>0</v>
      </c>
      <c r="NAE22" s="252">
        <v>0</v>
      </c>
      <c r="NAF22" s="252">
        <v>0</v>
      </c>
      <c r="NAG22" s="252">
        <v>0</v>
      </c>
      <c r="NAH22" s="252">
        <v>0</v>
      </c>
      <c r="NAI22" s="252">
        <v>0</v>
      </c>
      <c r="NAJ22" s="252">
        <v>0</v>
      </c>
      <c r="NAK22" s="252">
        <v>0</v>
      </c>
      <c r="NAL22" s="252">
        <v>0</v>
      </c>
      <c r="NAM22" s="252">
        <v>0</v>
      </c>
      <c r="NAN22" s="252">
        <v>0</v>
      </c>
      <c r="NAO22" s="252">
        <v>0</v>
      </c>
      <c r="NAP22" s="252">
        <v>0</v>
      </c>
      <c r="NAQ22" s="252">
        <v>0</v>
      </c>
      <c r="NAR22" s="252">
        <v>0</v>
      </c>
      <c r="NAS22" s="252">
        <v>0</v>
      </c>
      <c r="NAT22" s="252">
        <v>0</v>
      </c>
      <c r="NAU22" s="252">
        <v>0</v>
      </c>
      <c r="NAV22" s="252">
        <v>0</v>
      </c>
      <c r="NAW22" s="252">
        <v>0</v>
      </c>
      <c r="NAX22" s="252">
        <v>0</v>
      </c>
      <c r="NAY22" s="252">
        <v>0</v>
      </c>
      <c r="NAZ22" s="252">
        <v>0</v>
      </c>
      <c r="NBA22" s="252">
        <v>0</v>
      </c>
      <c r="NBB22" s="252">
        <v>0</v>
      </c>
      <c r="NBC22" s="252">
        <v>0</v>
      </c>
      <c r="NBD22" s="252">
        <v>0</v>
      </c>
      <c r="NBE22" s="252">
        <v>0</v>
      </c>
      <c r="NBF22" s="252">
        <v>0</v>
      </c>
      <c r="NBG22" s="252">
        <v>0</v>
      </c>
      <c r="NBH22" s="252">
        <v>0</v>
      </c>
      <c r="NBI22" s="252">
        <v>0</v>
      </c>
      <c r="NBJ22" s="252">
        <v>0</v>
      </c>
      <c r="NBK22" s="252">
        <v>0</v>
      </c>
      <c r="NBL22" s="252">
        <v>0</v>
      </c>
      <c r="NBM22" s="252">
        <v>0</v>
      </c>
      <c r="NBN22" s="252">
        <v>0</v>
      </c>
      <c r="NBO22" s="252">
        <v>0</v>
      </c>
      <c r="NBP22" s="252">
        <v>0</v>
      </c>
      <c r="NBQ22" s="252">
        <v>0</v>
      </c>
      <c r="NBR22" s="252">
        <v>0</v>
      </c>
      <c r="NBS22" s="252">
        <v>0</v>
      </c>
      <c r="NBT22" s="252">
        <v>0</v>
      </c>
      <c r="NBU22" s="252">
        <v>0</v>
      </c>
      <c r="NBV22" s="252">
        <v>0</v>
      </c>
      <c r="NBW22" s="252">
        <v>0</v>
      </c>
      <c r="NBX22" s="252">
        <v>0</v>
      </c>
      <c r="NBY22" s="252">
        <v>0</v>
      </c>
      <c r="NBZ22" s="252">
        <v>0</v>
      </c>
      <c r="NCA22" s="252">
        <v>0</v>
      </c>
      <c r="NCB22" s="252">
        <v>0</v>
      </c>
      <c r="NCC22" s="252">
        <v>0</v>
      </c>
      <c r="NCD22" s="252">
        <v>0</v>
      </c>
      <c r="NCE22" s="252">
        <v>0</v>
      </c>
      <c r="NCF22" s="252">
        <v>0</v>
      </c>
      <c r="NCG22" s="252">
        <v>0</v>
      </c>
      <c r="NCH22" s="252">
        <v>0</v>
      </c>
      <c r="NCI22" s="252">
        <v>0</v>
      </c>
      <c r="NCJ22" s="252">
        <v>0</v>
      </c>
      <c r="NCK22" s="252">
        <v>0</v>
      </c>
      <c r="NCL22" s="252">
        <v>0</v>
      </c>
      <c r="NCM22" s="252">
        <v>0</v>
      </c>
      <c r="NCN22" s="252">
        <v>0</v>
      </c>
      <c r="NCO22" s="252">
        <v>0</v>
      </c>
      <c r="NCP22" s="252">
        <v>0</v>
      </c>
      <c r="NCQ22" s="252">
        <v>0</v>
      </c>
      <c r="NCR22" s="252">
        <v>0</v>
      </c>
      <c r="NCS22" s="252">
        <v>0</v>
      </c>
      <c r="NCT22" s="252">
        <v>0</v>
      </c>
      <c r="NCU22" s="252">
        <v>0</v>
      </c>
      <c r="NCV22" s="252">
        <v>0</v>
      </c>
      <c r="NCW22" s="252">
        <v>0</v>
      </c>
      <c r="NCX22" s="252">
        <v>0</v>
      </c>
      <c r="NCY22" s="252">
        <v>0</v>
      </c>
      <c r="NCZ22" s="252">
        <v>0</v>
      </c>
      <c r="NDA22" s="252">
        <v>0</v>
      </c>
      <c r="NDB22" s="252">
        <v>0</v>
      </c>
      <c r="NDC22" s="252">
        <v>0</v>
      </c>
      <c r="NDD22" s="252">
        <v>0</v>
      </c>
      <c r="NDE22" s="252">
        <v>0</v>
      </c>
      <c r="NDF22" s="252">
        <v>0</v>
      </c>
      <c r="NDG22" s="252">
        <v>0</v>
      </c>
      <c r="NDH22" s="252">
        <v>0</v>
      </c>
      <c r="NDI22" s="252">
        <v>0</v>
      </c>
      <c r="NDJ22" s="252">
        <v>0</v>
      </c>
      <c r="NDK22" s="252">
        <v>0</v>
      </c>
      <c r="NDL22" s="252">
        <v>0</v>
      </c>
      <c r="NDM22" s="252">
        <v>0</v>
      </c>
      <c r="NDN22" s="252">
        <v>0</v>
      </c>
      <c r="NDO22" s="252">
        <v>0</v>
      </c>
      <c r="NDP22" s="252">
        <v>0</v>
      </c>
      <c r="NDQ22" s="252">
        <v>0</v>
      </c>
      <c r="NDR22" s="252">
        <v>0</v>
      </c>
      <c r="NDS22" s="252">
        <v>0</v>
      </c>
      <c r="NDT22" s="252">
        <v>0</v>
      </c>
      <c r="NDU22" s="252">
        <v>0</v>
      </c>
      <c r="NDV22" s="252">
        <v>0</v>
      </c>
      <c r="NDW22" s="252">
        <v>0</v>
      </c>
      <c r="NDX22" s="252">
        <v>0</v>
      </c>
      <c r="NDY22" s="252">
        <v>0</v>
      </c>
      <c r="NDZ22" s="252">
        <v>0</v>
      </c>
      <c r="NEA22" s="252">
        <v>0</v>
      </c>
      <c r="NEB22" s="252">
        <v>0</v>
      </c>
      <c r="NEC22" s="252">
        <v>0</v>
      </c>
      <c r="NED22" s="252">
        <v>0</v>
      </c>
      <c r="NEE22" s="252">
        <v>0</v>
      </c>
      <c r="NEF22" s="252">
        <v>0</v>
      </c>
      <c r="NEG22" s="252">
        <v>0</v>
      </c>
      <c r="NEH22" s="252">
        <v>0</v>
      </c>
      <c r="NEI22" s="252">
        <v>0</v>
      </c>
      <c r="NEJ22" s="252">
        <v>0</v>
      </c>
      <c r="NEK22" s="252">
        <v>0</v>
      </c>
      <c r="NEL22" s="252">
        <v>0</v>
      </c>
      <c r="NEM22" s="252">
        <v>0</v>
      </c>
      <c r="NEN22" s="252">
        <v>0</v>
      </c>
      <c r="NEO22" s="252">
        <v>0</v>
      </c>
      <c r="NEP22" s="252">
        <v>0</v>
      </c>
      <c r="NEQ22" s="252">
        <v>0</v>
      </c>
      <c r="NER22" s="252">
        <v>0</v>
      </c>
      <c r="NES22" s="252">
        <v>0</v>
      </c>
      <c r="NET22" s="252">
        <v>0</v>
      </c>
      <c r="NEU22" s="252">
        <v>0</v>
      </c>
      <c r="NEV22" s="252">
        <v>0</v>
      </c>
      <c r="NEW22" s="252">
        <v>0</v>
      </c>
      <c r="NEX22" s="252">
        <v>0</v>
      </c>
      <c r="NEY22" s="252">
        <v>0</v>
      </c>
      <c r="NEZ22" s="252">
        <v>0</v>
      </c>
      <c r="NFA22" s="252">
        <v>0</v>
      </c>
      <c r="NFB22" s="252">
        <v>0</v>
      </c>
      <c r="NFC22" s="252">
        <v>0</v>
      </c>
      <c r="NFD22" s="252">
        <v>0</v>
      </c>
      <c r="NFE22" s="252">
        <v>0</v>
      </c>
      <c r="NFF22" s="252">
        <v>0</v>
      </c>
      <c r="NFG22" s="252">
        <v>0</v>
      </c>
      <c r="NFH22" s="252">
        <v>0</v>
      </c>
      <c r="NFI22" s="252">
        <v>0</v>
      </c>
      <c r="NFJ22" s="252">
        <v>0</v>
      </c>
      <c r="NFK22" s="252">
        <v>0</v>
      </c>
      <c r="NFL22" s="252">
        <v>0</v>
      </c>
      <c r="NFM22" s="252">
        <v>0</v>
      </c>
      <c r="NFN22" s="252">
        <v>0</v>
      </c>
      <c r="NFO22" s="252">
        <v>0</v>
      </c>
      <c r="NFP22" s="252">
        <v>0</v>
      </c>
      <c r="NFQ22" s="252">
        <v>0</v>
      </c>
      <c r="NFR22" s="252">
        <v>0</v>
      </c>
      <c r="NFS22" s="252">
        <v>0</v>
      </c>
      <c r="NFT22" s="252">
        <v>0</v>
      </c>
      <c r="NFU22" s="252">
        <v>0</v>
      </c>
      <c r="NFV22" s="252">
        <v>0</v>
      </c>
      <c r="NFW22" s="252">
        <v>0</v>
      </c>
      <c r="NFX22" s="252">
        <v>0</v>
      </c>
      <c r="NFY22" s="252">
        <v>0</v>
      </c>
      <c r="NFZ22" s="252">
        <v>0</v>
      </c>
      <c r="NGA22" s="252">
        <v>0</v>
      </c>
      <c r="NGB22" s="252">
        <v>0</v>
      </c>
      <c r="NGC22" s="252">
        <v>0</v>
      </c>
      <c r="NGD22" s="252">
        <v>0</v>
      </c>
      <c r="NGE22" s="252">
        <v>0</v>
      </c>
      <c r="NGF22" s="252">
        <v>0</v>
      </c>
      <c r="NGG22" s="252">
        <v>0</v>
      </c>
      <c r="NGH22" s="252">
        <v>0</v>
      </c>
      <c r="NGI22" s="252">
        <v>0</v>
      </c>
      <c r="NGJ22" s="252">
        <v>0</v>
      </c>
      <c r="NGK22" s="252">
        <v>0</v>
      </c>
      <c r="NGL22" s="252">
        <v>0</v>
      </c>
      <c r="NGM22" s="252">
        <v>0</v>
      </c>
      <c r="NGN22" s="252">
        <v>0</v>
      </c>
      <c r="NGO22" s="252">
        <v>0</v>
      </c>
      <c r="NGP22" s="252">
        <v>0</v>
      </c>
      <c r="NGQ22" s="252">
        <v>0</v>
      </c>
      <c r="NGR22" s="252">
        <v>0</v>
      </c>
      <c r="NGS22" s="252">
        <v>0</v>
      </c>
      <c r="NGT22" s="252">
        <v>0</v>
      </c>
      <c r="NGU22" s="252">
        <v>0</v>
      </c>
      <c r="NGV22" s="252">
        <v>0</v>
      </c>
      <c r="NGW22" s="252">
        <v>0</v>
      </c>
      <c r="NGX22" s="252">
        <v>0</v>
      </c>
      <c r="NGY22" s="252">
        <v>0</v>
      </c>
      <c r="NGZ22" s="252">
        <v>0</v>
      </c>
      <c r="NHA22" s="252">
        <v>0</v>
      </c>
      <c r="NHB22" s="252">
        <v>0</v>
      </c>
      <c r="NHC22" s="252">
        <v>0</v>
      </c>
      <c r="NHD22" s="252">
        <v>0</v>
      </c>
      <c r="NHE22" s="252">
        <v>0</v>
      </c>
      <c r="NHF22" s="252">
        <v>0</v>
      </c>
      <c r="NHG22" s="252">
        <v>0</v>
      </c>
      <c r="NHH22" s="252">
        <v>0</v>
      </c>
      <c r="NHI22" s="252">
        <v>0</v>
      </c>
      <c r="NHJ22" s="252">
        <v>0</v>
      </c>
      <c r="NHK22" s="252">
        <v>0</v>
      </c>
      <c r="NHL22" s="252">
        <v>0</v>
      </c>
      <c r="NHM22" s="252">
        <v>0</v>
      </c>
      <c r="NHN22" s="252">
        <v>0</v>
      </c>
      <c r="NHO22" s="252">
        <v>0</v>
      </c>
      <c r="NHP22" s="252">
        <v>0</v>
      </c>
      <c r="NHQ22" s="252">
        <v>0</v>
      </c>
      <c r="NHR22" s="252">
        <v>0</v>
      </c>
      <c r="NHS22" s="252">
        <v>0</v>
      </c>
      <c r="NHT22" s="252">
        <v>0</v>
      </c>
      <c r="NHU22" s="252">
        <v>0</v>
      </c>
      <c r="NHV22" s="252">
        <v>0</v>
      </c>
      <c r="NHW22" s="252">
        <v>0</v>
      </c>
      <c r="NHX22" s="252">
        <v>0</v>
      </c>
      <c r="NHY22" s="252">
        <v>0</v>
      </c>
      <c r="NHZ22" s="252">
        <v>0</v>
      </c>
      <c r="NIA22" s="252">
        <v>0</v>
      </c>
      <c r="NIB22" s="252">
        <v>0</v>
      </c>
      <c r="NIC22" s="252">
        <v>0</v>
      </c>
      <c r="NID22" s="252">
        <v>0</v>
      </c>
      <c r="NIE22" s="252">
        <v>0</v>
      </c>
      <c r="NIF22" s="252">
        <v>0</v>
      </c>
      <c r="NIG22" s="252">
        <v>0</v>
      </c>
      <c r="NIH22" s="252">
        <v>0</v>
      </c>
      <c r="NII22" s="252">
        <v>0</v>
      </c>
      <c r="NIJ22" s="252">
        <v>0</v>
      </c>
      <c r="NIK22" s="252">
        <v>0</v>
      </c>
      <c r="NIL22" s="252">
        <v>0</v>
      </c>
      <c r="NIM22" s="252">
        <v>0</v>
      </c>
      <c r="NIN22" s="252">
        <v>0</v>
      </c>
      <c r="NIO22" s="252">
        <v>0</v>
      </c>
      <c r="NIP22" s="252">
        <v>0</v>
      </c>
      <c r="NIQ22" s="252">
        <v>0</v>
      </c>
      <c r="NIR22" s="252">
        <v>0</v>
      </c>
      <c r="NIS22" s="252">
        <v>0</v>
      </c>
      <c r="NIT22" s="252">
        <v>0</v>
      </c>
      <c r="NIU22" s="252">
        <v>0</v>
      </c>
      <c r="NIV22" s="252">
        <v>0</v>
      </c>
      <c r="NIW22" s="252">
        <v>0</v>
      </c>
      <c r="NIX22" s="252">
        <v>0</v>
      </c>
      <c r="NIY22" s="252">
        <v>0</v>
      </c>
      <c r="NIZ22" s="252">
        <v>0</v>
      </c>
      <c r="NJA22" s="252">
        <v>0</v>
      </c>
      <c r="NJB22" s="252">
        <v>0</v>
      </c>
      <c r="NJC22" s="252">
        <v>0</v>
      </c>
      <c r="NJD22" s="252">
        <v>0</v>
      </c>
      <c r="NJE22" s="252">
        <v>0</v>
      </c>
      <c r="NJF22" s="252">
        <v>0</v>
      </c>
      <c r="NJG22" s="252">
        <v>0</v>
      </c>
      <c r="NJH22" s="252">
        <v>0</v>
      </c>
      <c r="NJI22" s="252">
        <v>0</v>
      </c>
      <c r="NJJ22" s="252">
        <v>0</v>
      </c>
      <c r="NJK22" s="252">
        <v>0</v>
      </c>
      <c r="NJL22" s="252">
        <v>0</v>
      </c>
      <c r="NJM22" s="252">
        <v>0</v>
      </c>
      <c r="NJN22" s="252">
        <v>0</v>
      </c>
      <c r="NJO22" s="252">
        <v>0</v>
      </c>
      <c r="NJP22" s="252">
        <v>0</v>
      </c>
      <c r="NJQ22" s="252">
        <v>0</v>
      </c>
      <c r="NJR22" s="252">
        <v>0</v>
      </c>
      <c r="NJS22" s="252">
        <v>0</v>
      </c>
      <c r="NJT22" s="252">
        <v>0</v>
      </c>
      <c r="NJU22" s="252">
        <v>0</v>
      </c>
      <c r="NJV22" s="252">
        <v>0</v>
      </c>
      <c r="NJW22" s="252">
        <v>0</v>
      </c>
      <c r="NJX22" s="252">
        <v>0</v>
      </c>
      <c r="NJY22" s="252">
        <v>0</v>
      </c>
      <c r="NJZ22" s="252">
        <v>0</v>
      </c>
      <c r="NKA22" s="252">
        <v>0</v>
      </c>
      <c r="NKB22" s="252">
        <v>0</v>
      </c>
      <c r="NKC22" s="252">
        <v>0</v>
      </c>
      <c r="NKD22" s="252">
        <v>0</v>
      </c>
      <c r="NKE22" s="252">
        <v>0</v>
      </c>
      <c r="NKF22" s="252">
        <v>0</v>
      </c>
      <c r="NKG22" s="252">
        <v>0</v>
      </c>
      <c r="NKH22" s="252">
        <v>0</v>
      </c>
      <c r="NKI22" s="252">
        <v>0</v>
      </c>
      <c r="NKJ22" s="252">
        <v>0</v>
      </c>
      <c r="NKK22" s="252">
        <v>0</v>
      </c>
      <c r="NKL22" s="252">
        <v>0</v>
      </c>
      <c r="NKM22" s="252">
        <v>0</v>
      </c>
      <c r="NKN22" s="252">
        <v>0</v>
      </c>
      <c r="NKO22" s="252">
        <v>0</v>
      </c>
      <c r="NKP22" s="252">
        <v>0</v>
      </c>
      <c r="NKQ22" s="252">
        <v>0</v>
      </c>
      <c r="NKR22" s="252">
        <v>0</v>
      </c>
      <c r="NKS22" s="252">
        <v>0</v>
      </c>
      <c r="NKT22" s="252">
        <v>0</v>
      </c>
      <c r="NKU22" s="252">
        <v>0</v>
      </c>
      <c r="NKV22" s="252">
        <v>0</v>
      </c>
      <c r="NKW22" s="252">
        <v>0</v>
      </c>
      <c r="NKX22" s="252">
        <v>0</v>
      </c>
      <c r="NKY22" s="252">
        <v>0</v>
      </c>
      <c r="NKZ22" s="252">
        <v>0</v>
      </c>
      <c r="NLA22" s="252">
        <v>0</v>
      </c>
      <c r="NLB22" s="252">
        <v>0</v>
      </c>
      <c r="NLC22" s="252">
        <v>0</v>
      </c>
      <c r="NLD22" s="252">
        <v>0</v>
      </c>
      <c r="NLE22" s="252">
        <v>0</v>
      </c>
      <c r="NLF22" s="252">
        <v>0</v>
      </c>
      <c r="NLG22" s="252">
        <v>0</v>
      </c>
      <c r="NLH22" s="252">
        <v>0</v>
      </c>
      <c r="NLI22" s="252">
        <v>0</v>
      </c>
      <c r="NLJ22" s="252">
        <v>0</v>
      </c>
      <c r="NLK22" s="252">
        <v>0</v>
      </c>
      <c r="NLL22" s="252">
        <v>0</v>
      </c>
      <c r="NLM22" s="252">
        <v>0</v>
      </c>
      <c r="NLN22" s="252">
        <v>0</v>
      </c>
      <c r="NLO22" s="252">
        <v>0</v>
      </c>
      <c r="NLP22" s="252">
        <v>0</v>
      </c>
      <c r="NLQ22" s="252">
        <v>0</v>
      </c>
      <c r="NLR22" s="252">
        <v>0</v>
      </c>
      <c r="NLS22" s="252">
        <v>0</v>
      </c>
      <c r="NLT22" s="252">
        <v>0</v>
      </c>
      <c r="NLU22" s="252">
        <v>0</v>
      </c>
      <c r="NLV22" s="252">
        <v>0</v>
      </c>
      <c r="NLW22" s="252">
        <v>0</v>
      </c>
      <c r="NLX22" s="252">
        <v>0</v>
      </c>
      <c r="NLY22" s="252">
        <v>0</v>
      </c>
      <c r="NLZ22" s="252">
        <v>0</v>
      </c>
      <c r="NMA22" s="252">
        <v>0</v>
      </c>
      <c r="NMB22" s="252">
        <v>0</v>
      </c>
      <c r="NMC22" s="252">
        <v>0</v>
      </c>
      <c r="NMD22" s="252">
        <v>0</v>
      </c>
      <c r="NME22" s="252">
        <v>0</v>
      </c>
      <c r="NMF22" s="252">
        <v>0</v>
      </c>
      <c r="NMG22" s="252">
        <v>0</v>
      </c>
      <c r="NMH22" s="252">
        <v>0</v>
      </c>
      <c r="NMI22" s="252">
        <v>0</v>
      </c>
      <c r="NMJ22" s="252">
        <v>0</v>
      </c>
      <c r="NMK22" s="252">
        <v>0</v>
      </c>
      <c r="NML22" s="252">
        <v>0</v>
      </c>
      <c r="NMM22" s="252">
        <v>0</v>
      </c>
      <c r="NMN22" s="252">
        <v>0</v>
      </c>
      <c r="NMO22" s="252">
        <v>0</v>
      </c>
      <c r="NMP22" s="252">
        <v>0</v>
      </c>
      <c r="NMQ22" s="252">
        <v>0</v>
      </c>
      <c r="NMR22" s="252">
        <v>0</v>
      </c>
      <c r="NMS22" s="252">
        <v>0</v>
      </c>
      <c r="NMT22" s="252">
        <v>0</v>
      </c>
      <c r="NMU22" s="252">
        <v>0</v>
      </c>
      <c r="NMV22" s="252">
        <v>0</v>
      </c>
      <c r="NMW22" s="252">
        <v>0</v>
      </c>
      <c r="NMX22" s="252">
        <v>0</v>
      </c>
      <c r="NMY22" s="252">
        <v>0</v>
      </c>
      <c r="NMZ22" s="252">
        <v>0</v>
      </c>
      <c r="NNA22" s="252">
        <v>0</v>
      </c>
      <c r="NNB22" s="252">
        <v>0</v>
      </c>
      <c r="NNC22" s="252">
        <v>0</v>
      </c>
      <c r="NND22" s="252">
        <v>0</v>
      </c>
      <c r="NNE22" s="252">
        <v>0</v>
      </c>
      <c r="NNF22" s="252">
        <v>0</v>
      </c>
      <c r="NNG22" s="252">
        <v>0</v>
      </c>
      <c r="NNH22" s="252">
        <v>0</v>
      </c>
      <c r="NNI22" s="252">
        <v>0</v>
      </c>
      <c r="NNJ22" s="252">
        <v>0</v>
      </c>
      <c r="NNK22" s="252">
        <v>0</v>
      </c>
      <c r="NNL22" s="252">
        <v>0</v>
      </c>
      <c r="NNM22" s="252">
        <v>0</v>
      </c>
      <c r="NNN22" s="252">
        <v>0</v>
      </c>
      <c r="NNO22" s="252">
        <v>0</v>
      </c>
      <c r="NNP22" s="252">
        <v>0</v>
      </c>
      <c r="NNQ22" s="252">
        <v>0</v>
      </c>
      <c r="NNR22" s="252">
        <v>0</v>
      </c>
      <c r="NNS22" s="252">
        <v>0</v>
      </c>
      <c r="NNT22" s="252">
        <v>0</v>
      </c>
      <c r="NNU22" s="252">
        <v>0</v>
      </c>
      <c r="NNV22" s="252">
        <v>0</v>
      </c>
      <c r="NNW22" s="252">
        <v>0</v>
      </c>
      <c r="NNX22" s="252">
        <v>0</v>
      </c>
      <c r="NNY22" s="252">
        <v>0</v>
      </c>
      <c r="NNZ22" s="252">
        <v>0</v>
      </c>
      <c r="NOA22" s="252">
        <v>0</v>
      </c>
      <c r="NOB22" s="252">
        <v>0</v>
      </c>
      <c r="NOC22" s="252">
        <v>0</v>
      </c>
      <c r="NOD22" s="252">
        <v>0</v>
      </c>
      <c r="NOE22" s="252">
        <v>0</v>
      </c>
      <c r="NOF22" s="252">
        <v>0</v>
      </c>
      <c r="NOG22" s="252">
        <v>0</v>
      </c>
      <c r="NOH22" s="252">
        <v>0</v>
      </c>
      <c r="NOI22" s="252">
        <v>0</v>
      </c>
      <c r="NOJ22" s="252">
        <v>0</v>
      </c>
      <c r="NOK22" s="252">
        <v>0</v>
      </c>
      <c r="NOL22" s="252">
        <v>0</v>
      </c>
      <c r="NOM22" s="252">
        <v>0</v>
      </c>
      <c r="NON22" s="252">
        <v>0</v>
      </c>
      <c r="NOO22" s="252">
        <v>0</v>
      </c>
      <c r="NOP22" s="252">
        <v>0</v>
      </c>
      <c r="NOQ22" s="252">
        <v>0</v>
      </c>
      <c r="NOR22" s="252">
        <v>0</v>
      </c>
      <c r="NOS22" s="252">
        <v>0</v>
      </c>
      <c r="NOT22" s="252">
        <v>0</v>
      </c>
      <c r="NOU22" s="252">
        <v>0</v>
      </c>
      <c r="NOV22" s="252">
        <v>0</v>
      </c>
      <c r="NOW22" s="252">
        <v>0</v>
      </c>
      <c r="NOX22" s="252">
        <v>0</v>
      </c>
      <c r="NOY22" s="252">
        <v>0</v>
      </c>
      <c r="NOZ22" s="252">
        <v>0</v>
      </c>
      <c r="NPA22" s="252">
        <v>0</v>
      </c>
      <c r="NPB22" s="252">
        <v>0</v>
      </c>
      <c r="NPC22" s="252">
        <v>0</v>
      </c>
      <c r="NPD22" s="252">
        <v>0</v>
      </c>
      <c r="NPE22" s="252">
        <v>0</v>
      </c>
      <c r="NPF22" s="252">
        <v>0</v>
      </c>
      <c r="NPG22" s="252">
        <v>0</v>
      </c>
      <c r="NPH22" s="252">
        <v>0</v>
      </c>
      <c r="NPI22" s="252">
        <v>0</v>
      </c>
      <c r="NPJ22" s="252">
        <v>0</v>
      </c>
      <c r="NPK22" s="252">
        <v>0</v>
      </c>
      <c r="NPL22" s="252">
        <v>0</v>
      </c>
      <c r="NPM22" s="252">
        <v>0</v>
      </c>
      <c r="NPN22" s="252">
        <v>0</v>
      </c>
      <c r="NPO22" s="252">
        <v>0</v>
      </c>
      <c r="NPP22" s="252">
        <v>0</v>
      </c>
      <c r="NPQ22" s="252">
        <v>0</v>
      </c>
      <c r="NPR22" s="252">
        <v>0</v>
      </c>
      <c r="NPS22" s="252">
        <v>0</v>
      </c>
      <c r="NPT22" s="252">
        <v>0</v>
      </c>
      <c r="NPU22" s="252">
        <v>0</v>
      </c>
      <c r="NPV22" s="252">
        <v>0</v>
      </c>
      <c r="NPW22" s="252">
        <v>0</v>
      </c>
      <c r="NPX22" s="252">
        <v>0</v>
      </c>
      <c r="NPY22" s="252">
        <v>0</v>
      </c>
      <c r="NPZ22" s="252">
        <v>0</v>
      </c>
      <c r="NQA22" s="252">
        <v>0</v>
      </c>
      <c r="NQB22" s="252">
        <v>0</v>
      </c>
      <c r="NQC22" s="252">
        <v>0</v>
      </c>
      <c r="NQD22" s="252">
        <v>0</v>
      </c>
      <c r="NQE22" s="252">
        <v>0</v>
      </c>
      <c r="NQF22" s="252">
        <v>0</v>
      </c>
      <c r="NQG22" s="252">
        <v>0</v>
      </c>
      <c r="NQH22" s="252">
        <v>0</v>
      </c>
      <c r="NQI22" s="252">
        <v>0</v>
      </c>
      <c r="NQJ22" s="252">
        <v>0</v>
      </c>
      <c r="NQK22" s="252">
        <v>0</v>
      </c>
      <c r="NQL22" s="252">
        <v>0</v>
      </c>
      <c r="NQM22" s="252">
        <v>0</v>
      </c>
      <c r="NQN22" s="252">
        <v>0</v>
      </c>
      <c r="NQO22" s="252">
        <v>0</v>
      </c>
      <c r="NQP22" s="252">
        <v>0</v>
      </c>
      <c r="NQQ22" s="252">
        <v>0</v>
      </c>
      <c r="NQR22" s="252">
        <v>0</v>
      </c>
      <c r="NQS22" s="252">
        <v>0</v>
      </c>
      <c r="NQT22" s="252">
        <v>0</v>
      </c>
      <c r="NQU22" s="252">
        <v>0</v>
      </c>
      <c r="NQV22" s="252">
        <v>0</v>
      </c>
      <c r="NQW22" s="252">
        <v>0</v>
      </c>
      <c r="NQX22" s="252">
        <v>0</v>
      </c>
      <c r="NQY22" s="252">
        <v>0</v>
      </c>
      <c r="NQZ22" s="252">
        <v>0</v>
      </c>
      <c r="NRA22" s="252">
        <v>0</v>
      </c>
      <c r="NRB22" s="252">
        <v>0</v>
      </c>
      <c r="NRC22" s="252">
        <v>0</v>
      </c>
      <c r="NRD22" s="252">
        <v>0</v>
      </c>
      <c r="NRE22" s="252">
        <v>0</v>
      </c>
      <c r="NRF22" s="252">
        <v>0</v>
      </c>
      <c r="NRG22" s="252">
        <v>0</v>
      </c>
      <c r="NRH22" s="252">
        <v>0</v>
      </c>
      <c r="NRI22" s="252">
        <v>0</v>
      </c>
      <c r="NRJ22" s="252">
        <v>0</v>
      </c>
      <c r="NRK22" s="252">
        <v>0</v>
      </c>
      <c r="NRL22" s="252">
        <v>0</v>
      </c>
      <c r="NRM22" s="252">
        <v>0</v>
      </c>
      <c r="NRN22" s="252">
        <v>0</v>
      </c>
      <c r="NRO22" s="252">
        <v>0</v>
      </c>
      <c r="NRP22" s="252">
        <v>0</v>
      </c>
      <c r="NRQ22" s="252">
        <v>0</v>
      </c>
      <c r="NRR22" s="252">
        <v>0</v>
      </c>
      <c r="NRS22" s="252">
        <v>0</v>
      </c>
      <c r="NRT22" s="252">
        <v>0</v>
      </c>
      <c r="NRU22" s="252">
        <v>0</v>
      </c>
      <c r="NRV22" s="252">
        <v>0</v>
      </c>
      <c r="NRW22" s="252">
        <v>0</v>
      </c>
      <c r="NRX22" s="252">
        <v>0</v>
      </c>
      <c r="NRY22" s="252">
        <v>0</v>
      </c>
      <c r="NRZ22" s="252">
        <v>0</v>
      </c>
      <c r="NSA22" s="252">
        <v>0</v>
      </c>
      <c r="NSB22" s="252">
        <v>0</v>
      </c>
      <c r="NSC22" s="252">
        <v>0</v>
      </c>
      <c r="NSD22" s="252">
        <v>0</v>
      </c>
      <c r="NSE22" s="252">
        <v>0</v>
      </c>
      <c r="NSF22" s="252">
        <v>0</v>
      </c>
      <c r="NSG22" s="252">
        <v>0</v>
      </c>
      <c r="NSH22" s="252">
        <v>0</v>
      </c>
      <c r="NSI22" s="252">
        <v>0</v>
      </c>
      <c r="NSJ22" s="252">
        <v>0</v>
      </c>
      <c r="NSK22" s="252">
        <v>0</v>
      </c>
      <c r="NSL22" s="252">
        <v>0</v>
      </c>
      <c r="NSM22" s="252">
        <v>0</v>
      </c>
      <c r="NSN22" s="252">
        <v>0</v>
      </c>
      <c r="NSO22" s="252">
        <v>0</v>
      </c>
      <c r="NSP22" s="252">
        <v>0</v>
      </c>
      <c r="NSQ22" s="252">
        <v>0</v>
      </c>
      <c r="NSR22" s="252">
        <v>0</v>
      </c>
      <c r="NSS22" s="252">
        <v>0</v>
      </c>
      <c r="NST22" s="252">
        <v>0</v>
      </c>
      <c r="NSU22" s="252">
        <v>0</v>
      </c>
      <c r="NSV22" s="252">
        <v>0</v>
      </c>
      <c r="NSW22" s="252">
        <v>0</v>
      </c>
      <c r="NSX22" s="252">
        <v>0</v>
      </c>
      <c r="NSY22" s="252">
        <v>0</v>
      </c>
      <c r="NSZ22" s="252">
        <v>0</v>
      </c>
      <c r="NTA22" s="252">
        <v>0</v>
      </c>
      <c r="NTB22" s="252">
        <v>0</v>
      </c>
      <c r="NTC22" s="252">
        <v>0</v>
      </c>
      <c r="NTD22" s="252">
        <v>0</v>
      </c>
      <c r="NTE22" s="252">
        <v>0</v>
      </c>
      <c r="NTF22" s="252">
        <v>0</v>
      </c>
      <c r="NTG22" s="252">
        <v>0</v>
      </c>
      <c r="NTH22" s="252">
        <v>0</v>
      </c>
      <c r="NTI22" s="252">
        <v>0</v>
      </c>
      <c r="NTJ22" s="252">
        <v>0</v>
      </c>
      <c r="NTK22" s="252">
        <v>0</v>
      </c>
      <c r="NTL22" s="252">
        <v>0</v>
      </c>
      <c r="NTM22" s="252">
        <v>0</v>
      </c>
      <c r="NTN22" s="252">
        <v>0</v>
      </c>
      <c r="NTO22" s="252">
        <v>0</v>
      </c>
      <c r="NTP22" s="252">
        <v>0</v>
      </c>
      <c r="NTQ22" s="252">
        <v>0</v>
      </c>
      <c r="NTR22" s="252">
        <v>0</v>
      </c>
      <c r="NTS22" s="252">
        <v>0</v>
      </c>
      <c r="NTT22" s="252">
        <v>0</v>
      </c>
      <c r="NTU22" s="252">
        <v>0</v>
      </c>
      <c r="NTV22" s="252">
        <v>0</v>
      </c>
      <c r="NTW22" s="252">
        <v>0</v>
      </c>
      <c r="NTX22" s="252">
        <v>0</v>
      </c>
      <c r="NTY22" s="252">
        <v>0</v>
      </c>
      <c r="NTZ22" s="252">
        <v>0</v>
      </c>
      <c r="NUA22" s="252">
        <v>0</v>
      </c>
      <c r="NUB22" s="252">
        <v>0</v>
      </c>
      <c r="NUC22" s="252">
        <v>0</v>
      </c>
      <c r="NUD22" s="252">
        <v>0</v>
      </c>
      <c r="NUE22" s="252">
        <v>0</v>
      </c>
      <c r="NUF22" s="252">
        <v>0</v>
      </c>
      <c r="NUG22" s="252">
        <v>0</v>
      </c>
      <c r="NUH22" s="252">
        <v>0</v>
      </c>
      <c r="NUI22" s="252">
        <v>0</v>
      </c>
      <c r="NUJ22" s="252">
        <v>0</v>
      </c>
      <c r="NUK22" s="252">
        <v>0</v>
      </c>
      <c r="NUL22" s="252">
        <v>0</v>
      </c>
      <c r="NUM22" s="252">
        <v>0</v>
      </c>
      <c r="NUN22" s="252">
        <v>0</v>
      </c>
      <c r="NUO22" s="252">
        <v>0</v>
      </c>
      <c r="NUP22" s="252">
        <v>0</v>
      </c>
      <c r="NUQ22" s="252">
        <v>0</v>
      </c>
      <c r="NUR22" s="252">
        <v>0</v>
      </c>
      <c r="NUS22" s="252">
        <v>0</v>
      </c>
      <c r="NUT22" s="252">
        <v>0</v>
      </c>
      <c r="NUU22" s="252">
        <v>0</v>
      </c>
      <c r="NUV22" s="252">
        <v>0</v>
      </c>
      <c r="NUW22" s="252">
        <v>0</v>
      </c>
      <c r="NUX22" s="252">
        <v>0</v>
      </c>
      <c r="NUY22" s="252">
        <v>0</v>
      </c>
      <c r="NUZ22" s="252">
        <v>0</v>
      </c>
      <c r="NVA22" s="252">
        <v>0</v>
      </c>
      <c r="NVB22" s="252">
        <v>0</v>
      </c>
      <c r="NVC22" s="252">
        <v>0</v>
      </c>
      <c r="NVD22" s="252">
        <v>0</v>
      </c>
      <c r="NVE22" s="252">
        <v>0</v>
      </c>
      <c r="NVF22" s="252">
        <v>0</v>
      </c>
      <c r="NVG22" s="252">
        <v>0</v>
      </c>
      <c r="NVH22" s="252">
        <v>0</v>
      </c>
      <c r="NVI22" s="252">
        <v>0</v>
      </c>
      <c r="NVJ22" s="252">
        <v>0</v>
      </c>
      <c r="NVK22" s="252">
        <v>0</v>
      </c>
      <c r="NVL22" s="252">
        <v>0</v>
      </c>
      <c r="NVM22" s="252">
        <v>0</v>
      </c>
      <c r="NVN22" s="252">
        <v>0</v>
      </c>
      <c r="NVO22" s="252">
        <v>0</v>
      </c>
      <c r="NVP22" s="252">
        <v>0</v>
      </c>
      <c r="NVQ22" s="252">
        <v>0</v>
      </c>
      <c r="NVR22" s="252">
        <v>0</v>
      </c>
      <c r="NVS22" s="252">
        <v>0</v>
      </c>
      <c r="NVT22" s="252">
        <v>0</v>
      </c>
      <c r="NVU22" s="252">
        <v>0</v>
      </c>
      <c r="NVV22" s="252">
        <v>0</v>
      </c>
      <c r="NVW22" s="252">
        <v>0</v>
      </c>
      <c r="NVX22" s="252">
        <v>0</v>
      </c>
      <c r="NVY22" s="252">
        <v>0</v>
      </c>
      <c r="NVZ22" s="252">
        <v>0</v>
      </c>
      <c r="NWA22" s="252">
        <v>0</v>
      </c>
      <c r="NWB22" s="252">
        <v>0</v>
      </c>
      <c r="NWC22" s="252">
        <v>0</v>
      </c>
      <c r="NWD22" s="252">
        <v>0</v>
      </c>
      <c r="NWE22" s="252">
        <v>0</v>
      </c>
      <c r="NWF22" s="252">
        <v>0</v>
      </c>
      <c r="NWG22" s="252">
        <v>0</v>
      </c>
      <c r="NWH22" s="252">
        <v>0</v>
      </c>
      <c r="NWI22" s="252">
        <v>0</v>
      </c>
      <c r="NWJ22" s="252">
        <v>0</v>
      </c>
      <c r="NWK22" s="252">
        <v>0</v>
      </c>
      <c r="NWL22" s="252">
        <v>0</v>
      </c>
      <c r="NWM22" s="252">
        <v>0</v>
      </c>
      <c r="NWN22" s="252">
        <v>0</v>
      </c>
      <c r="NWO22" s="252">
        <v>0</v>
      </c>
      <c r="NWP22" s="252">
        <v>0</v>
      </c>
      <c r="NWQ22" s="252">
        <v>0</v>
      </c>
      <c r="NWR22" s="252">
        <v>0</v>
      </c>
      <c r="NWS22" s="252">
        <v>0</v>
      </c>
      <c r="NWT22" s="252">
        <v>0</v>
      </c>
      <c r="NWU22" s="252">
        <v>0</v>
      </c>
      <c r="NWV22" s="252">
        <v>0</v>
      </c>
      <c r="NWW22" s="252">
        <v>0</v>
      </c>
      <c r="NWX22" s="252">
        <v>0</v>
      </c>
      <c r="NWY22" s="252">
        <v>0</v>
      </c>
      <c r="NWZ22" s="252">
        <v>0</v>
      </c>
      <c r="NXA22" s="252">
        <v>0</v>
      </c>
      <c r="NXB22" s="252">
        <v>0</v>
      </c>
      <c r="NXC22" s="252">
        <v>0</v>
      </c>
      <c r="NXD22" s="252">
        <v>0</v>
      </c>
      <c r="NXE22" s="252">
        <v>0</v>
      </c>
      <c r="NXF22" s="252">
        <v>0</v>
      </c>
      <c r="NXG22" s="252">
        <v>0</v>
      </c>
      <c r="NXH22" s="252">
        <v>0</v>
      </c>
      <c r="NXI22" s="252">
        <v>0</v>
      </c>
      <c r="NXJ22" s="252">
        <v>0</v>
      </c>
      <c r="NXK22" s="252">
        <v>0</v>
      </c>
      <c r="NXL22" s="252">
        <v>0</v>
      </c>
      <c r="NXM22" s="252">
        <v>0</v>
      </c>
      <c r="NXN22" s="252">
        <v>0</v>
      </c>
      <c r="NXO22" s="252">
        <v>0</v>
      </c>
      <c r="NXP22" s="252">
        <v>0</v>
      </c>
      <c r="NXQ22" s="252">
        <v>0</v>
      </c>
      <c r="NXR22" s="252">
        <v>0</v>
      </c>
      <c r="NXS22" s="252">
        <v>0</v>
      </c>
      <c r="NXT22" s="252">
        <v>0</v>
      </c>
      <c r="NXU22" s="252">
        <v>0</v>
      </c>
      <c r="NXV22" s="252">
        <v>0</v>
      </c>
      <c r="NXW22" s="252">
        <v>0</v>
      </c>
      <c r="NXX22" s="252">
        <v>0</v>
      </c>
      <c r="NXY22" s="252">
        <v>0</v>
      </c>
      <c r="NXZ22" s="252">
        <v>0</v>
      </c>
      <c r="NYA22" s="252">
        <v>0</v>
      </c>
      <c r="NYB22" s="252">
        <v>0</v>
      </c>
      <c r="NYC22" s="252">
        <v>0</v>
      </c>
      <c r="NYD22" s="252">
        <v>0</v>
      </c>
      <c r="NYE22" s="252">
        <v>0</v>
      </c>
      <c r="NYF22" s="252">
        <v>0</v>
      </c>
      <c r="NYG22" s="252">
        <v>0</v>
      </c>
      <c r="NYH22" s="252">
        <v>0</v>
      </c>
      <c r="NYI22" s="252">
        <v>0</v>
      </c>
      <c r="NYJ22" s="252">
        <v>0</v>
      </c>
      <c r="NYK22" s="252">
        <v>0</v>
      </c>
      <c r="NYL22" s="252">
        <v>0</v>
      </c>
      <c r="NYM22" s="252">
        <v>0</v>
      </c>
      <c r="NYN22" s="252">
        <v>0</v>
      </c>
      <c r="NYO22" s="252">
        <v>0</v>
      </c>
      <c r="NYP22" s="252">
        <v>0</v>
      </c>
      <c r="NYQ22" s="252">
        <v>0</v>
      </c>
      <c r="NYR22" s="252">
        <v>0</v>
      </c>
      <c r="NYS22" s="252">
        <v>0</v>
      </c>
      <c r="NYT22" s="252">
        <v>0</v>
      </c>
      <c r="NYU22" s="252">
        <v>0</v>
      </c>
      <c r="NYV22" s="252">
        <v>0</v>
      </c>
      <c r="NYW22" s="252">
        <v>0</v>
      </c>
      <c r="NYX22" s="252">
        <v>0</v>
      </c>
      <c r="NYY22" s="252">
        <v>0</v>
      </c>
      <c r="NYZ22" s="252">
        <v>0</v>
      </c>
      <c r="NZA22" s="252">
        <v>0</v>
      </c>
      <c r="NZB22" s="252">
        <v>0</v>
      </c>
      <c r="NZC22" s="252">
        <v>0</v>
      </c>
      <c r="NZD22" s="252">
        <v>0</v>
      </c>
      <c r="NZE22" s="252">
        <v>0</v>
      </c>
      <c r="NZF22" s="252">
        <v>0</v>
      </c>
      <c r="NZG22" s="252">
        <v>0</v>
      </c>
      <c r="NZH22" s="252">
        <v>0</v>
      </c>
      <c r="NZI22" s="252">
        <v>0</v>
      </c>
      <c r="NZJ22" s="252">
        <v>0</v>
      </c>
      <c r="NZK22" s="252">
        <v>0</v>
      </c>
      <c r="NZL22" s="252">
        <v>0</v>
      </c>
      <c r="NZM22" s="252">
        <v>0</v>
      </c>
      <c r="NZN22" s="252">
        <v>0</v>
      </c>
      <c r="NZO22" s="252">
        <v>0</v>
      </c>
      <c r="NZP22" s="252">
        <v>0</v>
      </c>
      <c r="NZQ22" s="252">
        <v>0</v>
      </c>
      <c r="NZR22" s="252">
        <v>0</v>
      </c>
      <c r="NZS22" s="252">
        <v>0</v>
      </c>
      <c r="NZT22" s="252">
        <v>0</v>
      </c>
      <c r="NZU22" s="252">
        <v>0</v>
      </c>
      <c r="NZV22" s="252">
        <v>0</v>
      </c>
      <c r="NZW22" s="252">
        <v>0</v>
      </c>
      <c r="NZX22" s="252">
        <v>0</v>
      </c>
      <c r="NZY22" s="252">
        <v>0</v>
      </c>
      <c r="NZZ22" s="252">
        <v>0</v>
      </c>
      <c r="OAA22" s="252">
        <v>0</v>
      </c>
      <c r="OAB22" s="252">
        <v>0</v>
      </c>
      <c r="OAC22" s="252">
        <v>0</v>
      </c>
      <c r="OAD22" s="252">
        <v>0</v>
      </c>
      <c r="OAE22" s="252">
        <v>0</v>
      </c>
      <c r="OAF22" s="252">
        <v>0</v>
      </c>
      <c r="OAG22" s="252">
        <v>0</v>
      </c>
      <c r="OAH22" s="252">
        <v>0</v>
      </c>
      <c r="OAI22" s="252">
        <v>0</v>
      </c>
      <c r="OAJ22" s="252">
        <v>0</v>
      </c>
      <c r="OAK22" s="252">
        <v>0</v>
      </c>
      <c r="OAL22" s="252">
        <v>0</v>
      </c>
      <c r="OAM22" s="252">
        <v>0</v>
      </c>
      <c r="OAN22" s="252">
        <v>0</v>
      </c>
      <c r="OAO22" s="252">
        <v>0</v>
      </c>
      <c r="OAP22" s="252">
        <v>0</v>
      </c>
      <c r="OAQ22" s="252">
        <v>0</v>
      </c>
      <c r="OAR22" s="252">
        <v>0</v>
      </c>
      <c r="OAS22" s="252">
        <v>0</v>
      </c>
      <c r="OAT22" s="252">
        <v>0</v>
      </c>
      <c r="OAU22" s="252">
        <v>0</v>
      </c>
      <c r="OAV22" s="252">
        <v>0</v>
      </c>
      <c r="OAW22" s="252">
        <v>0</v>
      </c>
      <c r="OAX22" s="252">
        <v>0</v>
      </c>
      <c r="OAY22" s="252">
        <v>0</v>
      </c>
      <c r="OAZ22" s="252">
        <v>0</v>
      </c>
      <c r="OBA22" s="252">
        <v>0</v>
      </c>
      <c r="OBB22" s="252">
        <v>0</v>
      </c>
      <c r="OBC22" s="252">
        <v>0</v>
      </c>
      <c r="OBD22" s="252">
        <v>0</v>
      </c>
      <c r="OBE22" s="252">
        <v>0</v>
      </c>
      <c r="OBF22" s="252">
        <v>0</v>
      </c>
      <c r="OBG22" s="252">
        <v>0</v>
      </c>
      <c r="OBH22" s="252">
        <v>0</v>
      </c>
      <c r="OBI22" s="252">
        <v>0</v>
      </c>
      <c r="OBJ22" s="252">
        <v>0</v>
      </c>
      <c r="OBK22" s="252">
        <v>0</v>
      </c>
      <c r="OBL22" s="252">
        <v>0</v>
      </c>
      <c r="OBM22" s="252">
        <v>0</v>
      </c>
      <c r="OBN22" s="252">
        <v>0</v>
      </c>
      <c r="OBO22" s="252">
        <v>0</v>
      </c>
      <c r="OBP22" s="252">
        <v>0</v>
      </c>
      <c r="OBQ22" s="252">
        <v>0</v>
      </c>
      <c r="OBR22" s="252">
        <v>0</v>
      </c>
      <c r="OBS22" s="252">
        <v>0</v>
      </c>
      <c r="OBT22" s="252">
        <v>0</v>
      </c>
      <c r="OBU22" s="252">
        <v>0</v>
      </c>
      <c r="OBV22" s="252">
        <v>0</v>
      </c>
      <c r="OBW22" s="252">
        <v>0</v>
      </c>
      <c r="OBX22" s="252">
        <v>0</v>
      </c>
      <c r="OBY22" s="252">
        <v>0</v>
      </c>
      <c r="OBZ22" s="252">
        <v>0</v>
      </c>
      <c r="OCA22" s="252">
        <v>0</v>
      </c>
      <c r="OCB22" s="252">
        <v>0</v>
      </c>
      <c r="OCC22" s="252">
        <v>0</v>
      </c>
      <c r="OCD22" s="252">
        <v>0</v>
      </c>
      <c r="OCE22" s="252">
        <v>0</v>
      </c>
      <c r="OCF22" s="252">
        <v>0</v>
      </c>
      <c r="OCG22" s="252">
        <v>0</v>
      </c>
      <c r="OCH22" s="252">
        <v>0</v>
      </c>
      <c r="OCI22" s="252">
        <v>0</v>
      </c>
      <c r="OCJ22" s="252">
        <v>0</v>
      </c>
      <c r="OCK22" s="252">
        <v>0</v>
      </c>
      <c r="OCL22" s="252">
        <v>0</v>
      </c>
      <c r="OCM22" s="252">
        <v>0</v>
      </c>
      <c r="OCN22" s="252">
        <v>0</v>
      </c>
      <c r="OCO22" s="252">
        <v>0</v>
      </c>
      <c r="OCP22" s="252">
        <v>0</v>
      </c>
      <c r="OCQ22" s="252">
        <v>0</v>
      </c>
      <c r="OCR22" s="252">
        <v>0</v>
      </c>
      <c r="OCS22" s="252">
        <v>0</v>
      </c>
      <c r="OCT22" s="252">
        <v>0</v>
      </c>
      <c r="OCU22" s="252">
        <v>0</v>
      </c>
      <c r="OCV22" s="252">
        <v>0</v>
      </c>
      <c r="OCW22" s="252">
        <v>0</v>
      </c>
      <c r="OCX22" s="252">
        <v>0</v>
      </c>
      <c r="OCY22" s="252">
        <v>0</v>
      </c>
      <c r="OCZ22" s="252">
        <v>0</v>
      </c>
      <c r="ODA22" s="252">
        <v>0</v>
      </c>
      <c r="ODB22" s="252">
        <v>0</v>
      </c>
      <c r="ODC22" s="252">
        <v>0</v>
      </c>
      <c r="ODD22" s="252">
        <v>0</v>
      </c>
      <c r="ODE22" s="252">
        <v>0</v>
      </c>
      <c r="ODF22" s="252">
        <v>0</v>
      </c>
      <c r="ODG22" s="252">
        <v>0</v>
      </c>
      <c r="ODH22" s="252">
        <v>0</v>
      </c>
      <c r="ODI22" s="252">
        <v>0</v>
      </c>
      <c r="ODJ22" s="252">
        <v>0</v>
      </c>
      <c r="ODK22" s="252">
        <v>0</v>
      </c>
      <c r="ODL22" s="252">
        <v>0</v>
      </c>
      <c r="ODM22" s="252">
        <v>0</v>
      </c>
      <c r="ODN22" s="252">
        <v>0</v>
      </c>
      <c r="ODO22" s="252">
        <v>0</v>
      </c>
      <c r="ODP22" s="252">
        <v>0</v>
      </c>
      <c r="ODQ22" s="252">
        <v>0</v>
      </c>
      <c r="ODR22" s="252">
        <v>0</v>
      </c>
      <c r="ODS22" s="252">
        <v>0</v>
      </c>
      <c r="ODT22" s="252">
        <v>0</v>
      </c>
      <c r="ODU22" s="252">
        <v>0</v>
      </c>
      <c r="ODV22" s="252">
        <v>0</v>
      </c>
      <c r="ODW22" s="252">
        <v>0</v>
      </c>
      <c r="ODX22" s="252">
        <v>0</v>
      </c>
      <c r="ODY22" s="252">
        <v>0</v>
      </c>
      <c r="ODZ22" s="252">
        <v>0</v>
      </c>
      <c r="OEA22" s="252">
        <v>0</v>
      </c>
      <c r="OEB22" s="252">
        <v>0</v>
      </c>
      <c r="OEC22" s="252">
        <v>0</v>
      </c>
      <c r="OED22" s="252">
        <v>0</v>
      </c>
      <c r="OEE22" s="252">
        <v>0</v>
      </c>
      <c r="OEF22" s="252">
        <v>0</v>
      </c>
      <c r="OEG22" s="252">
        <v>0</v>
      </c>
      <c r="OEH22" s="252">
        <v>0</v>
      </c>
      <c r="OEI22" s="252">
        <v>0</v>
      </c>
      <c r="OEJ22" s="252">
        <v>0</v>
      </c>
      <c r="OEK22" s="252">
        <v>0</v>
      </c>
      <c r="OEL22" s="252">
        <v>0</v>
      </c>
      <c r="OEM22" s="252">
        <v>0</v>
      </c>
      <c r="OEN22" s="252">
        <v>0</v>
      </c>
      <c r="OEO22" s="252">
        <v>0</v>
      </c>
      <c r="OEP22" s="252">
        <v>0</v>
      </c>
      <c r="OEQ22" s="252">
        <v>0</v>
      </c>
      <c r="OER22" s="252">
        <v>0</v>
      </c>
      <c r="OES22" s="252">
        <v>0</v>
      </c>
      <c r="OET22" s="252">
        <v>0</v>
      </c>
      <c r="OEU22" s="252">
        <v>0</v>
      </c>
      <c r="OEV22" s="252">
        <v>0</v>
      </c>
      <c r="OEW22" s="252">
        <v>0</v>
      </c>
      <c r="OEX22" s="252">
        <v>0</v>
      </c>
      <c r="OEY22" s="252">
        <v>0</v>
      </c>
      <c r="OEZ22" s="252">
        <v>0</v>
      </c>
      <c r="OFA22" s="252">
        <v>0</v>
      </c>
      <c r="OFB22" s="252">
        <v>0</v>
      </c>
      <c r="OFC22" s="252">
        <v>0</v>
      </c>
      <c r="OFD22" s="252">
        <v>0</v>
      </c>
      <c r="OFE22" s="252">
        <v>0</v>
      </c>
      <c r="OFF22" s="252">
        <v>0</v>
      </c>
      <c r="OFG22" s="252">
        <v>0</v>
      </c>
      <c r="OFH22" s="252">
        <v>0</v>
      </c>
      <c r="OFI22" s="252">
        <v>0</v>
      </c>
      <c r="OFJ22" s="252">
        <v>0</v>
      </c>
      <c r="OFK22" s="252">
        <v>0</v>
      </c>
      <c r="OFL22" s="252">
        <v>0</v>
      </c>
      <c r="OFM22" s="252">
        <v>0</v>
      </c>
      <c r="OFN22" s="252">
        <v>0</v>
      </c>
      <c r="OFO22" s="252">
        <v>0</v>
      </c>
      <c r="OFP22" s="252">
        <v>0</v>
      </c>
      <c r="OFQ22" s="252">
        <v>0</v>
      </c>
      <c r="OFR22" s="252">
        <v>0</v>
      </c>
      <c r="OFS22" s="252">
        <v>0</v>
      </c>
      <c r="OFT22" s="252">
        <v>0</v>
      </c>
      <c r="OFU22" s="252">
        <v>0</v>
      </c>
      <c r="OFV22" s="252">
        <v>0</v>
      </c>
      <c r="OFW22" s="252">
        <v>0</v>
      </c>
      <c r="OFX22" s="252">
        <v>0</v>
      </c>
      <c r="OFY22" s="252">
        <v>0</v>
      </c>
      <c r="OFZ22" s="252">
        <v>0</v>
      </c>
      <c r="OGA22" s="252">
        <v>0</v>
      </c>
      <c r="OGB22" s="252">
        <v>0</v>
      </c>
      <c r="OGC22" s="252">
        <v>0</v>
      </c>
      <c r="OGD22" s="252">
        <v>0</v>
      </c>
      <c r="OGE22" s="252">
        <v>0</v>
      </c>
      <c r="OGF22" s="252">
        <v>0</v>
      </c>
      <c r="OGG22" s="252">
        <v>0</v>
      </c>
      <c r="OGH22" s="252">
        <v>0</v>
      </c>
      <c r="OGI22" s="252">
        <v>0</v>
      </c>
      <c r="OGJ22" s="252">
        <v>0</v>
      </c>
      <c r="OGK22" s="252">
        <v>0</v>
      </c>
      <c r="OGL22" s="252">
        <v>0</v>
      </c>
      <c r="OGM22" s="252">
        <v>0</v>
      </c>
      <c r="OGN22" s="252">
        <v>0</v>
      </c>
      <c r="OGO22" s="252">
        <v>0</v>
      </c>
      <c r="OGP22" s="252">
        <v>0</v>
      </c>
      <c r="OGQ22" s="252">
        <v>0</v>
      </c>
      <c r="OGR22" s="252">
        <v>0</v>
      </c>
      <c r="OGS22" s="252">
        <v>0</v>
      </c>
      <c r="OGT22" s="252">
        <v>0</v>
      </c>
      <c r="OGU22" s="252">
        <v>0</v>
      </c>
      <c r="OGV22" s="252">
        <v>0</v>
      </c>
      <c r="OGW22" s="252">
        <v>0</v>
      </c>
      <c r="OGX22" s="252">
        <v>0</v>
      </c>
      <c r="OGY22" s="252">
        <v>0</v>
      </c>
      <c r="OGZ22" s="252">
        <v>0</v>
      </c>
      <c r="OHA22" s="252">
        <v>0</v>
      </c>
      <c r="OHB22" s="252">
        <v>0</v>
      </c>
      <c r="OHC22" s="252">
        <v>0</v>
      </c>
      <c r="OHD22" s="252">
        <v>0</v>
      </c>
      <c r="OHE22" s="252">
        <v>0</v>
      </c>
      <c r="OHF22" s="252">
        <v>0</v>
      </c>
      <c r="OHG22" s="252">
        <v>0</v>
      </c>
      <c r="OHH22" s="252">
        <v>0</v>
      </c>
      <c r="OHI22" s="252">
        <v>0</v>
      </c>
      <c r="OHJ22" s="252">
        <v>0</v>
      </c>
      <c r="OHK22" s="252">
        <v>0</v>
      </c>
      <c r="OHL22" s="252">
        <v>0</v>
      </c>
      <c r="OHM22" s="252">
        <v>0</v>
      </c>
      <c r="OHN22" s="252">
        <v>0</v>
      </c>
      <c r="OHO22" s="252">
        <v>0</v>
      </c>
      <c r="OHP22" s="252">
        <v>0</v>
      </c>
      <c r="OHQ22" s="252">
        <v>0</v>
      </c>
      <c r="OHR22" s="252">
        <v>0</v>
      </c>
      <c r="OHS22" s="252">
        <v>0</v>
      </c>
      <c r="OHT22" s="252">
        <v>0</v>
      </c>
      <c r="OHU22" s="252">
        <v>0</v>
      </c>
      <c r="OHV22" s="252">
        <v>0</v>
      </c>
      <c r="OHW22" s="252">
        <v>0</v>
      </c>
      <c r="OHX22" s="252">
        <v>0</v>
      </c>
      <c r="OHY22" s="252">
        <v>0</v>
      </c>
      <c r="OHZ22" s="252">
        <v>0</v>
      </c>
      <c r="OIA22" s="252">
        <v>0</v>
      </c>
      <c r="OIB22" s="252">
        <v>0</v>
      </c>
      <c r="OIC22" s="252">
        <v>0</v>
      </c>
      <c r="OID22" s="252">
        <v>0</v>
      </c>
      <c r="OIE22" s="252">
        <v>0</v>
      </c>
      <c r="OIF22" s="252">
        <v>0</v>
      </c>
      <c r="OIG22" s="252">
        <v>0</v>
      </c>
      <c r="OIH22" s="252">
        <v>0</v>
      </c>
      <c r="OII22" s="252">
        <v>0</v>
      </c>
      <c r="OIJ22" s="252">
        <v>0</v>
      </c>
      <c r="OIK22" s="252">
        <v>0</v>
      </c>
      <c r="OIL22" s="252">
        <v>0</v>
      </c>
      <c r="OIM22" s="252">
        <v>0</v>
      </c>
      <c r="OIN22" s="252">
        <v>0</v>
      </c>
      <c r="OIO22" s="252">
        <v>0</v>
      </c>
      <c r="OIP22" s="252">
        <v>0</v>
      </c>
      <c r="OIQ22" s="252">
        <v>0</v>
      </c>
      <c r="OIR22" s="252">
        <v>0</v>
      </c>
      <c r="OIS22" s="252">
        <v>0</v>
      </c>
      <c r="OIT22" s="252">
        <v>0</v>
      </c>
      <c r="OIU22" s="252">
        <v>0</v>
      </c>
      <c r="OIV22" s="252">
        <v>0</v>
      </c>
      <c r="OIW22" s="252">
        <v>0</v>
      </c>
      <c r="OIX22" s="252">
        <v>0</v>
      </c>
      <c r="OIY22" s="252">
        <v>0</v>
      </c>
      <c r="OIZ22" s="252">
        <v>0</v>
      </c>
      <c r="OJA22" s="252">
        <v>0</v>
      </c>
      <c r="OJB22" s="252">
        <v>0</v>
      </c>
      <c r="OJC22" s="252">
        <v>0</v>
      </c>
      <c r="OJD22" s="252">
        <v>0</v>
      </c>
      <c r="OJE22" s="252">
        <v>0</v>
      </c>
      <c r="OJF22" s="252">
        <v>0</v>
      </c>
      <c r="OJG22" s="252">
        <v>0</v>
      </c>
      <c r="OJH22" s="252">
        <v>0</v>
      </c>
      <c r="OJI22" s="252">
        <v>0</v>
      </c>
      <c r="OJJ22" s="252">
        <v>0</v>
      </c>
      <c r="OJK22" s="252">
        <v>0</v>
      </c>
      <c r="OJL22" s="252">
        <v>0</v>
      </c>
      <c r="OJM22" s="252">
        <v>0</v>
      </c>
      <c r="OJN22" s="252">
        <v>0</v>
      </c>
      <c r="OJO22" s="252">
        <v>0</v>
      </c>
      <c r="OJP22" s="252">
        <v>0</v>
      </c>
      <c r="OJQ22" s="252">
        <v>0</v>
      </c>
      <c r="OJR22" s="252">
        <v>0</v>
      </c>
      <c r="OJS22" s="252">
        <v>0</v>
      </c>
      <c r="OJT22" s="252">
        <v>0</v>
      </c>
      <c r="OJU22" s="252">
        <v>0</v>
      </c>
      <c r="OJV22" s="252">
        <v>0</v>
      </c>
      <c r="OJW22" s="252">
        <v>0</v>
      </c>
      <c r="OJX22" s="252">
        <v>0</v>
      </c>
      <c r="OJY22" s="252">
        <v>0</v>
      </c>
      <c r="OJZ22" s="252">
        <v>0</v>
      </c>
      <c r="OKA22" s="252">
        <v>0</v>
      </c>
      <c r="OKB22" s="252">
        <v>0</v>
      </c>
      <c r="OKC22" s="252">
        <v>0</v>
      </c>
      <c r="OKD22" s="252">
        <v>0</v>
      </c>
      <c r="OKE22" s="252">
        <v>0</v>
      </c>
      <c r="OKF22" s="252">
        <v>0</v>
      </c>
      <c r="OKG22" s="252">
        <v>0</v>
      </c>
      <c r="OKH22" s="252">
        <v>0</v>
      </c>
      <c r="OKI22" s="252">
        <v>0</v>
      </c>
      <c r="OKJ22" s="252">
        <v>0</v>
      </c>
      <c r="OKK22" s="252">
        <v>0</v>
      </c>
      <c r="OKL22" s="252">
        <v>0</v>
      </c>
      <c r="OKM22" s="252">
        <v>0</v>
      </c>
      <c r="OKN22" s="252">
        <v>0</v>
      </c>
      <c r="OKO22" s="252">
        <v>0</v>
      </c>
      <c r="OKP22" s="252">
        <v>0</v>
      </c>
      <c r="OKQ22" s="252">
        <v>0</v>
      </c>
      <c r="OKR22" s="252">
        <v>0</v>
      </c>
      <c r="OKS22" s="252">
        <v>0</v>
      </c>
      <c r="OKT22" s="252">
        <v>0</v>
      </c>
      <c r="OKU22" s="252">
        <v>0</v>
      </c>
      <c r="OKV22" s="252">
        <v>0</v>
      </c>
      <c r="OKW22" s="252">
        <v>0</v>
      </c>
      <c r="OKX22" s="252">
        <v>0</v>
      </c>
      <c r="OKY22" s="252">
        <v>0</v>
      </c>
      <c r="OKZ22" s="252">
        <v>0</v>
      </c>
      <c r="OLA22" s="252">
        <v>0</v>
      </c>
      <c r="OLB22" s="252">
        <v>0</v>
      </c>
      <c r="OLC22" s="252">
        <v>0</v>
      </c>
      <c r="OLD22" s="252">
        <v>0</v>
      </c>
      <c r="OLE22" s="252">
        <v>0</v>
      </c>
      <c r="OLF22" s="252">
        <v>0</v>
      </c>
      <c r="OLG22" s="252">
        <v>0</v>
      </c>
      <c r="OLH22" s="252">
        <v>0</v>
      </c>
      <c r="OLI22" s="252">
        <v>0</v>
      </c>
      <c r="OLJ22" s="252">
        <v>0</v>
      </c>
      <c r="OLK22" s="252">
        <v>0</v>
      </c>
      <c r="OLL22" s="252">
        <v>0</v>
      </c>
      <c r="OLM22" s="252">
        <v>0</v>
      </c>
      <c r="OLN22" s="252">
        <v>0</v>
      </c>
      <c r="OLO22" s="252">
        <v>0</v>
      </c>
      <c r="OLP22" s="252">
        <v>0</v>
      </c>
      <c r="OLQ22" s="252">
        <v>0</v>
      </c>
      <c r="OLR22" s="252">
        <v>0</v>
      </c>
      <c r="OLS22" s="252">
        <v>0</v>
      </c>
      <c r="OLT22" s="252">
        <v>0</v>
      </c>
      <c r="OLU22" s="252">
        <v>0</v>
      </c>
      <c r="OLV22" s="252">
        <v>0</v>
      </c>
      <c r="OLW22" s="252">
        <v>0</v>
      </c>
      <c r="OLX22" s="252">
        <v>0</v>
      </c>
      <c r="OLY22" s="252">
        <v>0</v>
      </c>
      <c r="OLZ22" s="252">
        <v>0</v>
      </c>
      <c r="OMA22" s="252">
        <v>0</v>
      </c>
      <c r="OMB22" s="252">
        <v>0</v>
      </c>
      <c r="OMC22" s="252">
        <v>0</v>
      </c>
      <c r="OMD22" s="252">
        <v>0</v>
      </c>
      <c r="OME22" s="252">
        <v>0</v>
      </c>
      <c r="OMF22" s="252">
        <v>0</v>
      </c>
      <c r="OMG22" s="252">
        <v>0</v>
      </c>
      <c r="OMH22" s="252">
        <v>0</v>
      </c>
      <c r="OMI22" s="252">
        <v>0</v>
      </c>
      <c r="OMJ22" s="252">
        <v>0</v>
      </c>
      <c r="OMK22" s="252">
        <v>0</v>
      </c>
      <c r="OML22" s="252">
        <v>0</v>
      </c>
      <c r="OMM22" s="252">
        <v>0</v>
      </c>
      <c r="OMN22" s="252">
        <v>0</v>
      </c>
      <c r="OMO22" s="252">
        <v>0</v>
      </c>
      <c r="OMP22" s="252">
        <v>0</v>
      </c>
      <c r="OMQ22" s="252">
        <v>0</v>
      </c>
      <c r="OMR22" s="252">
        <v>0</v>
      </c>
      <c r="OMS22" s="252">
        <v>0</v>
      </c>
      <c r="OMT22" s="252">
        <v>0</v>
      </c>
      <c r="OMU22" s="252">
        <v>0</v>
      </c>
      <c r="OMV22" s="252">
        <v>0</v>
      </c>
      <c r="OMW22" s="252">
        <v>0</v>
      </c>
      <c r="OMX22" s="252">
        <v>0</v>
      </c>
      <c r="OMY22" s="252">
        <v>0</v>
      </c>
      <c r="OMZ22" s="252">
        <v>0</v>
      </c>
      <c r="ONA22" s="252">
        <v>0</v>
      </c>
      <c r="ONB22" s="252">
        <v>0</v>
      </c>
      <c r="ONC22" s="252">
        <v>0</v>
      </c>
      <c r="OND22" s="252">
        <v>0</v>
      </c>
      <c r="ONE22" s="252">
        <v>0</v>
      </c>
      <c r="ONF22" s="252">
        <v>0</v>
      </c>
      <c r="ONG22" s="252">
        <v>0</v>
      </c>
      <c r="ONH22" s="252">
        <v>0</v>
      </c>
      <c r="ONI22" s="252">
        <v>0</v>
      </c>
      <c r="ONJ22" s="252">
        <v>0</v>
      </c>
      <c r="ONK22" s="252">
        <v>0</v>
      </c>
      <c r="ONL22" s="252">
        <v>0</v>
      </c>
      <c r="ONM22" s="252">
        <v>0</v>
      </c>
      <c r="ONN22" s="252">
        <v>0</v>
      </c>
      <c r="ONO22" s="252">
        <v>0</v>
      </c>
      <c r="ONP22" s="252">
        <v>0</v>
      </c>
      <c r="ONQ22" s="252">
        <v>0</v>
      </c>
      <c r="ONR22" s="252">
        <v>0</v>
      </c>
      <c r="ONS22" s="252">
        <v>0</v>
      </c>
      <c r="ONT22" s="252">
        <v>0</v>
      </c>
      <c r="ONU22" s="252">
        <v>0</v>
      </c>
      <c r="ONV22" s="252">
        <v>0</v>
      </c>
      <c r="ONW22" s="252">
        <v>0</v>
      </c>
      <c r="ONX22" s="252">
        <v>0</v>
      </c>
      <c r="ONY22" s="252">
        <v>0</v>
      </c>
      <c r="ONZ22" s="252">
        <v>0</v>
      </c>
      <c r="OOA22" s="252">
        <v>0</v>
      </c>
      <c r="OOB22" s="252">
        <v>0</v>
      </c>
      <c r="OOC22" s="252">
        <v>0</v>
      </c>
      <c r="OOD22" s="252">
        <v>0</v>
      </c>
      <c r="OOE22" s="252">
        <v>0</v>
      </c>
      <c r="OOF22" s="252">
        <v>0</v>
      </c>
      <c r="OOG22" s="252">
        <v>0</v>
      </c>
      <c r="OOH22" s="252">
        <v>0</v>
      </c>
      <c r="OOI22" s="252">
        <v>0</v>
      </c>
      <c r="OOJ22" s="252">
        <v>0</v>
      </c>
      <c r="OOK22" s="252">
        <v>0</v>
      </c>
      <c r="OOL22" s="252">
        <v>0</v>
      </c>
      <c r="OOM22" s="252">
        <v>0</v>
      </c>
      <c r="OON22" s="252">
        <v>0</v>
      </c>
      <c r="OOO22" s="252">
        <v>0</v>
      </c>
      <c r="OOP22" s="252">
        <v>0</v>
      </c>
      <c r="OOQ22" s="252">
        <v>0</v>
      </c>
      <c r="OOR22" s="252">
        <v>0</v>
      </c>
      <c r="OOS22" s="252">
        <v>0</v>
      </c>
      <c r="OOT22" s="252">
        <v>0</v>
      </c>
      <c r="OOU22" s="252">
        <v>0</v>
      </c>
      <c r="OOV22" s="252">
        <v>0</v>
      </c>
      <c r="OOW22" s="252">
        <v>0</v>
      </c>
      <c r="OOX22" s="252">
        <v>0</v>
      </c>
      <c r="OOY22" s="252">
        <v>0</v>
      </c>
      <c r="OOZ22" s="252">
        <v>0</v>
      </c>
      <c r="OPA22" s="252">
        <v>0</v>
      </c>
      <c r="OPB22" s="252">
        <v>0</v>
      </c>
      <c r="OPC22" s="252">
        <v>0</v>
      </c>
      <c r="OPD22" s="252">
        <v>0</v>
      </c>
      <c r="OPE22" s="252">
        <v>0</v>
      </c>
      <c r="OPF22" s="252">
        <v>0</v>
      </c>
      <c r="OPG22" s="252">
        <v>0</v>
      </c>
      <c r="OPH22" s="252">
        <v>0</v>
      </c>
      <c r="OPI22" s="252">
        <v>0</v>
      </c>
      <c r="OPJ22" s="252">
        <v>0</v>
      </c>
      <c r="OPK22" s="252">
        <v>0</v>
      </c>
      <c r="OPL22" s="252">
        <v>0</v>
      </c>
      <c r="OPM22" s="252">
        <v>0</v>
      </c>
      <c r="OPN22" s="252">
        <v>0</v>
      </c>
      <c r="OPO22" s="252">
        <v>0</v>
      </c>
      <c r="OPP22" s="252">
        <v>0</v>
      </c>
      <c r="OPQ22" s="252">
        <v>0</v>
      </c>
      <c r="OPR22" s="252">
        <v>0</v>
      </c>
      <c r="OPS22" s="252">
        <v>0</v>
      </c>
      <c r="OPT22" s="252">
        <v>0</v>
      </c>
      <c r="OPU22" s="252">
        <v>0</v>
      </c>
      <c r="OPV22" s="252">
        <v>0</v>
      </c>
      <c r="OPW22" s="252">
        <v>0</v>
      </c>
      <c r="OPX22" s="252">
        <v>0</v>
      </c>
      <c r="OPY22" s="252">
        <v>0</v>
      </c>
      <c r="OPZ22" s="252">
        <v>0</v>
      </c>
      <c r="OQA22" s="252">
        <v>0</v>
      </c>
      <c r="OQB22" s="252">
        <v>0</v>
      </c>
      <c r="OQC22" s="252">
        <v>0</v>
      </c>
      <c r="OQD22" s="252">
        <v>0</v>
      </c>
      <c r="OQE22" s="252">
        <v>0</v>
      </c>
      <c r="OQF22" s="252">
        <v>0</v>
      </c>
      <c r="OQG22" s="252">
        <v>0</v>
      </c>
      <c r="OQH22" s="252">
        <v>0</v>
      </c>
      <c r="OQI22" s="252">
        <v>0</v>
      </c>
      <c r="OQJ22" s="252">
        <v>0</v>
      </c>
      <c r="OQK22" s="252">
        <v>0</v>
      </c>
      <c r="OQL22" s="252">
        <v>0</v>
      </c>
      <c r="OQM22" s="252">
        <v>0</v>
      </c>
      <c r="OQN22" s="252">
        <v>0</v>
      </c>
      <c r="OQO22" s="252">
        <v>0</v>
      </c>
      <c r="OQP22" s="252">
        <v>0</v>
      </c>
      <c r="OQQ22" s="252">
        <v>0</v>
      </c>
      <c r="OQR22" s="252">
        <v>0</v>
      </c>
      <c r="OQS22" s="252">
        <v>0</v>
      </c>
      <c r="OQT22" s="252">
        <v>0</v>
      </c>
      <c r="OQU22" s="252">
        <v>0</v>
      </c>
      <c r="OQV22" s="252">
        <v>0</v>
      </c>
      <c r="OQW22" s="252">
        <v>0</v>
      </c>
      <c r="OQX22" s="252">
        <v>0</v>
      </c>
      <c r="OQY22" s="252">
        <v>0</v>
      </c>
      <c r="OQZ22" s="252">
        <v>0</v>
      </c>
      <c r="ORA22" s="252">
        <v>0</v>
      </c>
      <c r="ORB22" s="252">
        <v>0</v>
      </c>
      <c r="ORC22" s="252">
        <v>0</v>
      </c>
      <c r="ORD22" s="252">
        <v>0</v>
      </c>
      <c r="ORE22" s="252">
        <v>0</v>
      </c>
      <c r="ORF22" s="252">
        <v>0</v>
      </c>
      <c r="ORG22" s="252">
        <v>0</v>
      </c>
      <c r="ORH22" s="252">
        <v>0</v>
      </c>
      <c r="ORI22" s="252">
        <v>0</v>
      </c>
      <c r="ORJ22" s="252">
        <v>0</v>
      </c>
      <c r="ORK22" s="252">
        <v>0</v>
      </c>
      <c r="ORL22" s="252">
        <v>0</v>
      </c>
      <c r="ORM22" s="252">
        <v>0</v>
      </c>
      <c r="ORN22" s="252">
        <v>0</v>
      </c>
      <c r="ORO22" s="252">
        <v>0</v>
      </c>
      <c r="ORP22" s="252">
        <v>0</v>
      </c>
      <c r="ORQ22" s="252">
        <v>0</v>
      </c>
      <c r="ORR22" s="252">
        <v>0</v>
      </c>
      <c r="ORS22" s="252">
        <v>0</v>
      </c>
      <c r="ORT22" s="252">
        <v>0</v>
      </c>
      <c r="ORU22" s="252">
        <v>0</v>
      </c>
      <c r="ORV22" s="252">
        <v>0</v>
      </c>
      <c r="ORW22" s="252">
        <v>0</v>
      </c>
      <c r="ORX22" s="252">
        <v>0</v>
      </c>
      <c r="ORY22" s="252">
        <v>0</v>
      </c>
      <c r="ORZ22" s="252">
        <v>0</v>
      </c>
      <c r="OSA22" s="252">
        <v>0</v>
      </c>
      <c r="OSB22" s="252">
        <v>0</v>
      </c>
      <c r="OSC22" s="252">
        <v>0</v>
      </c>
      <c r="OSD22" s="252">
        <v>0</v>
      </c>
      <c r="OSE22" s="252">
        <v>0</v>
      </c>
      <c r="OSF22" s="252">
        <v>0</v>
      </c>
      <c r="OSG22" s="252">
        <v>0</v>
      </c>
      <c r="OSH22" s="252">
        <v>0</v>
      </c>
      <c r="OSI22" s="252">
        <v>0</v>
      </c>
      <c r="OSJ22" s="252">
        <v>0</v>
      </c>
      <c r="OSK22" s="252">
        <v>0</v>
      </c>
      <c r="OSL22" s="252">
        <v>0</v>
      </c>
      <c r="OSM22" s="252">
        <v>0</v>
      </c>
      <c r="OSN22" s="252">
        <v>0</v>
      </c>
      <c r="OSO22" s="252">
        <v>0</v>
      </c>
      <c r="OSP22" s="252">
        <v>0</v>
      </c>
      <c r="OSQ22" s="252">
        <v>0</v>
      </c>
      <c r="OSR22" s="252">
        <v>0</v>
      </c>
      <c r="OSS22" s="252">
        <v>0</v>
      </c>
      <c r="OST22" s="252">
        <v>0</v>
      </c>
      <c r="OSU22" s="252">
        <v>0</v>
      </c>
      <c r="OSV22" s="252">
        <v>0</v>
      </c>
      <c r="OSW22" s="252">
        <v>0</v>
      </c>
      <c r="OSX22" s="252">
        <v>0</v>
      </c>
      <c r="OSY22" s="252">
        <v>0</v>
      </c>
      <c r="OSZ22" s="252">
        <v>0</v>
      </c>
      <c r="OTA22" s="252">
        <v>0</v>
      </c>
      <c r="OTB22" s="252">
        <v>0</v>
      </c>
      <c r="OTC22" s="252">
        <v>0</v>
      </c>
      <c r="OTD22" s="252">
        <v>0</v>
      </c>
      <c r="OTE22" s="252">
        <v>0</v>
      </c>
      <c r="OTF22" s="252">
        <v>0</v>
      </c>
      <c r="OTG22" s="252">
        <v>0</v>
      </c>
      <c r="OTH22" s="252">
        <v>0</v>
      </c>
      <c r="OTI22" s="252">
        <v>0</v>
      </c>
      <c r="OTJ22" s="252">
        <v>0</v>
      </c>
      <c r="OTK22" s="252">
        <v>0</v>
      </c>
      <c r="OTL22" s="252">
        <v>0</v>
      </c>
      <c r="OTM22" s="252">
        <v>0</v>
      </c>
      <c r="OTN22" s="252">
        <v>0</v>
      </c>
      <c r="OTO22" s="252">
        <v>0</v>
      </c>
      <c r="OTP22" s="252">
        <v>0</v>
      </c>
      <c r="OTQ22" s="252">
        <v>0</v>
      </c>
      <c r="OTR22" s="252">
        <v>0</v>
      </c>
      <c r="OTS22" s="252">
        <v>0</v>
      </c>
      <c r="OTT22" s="252">
        <v>0</v>
      </c>
      <c r="OTU22" s="252">
        <v>0</v>
      </c>
      <c r="OTV22" s="252">
        <v>0</v>
      </c>
      <c r="OTW22" s="252">
        <v>0</v>
      </c>
      <c r="OTX22" s="252">
        <v>0</v>
      </c>
      <c r="OTY22" s="252">
        <v>0</v>
      </c>
      <c r="OTZ22" s="252">
        <v>0</v>
      </c>
      <c r="OUA22" s="252">
        <v>0</v>
      </c>
      <c r="OUB22" s="252">
        <v>0</v>
      </c>
      <c r="OUC22" s="252">
        <v>0</v>
      </c>
      <c r="OUD22" s="252">
        <v>0</v>
      </c>
      <c r="OUE22" s="252">
        <v>0</v>
      </c>
      <c r="OUF22" s="252">
        <v>0</v>
      </c>
      <c r="OUG22" s="252">
        <v>0</v>
      </c>
      <c r="OUH22" s="252">
        <v>0</v>
      </c>
      <c r="OUI22" s="252">
        <v>0</v>
      </c>
      <c r="OUJ22" s="252">
        <v>0</v>
      </c>
      <c r="OUK22" s="252">
        <v>0</v>
      </c>
      <c r="OUL22" s="252">
        <v>0</v>
      </c>
      <c r="OUM22" s="252">
        <v>0</v>
      </c>
      <c r="OUN22" s="252">
        <v>0</v>
      </c>
      <c r="OUO22" s="252">
        <v>0</v>
      </c>
      <c r="OUP22" s="252">
        <v>0</v>
      </c>
      <c r="OUQ22" s="252">
        <v>0</v>
      </c>
      <c r="OUR22" s="252">
        <v>0</v>
      </c>
      <c r="OUS22" s="252">
        <v>0</v>
      </c>
      <c r="OUT22" s="252">
        <v>0</v>
      </c>
      <c r="OUU22" s="252">
        <v>0</v>
      </c>
      <c r="OUV22" s="252">
        <v>0</v>
      </c>
      <c r="OUW22" s="252">
        <v>0</v>
      </c>
      <c r="OUX22" s="252">
        <v>0</v>
      </c>
      <c r="OUY22" s="252">
        <v>0</v>
      </c>
      <c r="OUZ22" s="252">
        <v>0</v>
      </c>
      <c r="OVA22" s="252">
        <v>0</v>
      </c>
      <c r="OVB22" s="252">
        <v>0</v>
      </c>
      <c r="OVC22" s="252">
        <v>0</v>
      </c>
      <c r="OVD22" s="252">
        <v>0</v>
      </c>
      <c r="OVE22" s="252">
        <v>0</v>
      </c>
      <c r="OVF22" s="252">
        <v>0</v>
      </c>
      <c r="OVG22" s="252">
        <v>0</v>
      </c>
      <c r="OVH22" s="252">
        <v>0</v>
      </c>
      <c r="OVI22" s="252">
        <v>0</v>
      </c>
      <c r="OVJ22" s="252">
        <v>0</v>
      </c>
      <c r="OVK22" s="252">
        <v>0</v>
      </c>
      <c r="OVL22" s="252">
        <v>0</v>
      </c>
      <c r="OVM22" s="252">
        <v>0</v>
      </c>
      <c r="OVN22" s="252">
        <v>0</v>
      </c>
      <c r="OVO22" s="252">
        <v>0</v>
      </c>
      <c r="OVP22" s="252">
        <v>0</v>
      </c>
      <c r="OVQ22" s="252">
        <v>0</v>
      </c>
      <c r="OVR22" s="252">
        <v>0</v>
      </c>
      <c r="OVS22" s="252">
        <v>0</v>
      </c>
      <c r="OVT22" s="252">
        <v>0</v>
      </c>
      <c r="OVU22" s="252">
        <v>0</v>
      </c>
      <c r="OVV22" s="252">
        <v>0</v>
      </c>
      <c r="OVW22" s="252">
        <v>0</v>
      </c>
      <c r="OVX22" s="252">
        <v>0</v>
      </c>
      <c r="OVY22" s="252">
        <v>0</v>
      </c>
      <c r="OVZ22" s="252">
        <v>0</v>
      </c>
      <c r="OWA22" s="252">
        <v>0</v>
      </c>
      <c r="OWB22" s="252">
        <v>0</v>
      </c>
      <c r="OWC22" s="252">
        <v>0</v>
      </c>
      <c r="OWD22" s="252">
        <v>0</v>
      </c>
      <c r="OWE22" s="252">
        <v>0</v>
      </c>
      <c r="OWF22" s="252">
        <v>0</v>
      </c>
      <c r="OWG22" s="252">
        <v>0</v>
      </c>
      <c r="OWH22" s="252">
        <v>0</v>
      </c>
      <c r="OWI22" s="252">
        <v>0</v>
      </c>
      <c r="OWJ22" s="252">
        <v>0</v>
      </c>
      <c r="OWK22" s="252">
        <v>0</v>
      </c>
      <c r="OWL22" s="252">
        <v>0</v>
      </c>
      <c r="OWM22" s="252">
        <v>0</v>
      </c>
      <c r="OWN22" s="252">
        <v>0</v>
      </c>
      <c r="OWO22" s="252">
        <v>0</v>
      </c>
      <c r="OWP22" s="252">
        <v>0</v>
      </c>
      <c r="OWQ22" s="252">
        <v>0</v>
      </c>
      <c r="OWR22" s="252">
        <v>0</v>
      </c>
      <c r="OWS22" s="252">
        <v>0</v>
      </c>
      <c r="OWT22" s="252">
        <v>0</v>
      </c>
      <c r="OWU22" s="252">
        <v>0</v>
      </c>
      <c r="OWV22" s="252">
        <v>0</v>
      </c>
      <c r="OWW22" s="252">
        <v>0</v>
      </c>
      <c r="OWX22" s="252">
        <v>0</v>
      </c>
      <c r="OWY22" s="252">
        <v>0</v>
      </c>
      <c r="OWZ22" s="252">
        <v>0</v>
      </c>
      <c r="OXA22" s="252">
        <v>0</v>
      </c>
      <c r="OXB22" s="252">
        <v>0</v>
      </c>
      <c r="OXC22" s="252">
        <v>0</v>
      </c>
      <c r="OXD22" s="252">
        <v>0</v>
      </c>
      <c r="OXE22" s="252">
        <v>0</v>
      </c>
      <c r="OXF22" s="252">
        <v>0</v>
      </c>
      <c r="OXG22" s="252">
        <v>0</v>
      </c>
      <c r="OXH22" s="252">
        <v>0</v>
      </c>
      <c r="OXI22" s="252">
        <v>0</v>
      </c>
      <c r="OXJ22" s="252">
        <v>0</v>
      </c>
      <c r="OXK22" s="252">
        <v>0</v>
      </c>
      <c r="OXL22" s="252">
        <v>0</v>
      </c>
      <c r="OXM22" s="252">
        <v>0</v>
      </c>
      <c r="OXN22" s="252">
        <v>0</v>
      </c>
      <c r="OXO22" s="252">
        <v>0</v>
      </c>
      <c r="OXP22" s="252">
        <v>0</v>
      </c>
      <c r="OXQ22" s="252">
        <v>0</v>
      </c>
      <c r="OXR22" s="252">
        <v>0</v>
      </c>
      <c r="OXS22" s="252">
        <v>0</v>
      </c>
      <c r="OXT22" s="252">
        <v>0</v>
      </c>
      <c r="OXU22" s="252">
        <v>0</v>
      </c>
      <c r="OXV22" s="252">
        <v>0</v>
      </c>
      <c r="OXW22" s="252">
        <v>0</v>
      </c>
      <c r="OXX22" s="252">
        <v>0</v>
      </c>
      <c r="OXY22" s="252">
        <v>0</v>
      </c>
      <c r="OXZ22" s="252">
        <v>0</v>
      </c>
      <c r="OYA22" s="252">
        <v>0</v>
      </c>
      <c r="OYB22" s="252">
        <v>0</v>
      </c>
      <c r="OYC22" s="252">
        <v>0</v>
      </c>
      <c r="OYD22" s="252">
        <v>0</v>
      </c>
      <c r="OYE22" s="252">
        <v>0</v>
      </c>
      <c r="OYF22" s="252">
        <v>0</v>
      </c>
      <c r="OYG22" s="252">
        <v>0</v>
      </c>
      <c r="OYH22" s="252">
        <v>0</v>
      </c>
      <c r="OYI22" s="252">
        <v>0</v>
      </c>
      <c r="OYJ22" s="252">
        <v>0</v>
      </c>
      <c r="OYK22" s="252">
        <v>0</v>
      </c>
      <c r="OYL22" s="252">
        <v>0</v>
      </c>
      <c r="OYM22" s="252">
        <v>0</v>
      </c>
      <c r="OYN22" s="252">
        <v>0</v>
      </c>
      <c r="OYO22" s="252">
        <v>0</v>
      </c>
      <c r="OYP22" s="252">
        <v>0</v>
      </c>
      <c r="OYQ22" s="252">
        <v>0</v>
      </c>
      <c r="OYR22" s="252">
        <v>0</v>
      </c>
      <c r="OYS22" s="252">
        <v>0</v>
      </c>
      <c r="OYT22" s="252">
        <v>0</v>
      </c>
      <c r="OYU22" s="252">
        <v>0</v>
      </c>
      <c r="OYV22" s="252">
        <v>0</v>
      </c>
      <c r="OYW22" s="252">
        <v>0</v>
      </c>
      <c r="OYX22" s="252">
        <v>0</v>
      </c>
      <c r="OYY22" s="252">
        <v>0</v>
      </c>
      <c r="OYZ22" s="252">
        <v>0</v>
      </c>
      <c r="OZA22" s="252">
        <v>0</v>
      </c>
      <c r="OZB22" s="252">
        <v>0</v>
      </c>
      <c r="OZC22" s="252">
        <v>0</v>
      </c>
      <c r="OZD22" s="252">
        <v>0</v>
      </c>
      <c r="OZE22" s="252">
        <v>0</v>
      </c>
      <c r="OZF22" s="252">
        <v>0</v>
      </c>
      <c r="OZG22" s="252">
        <v>0</v>
      </c>
      <c r="OZH22" s="252">
        <v>0</v>
      </c>
      <c r="OZI22" s="252">
        <v>0</v>
      </c>
      <c r="OZJ22" s="252">
        <v>0</v>
      </c>
      <c r="OZK22" s="252">
        <v>0</v>
      </c>
      <c r="OZL22" s="252">
        <v>0</v>
      </c>
      <c r="OZM22" s="252">
        <v>0</v>
      </c>
      <c r="OZN22" s="252">
        <v>0</v>
      </c>
      <c r="OZO22" s="252">
        <v>0</v>
      </c>
      <c r="OZP22" s="252">
        <v>0</v>
      </c>
      <c r="OZQ22" s="252">
        <v>0</v>
      </c>
      <c r="OZR22" s="252">
        <v>0</v>
      </c>
      <c r="OZS22" s="252">
        <v>0</v>
      </c>
      <c r="OZT22" s="252">
        <v>0</v>
      </c>
      <c r="OZU22" s="252">
        <v>0</v>
      </c>
      <c r="OZV22" s="252">
        <v>0</v>
      </c>
      <c r="OZW22" s="252">
        <v>0</v>
      </c>
      <c r="OZX22" s="252">
        <v>0</v>
      </c>
      <c r="OZY22" s="252">
        <v>0</v>
      </c>
      <c r="OZZ22" s="252">
        <v>0</v>
      </c>
      <c r="PAA22" s="252">
        <v>0</v>
      </c>
      <c r="PAB22" s="252">
        <v>0</v>
      </c>
      <c r="PAC22" s="252">
        <v>0</v>
      </c>
      <c r="PAD22" s="252">
        <v>0</v>
      </c>
      <c r="PAE22" s="252">
        <v>0</v>
      </c>
      <c r="PAF22" s="252">
        <v>0</v>
      </c>
      <c r="PAG22" s="252">
        <v>0</v>
      </c>
      <c r="PAH22" s="252">
        <v>0</v>
      </c>
      <c r="PAI22" s="252">
        <v>0</v>
      </c>
      <c r="PAJ22" s="252">
        <v>0</v>
      </c>
      <c r="PAK22" s="252">
        <v>0</v>
      </c>
      <c r="PAL22" s="252">
        <v>0</v>
      </c>
      <c r="PAM22" s="252">
        <v>0</v>
      </c>
      <c r="PAN22" s="252">
        <v>0</v>
      </c>
      <c r="PAO22" s="252">
        <v>0</v>
      </c>
      <c r="PAP22" s="252">
        <v>0</v>
      </c>
      <c r="PAQ22" s="252">
        <v>0</v>
      </c>
      <c r="PAR22" s="252">
        <v>0</v>
      </c>
      <c r="PAS22" s="252">
        <v>0</v>
      </c>
      <c r="PAT22" s="252">
        <v>0</v>
      </c>
      <c r="PAU22" s="252">
        <v>0</v>
      </c>
      <c r="PAV22" s="252">
        <v>0</v>
      </c>
      <c r="PAW22" s="252">
        <v>0</v>
      </c>
      <c r="PAX22" s="252">
        <v>0</v>
      </c>
      <c r="PAY22" s="252">
        <v>0</v>
      </c>
      <c r="PAZ22" s="252">
        <v>0</v>
      </c>
      <c r="PBA22" s="252">
        <v>0</v>
      </c>
      <c r="PBB22" s="252">
        <v>0</v>
      </c>
      <c r="PBC22" s="252">
        <v>0</v>
      </c>
      <c r="PBD22" s="252">
        <v>0</v>
      </c>
      <c r="PBE22" s="252">
        <v>0</v>
      </c>
      <c r="PBF22" s="252">
        <v>0</v>
      </c>
      <c r="PBG22" s="252">
        <v>0</v>
      </c>
      <c r="PBH22" s="252">
        <v>0</v>
      </c>
      <c r="PBI22" s="252">
        <v>0</v>
      </c>
      <c r="PBJ22" s="252">
        <v>0</v>
      </c>
      <c r="PBK22" s="252">
        <v>0</v>
      </c>
      <c r="PBL22" s="252">
        <v>0</v>
      </c>
      <c r="PBM22" s="252">
        <v>0</v>
      </c>
      <c r="PBN22" s="252">
        <v>0</v>
      </c>
      <c r="PBO22" s="252">
        <v>0</v>
      </c>
      <c r="PBP22" s="252">
        <v>0</v>
      </c>
      <c r="PBQ22" s="252">
        <v>0</v>
      </c>
      <c r="PBR22" s="252">
        <v>0</v>
      </c>
      <c r="PBS22" s="252">
        <v>0</v>
      </c>
      <c r="PBT22" s="252">
        <v>0</v>
      </c>
      <c r="PBU22" s="252">
        <v>0</v>
      </c>
      <c r="PBV22" s="252">
        <v>0</v>
      </c>
      <c r="PBW22" s="252">
        <v>0</v>
      </c>
      <c r="PBX22" s="252">
        <v>0</v>
      </c>
      <c r="PBY22" s="252">
        <v>0</v>
      </c>
      <c r="PBZ22" s="252">
        <v>0</v>
      </c>
      <c r="PCA22" s="252">
        <v>0</v>
      </c>
      <c r="PCB22" s="252">
        <v>0</v>
      </c>
      <c r="PCC22" s="252">
        <v>0</v>
      </c>
      <c r="PCD22" s="252">
        <v>0</v>
      </c>
      <c r="PCE22" s="252">
        <v>0</v>
      </c>
      <c r="PCF22" s="252">
        <v>0</v>
      </c>
      <c r="PCG22" s="252">
        <v>0</v>
      </c>
      <c r="PCH22" s="252">
        <v>0</v>
      </c>
      <c r="PCI22" s="252">
        <v>0</v>
      </c>
      <c r="PCJ22" s="252">
        <v>0</v>
      </c>
      <c r="PCK22" s="252">
        <v>0</v>
      </c>
      <c r="PCL22" s="252">
        <v>0</v>
      </c>
      <c r="PCM22" s="252">
        <v>0</v>
      </c>
      <c r="PCN22" s="252">
        <v>0</v>
      </c>
      <c r="PCO22" s="252">
        <v>0</v>
      </c>
      <c r="PCP22" s="252">
        <v>0</v>
      </c>
      <c r="PCQ22" s="252">
        <v>0</v>
      </c>
      <c r="PCR22" s="252">
        <v>0</v>
      </c>
      <c r="PCS22" s="252">
        <v>0</v>
      </c>
      <c r="PCT22" s="252">
        <v>0</v>
      </c>
      <c r="PCU22" s="252">
        <v>0</v>
      </c>
      <c r="PCV22" s="252">
        <v>0</v>
      </c>
      <c r="PCW22" s="252">
        <v>0</v>
      </c>
      <c r="PCX22" s="252">
        <v>0</v>
      </c>
      <c r="PCY22" s="252">
        <v>0</v>
      </c>
      <c r="PCZ22" s="252">
        <v>0</v>
      </c>
      <c r="PDA22" s="252">
        <v>0</v>
      </c>
      <c r="PDB22" s="252">
        <v>0</v>
      </c>
      <c r="PDC22" s="252">
        <v>0</v>
      </c>
      <c r="PDD22" s="252">
        <v>0</v>
      </c>
      <c r="PDE22" s="252">
        <v>0</v>
      </c>
      <c r="PDF22" s="252">
        <v>0</v>
      </c>
      <c r="PDG22" s="252">
        <v>0</v>
      </c>
      <c r="PDH22" s="252">
        <v>0</v>
      </c>
      <c r="PDI22" s="252">
        <v>0</v>
      </c>
      <c r="PDJ22" s="252">
        <v>0</v>
      </c>
      <c r="PDK22" s="252">
        <v>0</v>
      </c>
      <c r="PDL22" s="252">
        <v>0</v>
      </c>
      <c r="PDM22" s="252">
        <v>0</v>
      </c>
      <c r="PDN22" s="252">
        <v>0</v>
      </c>
      <c r="PDO22" s="252">
        <v>0</v>
      </c>
      <c r="PDP22" s="252">
        <v>0</v>
      </c>
      <c r="PDQ22" s="252">
        <v>0</v>
      </c>
      <c r="PDR22" s="252">
        <v>0</v>
      </c>
      <c r="PDS22" s="252">
        <v>0</v>
      </c>
      <c r="PDT22" s="252">
        <v>0</v>
      </c>
      <c r="PDU22" s="252">
        <v>0</v>
      </c>
      <c r="PDV22" s="252">
        <v>0</v>
      </c>
      <c r="PDW22" s="252">
        <v>0</v>
      </c>
      <c r="PDX22" s="252">
        <v>0</v>
      </c>
      <c r="PDY22" s="252">
        <v>0</v>
      </c>
      <c r="PDZ22" s="252">
        <v>0</v>
      </c>
      <c r="PEA22" s="252">
        <v>0</v>
      </c>
      <c r="PEB22" s="252">
        <v>0</v>
      </c>
      <c r="PEC22" s="252">
        <v>0</v>
      </c>
      <c r="PED22" s="252">
        <v>0</v>
      </c>
      <c r="PEE22" s="252">
        <v>0</v>
      </c>
      <c r="PEF22" s="252">
        <v>0</v>
      </c>
      <c r="PEG22" s="252">
        <v>0</v>
      </c>
      <c r="PEH22" s="252">
        <v>0</v>
      </c>
      <c r="PEI22" s="252">
        <v>0</v>
      </c>
      <c r="PEJ22" s="252">
        <v>0</v>
      </c>
      <c r="PEK22" s="252">
        <v>0</v>
      </c>
      <c r="PEL22" s="252">
        <v>0</v>
      </c>
      <c r="PEM22" s="252">
        <v>0</v>
      </c>
      <c r="PEN22" s="252">
        <v>0</v>
      </c>
      <c r="PEO22" s="252">
        <v>0</v>
      </c>
      <c r="PEP22" s="252">
        <v>0</v>
      </c>
      <c r="PEQ22" s="252">
        <v>0</v>
      </c>
      <c r="PER22" s="252">
        <v>0</v>
      </c>
      <c r="PES22" s="252">
        <v>0</v>
      </c>
      <c r="PET22" s="252">
        <v>0</v>
      </c>
      <c r="PEU22" s="252">
        <v>0</v>
      </c>
      <c r="PEV22" s="252">
        <v>0</v>
      </c>
      <c r="PEW22" s="252">
        <v>0</v>
      </c>
      <c r="PEX22" s="252">
        <v>0</v>
      </c>
      <c r="PEY22" s="252">
        <v>0</v>
      </c>
      <c r="PEZ22" s="252">
        <v>0</v>
      </c>
      <c r="PFA22" s="252">
        <v>0</v>
      </c>
      <c r="PFB22" s="252">
        <v>0</v>
      </c>
      <c r="PFC22" s="252">
        <v>0</v>
      </c>
      <c r="PFD22" s="252">
        <v>0</v>
      </c>
      <c r="PFE22" s="252">
        <v>0</v>
      </c>
      <c r="PFF22" s="252">
        <v>0</v>
      </c>
      <c r="PFG22" s="252">
        <v>0</v>
      </c>
      <c r="PFH22" s="252">
        <v>0</v>
      </c>
      <c r="PFI22" s="252">
        <v>0</v>
      </c>
      <c r="PFJ22" s="252">
        <v>0</v>
      </c>
      <c r="PFK22" s="252">
        <v>0</v>
      </c>
      <c r="PFL22" s="252">
        <v>0</v>
      </c>
      <c r="PFM22" s="252">
        <v>0</v>
      </c>
      <c r="PFN22" s="252">
        <v>0</v>
      </c>
      <c r="PFO22" s="252">
        <v>0</v>
      </c>
      <c r="PFP22" s="252">
        <v>0</v>
      </c>
      <c r="PFQ22" s="252">
        <v>0</v>
      </c>
      <c r="PFR22" s="252">
        <v>0</v>
      </c>
      <c r="PFS22" s="252">
        <v>0</v>
      </c>
      <c r="PFT22" s="252">
        <v>0</v>
      </c>
      <c r="PFU22" s="252">
        <v>0</v>
      </c>
      <c r="PFV22" s="252">
        <v>0</v>
      </c>
      <c r="PFW22" s="252">
        <v>0</v>
      </c>
      <c r="PFX22" s="252">
        <v>0</v>
      </c>
      <c r="PFY22" s="252">
        <v>0</v>
      </c>
      <c r="PFZ22" s="252">
        <v>0</v>
      </c>
      <c r="PGA22" s="252">
        <v>0</v>
      </c>
      <c r="PGB22" s="252">
        <v>0</v>
      </c>
      <c r="PGC22" s="252">
        <v>0</v>
      </c>
      <c r="PGD22" s="252">
        <v>0</v>
      </c>
      <c r="PGE22" s="252">
        <v>0</v>
      </c>
      <c r="PGF22" s="252">
        <v>0</v>
      </c>
      <c r="PGG22" s="252">
        <v>0</v>
      </c>
      <c r="PGH22" s="252">
        <v>0</v>
      </c>
      <c r="PGI22" s="252">
        <v>0</v>
      </c>
      <c r="PGJ22" s="252">
        <v>0</v>
      </c>
      <c r="PGK22" s="252">
        <v>0</v>
      </c>
      <c r="PGL22" s="252">
        <v>0</v>
      </c>
      <c r="PGM22" s="252">
        <v>0</v>
      </c>
      <c r="PGN22" s="252">
        <v>0</v>
      </c>
      <c r="PGO22" s="252">
        <v>0</v>
      </c>
      <c r="PGP22" s="252">
        <v>0</v>
      </c>
      <c r="PGQ22" s="252">
        <v>0</v>
      </c>
      <c r="PGR22" s="252">
        <v>0</v>
      </c>
      <c r="PGS22" s="252">
        <v>0</v>
      </c>
      <c r="PGT22" s="252">
        <v>0</v>
      </c>
      <c r="PGU22" s="252">
        <v>0</v>
      </c>
      <c r="PGV22" s="252">
        <v>0</v>
      </c>
      <c r="PGW22" s="252">
        <v>0</v>
      </c>
      <c r="PGX22" s="252">
        <v>0</v>
      </c>
      <c r="PGY22" s="252">
        <v>0</v>
      </c>
      <c r="PGZ22" s="252">
        <v>0</v>
      </c>
      <c r="PHA22" s="252">
        <v>0</v>
      </c>
      <c r="PHB22" s="252">
        <v>0</v>
      </c>
      <c r="PHC22" s="252">
        <v>0</v>
      </c>
      <c r="PHD22" s="252">
        <v>0</v>
      </c>
      <c r="PHE22" s="252">
        <v>0</v>
      </c>
      <c r="PHF22" s="252">
        <v>0</v>
      </c>
      <c r="PHG22" s="252">
        <v>0</v>
      </c>
      <c r="PHH22" s="252">
        <v>0</v>
      </c>
      <c r="PHI22" s="252">
        <v>0</v>
      </c>
      <c r="PHJ22" s="252">
        <v>0</v>
      </c>
      <c r="PHK22" s="252">
        <v>0</v>
      </c>
      <c r="PHL22" s="252">
        <v>0</v>
      </c>
      <c r="PHM22" s="252">
        <v>0</v>
      </c>
      <c r="PHN22" s="252">
        <v>0</v>
      </c>
      <c r="PHO22" s="252">
        <v>0</v>
      </c>
      <c r="PHP22" s="252">
        <v>0</v>
      </c>
      <c r="PHQ22" s="252">
        <v>0</v>
      </c>
      <c r="PHR22" s="252">
        <v>0</v>
      </c>
      <c r="PHS22" s="252">
        <v>0</v>
      </c>
      <c r="PHT22" s="252">
        <v>0</v>
      </c>
      <c r="PHU22" s="252">
        <v>0</v>
      </c>
      <c r="PHV22" s="252">
        <v>0</v>
      </c>
      <c r="PHW22" s="252">
        <v>0</v>
      </c>
      <c r="PHX22" s="252">
        <v>0</v>
      </c>
      <c r="PHY22" s="252">
        <v>0</v>
      </c>
      <c r="PHZ22" s="252">
        <v>0</v>
      </c>
      <c r="PIA22" s="252">
        <v>0</v>
      </c>
      <c r="PIB22" s="252">
        <v>0</v>
      </c>
      <c r="PIC22" s="252">
        <v>0</v>
      </c>
      <c r="PID22" s="252">
        <v>0</v>
      </c>
      <c r="PIE22" s="252">
        <v>0</v>
      </c>
      <c r="PIF22" s="252">
        <v>0</v>
      </c>
      <c r="PIG22" s="252">
        <v>0</v>
      </c>
      <c r="PIH22" s="252">
        <v>0</v>
      </c>
      <c r="PII22" s="252">
        <v>0</v>
      </c>
      <c r="PIJ22" s="252">
        <v>0</v>
      </c>
      <c r="PIK22" s="252">
        <v>0</v>
      </c>
      <c r="PIL22" s="252">
        <v>0</v>
      </c>
      <c r="PIM22" s="252">
        <v>0</v>
      </c>
      <c r="PIN22" s="252">
        <v>0</v>
      </c>
      <c r="PIO22" s="252">
        <v>0</v>
      </c>
      <c r="PIP22" s="252">
        <v>0</v>
      </c>
      <c r="PIQ22" s="252">
        <v>0</v>
      </c>
      <c r="PIR22" s="252">
        <v>0</v>
      </c>
      <c r="PIS22" s="252">
        <v>0</v>
      </c>
      <c r="PIT22" s="252">
        <v>0</v>
      </c>
      <c r="PIU22" s="252">
        <v>0</v>
      </c>
      <c r="PIV22" s="252">
        <v>0</v>
      </c>
      <c r="PIW22" s="252">
        <v>0</v>
      </c>
      <c r="PIX22" s="252">
        <v>0</v>
      </c>
      <c r="PIY22" s="252">
        <v>0</v>
      </c>
      <c r="PIZ22" s="252">
        <v>0</v>
      </c>
      <c r="PJA22" s="252">
        <v>0</v>
      </c>
      <c r="PJB22" s="252">
        <v>0</v>
      </c>
      <c r="PJC22" s="252">
        <v>0</v>
      </c>
      <c r="PJD22" s="252">
        <v>0</v>
      </c>
      <c r="PJE22" s="252">
        <v>0</v>
      </c>
      <c r="PJF22" s="252">
        <v>0</v>
      </c>
      <c r="PJG22" s="252">
        <v>0</v>
      </c>
      <c r="PJH22" s="252">
        <v>0</v>
      </c>
      <c r="PJI22" s="252">
        <v>0</v>
      </c>
      <c r="PJJ22" s="252">
        <v>0</v>
      </c>
      <c r="PJK22" s="252">
        <v>0</v>
      </c>
      <c r="PJL22" s="252">
        <v>0</v>
      </c>
      <c r="PJM22" s="252">
        <v>0</v>
      </c>
      <c r="PJN22" s="252">
        <v>0</v>
      </c>
      <c r="PJO22" s="252">
        <v>0</v>
      </c>
      <c r="PJP22" s="252">
        <v>0</v>
      </c>
      <c r="PJQ22" s="252">
        <v>0</v>
      </c>
      <c r="PJR22" s="252">
        <v>0</v>
      </c>
      <c r="PJS22" s="252">
        <v>0</v>
      </c>
      <c r="PJT22" s="252">
        <v>0</v>
      </c>
      <c r="PJU22" s="252">
        <v>0</v>
      </c>
      <c r="PJV22" s="252">
        <v>0</v>
      </c>
      <c r="PJW22" s="252">
        <v>0</v>
      </c>
      <c r="PJX22" s="252">
        <v>0</v>
      </c>
      <c r="PJY22" s="252">
        <v>0</v>
      </c>
      <c r="PJZ22" s="252">
        <v>0</v>
      </c>
      <c r="PKA22" s="252">
        <v>0</v>
      </c>
      <c r="PKB22" s="252">
        <v>0</v>
      </c>
      <c r="PKC22" s="252">
        <v>0</v>
      </c>
      <c r="PKD22" s="252">
        <v>0</v>
      </c>
      <c r="PKE22" s="252">
        <v>0</v>
      </c>
      <c r="PKF22" s="252">
        <v>0</v>
      </c>
      <c r="PKG22" s="252">
        <v>0</v>
      </c>
      <c r="PKH22" s="252">
        <v>0</v>
      </c>
      <c r="PKI22" s="252">
        <v>0</v>
      </c>
      <c r="PKJ22" s="252">
        <v>0</v>
      </c>
      <c r="PKK22" s="252">
        <v>0</v>
      </c>
      <c r="PKL22" s="252">
        <v>0</v>
      </c>
      <c r="PKM22" s="252">
        <v>0</v>
      </c>
      <c r="PKN22" s="252">
        <v>0</v>
      </c>
      <c r="PKO22" s="252">
        <v>0</v>
      </c>
      <c r="PKP22" s="252">
        <v>0</v>
      </c>
      <c r="PKQ22" s="252">
        <v>0</v>
      </c>
      <c r="PKR22" s="252">
        <v>0</v>
      </c>
      <c r="PKS22" s="252">
        <v>0</v>
      </c>
      <c r="PKT22" s="252">
        <v>0</v>
      </c>
      <c r="PKU22" s="252">
        <v>0</v>
      </c>
      <c r="PKV22" s="252">
        <v>0</v>
      </c>
      <c r="PKW22" s="252">
        <v>0</v>
      </c>
      <c r="PKX22" s="252">
        <v>0</v>
      </c>
      <c r="PKY22" s="252">
        <v>0</v>
      </c>
      <c r="PKZ22" s="252">
        <v>0</v>
      </c>
      <c r="PLA22" s="252">
        <v>0</v>
      </c>
      <c r="PLB22" s="252">
        <v>0</v>
      </c>
      <c r="PLC22" s="252">
        <v>0</v>
      </c>
      <c r="PLD22" s="252">
        <v>0</v>
      </c>
      <c r="PLE22" s="252">
        <v>0</v>
      </c>
      <c r="PLF22" s="252">
        <v>0</v>
      </c>
      <c r="PLG22" s="252">
        <v>0</v>
      </c>
      <c r="PLH22" s="252">
        <v>0</v>
      </c>
      <c r="PLI22" s="252">
        <v>0</v>
      </c>
      <c r="PLJ22" s="252">
        <v>0</v>
      </c>
      <c r="PLK22" s="252">
        <v>0</v>
      </c>
      <c r="PLL22" s="252">
        <v>0</v>
      </c>
      <c r="PLM22" s="252">
        <v>0</v>
      </c>
      <c r="PLN22" s="252">
        <v>0</v>
      </c>
      <c r="PLO22" s="252">
        <v>0</v>
      </c>
      <c r="PLP22" s="252">
        <v>0</v>
      </c>
      <c r="PLQ22" s="252">
        <v>0</v>
      </c>
      <c r="PLR22" s="252">
        <v>0</v>
      </c>
      <c r="PLS22" s="252">
        <v>0</v>
      </c>
      <c r="PLT22" s="252">
        <v>0</v>
      </c>
      <c r="PLU22" s="252">
        <v>0</v>
      </c>
      <c r="PLV22" s="252">
        <v>0</v>
      </c>
      <c r="PLW22" s="252">
        <v>0</v>
      </c>
      <c r="PLX22" s="252">
        <v>0</v>
      </c>
      <c r="PLY22" s="252">
        <v>0</v>
      </c>
      <c r="PLZ22" s="252">
        <v>0</v>
      </c>
      <c r="PMA22" s="252">
        <v>0</v>
      </c>
      <c r="PMB22" s="252">
        <v>0</v>
      </c>
      <c r="PMC22" s="252">
        <v>0</v>
      </c>
      <c r="PMD22" s="252">
        <v>0</v>
      </c>
      <c r="PME22" s="252">
        <v>0</v>
      </c>
      <c r="PMF22" s="252">
        <v>0</v>
      </c>
      <c r="PMG22" s="252">
        <v>0</v>
      </c>
      <c r="PMH22" s="252">
        <v>0</v>
      </c>
      <c r="PMI22" s="252">
        <v>0</v>
      </c>
      <c r="PMJ22" s="252">
        <v>0</v>
      </c>
      <c r="PMK22" s="252">
        <v>0</v>
      </c>
      <c r="PML22" s="252">
        <v>0</v>
      </c>
      <c r="PMM22" s="252">
        <v>0</v>
      </c>
      <c r="PMN22" s="252">
        <v>0</v>
      </c>
      <c r="PMO22" s="252">
        <v>0</v>
      </c>
      <c r="PMP22" s="252">
        <v>0</v>
      </c>
      <c r="PMQ22" s="252">
        <v>0</v>
      </c>
      <c r="PMR22" s="252">
        <v>0</v>
      </c>
      <c r="PMS22" s="252">
        <v>0</v>
      </c>
      <c r="PMT22" s="252">
        <v>0</v>
      </c>
      <c r="PMU22" s="252">
        <v>0</v>
      </c>
      <c r="PMV22" s="252">
        <v>0</v>
      </c>
      <c r="PMW22" s="252">
        <v>0</v>
      </c>
      <c r="PMX22" s="252">
        <v>0</v>
      </c>
      <c r="PMY22" s="252">
        <v>0</v>
      </c>
      <c r="PMZ22" s="252">
        <v>0</v>
      </c>
      <c r="PNA22" s="252">
        <v>0</v>
      </c>
      <c r="PNB22" s="252">
        <v>0</v>
      </c>
      <c r="PNC22" s="252">
        <v>0</v>
      </c>
      <c r="PND22" s="252">
        <v>0</v>
      </c>
      <c r="PNE22" s="252">
        <v>0</v>
      </c>
      <c r="PNF22" s="252">
        <v>0</v>
      </c>
      <c r="PNG22" s="252">
        <v>0</v>
      </c>
      <c r="PNH22" s="252">
        <v>0</v>
      </c>
      <c r="PNI22" s="252">
        <v>0</v>
      </c>
      <c r="PNJ22" s="252">
        <v>0</v>
      </c>
      <c r="PNK22" s="252">
        <v>0</v>
      </c>
      <c r="PNL22" s="252">
        <v>0</v>
      </c>
      <c r="PNM22" s="252">
        <v>0</v>
      </c>
      <c r="PNN22" s="252">
        <v>0</v>
      </c>
      <c r="PNO22" s="252">
        <v>0</v>
      </c>
      <c r="PNP22" s="252">
        <v>0</v>
      </c>
      <c r="PNQ22" s="252">
        <v>0</v>
      </c>
      <c r="PNR22" s="252">
        <v>0</v>
      </c>
      <c r="PNS22" s="252">
        <v>0</v>
      </c>
      <c r="PNT22" s="252">
        <v>0</v>
      </c>
      <c r="PNU22" s="252">
        <v>0</v>
      </c>
      <c r="PNV22" s="252">
        <v>0</v>
      </c>
      <c r="PNW22" s="252">
        <v>0</v>
      </c>
      <c r="PNX22" s="252">
        <v>0</v>
      </c>
      <c r="PNY22" s="252">
        <v>0</v>
      </c>
      <c r="PNZ22" s="252">
        <v>0</v>
      </c>
      <c r="POA22" s="252">
        <v>0</v>
      </c>
      <c r="POB22" s="252">
        <v>0</v>
      </c>
      <c r="POC22" s="252">
        <v>0</v>
      </c>
      <c r="POD22" s="252">
        <v>0</v>
      </c>
      <c r="POE22" s="252">
        <v>0</v>
      </c>
      <c r="POF22" s="252">
        <v>0</v>
      </c>
      <c r="POG22" s="252">
        <v>0</v>
      </c>
      <c r="POH22" s="252">
        <v>0</v>
      </c>
      <c r="POI22" s="252">
        <v>0</v>
      </c>
      <c r="POJ22" s="252">
        <v>0</v>
      </c>
      <c r="POK22" s="252">
        <v>0</v>
      </c>
      <c r="POL22" s="252">
        <v>0</v>
      </c>
      <c r="POM22" s="252">
        <v>0</v>
      </c>
      <c r="PON22" s="252">
        <v>0</v>
      </c>
      <c r="POO22" s="252">
        <v>0</v>
      </c>
      <c r="POP22" s="252">
        <v>0</v>
      </c>
      <c r="POQ22" s="252">
        <v>0</v>
      </c>
      <c r="POR22" s="252">
        <v>0</v>
      </c>
      <c r="POS22" s="252">
        <v>0</v>
      </c>
      <c r="POT22" s="252">
        <v>0</v>
      </c>
      <c r="POU22" s="252">
        <v>0</v>
      </c>
      <c r="POV22" s="252">
        <v>0</v>
      </c>
      <c r="POW22" s="252">
        <v>0</v>
      </c>
      <c r="POX22" s="252">
        <v>0</v>
      </c>
      <c r="POY22" s="252">
        <v>0</v>
      </c>
      <c r="POZ22" s="252">
        <v>0</v>
      </c>
      <c r="PPA22" s="252">
        <v>0</v>
      </c>
      <c r="PPB22" s="252">
        <v>0</v>
      </c>
      <c r="PPC22" s="252">
        <v>0</v>
      </c>
      <c r="PPD22" s="252">
        <v>0</v>
      </c>
      <c r="PPE22" s="252">
        <v>0</v>
      </c>
      <c r="PPF22" s="252">
        <v>0</v>
      </c>
      <c r="PPG22" s="252">
        <v>0</v>
      </c>
      <c r="PPH22" s="252">
        <v>0</v>
      </c>
      <c r="PPI22" s="252">
        <v>0</v>
      </c>
      <c r="PPJ22" s="252">
        <v>0</v>
      </c>
      <c r="PPK22" s="252">
        <v>0</v>
      </c>
      <c r="PPL22" s="252">
        <v>0</v>
      </c>
      <c r="PPM22" s="252">
        <v>0</v>
      </c>
      <c r="PPN22" s="252">
        <v>0</v>
      </c>
      <c r="PPO22" s="252">
        <v>0</v>
      </c>
      <c r="PPP22" s="252">
        <v>0</v>
      </c>
      <c r="PPQ22" s="252">
        <v>0</v>
      </c>
      <c r="PPR22" s="252">
        <v>0</v>
      </c>
      <c r="PPS22" s="252">
        <v>0</v>
      </c>
      <c r="PPT22" s="252">
        <v>0</v>
      </c>
      <c r="PPU22" s="252">
        <v>0</v>
      </c>
      <c r="PPV22" s="252">
        <v>0</v>
      </c>
      <c r="PPW22" s="252">
        <v>0</v>
      </c>
      <c r="PPX22" s="252">
        <v>0</v>
      </c>
      <c r="PPY22" s="252">
        <v>0</v>
      </c>
      <c r="PPZ22" s="252">
        <v>0</v>
      </c>
      <c r="PQA22" s="252">
        <v>0</v>
      </c>
      <c r="PQB22" s="252">
        <v>0</v>
      </c>
      <c r="PQC22" s="252">
        <v>0</v>
      </c>
      <c r="PQD22" s="252">
        <v>0</v>
      </c>
      <c r="PQE22" s="252">
        <v>0</v>
      </c>
      <c r="PQF22" s="252">
        <v>0</v>
      </c>
      <c r="PQG22" s="252">
        <v>0</v>
      </c>
      <c r="PQH22" s="252">
        <v>0</v>
      </c>
      <c r="PQI22" s="252">
        <v>0</v>
      </c>
      <c r="PQJ22" s="252">
        <v>0</v>
      </c>
      <c r="PQK22" s="252">
        <v>0</v>
      </c>
      <c r="PQL22" s="252">
        <v>0</v>
      </c>
      <c r="PQM22" s="252">
        <v>0</v>
      </c>
      <c r="PQN22" s="252">
        <v>0</v>
      </c>
      <c r="PQO22" s="252">
        <v>0</v>
      </c>
      <c r="PQP22" s="252">
        <v>0</v>
      </c>
      <c r="PQQ22" s="252">
        <v>0</v>
      </c>
      <c r="PQR22" s="252">
        <v>0</v>
      </c>
      <c r="PQS22" s="252">
        <v>0</v>
      </c>
      <c r="PQT22" s="252">
        <v>0</v>
      </c>
      <c r="PQU22" s="252">
        <v>0</v>
      </c>
      <c r="PQV22" s="252">
        <v>0</v>
      </c>
      <c r="PQW22" s="252">
        <v>0</v>
      </c>
      <c r="PQX22" s="252">
        <v>0</v>
      </c>
      <c r="PQY22" s="252">
        <v>0</v>
      </c>
      <c r="PQZ22" s="252">
        <v>0</v>
      </c>
      <c r="PRA22" s="252">
        <v>0</v>
      </c>
      <c r="PRB22" s="252">
        <v>0</v>
      </c>
      <c r="PRC22" s="252">
        <v>0</v>
      </c>
      <c r="PRD22" s="252">
        <v>0</v>
      </c>
      <c r="PRE22" s="252">
        <v>0</v>
      </c>
      <c r="PRF22" s="252">
        <v>0</v>
      </c>
      <c r="PRG22" s="252">
        <v>0</v>
      </c>
      <c r="PRH22" s="252">
        <v>0</v>
      </c>
      <c r="PRI22" s="252">
        <v>0</v>
      </c>
      <c r="PRJ22" s="252">
        <v>0</v>
      </c>
      <c r="PRK22" s="252">
        <v>0</v>
      </c>
      <c r="PRL22" s="252">
        <v>0</v>
      </c>
      <c r="PRM22" s="252">
        <v>0</v>
      </c>
      <c r="PRN22" s="252">
        <v>0</v>
      </c>
      <c r="PRO22" s="252">
        <v>0</v>
      </c>
      <c r="PRP22" s="252">
        <v>0</v>
      </c>
      <c r="PRQ22" s="252">
        <v>0</v>
      </c>
      <c r="PRR22" s="252">
        <v>0</v>
      </c>
      <c r="PRS22" s="252">
        <v>0</v>
      </c>
      <c r="PRT22" s="252">
        <v>0</v>
      </c>
      <c r="PRU22" s="252">
        <v>0</v>
      </c>
      <c r="PRV22" s="252">
        <v>0</v>
      </c>
      <c r="PRW22" s="252">
        <v>0</v>
      </c>
      <c r="PRX22" s="252">
        <v>0</v>
      </c>
      <c r="PRY22" s="252">
        <v>0</v>
      </c>
      <c r="PRZ22" s="252">
        <v>0</v>
      </c>
      <c r="PSA22" s="252">
        <v>0</v>
      </c>
      <c r="PSB22" s="252">
        <v>0</v>
      </c>
      <c r="PSC22" s="252">
        <v>0</v>
      </c>
      <c r="PSD22" s="252">
        <v>0</v>
      </c>
      <c r="PSE22" s="252">
        <v>0</v>
      </c>
      <c r="PSF22" s="252">
        <v>0</v>
      </c>
      <c r="PSG22" s="252">
        <v>0</v>
      </c>
      <c r="PSH22" s="252">
        <v>0</v>
      </c>
      <c r="PSI22" s="252">
        <v>0</v>
      </c>
      <c r="PSJ22" s="252">
        <v>0</v>
      </c>
      <c r="PSK22" s="252">
        <v>0</v>
      </c>
      <c r="PSL22" s="252">
        <v>0</v>
      </c>
      <c r="PSM22" s="252">
        <v>0</v>
      </c>
      <c r="PSN22" s="252">
        <v>0</v>
      </c>
      <c r="PSO22" s="252">
        <v>0</v>
      </c>
      <c r="PSP22" s="252">
        <v>0</v>
      </c>
      <c r="PSQ22" s="252">
        <v>0</v>
      </c>
      <c r="PSR22" s="252">
        <v>0</v>
      </c>
      <c r="PSS22" s="252">
        <v>0</v>
      </c>
      <c r="PST22" s="252">
        <v>0</v>
      </c>
      <c r="PSU22" s="252">
        <v>0</v>
      </c>
      <c r="PSV22" s="252">
        <v>0</v>
      </c>
      <c r="PSW22" s="252">
        <v>0</v>
      </c>
      <c r="PSX22" s="252">
        <v>0</v>
      </c>
      <c r="PSY22" s="252">
        <v>0</v>
      </c>
      <c r="PSZ22" s="252">
        <v>0</v>
      </c>
      <c r="PTA22" s="252">
        <v>0</v>
      </c>
      <c r="PTB22" s="252">
        <v>0</v>
      </c>
      <c r="PTC22" s="252">
        <v>0</v>
      </c>
      <c r="PTD22" s="252">
        <v>0</v>
      </c>
      <c r="PTE22" s="252">
        <v>0</v>
      </c>
      <c r="PTF22" s="252">
        <v>0</v>
      </c>
      <c r="PTG22" s="252">
        <v>0</v>
      </c>
      <c r="PTH22" s="252">
        <v>0</v>
      </c>
      <c r="PTI22" s="252">
        <v>0</v>
      </c>
      <c r="PTJ22" s="252">
        <v>0</v>
      </c>
      <c r="PTK22" s="252">
        <v>0</v>
      </c>
      <c r="PTL22" s="252">
        <v>0</v>
      </c>
      <c r="PTM22" s="252">
        <v>0</v>
      </c>
      <c r="PTN22" s="252">
        <v>0</v>
      </c>
      <c r="PTO22" s="252">
        <v>0</v>
      </c>
      <c r="PTP22" s="252">
        <v>0</v>
      </c>
      <c r="PTQ22" s="252">
        <v>0</v>
      </c>
      <c r="PTR22" s="252">
        <v>0</v>
      </c>
      <c r="PTS22" s="252">
        <v>0</v>
      </c>
      <c r="PTT22" s="252">
        <v>0</v>
      </c>
      <c r="PTU22" s="252">
        <v>0</v>
      </c>
      <c r="PTV22" s="252">
        <v>0</v>
      </c>
      <c r="PTW22" s="252">
        <v>0</v>
      </c>
      <c r="PTX22" s="252">
        <v>0</v>
      </c>
      <c r="PTY22" s="252">
        <v>0</v>
      </c>
      <c r="PTZ22" s="252">
        <v>0</v>
      </c>
      <c r="PUA22" s="252">
        <v>0</v>
      </c>
      <c r="PUB22" s="252">
        <v>0</v>
      </c>
      <c r="PUC22" s="252">
        <v>0</v>
      </c>
      <c r="PUD22" s="252">
        <v>0</v>
      </c>
      <c r="PUE22" s="252">
        <v>0</v>
      </c>
      <c r="PUF22" s="252">
        <v>0</v>
      </c>
      <c r="PUG22" s="252">
        <v>0</v>
      </c>
      <c r="PUH22" s="252">
        <v>0</v>
      </c>
      <c r="PUI22" s="252">
        <v>0</v>
      </c>
      <c r="PUJ22" s="252">
        <v>0</v>
      </c>
      <c r="PUK22" s="252">
        <v>0</v>
      </c>
      <c r="PUL22" s="252">
        <v>0</v>
      </c>
      <c r="PUM22" s="252">
        <v>0</v>
      </c>
      <c r="PUN22" s="252">
        <v>0</v>
      </c>
      <c r="PUO22" s="252">
        <v>0</v>
      </c>
      <c r="PUP22" s="252">
        <v>0</v>
      </c>
      <c r="PUQ22" s="252">
        <v>0</v>
      </c>
      <c r="PUR22" s="252">
        <v>0</v>
      </c>
      <c r="PUS22" s="252">
        <v>0</v>
      </c>
      <c r="PUT22" s="252">
        <v>0</v>
      </c>
      <c r="PUU22" s="252">
        <v>0</v>
      </c>
      <c r="PUV22" s="252">
        <v>0</v>
      </c>
      <c r="PUW22" s="252">
        <v>0</v>
      </c>
      <c r="PUX22" s="252">
        <v>0</v>
      </c>
      <c r="PUY22" s="252">
        <v>0</v>
      </c>
      <c r="PUZ22" s="252">
        <v>0</v>
      </c>
      <c r="PVA22" s="252">
        <v>0</v>
      </c>
      <c r="PVB22" s="252">
        <v>0</v>
      </c>
      <c r="PVC22" s="252">
        <v>0</v>
      </c>
      <c r="PVD22" s="252">
        <v>0</v>
      </c>
      <c r="PVE22" s="252">
        <v>0</v>
      </c>
      <c r="PVF22" s="252">
        <v>0</v>
      </c>
      <c r="PVG22" s="252">
        <v>0</v>
      </c>
      <c r="PVH22" s="252">
        <v>0</v>
      </c>
      <c r="PVI22" s="252">
        <v>0</v>
      </c>
      <c r="PVJ22" s="252">
        <v>0</v>
      </c>
      <c r="PVK22" s="252">
        <v>0</v>
      </c>
      <c r="PVL22" s="252">
        <v>0</v>
      </c>
      <c r="PVM22" s="252">
        <v>0</v>
      </c>
      <c r="PVN22" s="252">
        <v>0</v>
      </c>
      <c r="PVO22" s="252">
        <v>0</v>
      </c>
      <c r="PVP22" s="252">
        <v>0</v>
      </c>
      <c r="PVQ22" s="252">
        <v>0</v>
      </c>
      <c r="PVR22" s="252">
        <v>0</v>
      </c>
      <c r="PVS22" s="252">
        <v>0</v>
      </c>
      <c r="PVT22" s="252">
        <v>0</v>
      </c>
      <c r="PVU22" s="252">
        <v>0</v>
      </c>
      <c r="PVV22" s="252">
        <v>0</v>
      </c>
      <c r="PVW22" s="252">
        <v>0</v>
      </c>
      <c r="PVX22" s="252">
        <v>0</v>
      </c>
      <c r="PVY22" s="252">
        <v>0</v>
      </c>
      <c r="PVZ22" s="252">
        <v>0</v>
      </c>
      <c r="PWA22" s="252">
        <v>0</v>
      </c>
      <c r="PWB22" s="252">
        <v>0</v>
      </c>
      <c r="PWC22" s="252">
        <v>0</v>
      </c>
      <c r="PWD22" s="252">
        <v>0</v>
      </c>
      <c r="PWE22" s="252">
        <v>0</v>
      </c>
      <c r="PWF22" s="252">
        <v>0</v>
      </c>
      <c r="PWG22" s="252">
        <v>0</v>
      </c>
      <c r="PWH22" s="252">
        <v>0</v>
      </c>
      <c r="PWI22" s="252">
        <v>0</v>
      </c>
      <c r="PWJ22" s="252">
        <v>0</v>
      </c>
      <c r="PWK22" s="252">
        <v>0</v>
      </c>
      <c r="PWL22" s="252">
        <v>0</v>
      </c>
      <c r="PWM22" s="252">
        <v>0</v>
      </c>
      <c r="PWN22" s="252">
        <v>0</v>
      </c>
      <c r="PWO22" s="252">
        <v>0</v>
      </c>
      <c r="PWP22" s="252">
        <v>0</v>
      </c>
      <c r="PWQ22" s="252">
        <v>0</v>
      </c>
      <c r="PWR22" s="252">
        <v>0</v>
      </c>
      <c r="PWS22" s="252">
        <v>0</v>
      </c>
      <c r="PWT22" s="252">
        <v>0</v>
      </c>
      <c r="PWU22" s="252">
        <v>0</v>
      </c>
      <c r="PWV22" s="252">
        <v>0</v>
      </c>
      <c r="PWW22" s="252">
        <v>0</v>
      </c>
      <c r="PWX22" s="252">
        <v>0</v>
      </c>
      <c r="PWY22" s="252">
        <v>0</v>
      </c>
      <c r="PWZ22" s="252">
        <v>0</v>
      </c>
      <c r="PXA22" s="252">
        <v>0</v>
      </c>
      <c r="PXB22" s="252">
        <v>0</v>
      </c>
      <c r="PXC22" s="252">
        <v>0</v>
      </c>
      <c r="PXD22" s="252">
        <v>0</v>
      </c>
      <c r="PXE22" s="252">
        <v>0</v>
      </c>
      <c r="PXF22" s="252">
        <v>0</v>
      </c>
      <c r="PXG22" s="252">
        <v>0</v>
      </c>
      <c r="PXH22" s="252">
        <v>0</v>
      </c>
      <c r="PXI22" s="252">
        <v>0</v>
      </c>
      <c r="PXJ22" s="252">
        <v>0</v>
      </c>
      <c r="PXK22" s="252">
        <v>0</v>
      </c>
      <c r="PXL22" s="252">
        <v>0</v>
      </c>
      <c r="PXM22" s="252">
        <v>0</v>
      </c>
      <c r="PXN22" s="252">
        <v>0</v>
      </c>
      <c r="PXO22" s="252">
        <v>0</v>
      </c>
      <c r="PXP22" s="252">
        <v>0</v>
      </c>
      <c r="PXQ22" s="252">
        <v>0</v>
      </c>
      <c r="PXR22" s="252">
        <v>0</v>
      </c>
      <c r="PXS22" s="252">
        <v>0</v>
      </c>
      <c r="PXT22" s="252">
        <v>0</v>
      </c>
      <c r="PXU22" s="252">
        <v>0</v>
      </c>
      <c r="PXV22" s="252">
        <v>0</v>
      </c>
      <c r="PXW22" s="252">
        <v>0</v>
      </c>
      <c r="PXX22" s="252">
        <v>0</v>
      </c>
      <c r="PXY22" s="252">
        <v>0</v>
      </c>
      <c r="PXZ22" s="252">
        <v>0</v>
      </c>
      <c r="PYA22" s="252">
        <v>0</v>
      </c>
      <c r="PYB22" s="252">
        <v>0</v>
      </c>
      <c r="PYC22" s="252">
        <v>0</v>
      </c>
      <c r="PYD22" s="252">
        <v>0</v>
      </c>
      <c r="PYE22" s="252">
        <v>0</v>
      </c>
      <c r="PYF22" s="252">
        <v>0</v>
      </c>
      <c r="PYG22" s="252">
        <v>0</v>
      </c>
      <c r="PYH22" s="252">
        <v>0</v>
      </c>
      <c r="PYI22" s="252">
        <v>0</v>
      </c>
      <c r="PYJ22" s="252">
        <v>0</v>
      </c>
      <c r="PYK22" s="252">
        <v>0</v>
      </c>
      <c r="PYL22" s="252">
        <v>0</v>
      </c>
      <c r="PYM22" s="252">
        <v>0</v>
      </c>
      <c r="PYN22" s="252">
        <v>0</v>
      </c>
      <c r="PYO22" s="252">
        <v>0</v>
      </c>
      <c r="PYP22" s="252">
        <v>0</v>
      </c>
      <c r="PYQ22" s="252">
        <v>0</v>
      </c>
      <c r="PYR22" s="252">
        <v>0</v>
      </c>
      <c r="PYS22" s="252">
        <v>0</v>
      </c>
      <c r="PYT22" s="252">
        <v>0</v>
      </c>
      <c r="PYU22" s="252">
        <v>0</v>
      </c>
      <c r="PYV22" s="252">
        <v>0</v>
      </c>
      <c r="PYW22" s="252">
        <v>0</v>
      </c>
      <c r="PYX22" s="252">
        <v>0</v>
      </c>
      <c r="PYY22" s="252">
        <v>0</v>
      </c>
      <c r="PYZ22" s="252">
        <v>0</v>
      </c>
      <c r="PZA22" s="252">
        <v>0</v>
      </c>
      <c r="PZB22" s="252">
        <v>0</v>
      </c>
      <c r="PZC22" s="252">
        <v>0</v>
      </c>
      <c r="PZD22" s="252">
        <v>0</v>
      </c>
      <c r="PZE22" s="252">
        <v>0</v>
      </c>
      <c r="PZF22" s="252">
        <v>0</v>
      </c>
      <c r="PZG22" s="252">
        <v>0</v>
      </c>
      <c r="PZH22" s="252">
        <v>0</v>
      </c>
      <c r="PZI22" s="252">
        <v>0</v>
      </c>
      <c r="PZJ22" s="252">
        <v>0</v>
      </c>
      <c r="PZK22" s="252">
        <v>0</v>
      </c>
      <c r="PZL22" s="252">
        <v>0</v>
      </c>
      <c r="PZM22" s="252">
        <v>0</v>
      </c>
      <c r="PZN22" s="252">
        <v>0</v>
      </c>
      <c r="PZO22" s="252">
        <v>0</v>
      </c>
      <c r="PZP22" s="252">
        <v>0</v>
      </c>
      <c r="PZQ22" s="252">
        <v>0</v>
      </c>
      <c r="PZR22" s="252">
        <v>0</v>
      </c>
      <c r="PZS22" s="252">
        <v>0</v>
      </c>
      <c r="PZT22" s="252">
        <v>0</v>
      </c>
      <c r="PZU22" s="252">
        <v>0</v>
      </c>
      <c r="PZV22" s="252">
        <v>0</v>
      </c>
      <c r="PZW22" s="252">
        <v>0</v>
      </c>
      <c r="PZX22" s="252">
        <v>0</v>
      </c>
      <c r="PZY22" s="252">
        <v>0</v>
      </c>
      <c r="PZZ22" s="252">
        <v>0</v>
      </c>
      <c r="QAA22" s="252">
        <v>0</v>
      </c>
      <c r="QAB22" s="252">
        <v>0</v>
      </c>
      <c r="QAC22" s="252">
        <v>0</v>
      </c>
      <c r="QAD22" s="252">
        <v>0</v>
      </c>
      <c r="QAE22" s="252">
        <v>0</v>
      </c>
      <c r="QAF22" s="252">
        <v>0</v>
      </c>
      <c r="QAG22" s="252">
        <v>0</v>
      </c>
      <c r="QAH22" s="252">
        <v>0</v>
      </c>
      <c r="QAI22" s="252">
        <v>0</v>
      </c>
      <c r="QAJ22" s="252">
        <v>0</v>
      </c>
      <c r="QAK22" s="252">
        <v>0</v>
      </c>
      <c r="QAL22" s="252">
        <v>0</v>
      </c>
      <c r="QAM22" s="252">
        <v>0</v>
      </c>
      <c r="QAN22" s="252">
        <v>0</v>
      </c>
      <c r="QAO22" s="252">
        <v>0</v>
      </c>
      <c r="QAP22" s="252">
        <v>0</v>
      </c>
      <c r="QAQ22" s="252">
        <v>0</v>
      </c>
      <c r="QAR22" s="252">
        <v>0</v>
      </c>
      <c r="QAS22" s="252">
        <v>0</v>
      </c>
      <c r="QAT22" s="252">
        <v>0</v>
      </c>
      <c r="QAU22" s="252">
        <v>0</v>
      </c>
      <c r="QAV22" s="252">
        <v>0</v>
      </c>
      <c r="QAW22" s="252">
        <v>0</v>
      </c>
      <c r="QAX22" s="252">
        <v>0</v>
      </c>
      <c r="QAY22" s="252">
        <v>0</v>
      </c>
      <c r="QAZ22" s="252">
        <v>0</v>
      </c>
      <c r="QBA22" s="252">
        <v>0</v>
      </c>
      <c r="QBB22" s="252">
        <v>0</v>
      </c>
      <c r="QBC22" s="252">
        <v>0</v>
      </c>
      <c r="QBD22" s="252">
        <v>0</v>
      </c>
      <c r="QBE22" s="252">
        <v>0</v>
      </c>
      <c r="QBF22" s="252">
        <v>0</v>
      </c>
      <c r="QBG22" s="252">
        <v>0</v>
      </c>
      <c r="QBH22" s="252">
        <v>0</v>
      </c>
      <c r="QBI22" s="252">
        <v>0</v>
      </c>
      <c r="QBJ22" s="252">
        <v>0</v>
      </c>
      <c r="QBK22" s="252">
        <v>0</v>
      </c>
      <c r="QBL22" s="252">
        <v>0</v>
      </c>
      <c r="QBM22" s="252">
        <v>0</v>
      </c>
      <c r="QBN22" s="252">
        <v>0</v>
      </c>
      <c r="QBO22" s="252">
        <v>0</v>
      </c>
      <c r="QBP22" s="252">
        <v>0</v>
      </c>
      <c r="QBQ22" s="252">
        <v>0</v>
      </c>
      <c r="QBR22" s="252">
        <v>0</v>
      </c>
      <c r="QBS22" s="252">
        <v>0</v>
      </c>
      <c r="QBT22" s="252">
        <v>0</v>
      </c>
      <c r="QBU22" s="252">
        <v>0</v>
      </c>
      <c r="QBV22" s="252">
        <v>0</v>
      </c>
      <c r="QBW22" s="252">
        <v>0</v>
      </c>
      <c r="QBX22" s="252">
        <v>0</v>
      </c>
      <c r="QBY22" s="252">
        <v>0</v>
      </c>
      <c r="QBZ22" s="252">
        <v>0</v>
      </c>
      <c r="QCA22" s="252">
        <v>0</v>
      </c>
      <c r="QCB22" s="252">
        <v>0</v>
      </c>
      <c r="QCC22" s="252">
        <v>0</v>
      </c>
      <c r="QCD22" s="252">
        <v>0</v>
      </c>
      <c r="QCE22" s="252">
        <v>0</v>
      </c>
      <c r="QCF22" s="252">
        <v>0</v>
      </c>
      <c r="QCG22" s="252">
        <v>0</v>
      </c>
      <c r="QCH22" s="252">
        <v>0</v>
      </c>
      <c r="QCI22" s="252">
        <v>0</v>
      </c>
      <c r="QCJ22" s="252">
        <v>0</v>
      </c>
      <c r="QCK22" s="252">
        <v>0</v>
      </c>
      <c r="QCL22" s="252">
        <v>0</v>
      </c>
      <c r="QCM22" s="252">
        <v>0</v>
      </c>
      <c r="QCN22" s="252">
        <v>0</v>
      </c>
      <c r="QCO22" s="252">
        <v>0</v>
      </c>
      <c r="QCP22" s="252">
        <v>0</v>
      </c>
      <c r="QCQ22" s="252">
        <v>0</v>
      </c>
      <c r="QCR22" s="252">
        <v>0</v>
      </c>
      <c r="QCS22" s="252">
        <v>0</v>
      </c>
      <c r="QCT22" s="252">
        <v>0</v>
      </c>
      <c r="QCU22" s="252">
        <v>0</v>
      </c>
      <c r="QCV22" s="252">
        <v>0</v>
      </c>
      <c r="QCW22" s="252">
        <v>0</v>
      </c>
      <c r="QCX22" s="252">
        <v>0</v>
      </c>
      <c r="QCY22" s="252">
        <v>0</v>
      </c>
      <c r="QCZ22" s="252">
        <v>0</v>
      </c>
      <c r="QDA22" s="252">
        <v>0</v>
      </c>
      <c r="QDB22" s="252">
        <v>0</v>
      </c>
      <c r="QDC22" s="252">
        <v>0</v>
      </c>
      <c r="QDD22" s="252">
        <v>0</v>
      </c>
      <c r="QDE22" s="252">
        <v>0</v>
      </c>
      <c r="QDF22" s="252">
        <v>0</v>
      </c>
      <c r="QDG22" s="252">
        <v>0</v>
      </c>
      <c r="QDH22" s="252">
        <v>0</v>
      </c>
      <c r="QDI22" s="252">
        <v>0</v>
      </c>
      <c r="QDJ22" s="252">
        <v>0</v>
      </c>
      <c r="QDK22" s="252">
        <v>0</v>
      </c>
      <c r="QDL22" s="252">
        <v>0</v>
      </c>
      <c r="QDM22" s="252">
        <v>0</v>
      </c>
      <c r="QDN22" s="252">
        <v>0</v>
      </c>
      <c r="QDO22" s="252">
        <v>0</v>
      </c>
      <c r="QDP22" s="252">
        <v>0</v>
      </c>
      <c r="QDQ22" s="252">
        <v>0</v>
      </c>
      <c r="QDR22" s="252">
        <v>0</v>
      </c>
      <c r="QDS22" s="252">
        <v>0</v>
      </c>
      <c r="QDT22" s="252">
        <v>0</v>
      </c>
      <c r="QDU22" s="252">
        <v>0</v>
      </c>
      <c r="QDV22" s="252">
        <v>0</v>
      </c>
      <c r="QDW22" s="252">
        <v>0</v>
      </c>
      <c r="QDX22" s="252">
        <v>0</v>
      </c>
      <c r="QDY22" s="252">
        <v>0</v>
      </c>
      <c r="QDZ22" s="252">
        <v>0</v>
      </c>
      <c r="QEA22" s="252">
        <v>0</v>
      </c>
      <c r="QEB22" s="252">
        <v>0</v>
      </c>
      <c r="QEC22" s="252">
        <v>0</v>
      </c>
      <c r="QED22" s="252">
        <v>0</v>
      </c>
      <c r="QEE22" s="252">
        <v>0</v>
      </c>
      <c r="QEF22" s="252">
        <v>0</v>
      </c>
      <c r="QEG22" s="252">
        <v>0</v>
      </c>
      <c r="QEH22" s="252">
        <v>0</v>
      </c>
      <c r="QEI22" s="252">
        <v>0</v>
      </c>
      <c r="QEJ22" s="252">
        <v>0</v>
      </c>
      <c r="QEK22" s="252">
        <v>0</v>
      </c>
      <c r="QEL22" s="252">
        <v>0</v>
      </c>
      <c r="QEM22" s="252">
        <v>0</v>
      </c>
      <c r="QEN22" s="252">
        <v>0</v>
      </c>
      <c r="QEO22" s="252">
        <v>0</v>
      </c>
      <c r="QEP22" s="252">
        <v>0</v>
      </c>
      <c r="QEQ22" s="252">
        <v>0</v>
      </c>
      <c r="QER22" s="252">
        <v>0</v>
      </c>
      <c r="QES22" s="252">
        <v>0</v>
      </c>
      <c r="QET22" s="252">
        <v>0</v>
      </c>
      <c r="QEU22" s="252">
        <v>0</v>
      </c>
      <c r="QEV22" s="252">
        <v>0</v>
      </c>
      <c r="QEW22" s="252">
        <v>0</v>
      </c>
      <c r="QEX22" s="252">
        <v>0</v>
      </c>
      <c r="QEY22" s="252">
        <v>0</v>
      </c>
      <c r="QEZ22" s="252">
        <v>0</v>
      </c>
      <c r="QFA22" s="252">
        <v>0</v>
      </c>
      <c r="QFB22" s="252">
        <v>0</v>
      </c>
      <c r="QFC22" s="252">
        <v>0</v>
      </c>
      <c r="QFD22" s="252">
        <v>0</v>
      </c>
      <c r="QFE22" s="252">
        <v>0</v>
      </c>
      <c r="QFF22" s="252">
        <v>0</v>
      </c>
      <c r="QFG22" s="252">
        <v>0</v>
      </c>
      <c r="QFH22" s="252">
        <v>0</v>
      </c>
      <c r="QFI22" s="252">
        <v>0</v>
      </c>
      <c r="QFJ22" s="252">
        <v>0</v>
      </c>
      <c r="QFK22" s="252">
        <v>0</v>
      </c>
      <c r="QFL22" s="252">
        <v>0</v>
      </c>
      <c r="QFM22" s="252">
        <v>0</v>
      </c>
      <c r="QFN22" s="252">
        <v>0</v>
      </c>
      <c r="QFO22" s="252">
        <v>0</v>
      </c>
      <c r="QFP22" s="252">
        <v>0</v>
      </c>
      <c r="QFQ22" s="252">
        <v>0</v>
      </c>
      <c r="QFR22" s="252">
        <v>0</v>
      </c>
      <c r="QFS22" s="252">
        <v>0</v>
      </c>
      <c r="QFT22" s="252">
        <v>0</v>
      </c>
      <c r="QFU22" s="252">
        <v>0</v>
      </c>
      <c r="QFV22" s="252">
        <v>0</v>
      </c>
      <c r="QFW22" s="252">
        <v>0</v>
      </c>
      <c r="QFX22" s="252">
        <v>0</v>
      </c>
      <c r="QFY22" s="252">
        <v>0</v>
      </c>
      <c r="QFZ22" s="252">
        <v>0</v>
      </c>
      <c r="QGA22" s="252">
        <v>0</v>
      </c>
      <c r="QGB22" s="252">
        <v>0</v>
      </c>
      <c r="QGC22" s="252">
        <v>0</v>
      </c>
      <c r="QGD22" s="252">
        <v>0</v>
      </c>
      <c r="QGE22" s="252">
        <v>0</v>
      </c>
      <c r="QGF22" s="252">
        <v>0</v>
      </c>
      <c r="QGG22" s="252">
        <v>0</v>
      </c>
      <c r="QGH22" s="252">
        <v>0</v>
      </c>
      <c r="QGI22" s="252">
        <v>0</v>
      </c>
      <c r="QGJ22" s="252">
        <v>0</v>
      </c>
      <c r="QGK22" s="252">
        <v>0</v>
      </c>
      <c r="QGL22" s="252">
        <v>0</v>
      </c>
      <c r="QGM22" s="252">
        <v>0</v>
      </c>
      <c r="QGN22" s="252">
        <v>0</v>
      </c>
      <c r="QGO22" s="252">
        <v>0</v>
      </c>
      <c r="QGP22" s="252">
        <v>0</v>
      </c>
      <c r="QGQ22" s="252">
        <v>0</v>
      </c>
      <c r="QGR22" s="252">
        <v>0</v>
      </c>
      <c r="QGS22" s="252">
        <v>0</v>
      </c>
      <c r="QGT22" s="252">
        <v>0</v>
      </c>
      <c r="QGU22" s="252">
        <v>0</v>
      </c>
      <c r="QGV22" s="252">
        <v>0</v>
      </c>
      <c r="QGW22" s="252">
        <v>0</v>
      </c>
      <c r="QGX22" s="252">
        <v>0</v>
      </c>
      <c r="QGY22" s="252">
        <v>0</v>
      </c>
      <c r="QGZ22" s="252">
        <v>0</v>
      </c>
      <c r="QHA22" s="252">
        <v>0</v>
      </c>
      <c r="QHB22" s="252">
        <v>0</v>
      </c>
      <c r="QHC22" s="252">
        <v>0</v>
      </c>
      <c r="QHD22" s="252">
        <v>0</v>
      </c>
      <c r="QHE22" s="252">
        <v>0</v>
      </c>
      <c r="QHF22" s="252">
        <v>0</v>
      </c>
      <c r="QHG22" s="252">
        <v>0</v>
      </c>
      <c r="QHH22" s="252">
        <v>0</v>
      </c>
      <c r="QHI22" s="252">
        <v>0</v>
      </c>
      <c r="QHJ22" s="252">
        <v>0</v>
      </c>
      <c r="QHK22" s="252">
        <v>0</v>
      </c>
      <c r="QHL22" s="252">
        <v>0</v>
      </c>
      <c r="QHM22" s="252">
        <v>0</v>
      </c>
      <c r="QHN22" s="252">
        <v>0</v>
      </c>
      <c r="QHO22" s="252">
        <v>0</v>
      </c>
      <c r="QHP22" s="252">
        <v>0</v>
      </c>
      <c r="QHQ22" s="252">
        <v>0</v>
      </c>
      <c r="QHR22" s="252">
        <v>0</v>
      </c>
      <c r="QHS22" s="252">
        <v>0</v>
      </c>
      <c r="QHT22" s="252">
        <v>0</v>
      </c>
      <c r="QHU22" s="252">
        <v>0</v>
      </c>
      <c r="QHV22" s="252">
        <v>0</v>
      </c>
      <c r="QHW22" s="252">
        <v>0</v>
      </c>
      <c r="QHX22" s="252">
        <v>0</v>
      </c>
      <c r="QHY22" s="252">
        <v>0</v>
      </c>
      <c r="QHZ22" s="252">
        <v>0</v>
      </c>
      <c r="QIA22" s="252">
        <v>0</v>
      </c>
      <c r="QIB22" s="252">
        <v>0</v>
      </c>
      <c r="QIC22" s="252">
        <v>0</v>
      </c>
      <c r="QID22" s="252">
        <v>0</v>
      </c>
      <c r="QIE22" s="252">
        <v>0</v>
      </c>
      <c r="QIF22" s="252">
        <v>0</v>
      </c>
      <c r="QIG22" s="252">
        <v>0</v>
      </c>
      <c r="QIH22" s="252">
        <v>0</v>
      </c>
      <c r="QII22" s="252">
        <v>0</v>
      </c>
      <c r="QIJ22" s="252">
        <v>0</v>
      </c>
      <c r="QIK22" s="252">
        <v>0</v>
      </c>
      <c r="QIL22" s="252">
        <v>0</v>
      </c>
      <c r="QIM22" s="252">
        <v>0</v>
      </c>
      <c r="QIN22" s="252">
        <v>0</v>
      </c>
      <c r="QIO22" s="252">
        <v>0</v>
      </c>
      <c r="QIP22" s="252">
        <v>0</v>
      </c>
      <c r="QIQ22" s="252">
        <v>0</v>
      </c>
      <c r="QIR22" s="252">
        <v>0</v>
      </c>
      <c r="QIS22" s="252">
        <v>0</v>
      </c>
      <c r="QIT22" s="252">
        <v>0</v>
      </c>
      <c r="QIU22" s="252">
        <v>0</v>
      </c>
      <c r="QIV22" s="252">
        <v>0</v>
      </c>
      <c r="QIW22" s="252">
        <v>0</v>
      </c>
      <c r="QIX22" s="252">
        <v>0</v>
      </c>
      <c r="QIY22" s="252">
        <v>0</v>
      </c>
      <c r="QIZ22" s="252">
        <v>0</v>
      </c>
      <c r="QJA22" s="252">
        <v>0</v>
      </c>
      <c r="QJB22" s="252">
        <v>0</v>
      </c>
      <c r="QJC22" s="252">
        <v>0</v>
      </c>
      <c r="QJD22" s="252">
        <v>0</v>
      </c>
      <c r="QJE22" s="252">
        <v>0</v>
      </c>
      <c r="QJF22" s="252">
        <v>0</v>
      </c>
      <c r="QJG22" s="252">
        <v>0</v>
      </c>
      <c r="QJH22" s="252">
        <v>0</v>
      </c>
      <c r="QJI22" s="252">
        <v>0</v>
      </c>
      <c r="QJJ22" s="252">
        <v>0</v>
      </c>
      <c r="QJK22" s="252">
        <v>0</v>
      </c>
      <c r="QJL22" s="252">
        <v>0</v>
      </c>
      <c r="QJM22" s="252">
        <v>0</v>
      </c>
      <c r="QJN22" s="252">
        <v>0</v>
      </c>
      <c r="QJO22" s="252">
        <v>0</v>
      </c>
      <c r="QJP22" s="252">
        <v>0</v>
      </c>
      <c r="QJQ22" s="252">
        <v>0</v>
      </c>
      <c r="QJR22" s="252">
        <v>0</v>
      </c>
      <c r="QJS22" s="252">
        <v>0</v>
      </c>
      <c r="QJT22" s="252">
        <v>0</v>
      </c>
      <c r="QJU22" s="252">
        <v>0</v>
      </c>
      <c r="QJV22" s="252">
        <v>0</v>
      </c>
      <c r="QJW22" s="252">
        <v>0</v>
      </c>
      <c r="QJX22" s="252">
        <v>0</v>
      </c>
      <c r="QJY22" s="252">
        <v>0</v>
      </c>
      <c r="QJZ22" s="252">
        <v>0</v>
      </c>
      <c r="QKA22" s="252">
        <v>0</v>
      </c>
      <c r="QKB22" s="252">
        <v>0</v>
      </c>
      <c r="QKC22" s="252">
        <v>0</v>
      </c>
      <c r="QKD22" s="252">
        <v>0</v>
      </c>
      <c r="QKE22" s="252">
        <v>0</v>
      </c>
      <c r="QKF22" s="252">
        <v>0</v>
      </c>
      <c r="QKG22" s="252">
        <v>0</v>
      </c>
      <c r="QKH22" s="252">
        <v>0</v>
      </c>
      <c r="QKI22" s="252">
        <v>0</v>
      </c>
      <c r="QKJ22" s="252">
        <v>0</v>
      </c>
      <c r="QKK22" s="252">
        <v>0</v>
      </c>
      <c r="QKL22" s="252">
        <v>0</v>
      </c>
      <c r="QKM22" s="252">
        <v>0</v>
      </c>
      <c r="QKN22" s="252">
        <v>0</v>
      </c>
      <c r="QKO22" s="252">
        <v>0</v>
      </c>
      <c r="QKP22" s="252">
        <v>0</v>
      </c>
      <c r="QKQ22" s="252">
        <v>0</v>
      </c>
      <c r="QKR22" s="252">
        <v>0</v>
      </c>
      <c r="QKS22" s="252">
        <v>0</v>
      </c>
      <c r="QKT22" s="252">
        <v>0</v>
      </c>
      <c r="QKU22" s="252">
        <v>0</v>
      </c>
      <c r="QKV22" s="252">
        <v>0</v>
      </c>
      <c r="QKW22" s="252">
        <v>0</v>
      </c>
      <c r="QKX22" s="252">
        <v>0</v>
      </c>
      <c r="QKY22" s="252">
        <v>0</v>
      </c>
      <c r="QKZ22" s="252">
        <v>0</v>
      </c>
      <c r="QLA22" s="252">
        <v>0</v>
      </c>
      <c r="QLB22" s="252">
        <v>0</v>
      </c>
      <c r="QLC22" s="252">
        <v>0</v>
      </c>
      <c r="QLD22" s="252">
        <v>0</v>
      </c>
      <c r="QLE22" s="252">
        <v>0</v>
      </c>
      <c r="QLF22" s="252">
        <v>0</v>
      </c>
      <c r="QLG22" s="252">
        <v>0</v>
      </c>
      <c r="QLH22" s="252">
        <v>0</v>
      </c>
      <c r="QLI22" s="252">
        <v>0</v>
      </c>
      <c r="QLJ22" s="252">
        <v>0</v>
      </c>
      <c r="QLK22" s="252">
        <v>0</v>
      </c>
      <c r="QLL22" s="252">
        <v>0</v>
      </c>
      <c r="QLM22" s="252">
        <v>0</v>
      </c>
      <c r="QLN22" s="252">
        <v>0</v>
      </c>
      <c r="QLO22" s="252">
        <v>0</v>
      </c>
      <c r="QLP22" s="252">
        <v>0</v>
      </c>
      <c r="QLQ22" s="252">
        <v>0</v>
      </c>
      <c r="QLR22" s="252">
        <v>0</v>
      </c>
      <c r="QLS22" s="252">
        <v>0</v>
      </c>
      <c r="QLT22" s="252">
        <v>0</v>
      </c>
      <c r="QLU22" s="252">
        <v>0</v>
      </c>
      <c r="QLV22" s="252">
        <v>0</v>
      </c>
      <c r="QLW22" s="252">
        <v>0</v>
      </c>
      <c r="QLX22" s="252">
        <v>0</v>
      </c>
      <c r="QLY22" s="252">
        <v>0</v>
      </c>
      <c r="QLZ22" s="252">
        <v>0</v>
      </c>
      <c r="QMA22" s="252">
        <v>0</v>
      </c>
      <c r="QMB22" s="252">
        <v>0</v>
      </c>
      <c r="QMC22" s="252">
        <v>0</v>
      </c>
      <c r="QMD22" s="252">
        <v>0</v>
      </c>
      <c r="QME22" s="252">
        <v>0</v>
      </c>
      <c r="QMF22" s="252">
        <v>0</v>
      </c>
      <c r="QMG22" s="252">
        <v>0</v>
      </c>
      <c r="QMH22" s="252">
        <v>0</v>
      </c>
      <c r="QMI22" s="252">
        <v>0</v>
      </c>
      <c r="QMJ22" s="252">
        <v>0</v>
      </c>
      <c r="QMK22" s="252">
        <v>0</v>
      </c>
      <c r="QML22" s="252">
        <v>0</v>
      </c>
      <c r="QMM22" s="252">
        <v>0</v>
      </c>
      <c r="QMN22" s="252">
        <v>0</v>
      </c>
      <c r="QMO22" s="252">
        <v>0</v>
      </c>
      <c r="QMP22" s="252">
        <v>0</v>
      </c>
      <c r="QMQ22" s="252">
        <v>0</v>
      </c>
      <c r="QMR22" s="252">
        <v>0</v>
      </c>
      <c r="QMS22" s="252">
        <v>0</v>
      </c>
      <c r="QMT22" s="252">
        <v>0</v>
      </c>
      <c r="QMU22" s="252">
        <v>0</v>
      </c>
      <c r="QMV22" s="252">
        <v>0</v>
      </c>
      <c r="QMW22" s="252">
        <v>0</v>
      </c>
      <c r="QMX22" s="252">
        <v>0</v>
      </c>
      <c r="QMY22" s="252">
        <v>0</v>
      </c>
      <c r="QMZ22" s="252">
        <v>0</v>
      </c>
      <c r="QNA22" s="252">
        <v>0</v>
      </c>
      <c r="QNB22" s="252">
        <v>0</v>
      </c>
      <c r="QNC22" s="252">
        <v>0</v>
      </c>
      <c r="QND22" s="252">
        <v>0</v>
      </c>
      <c r="QNE22" s="252">
        <v>0</v>
      </c>
      <c r="QNF22" s="252">
        <v>0</v>
      </c>
      <c r="QNG22" s="252">
        <v>0</v>
      </c>
      <c r="QNH22" s="252">
        <v>0</v>
      </c>
      <c r="QNI22" s="252">
        <v>0</v>
      </c>
      <c r="QNJ22" s="252">
        <v>0</v>
      </c>
      <c r="QNK22" s="252">
        <v>0</v>
      </c>
      <c r="QNL22" s="252">
        <v>0</v>
      </c>
      <c r="QNM22" s="252">
        <v>0</v>
      </c>
      <c r="QNN22" s="252">
        <v>0</v>
      </c>
      <c r="QNO22" s="252">
        <v>0</v>
      </c>
      <c r="QNP22" s="252">
        <v>0</v>
      </c>
      <c r="QNQ22" s="252">
        <v>0</v>
      </c>
      <c r="QNR22" s="252">
        <v>0</v>
      </c>
      <c r="QNS22" s="252">
        <v>0</v>
      </c>
      <c r="QNT22" s="252">
        <v>0</v>
      </c>
      <c r="QNU22" s="252">
        <v>0</v>
      </c>
      <c r="QNV22" s="252">
        <v>0</v>
      </c>
      <c r="QNW22" s="252">
        <v>0</v>
      </c>
      <c r="QNX22" s="252">
        <v>0</v>
      </c>
      <c r="QNY22" s="252">
        <v>0</v>
      </c>
      <c r="QNZ22" s="252">
        <v>0</v>
      </c>
      <c r="QOA22" s="252">
        <v>0</v>
      </c>
      <c r="QOB22" s="252">
        <v>0</v>
      </c>
      <c r="QOC22" s="252">
        <v>0</v>
      </c>
      <c r="QOD22" s="252">
        <v>0</v>
      </c>
      <c r="QOE22" s="252">
        <v>0</v>
      </c>
      <c r="QOF22" s="252">
        <v>0</v>
      </c>
      <c r="QOG22" s="252">
        <v>0</v>
      </c>
      <c r="QOH22" s="252">
        <v>0</v>
      </c>
      <c r="QOI22" s="252">
        <v>0</v>
      </c>
      <c r="QOJ22" s="252">
        <v>0</v>
      </c>
      <c r="QOK22" s="252">
        <v>0</v>
      </c>
      <c r="QOL22" s="252">
        <v>0</v>
      </c>
      <c r="QOM22" s="252">
        <v>0</v>
      </c>
      <c r="QON22" s="252">
        <v>0</v>
      </c>
      <c r="QOO22" s="252">
        <v>0</v>
      </c>
      <c r="QOP22" s="252">
        <v>0</v>
      </c>
      <c r="QOQ22" s="252">
        <v>0</v>
      </c>
      <c r="QOR22" s="252">
        <v>0</v>
      </c>
      <c r="QOS22" s="252">
        <v>0</v>
      </c>
      <c r="QOT22" s="252">
        <v>0</v>
      </c>
      <c r="QOU22" s="252">
        <v>0</v>
      </c>
      <c r="QOV22" s="252">
        <v>0</v>
      </c>
      <c r="QOW22" s="252">
        <v>0</v>
      </c>
      <c r="QOX22" s="252">
        <v>0</v>
      </c>
      <c r="QOY22" s="252">
        <v>0</v>
      </c>
      <c r="QOZ22" s="252">
        <v>0</v>
      </c>
      <c r="QPA22" s="252">
        <v>0</v>
      </c>
      <c r="QPB22" s="252">
        <v>0</v>
      </c>
      <c r="QPC22" s="252">
        <v>0</v>
      </c>
      <c r="QPD22" s="252">
        <v>0</v>
      </c>
      <c r="QPE22" s="252">
        <v>0</v>
      </c>
      <c r="QPF22" s="252">
        <v>0</v>
      </c>
      <c r="QPG22" s="252">
        <v>0</v>
      </c>
      <c r="QPH22" s="252">
        <v>0</v>
      </c>
      <c r="QPI22" s="252">
        <v>0</v>
      </c>
      <c r="QPJ22" s="252">
        <v>0</v>
      </c>
      <c r="QPK22" s="252">
        <v>0</v>
      </c>
      <c r="QPL22" s="252">
        <v>0</v>
      </c>
      <c r="QPM22" s="252">
        <v>0</v>
      </c>
      <c r="QPN22" s="252">
        <v>0</v>
      </c>
      <c r="QPO22" s="252">
        <v>0</v>
      </c>
      <c r="QPP22" s="252">
        <v>0</v>
      </c>
      <c r="QPQ22" s="252">
        <v>0</v>
      </c>
      <c r="QPR22" s="252">
        <v>0</v>
      </c>
      <c r="QPS22" s="252">
        <v>0</v>
      </c>
      <c r="QPT22" s="252">
        <v>0</v>
      </c>
      <c r="QPU22" s="252">
        <v>0</v>
      </c>
      <c r="QPV22" s="252">
        <v>0</v>
      </c>
      <c r="QPW22" s="252">
        <v>0</v>
      </c>
      <c r="QPX22" s="252">
        <v>0</v>
      </c>
      <c r="QPY22" s="252">
        <v>0</v>
      </c>
      <c r="QPZ22" s="252">
        <v>0</v>
      </c>
      <c r="QQA22" s="252">
        <v>0</v>
      </c>
      <c r="QQB22" s="252">
        <v>0</v>
      </c>
      <c r="QQC22" s="252">
        <v>0</v>
      </c>
      <c r="QQD22" s="252">
        <v>0</v>
      </c>
      <c r="QQE22" s="252">
        <v>0</v>
      </c>
      <c r="QQF22" s="252">
        <v>0</v>
      </c>
      <c r="QQG22" s="252">
        <v>0</v>
      </c>
      <c r="QQH22" s="252">
        <v>0</v>
      </c>
      <c r="QQI22" s="252">
        <v>0</v>
      </c>
      <c r="QQJ22" s="252">
        <v>0</v>
      </c>
      <c r="QQK22" s="252">
        <v>0</v>
      </c>
      <c r="QQL22" s="252">
        <v>0</v>
      </c>
      <c r="QQM22" s="252">
        <v>0</v>
      </c>
      <c r="QQN22" s="252">
        <v>0</v>
      </c>
      <c r="QQO22" s="252">
        <v>0</v>
      </c>
      <c r="QQP22" s="252">
        <v>0</v>
      </c>
      <c r="QQQ22" s="252">
        <v>0</v>
      </c>
      <c r="QQR22" s="252">
        <v>0</v>
      </c>
      <c r="QQS22" s="252">
        <v>0</v>
      </c>
      <c r="QQT22" s="252">
        <v>0</v>
      </c>
      <c r="QQU22" s="252">
        <v>0</v>
      </c>
      <c r="QQV22" s="252">
        <v>0</v>
      </c>
      <c r="QQW22" s="252">
        <v>0</v>
      </c>
      <c r="QQX22" s="252">
        <v>0</v>
      </c>
      <c r="QQY22" s="252">
        <v>0</v>
      </c>
      <c r="QQZ22" s="252">
        <v>0</v>
      </c>
      <c r="QRA22" s="252">
        <v>0</v>
      </c>
      <c r="QRB22" s="252">
        <v>0</v>
      </c>
      <c r="QRC22" s="252">
        <v>0</v>
      </c>
      <c r="QRD22" s="252">
        <v>0</v>
      </c>
      <c r="QRE22" s="252">
        <v>0</v>
      </c>
      <c r="QRF22" s="252">
        <v>0</v>
      </c>
      <c r="QRG22" s="252">
        <v>0</v>
      </c>
      <c r="QRH22" s="252">
        <v>0</v>
      </c>
      <c r="QRI22" s="252">
        <v>0</v>
      </c>
      <c r="QRJ22" s="252">
        <v>0</v>
      </c>
      <c r="QRK22" s="252">
        <v>0</v>
      </c>
      <c r="QRL22" s="252">
        <v>0</v>
      </c>
      <c r="QRM22" s="252">
        <v>0</v>
      </c>
      <c r="QRN22" s="252">
        <v>0</v>
      </c>
      <c r="QRO22" s="252">
        <v>0</v>
      </c>
      <c r="QRP22" s="252">
        <v>0</v>
      </c>
      <c r="QRQ22" s="252">
        <v>0</v>
      </c>
      <c r="QRR22" s="252">
        <v>0</v>
      </c>
      <c r="QRS22" s="252">
        <v>0</v>
      </c>
      <c r="QRT22" s="252">
        <v>0</v>
      </c>
      <c r="QRU22" s="252">
        <v>0</v>
      </c>
      <c r="QRV22" s="252">
        <v>0</v>
      </c>
      <c r="QRW22" s="252">
        <v>0</v>
      </c>
      <c r="QRX22" s="252">
        <v>0</v>
      </c>
      <c r="QRY22" s="252">
        <v>0</v>
      </c>
      <c r="QRZ22" s="252">
        <v>0</v>
      </c>
      <c r="QSA22" s="252">
        <v>0</v>
      </c>
      <c r="QSB22" s="252">
        <v>0</v>
      </c>
      <c r="QSC22" s="252">
        <v>0</v>
      </c>
      <c r="QSD22" s="252">
        <v>0</v>
      </c>
      <c r="QSE22" s="252">
        <v>0</v>
      </c>
      <c r="QSF22" s="252">
        <v>0</v>
      </c>
      <c r="QSG22" s="252">
        <v>0</v>
      </c>
      <c r="QSH22" s="252">
        <v>0</v>
      </c>
      <c r="QSI22" s="252">
        <v>0</v>
      </c>
      <c r="QSJ22" s="252">
        <v>0</v>
      </c>
      <c r="QSK22" s="252">
        <v>0</v>
      </c>
      <c r="QSL22" s="252">
        <v>0</v>
      </c>
      <c r="QSM22" s="252">
        <v>0</v>
      </c>
      <c r="QSN22" s="252">
        <v>0</v>
      </c>
      <c r="QSO22" s="252">
        <v>0</v>
      </c>
      <c r="QSP22" s="252">
        <v>0</v>
      </c>
      <c r="QSQ22" s="252">
        <v>0</v>
      </c>
      <c r="QSR22" s="252">
        <v>0</v>
      </c>
      <c r="QSS22" s="252">
        <v>0</v>
      </c>
      <c r="QST22" s="252">
        <v>0</v>
      </c>
      <c r="QSU22" s="252">
        <v>0</v>
      </c>
      <c r="QSV22" s="252">
        <v>0</v>
      </c>
      <c r="QSW22" s="252">
        <v>0</v>
      </c>
      <c r="QSX22" s="252">
        <v>0</v>
      </c>
      <c r="QSY22" s="252">
        <v>0</v>
      </c>
      <c r="QSZ22" s="252">
        <v>0</v>
      </c>
      <c r="QTA22" s="252">
        <v>0</v>
      </c>
      <c r="QTB22" s="252">
        <v>0</v>
      </c>
      <c r="QTC22" s="252">
        <v>0</v>
      </c>
      <c r="QTD22" s="252">
        <v>0</v>
      </c>
      <c r="QTE22" s="252">
        <v>0</v>
      </c>
      <c r="QTF22" s="252">
        <v>0</v>
      </c>
      <c r="QTG22" s="252">
        <v>0</v>
      </c>
      <c r="QTH22" s="252">
        <v>0</v>
      </c>
      <c r="QTI22" s="252">
        <v>0</v>
      </c>
      <c r="QTJ22" s="252">
        <v>0</v>
      </c>
      <c r="QTK22" s="252">
        <v>0</v>
      </c>
      <c r="QTL22" s="252">
        <v>0</v>
      </c>
      <c r="QTM22" s="252">
        <v>0</v>
      </c>
      <c r="QTN22" s="252">
        <v>0</v>
      </c>
      <c r="QTO22" s="252">
        <v>0</v>
      </c>
      <c r="QTP22" s="252">
        <v>0</v>
      </c>
      <c r="QTQ22" s="252">
        <v>0</v>
      </c>
      <c r="QTR22" s="252">
        <v>0</v>
      </c>
      <c r="QTS22" s="252">
        <v>0</v>
      </c>
      <c r="QTT22" s="252">
        <v>0</v>
      </c>
      <c r="QTU22" s="252">
        <v>0</v>
      </c>
      <c r="QTV22" s="252">
        <v>0</v>
      </c>
      <c r="QTW22" s="252">
        <v>0</v>
      </c>
      <c r="QTX22" s="252">
        <v>0</v>
      </c>
      <c r="QTY22" s="252">
        <v>0</v>
      </c>
      <c r="QTZ22" s="252">
        <v>0</v>
      </c>
      <c r="QUA22" s="252">
        <v>0</v>
      </c>
      <c r="QUB22" s="252">
        <v>0</v>
      </c>
      <c r="QUC22" s="252">
        <v>0</v>
      </c>
      <c r="QUD22" s="252">
        <v>0</v>
      </c>
      <c r="QUE22" s="252">
        <v>0</v>
      </c>
      <c r="QUF22" s="252">
        <v>0</v>
      </c>
      <c r="QUG22" s="252">
        <v>0</v>
      </c>
      <c r="QUH22" s="252">
        <v>0</v>
      </c>
      <c r="QUI22" s="252">
        <v>0</v>
      </c>
      <c r="QUJ22" s="252">
        <v>0</v>
      </c>
      <c r="QUK22" s="252">
        <v>0</v>
      </c>
      <c r="QUL22" s="252">
        <v>0</v>
      </c>
      <c r="QUM22" s="252">
        <v>0</v>
      </c>
      <c r="QUN22" s="252">
        <v>0</v>
      </c>
      <c r="QUO22" s="252">
        <v>0</v>
      </c>
      <c r="QUP22" s="252">
        <v>0</v>
      </c>
      <c r="QUQ22" s="252">
        <v>0</v>
      </c>
      <c r="QUR22" s="252">
        <v>0</v>
      </c>
      <c r="QUS22" s="252">
        <v>0</v>
      </c>
      <c r="QUT22" s="252">
        <v>0</v>
      </c>
      <c r="QUU22" s="252">
        <v>0</v>
      </c>
      <c r="QUV22" s="252">
        <v>0</v>
      </c>
      <c r="QUW22" s="252">
        <v>0</v>
      </c>
      <c r="QUX22" s="252">
        <v>0</v>
      </c>
      <c r="QUY22" s="252">
        <v>0</v>
      </c>
      <c r="QUZ22" s="252">
        <v>0</v>
      </c>
      <c r="QVA22" s="252">
        <v>0</v>
      </c>
      <c r="QVB22" s="252">
        <v>0</v>
      </c>
      <c r="QVC22" s="252">
        <v>0</v>
      </c>
      <c r="QVD22" s="252">
        <v>0</v>
      </c>
      <c r="QVE22" s="252">
        <v>0</v>
      </c>
      <c r="QVF22" s="252">
        <v>0</v>
      </c>
      <c r="QVG22" s="252">
        <v>0</v>
      </c>
      <c r="QVH22" s="252">
        <v>0</v>
      </c>
      <c r="QVI22" s="252">
        <v>0</v>
      </c>
      <c r="QVJ22" s="252">
        <v>0</v>
      </c>
      <c r="QVK22" s="252">
        <v>0</v>
      </c>
      <c r="QVL22" s="252">
        <v>0</v>
      </c>
      <c r="QVM22" s="252">
        <v>0</v>
      </c>
      <c r="QVN22" s="252">
        <v>0</v>
      </c>
      <c r="QVO22" s="252">
        <v>0</v>
      </c>
      <c r="QVP22" s="252">
        <v>0</v>
      </c>
      <c r="QVQ22" s="252">
        <v>0</v>
      </c>
      <c r="QVR22" s="252">
        <v>0</v>
      </c>
      <c r="QVS22" s="252">
        <v>0</v>
      </c>
      <c r="QVT22" s="252">
        <v>0</v>
      </c>
      <c r="QVU22" s="252">
        <v>0</v>
      </c>
      <c r="QVV22" s="252">
        <v>0</v>
      </c>
      <c r="QVW22" s="252">
        <v>0</v>
      </c>
      <c r="QVX22" s="252">
        <v>0</v>
      </c>
      <c r="QVY22" s="252">
        <v>0</v>
      </c>
      <c r="QVZ22" s="252">
        <v>0</v>
      </c>
      <c r="QWA22" s="252">
        <v>0</v>
      </c>
      <c r="QWB22" s="252">
        <v>0</v>
      </c>
      <c r="QWC22" s="252">
        <v>0</v>
      </c>
      <c r="QWD22" s="252">
        <v>0</v>
      </c>
      <c r="QWE22" s="252">
        <v>0</v>
      </c>
      <c r="QWF22" s="252">
        <v>0</v>
      </c>
      <c r="QWG22" s="252">
        <v>0</v>
      </c>
      <c r="QWH22" s="252">
        <v>0</v>
      </c>
      <c r="QWI22" s="252">
        <v>0</v>
      </c>
      <c r="QWJ22" s="252">
        <v>0</v>
      </c>
      <c r="QWK22" s="252">
        <v>0</v>
      </c>
      <c r="QWL22" s="252">
        <v>0</v>
      </c>
      <c r="QWM22" s="252">
        <v>0</v>
      </c>
      <c r="QWN22" s="252">
        <v>0</v>
      </c>
      <c r="QWO22" s="252">
        <v>0</v>
      </c>
      <c r="QWP22" s="252">
        <v>0</v>
      </c>
      <c r="QWQ22" s="252">
        <v>0</v>
      </c>
      <c r="QWR22" s="252">
        <v>0</v>
      </c>
      <c r="QWS22" s="252">
        <v>0</v>
      </c>
      <c r="QWT22" s="252">
        <v>0</v>
      </c>
      <c r="QWU22" s="252">
        <v>0</v>
      </c>
      <c r="QWV22" s="252">
        <v>0</v>
      </c>
      <c r="QWW22" s="252">
        <v>0</v>
      </c>
      <c r="QWX22" s="252">
        <v>0</v>
      </c>
      <c r="QWY22" s="252">
        <v>0</v>
      </c>
      <c r="QWZ22" s="252">
        <v>0</v>
      </c>
      <c r="QXA22" s="252">
        <v>0</v>
      </c>
      <c r="QXB22" s="252">
        <v>0</v>
      </c>
      <c r="QXC22" s="252">
        <v>0</v>
      </c>
      <c r="QXD22" s="252">
        <v>0</v>
      </c>
      <c r="QXE22" s="252">
        <v>0</v>
      </c>
      <c r="QXF22" s="252">
        <v>0</v>
      </c>
      <c r="QXG22" s="252">
        <v>0</v>
      </c>
      <c r="QXH22" s="252">
        <v>0</v>
      </c>
      <c r="QXI22" s="252">
        <v>0</v>
      </c>
      <c r="QXJ22" s="252">
        <v>0</v>
      </c>
      <c r="QXK22" s="252">
        <v>0</v>
      </c>
      <c r="QXL22" s="252">
        <v>0</v>
      </c>
      <c r="QXM22" s="252">
        <v>0</v>
      </c>
      <c r="QXN22" s="252">
        <v>0</v>
      </c>
      <c r="QXO22" s="252">
        <v>0</v>
      </c>
      <c r="QXP22" s="252">
        <v>0</v>
      </c>
      <c r="QXQ22" s="252">
        <v>0</v>
      </c>
      <c r="QXR22" s="252">
        <v>0</v>
      </c>
      <c r="QXS22" s="252">
        <v>0</v>
      </c>
      <c r="QXT22" s="252">
        <v>0</v>
      </c>
      <c r="QXU22" s="252">
        <v>0</v>
      </c>
      <c r="QXV22" s="252">
        <v>0</v>
      </c>
      <c r="QXW22" s="252">
        <v>0</v>
      </c>
      <c r="QXX22" s="252">
        <v>0</v>
      </c>
      <c r="QXY22" s="252">
        <v>0</v>
      </c>
      <c r="QXZ22" s="252">
        <v>0</v>
      </c>
      <c r="QYA22" s="252">
        <v>0</v>
      </c>
      <c r="QYB22" s="252">
        <v>0</v>
      </c>
      <c r="QYC22" s="252">
        <v>0</v>
      </c>
      <c r="QYD22" s="252">
        <v>0</v>
      </c>
      <c r="QYE22" s="252">
        <v>0</v>
      </c>
      <c r="QYF22" s="252">
        <v>0</v>
      </c>
      <c r="QYG22" s="252">
        <v>0</v>
      </c>
      <c r="QYH22" s="252">
        <v>0</v>
      </c>
      <c r="QYI22" s="252">
        <v>0</v>
      </c>
      <c r="QYJ22" s="252">
        <v>0</v>
      </c>
      <c r="QYK22" s="252">
        <v>0</v>
      </c>
      <c r="QYL22" s="252">
        <v>0</v>
      </c>
      <c r="QYM22" s="252">
        <v>0</v>
      </c>
      <c r="QYN22" s="252">
        <v>0</v>
      </c>
      <c r="QYO22" s="252">
        <v>0</v>
      </c>
      <c r="QYP22" s="252">
        <v>0</v>
      </c>
      <c r="QYQ22" s="252">
        <v>0</v>
      </c>
      <c r="QYR22" s="252">
        <v>0</v>
      </c>
      <c r="QYS22" s="252">
        <v>0</v>
      </c>
      <c r="QYT22" s="252">
        <v>0</v>
      </c>
      <c r="QYU22" s="252">
        <v>0</v>
      </c>
      <c r="QYV22" s="252">
        <v>0</v>
      </c>
      <c r="QYW22" s="252">
        <v>0</v>
      </c>
      <c r="QYX22" s="252">
        <v>0</v>
      </c>
      <c r="QYY22" s="252">
        <v>0</v>
      </c>
      <c r="QYZ22" s="252">
        <v>0</v>
      </c>
      <c r="QZA22" s="252">
        <v>0</v>
      </c>
      <c r="QZB22" s="252">
        <v>0</v>
      </c>
      <c r="QZC22" s="252">
        <v>0</v>
      </c>
      <c r="QZD22" s="252">
        <v>0</v>
      </c>
      <c r="QZE22" s="252">
        <v>0</v>
      </c>
      <c r="QZF22" s="252">
        <v>0</v>
      </c>
      <c r="QZG22" s="252">
        <v>0</v>
      </c>
      <c r="QZH22" s="252">
        <v>0</v>
      </c>
      <c r="QZI22" s="252">
        <v>0</v>
      </c>
      <c r="QZJ22" s="252">
        <v>0</v>
      </c>
      <c r="QZK22" s="252">
        <v>0</v>
      </c>
      <c r="QZL22" s="252">
        <v>0</v>
      </c>
      <c r="QZM22" s="252">
        <v>0</v>
      </c>
      <c r="QZN22" s="252">
        <v>0</v>
      </c>
      <c r="QZO22" s="252">
        <v>0</v>
      </c>
      <c r="QZP22" s="252">
        <v>0</v>
      </c>
      <c r="QZQ22" s="252">
        <v>0</v>
      </c>
      <c r="QZR22" s="252">
        <v>0</v>
      </c>
      <c r="QZS22" s="252">
        <v>0</v>
      </c>
      <c r="QZT22" s="252">
        <v>0</v>
      </c>
      <c r="QZU22" s="252">
        <v>0</v>
      </c>
      <c r="QZV22" s="252">
        <v>0</v>
      </c>
      <c r="QZW22" s="252">
        <v>0</v>
      </c>
      <c r="QZX22" s="252">
        <v>0</v>
      </c>
      <c r="QZY22" s="252">
        <v>0</v>
      </c>
      <c r="QZZ22" s="252">
        <v>0</v>
      </c>
      <c r="RAA22" s="252">
        <v>0</v>
      </c>
      <c r="RAB22" s="252">
        <v>0</v>
      </c>
      <c r="RAC22" s="252">
        <v>0</v>
      </c>
      <c r="RAD22" s="252">
        <v>0</v>
      </c>
      <c r="RAE22" s="252">
        <v>0</v>
      </c>
      <c r="RAF22" s="252">
        <v>0</v>
      </c>
      <c r="RAG22" s="252">
        <v>0</v>
      </c>
      <c r="RAH22" s="252">
        <v>0</v>
      </c>
      <c r="RAI22" s="252">
        <v>0</v>
      </c>
      <c r="RAJ22" s="252">
        <v>0</v>
      </c>
      <c r="RAK22" s="252">
        <v>0</v>
      </c>
      <c r="RAL22" s="252">
        <v>0</v>
      </c>
      <c r="RAM22" s="252">
        <v>0</v>
      </c>
      <c r="RAN22" s="252">
        <v>0</v>
      </c>
      <c r="RAO22" s="252">
        <v>0</v>
      </c>
      <c r="RAP22" s="252">
        <v>0</v>
      </c>
      <c r="RAQ22" s="252">
        <v>0</v>
      </c>
      <c r="RAR22" s="252">
        <v>0</v>
      </c>
      <c r="RAS22" s="252">
        <v>0</v>
      </c>
      <c r="RAT22" s="252">
        <v>0</v>
      </c>
      <c r="RAU22" s="252">
        <v>0</v>
      </c>
      <c r="RAV22" s="252">
        <v>0</v>
      </c>
      <c r="RAW22" s="252">
        <v>0</v>
      </c>
      <c r="RAX22" s="252">
        <v>0</v>
      </c>
      <c r="RAY22" s="252">
        <v>0</v>
      </c>
      <c r="RAZ22" s="252">
        <v>0</v>
      </c>
      <c r="RBA22" s="252">
        <v>0</v>
      </c>
      <c r="RBB22" s="252">
        <v>0</v>
      </c>
      <c r="RBC22" s="252">
        <v>0</v>
      </c>
      <c r="RBD22" s="252">
        <v>0</v>
      </c>
      <c r="RBE22" s="252">
        <v>0</v>
      </c>
      <c r="RBF22" s="252">
        <v>0</v>
      </c>
      <c r="RBG22" s="252">
        <v>0</v>
      </c>
      <c r="RBH22" s="252">
        <v>0</v>
      </c>
      <c r="RBI22" s="252">
        <v>0</v>
      </c>
      <c r="RBJ22" s="252">
        <v>0</v>
      </c>
      <c r="RBK22" s="252">
        <v>0</v>
      </c>
      <c r="RBL22" s="252">
        <v>0</v>
      </c>
      <c r="RBM22" s="252">
        <v>0</v>
      </c>
      <c r="RBN22" s="252">
        <v>0</v>
      </c>
      <c r="RBO22" s="252">
        <v>0</v>
      </c>
      <c r="RBP22" s="252">
        <v>0</v>
      </c>
      <c r="RBQ22" s="252">
        <v>0</v>
      </c>
      <c r="RBR22" s="252">
        <v>0</v>
      </c>
      <c r="RBS22" s="252">
        <v>0</v>
      </c>
      <c r="RBT22" s="252">
        <v>0</v>
      </c>
      <c r="RBU22" s="252">
        <v>0</v>
      </c>
      <c r="RBV22" s="252">
        <v>0</v>
      </c>
      <c r="RBW22" s="252">
        <v>0</v>
      </c>
      <c r="RBX22" s="252">
        <v>0</v>
      </c>
      <c r="RBY22" s="252">
        <v>0</v>
      </c>
      <c r="RBZ22" s="252">
        <v>0</v>
      </c>
      <c r="RCA22" s="252">
        <v>0</v>
      </c>
      <c r="RCB22" s="252">
        <v>0</v>
      </c>
      <c r="RCC22" s="252">
        <v>0</v>
      </c>
      <c r="RCD22" s="252">
        <v>0</v>
      </c>
      <c r="RCE22" s="252">
        <v>0</v>
      </c>
      <c r="RCF22" s="252">
        <v>0</v>
      </c>
      <c r="RCG22" s="252">
        <v>0</v>
      </c>
      <c r="RCH22" s="252">
        <v>0</v>
      </c>
      <c r="RCI22" s="252">
        <v>0</v>
      </c>
      <c r="RCJ22" s="252">
        <v>0</v>
      </c>
      <c r="RCK22" s="252">
        <v>0</v>
      </c>
      <c r="RCL22" s="252">
        <v>0</v>
      </c>
      <c r="RCM22" s="252">
        <v>0</v>
      </c>
      <c r="RCN22" s="252">
        <v>0</v>
      </c>
      <c r="RCO22" s="252">
        <v>0</v>
      </c>
      <c r="RCP22" s="252">
        <v>0</v>
      </c>
      <c r="RCQ22" s="252">
        <v>0</v>
      </c>
      <c r="RCR22" s="252">
        <v>0</v>
      </c>
      <c r="RCS22" s="252">
        <v>0</v>
      </c>
      <c r="RCT22" s="252">
        <v>0</v>
      </c>
      <c r="RCU22" s="252">
        <v>0</v>
      </c>
      <c r="RCV22" s="252">
        <v>0</v>
      </c>
      <c r="RCW22" s="252">
        <v>0</v>
      </c>
      <c r="RCX22" s="252">
        <v>0</v>
      </c>
      <c r="RCY22" s="252">
        <v>0</v>
      </c>
      <c r="RCZ22" s="252">
        <v>0</v>
      </c>
      <c r="RDA22" s="252">
        <v>0</v>
      </c>
      <c r="RDB22" s="252">
        <v>0</v>
      </c>
      <c r="RDC22" s="252">
        <v>0</v>
      </c>
      <c r="RDD22" s="252">
        <v>0</v>
      </c>
      <c r="RDE22" s="252">
        <v>0</v>
      </c>
      <c r="RDF22" s="252">
        <v>0</v>
      </c>
      <c r="RDG22" s="252">
        <v>0</v>
      </c>
      <c r="RDH22" s="252">
        <v>0</v>
      </c>
      <c r="RDI22" s="252">
        <v>0</v>
      </c>
      <c r="RDJ22" s="252">
        <v>0</v>
      </c>
      <c r="RDK22" s="252">
        <v>0</v>
      </c>
      <c r="RDL22" s="252">
        <v>0</v>
      </c>
      <c r="RDM22" s="252">
        <v>0</v>
      </c>
      <c r="RDN22" s="252">
        <v>0</v>
      </c>
      <c r="RDO22" s="252">
        <v>0</v>
      </c>
      <c r="RDP22" s="252">
        <v>0</v>
      </c>
      <c r="RDQ22" s="252">
        <v>0</v>
      </c>
      <c r="RDR22" s="252">
        <v>0</v>
      </c>
      <c r="RDS22" s="252">
        <v>0</v>
      </c>
      <c r="RDT22" s="252">
        <v>0</v>
      </c>
      <c r="RDU22" s="252">
        <v>0</v>
      </c>
      <c r="RDV22" s="252">
        <v>0</v>
      </c>
      <c r="RDW22" s="252">
        <v>0</v>
      </c>
      <c r="RDX22" s="252">
        <v>0</v>
      </c>
      <c r="RDY22" s="252">
        <v>0</v>
      </c>
      <c r="RDZ22" s="252">
        <v>0</v>
      </c>
      <c r="REA22" s="252">
        <v>0</v>
      </c>
      <c r="REB22" s="252">
        <v>0</v>
      </c>
      <c r="REC22" s="252">
        <v>0</v>
      </c>
      <c r="RED22" s="252">
        <v>0</v>
      </c>
      <c r="REE22" s="252">
        <v>0</v>
      </c>
      <c r="REF22" s="252">
        <v>0</v>
      </c>
      <c r="REG22" s="252">
        <v>0</v>
      </c>
      <c r="REH22" s="252">
        <v>0</v>
      </c>
      <c r="REI22" s="252">
        <v>0</v>
      </c>
      <c r="REJ22" s="252">
        <v>0</v>
      </c>
      <c r="REK22" s="252">
        <v>0</v>
      </c>
      <c r="REL22" s="252">
        <v>0</v>
      </c>
      <c r="REM22" s="252">
        <v>0</v>
      </c>
      <c r="REN22" s="252">
        <v>0</v>
      </c>
      <c r="REO22" s="252">
        <v>0</v>
      </c>
      <c r="REP22" s="252">
        <v>0</v>
      </c>
      <c r="REQ22" s="252">
        <v>0</v>
      </c>
      <c r="RER22" s="252">
        <v>0</v>
      </c>
      <c r="RES22" s="252">
        <v>0</v>
      </c>
      <c r="RET22" s="252">
        <v>0</v>
      </c>
      <c r="REU22" s="252">
        <v>0</v>
      </c>
      <c r="REV22" s="252">
        <v>0</v>
      </c>
      <c r="REW22" s="252">
        <v>0</v>
      </c>
      <c r="REX22" s="252">
        <v>0</v>
      </c>
      <c r="REY22" s="252">
        <v>0</v>
      </c>
      <c r="REZ22" s="252">
        <v>0</v>
      </c>
      <c r="RFA22" s="252">
        <v>0</v>
      </c>
      <c r="RFB22" s="252">
        <v>0</v>
      </c>
      <c r="RFC22" s="252">
        <v>0</v>
      </c>
      <c r="RFD22" s="252">
        <v>0</v>
      </c>
      <c r="RFE22" s="252">
        <v>0</v>
      </c>
      <c r="RFF22" s="252">
        <v>0</v>
      </c>
      <c r="RFG22" s="252">
        <v>0</v>
      </c>
      <c r="RFH22" s="252">
        <v>0</v>
      </c>
      <c r="RFI22" s="252">
        <v>0</v>
      </c>
      <c r="RFJ22" s="252">
        <v>0</v>
      </c>
      <c r="RFK22" s="252">
        <v>0</v>
      </c>
      <c r="RFL22" s="252">
        <v>0</v>
      </c>
      <c r="RFM22" s="252">
        <v>0</v>
      </c>
      <c r="RFN22" s="252">
        <v>0</v>
      </c>
      <c r="RFO22" s="252">
        <v>0</v>
      </c>
      <c r="RFP22" s="252">
        <v>0</v>
      </c>
      <c r="RFQ22" s="252">
        <v>0</v>
      </c>
      <c r="RFR22" s="252">
        <v>0</v>
      </c>
      <c r="RFS22" s="252">
        <v>0</v>
      </c>
      <c r="RFT22" s="252">
        <v>0</v>
      </c>
      <c r="RFU22" s="252">
        <v>0</v>
      </c>
      <c r="RFV22" s="252">
        <v>0</v>
      </c>
      <c r="RFW22" s="252">
        <v>0</v>
      </c>
      <c r="RFX22" s="252">
        <v>0</v>
      </c>
      <c r="RFY22" s="252">
        <v>0</v>
      </c>
      <c r="RFZ22" s="252">
        <v>0</v>
      </c>
      <c r="RGA22" s="252">
        <v>0</v>
      </c>
      <c r="RGB22" s="252">
        <v>0</v>
      </c>
      <c r="RGC22" s="252">
        <v>0</v>
      </c>
      <c r="RGD22" s="252">
        <v>0</v>
      </c>
      <c r="RGE22" s="252">
        <v>0</v>
      </c>
      <c r="RGF22" s="252">
        <v>0</v>
      </c>
      <c r="RGG22" s="252">
        <v>0</v>
      </c>
      <c r="RGH22" s="252">
        <v>0</v>
      </c>
      <c r="RGI22" s="252">
        <v>0</v>
      </c>
      <c r="RGJ22" s="252">
        <v>0</v>
      </c>
      <c r="RGK22" s="252">
        <v>0</v>
      </c>
      <c r="RGL22" s="252">
        <v>0</v>
      </c>
      <c r="RGM22" s="252">
        <v>0</v>
      </c>
      <c r="RGN22" s="252">
        <v>0</v>
      </c>
      <c r="RGO22" s="252">
        <v>0</v>
      </c>
      <c r="RGP22" s="252">
        <v>0</v>
      </c>
      <c r="RGQ22" s="252">
        <v>0</v>
      </c>
      <c r="RGR22" s="252">
        <v>0</v>
      </c>
      <c r="RGS22" s="252">
        <v>0</v>
      </c>
      <c r="RGT22" s="252">
        <v>0</v>
      </c>
      <c r="RGU22" s="252">
        <v>0</v>
      </c>
      <c r="RGV22" s="252">
        <v>0</v>
      </c>
      <c r="RGW22" s="252">
        <v>0</v>
      </c>
      <c r="RGX22" s="252">
        <v>0</v>
      </c>
      <c r="RGY22" s="252">
        <v>0</v>
      </c>
      <c r="RGZ22" s="252">
        <v>0</v>
      </c>
      <c r="RHA22" s="252">
        <v>0</v>
      </c>
      <c r="RHB22" s="252">
        <v>0</v>
      </c>
      <c r="RHC22" s="252">
        <v>0</v>
      </c>
      <c r="RHD22" s="252">
        <v>0</v>
      </c>
      <c r="RHE22" s="252">
        <v>0</v>
      </c>
      <c r="RHF22" s="252">
        <v>0</v>
      </c>
      <c r="RHG22" s="252">
        <v>0</v>
      </c>
      <c r="RHH22" s="252">
        <v>0</v>
      </c>
      <c r="RHI22" s="252">
        <v>0</v>
      </c>
      <c r="RHJ22" s="252">
        <v>0</v>
      </c>
      <c r="RHK22" s="252">
        <v>0</v>
      </c>
      <c r="RHL22" s="252">
        <v>0</v>
      </c>
      <c r="RHM22" s="252">
        <v>0</v>
      </c>
      <c r="RHN22" s="252">
        <v>0</v>
      </c>
      <c r="RHO22" s="252">
        <v>0</v>
      </c>
      <c r="RHP22" s="252">
        <v>0</v>
      </c>
      <c r="RHQ22" s="252">
        <v>0</v>
      </c>
      <c r="RHR22" s="252">
        <v>0</v>
      </c>
      <c r="RHS22" s="252">
        <v>0</v>
      </c>
      <c r="RHT22" s="252">
        <v>0</v>
      </c>
      <c r="RHU22" s="252">
        <v>0</v>
      </c>
      <c r="RHV22" s="252">
        <v>0</v>
      </c>
      <c r="RHW22" s="252">
        <v>0</v>
      </c>
      <c r="RHX22" s="252">
        <v>0</v>
      </c>
      <c r="RHY22" s="252">
        <v>0</v>
      </c>
      <c r="RHZ22" s="252">
        <v>0</v>
      </c>
      <c r="RIA22" s="252">
        <v>0</v>
      </c>
      <c r="RIB22" s="252">
        <v>0</v>
      </c>
      <c r="RIC22" s="252">
        <v>0</v>
      </c>
      <c r="RID22" s="252">
        <v>0</v>
      </c>
      <c r="RIE22" s="252">
        <v>0</v>
      </c>
      <c r="RIF22" s="252">
        <v>0</v>
      </c>
      <c r="RIG22" s="252">
        <v>0</v>
      </c>
      <c r="RIH22" s="252">
        <v>0</v>
      </c>
      <c r="RII22" s="252">
        <v>0</v>
      </c>
      <c r="RIJ22" s="252">
        <v>0</v>
      </c>
      <c r="RIK22" s="252">
        <v>0</v>
      </c>
      <c r="RIL22" s="252">
        <v>0</v>
      </c>
      <c r="RIM22" s="252">
        <v>0</v>
      </c>
      <c r="RIN22" s="252">
        <v>0</v>
      </c>
      <c r="RIO22" s="252">
        <v>0</v>
      </c>
      <c r="RIP22" s="252">
        <v>0</v>
      </c>
      <c r="RIQ22" s="252">
        <v>0</v>
      </c>
      <c r="RIR22" s="252">
        <v>0</v>
      </c>
      <c r="RIS22" s="252">
        <v>0</v>
      </c>
      <c r="RIT22" s="252">
        <v>0</v>
      </c>
      <c r="RIU22" s="252">
        <v>0</v>
      </c>
      <c r="RIV22" s="252">
        <v>0</v>
      </c>
      <c r="RIW22" s="252">
        <v>0</v>
      </c>
      <c r="RIX22" s="252">
        <v>0</v>
      </c>
      <c r="RIY22" s="252">
        <v>0</v>
      </c>
      <c r="RIZ22" s="252">
        <v>0</v>
      </c>
      <c r="RJA22" s="252">
        <v>0</v>
      </c>
      <c r="RJB22" s="252">
        <v>0</v>
      </c>
      <c r="RJC22" s="252">
        <v>0</v>
      </c>
      <c r="RJD22" s="252">
        <v>0</v>
      </c>
      <c r="RJE22" s="252">
        <v>0</v>
      </c>
      <c r="RJF22" s="252">
        <v>0</v>
      </c>
      <c r="RJG22" s="252">
        <v>0</v>
      </c>
      <c r="RJH22" s="252">
        <v>0</v>
      </c>
      <c r="RJI22" s="252">
        <v>0</v>
      </c>
      <c r="RJJ22" s="252">
        <v>0</v>
      </c>
      <c r="RJK22" s="252">
        <v>0</v>
      </c>
      <c r="RJL22" s="252">
        <v>0</v>
      </c>
      <c r="RJM22" s="252">
        <v>0</v>
      </c>
      <c r="RJN22" s="252">
        <v>0</v>
      </c>
      <c r="RJO22" s="252">
        <v>0</v>
      </c>
      <c r="RJP22" s="252">
        <v>0</v>
      </c>
      <c r="RJQ22" s="252">
        <v>0</v>
      </c>
      <c r="RJR22" s="252">
        <v>0</v>
      </c>
      <c r="RJS22" s="252">
        <v>0</v>
      </c>
      <c r="RJT22" s="252">
        <v>0</v>
      </c>
      <c r="RJU22" s="252">
        <v>0</v>
      </c>
      <c r="RJV22" s="252">
        <v>0</v>
      </c>
      <c r="RJW22" s="252">
        <v>0</v>
      </c>
      <c r="RJX22" s="252">
        <v>0</v>
      </c>
      <c r="RJY22" s="252">
        <v>0</v>
      </c>
      <c r="RJZ22" s="252">
        <v>0</v>
      </c>
      <c r="RKA22" s="252">
        <v>0</v>
      </c>
      <c r="RKB22" s="252">
        <v>0</v>
      </c>
      <c r="RKC22" s="252">
        <v>0</v>
      </c>
      <c r="RKD22" s="252">
        <v>0</v>
      </c>
      <c r="RKE22" s="252">
        <v>0</v>
      </c>
      <c r="RKF22" s="252">
        <v>0</v>
      </c>
      <c r="RKG22" s="252">
        <v>0</v>
      </c>
      <c r="RKH22" s="252">
        <v>0</v>
      </c>
      <c r="RKI22" s="252">
        <v>0</v>
      </c>
      <c r="RKJ22" s="252">
        <v>0</v>
      </c>
      <c r="RKK22" s="252">
        <v>0</v>
      </c>
      <c r="RKL22" s="252">
        <v>0</v>
      </c>
      <c r="RKM22" s="252">
        <v>0</v>
      </c>
      <c r="RKN22" s="252">
        <v>0</v>
      </c>
      <c r="RKO22" s="252">
        <v>0</v>
      </c>
      <c r="RKP22" s="252">
        <v>0</v>
      </c>
      <c r="RKQ22" s="252">
        <v>0</v>
      </c>
      <c r="RKR22" s="252">
        <v>0</v>
      </c>
      <c r="RKS22" s="252">
        <v>0</v>
      </c>
      <c r="RKT22" s="252">
        <v>0</v>
      </c>
      <c r="RKU22" s="252">
        <v>0</v>
      </c>
      <c r="RKV22" s="252">
        <v>0</v>
      </c>
      <c r="RKW22" s="252">
        <v>0</v>
      </c>
      <c r="RKX22" s="252">
        <v>0</v>
      </c>
      <c r="RKY22" s="252">
        <v>0</v>
      </c>
      <c r="RKZ22" s="252">
        <v>0</v>
      </c>
      <c r="RLA22" s="252">
        <v>0</v>
      </c>
      <c r="RLB22" s="252">
        <v>0</v>
      </c>
      <c r="RLC22" s="252">
        <v>0</v>
      </c>
      <c r="RLD22" s="252">
        <v>0</v>
      </c>
      <c r="RLE22" s="252">
        <v>0</v>
      </c>
      <c r="RLF22" s="252">
        <v>0</v>
      </c>
      <c r="RLG22" s="252">
        <v>0</v>
      </c>
      <c r="RLH22" s="252">
        <v>0</v>
      </c>
      <c r="RLI22" s="252">
        <v>0</v>
      </c>
      <c r="RLJ22" s="252">
        <v>0</v>
      </c>
      <c r="RLK22" s="252">
        <v>0</v>
      </c>
      <c r="RLL22" s="252">
        <v>0</v>
      </c>
      <c r="RLM22" s="252">
        <v>0</v>
      </c>
      <c r="RLN22" s="252">
        <v>0</v>
      </c>
      <c r="RLO22" s="252">
        <v>0</v>
      </c>
      <c r="RLP22" s="252">
        <v>0</v>
      </c>
      <c r="RLQ22" s="252">
        <v>0</v>
      </c>
      <c r="RLR22" s="252">
        <v>0</v>
      </c>
      <c r="RLS22" s="252">
        <v>0</v>
      </c>
      <c r="RLT22" s="252">
        <v>0</v>
      </c>
      <c r="RLU22" s="252">
        <v>0</v>
      </c>
      <c r="RLV22" s="252">
        <v>0</v>
      </c>
      <c r="RLW22" s="252">
        <v>0</v>
      </c>
      <c r="RLX22" s="252">
        <v>0</v>
      </c>
      <c r="RLY22" s="252">
        <v>0</v>
      </c>
      <c r="RLZ22" s="252">
        <v>0</v>
      </c>
      <c r="RMA22" s="252">
        <v>0</v>
      </c>
      <c r="RMB22" s="252">
        <v>0</v>
      </c>
      <c r="RMC22" s="252">
        <v>0</v>
      </c>
      <c r="RMD22" s="252">
        <v>0</v>
      </c>
      <c r="RME22" s="252">
        <v>0</v>
      </c>
      <c r="RMF22" s="252">
        <v>0</v>
      </c>
      <c r="RMG22" s="252">
        <v>0</v>
      </c>
      <c r="RMH22" s="252">
        <v>0</v>
      </c>
      <c r="RMI22" s="252">
        <v>0</v>
      </c>
      <c r="RMJ22" s="252">
        <v>0</v>
      </c>
      <c r="RMK22" s="252">
        <v>0</v>
      </c>
      <c r="RML22" s="252">
        <v>0</v>
      </c>
      <c r="RMM22" s="252">
        <v>0</v>
      </c>
      <c r="RMN22" s="252">
        <v>0</v>
      </c>
      <c r="RMO22" s="252">
        <v>0</v>
      </c>
      <c r="RMP22" s="252">
        <v>0</v>
      </c>
      <c r="RMQ22" s="252">
        <v>0</v>
      </c>
      <c r="RMR22" s="252">
        <v>0</v>
      </c>
      <c r="RMS22" s="252">
        <v>0</v>
      </c>
      <c r="RMT22" s="252">
        <v>0</v>
      </c>
      <c r="RMU22" s="252">
        <v>0</v>
      </c>
      <c r="RMV22" s="252">
        <v>0</v>
      </c>
      <c r="RMW22" s="252">
        <v>0</v>
      </c>
      <c r="RMX22" s="252">
        <v>0</v>
      </c>
      <c r="RMY22" s="252">
        <v>0</v>
      </c>
      <c r="RMZ22" s="252">
        <v>0</v>
      </c>
      <c r="RNA22" s="252">
        <v>0</v>
      </c>
      <c r="RNB22" s="252">
        <v>0</v>
      </c>
      <c r="RNC22" s="252">
        <v>0</v>
      </c>
      <c r="RND22" s="252">
        <v>0</v>
      </c>
      <c r="RNE22" s="252">
        <v>0</v>
      </c>
      <c r="RNF22" s="252">
        <v>0</v>
      </c>
      <c r="RNG22" s="252">
        <v>0</v>
      </c>
      <c r="RNH22" s="252">
        <v>0</v>
      </c>
      <c r="RNI22" s="252">
        <v>0</v>
      </c>
      <c r="RNJ22" s="252">
        <v>0</v>
      </c>
      <c r="RNK22" s="252">
        <v>0</v>
      </c>
      <c r="RNL22" s="252">
        <v>0</v>
      </c>
      <c r="RNM22" s="252">
        <v>0</v>
      </c>
      <c r="RNN22" s="252">
        <v>0</v>
      </c>
      <c r="RNO22" s="252">
        <v>0</v>
      </c>
      <c r="RNP22" s="252">
        <v>0</v>
      </c>
      <c r="RNQ22" s="252">
        <v>0</v>
      </c>
      <c r="RNR22" s="252">
        <v>0</v>
      </c>
      <c r="RNS22" s="252">
        <v>0</v>
      </c>
      <c r="RNT22" s="252">
        <v>0</v>
      </c>
      <c r="RNU22" s="252">
        <v>0</v>
      </c>
      <c r="RNV22" s="252">
        <v>0</v>
      </c>
      <c r="RNW22" s="252">
        <v>0</v>
      </c>
      <c r="RNX22" s="252">
        <v>0</v>
      </c>
      <c r="RNY22" s="252">
        <v>0</v>
      </c>
      <c r="RNZ22" s="252">
        <v>0</v>
      </c>
      <c r="ROA22" s="252">
        <v>0</v>
      </c>
      <c r="ROB22" s="252">
        <v>0</v>
      </c>
      <c r="ROC22" s="252">
        <v>0</v>
      </c>
      <c r="ROD22" s="252">
        <v>0</v>
      </c>
      <c r="ROE22" s="252">
        <v>0</v>
      </c>
      <c r="ROF22" s="252">
        <v>0</v>
      </c>
      <c r="ROG22" s="252">
        <v>0</v>
      </c>
      <c r="ROH22" s="252">
        <v>0</v>
      </c>
      <c r="ROI22" s="252">
        <v>0</v>
      </c>
      <c r="ROJ22" s="252">
        <v>0</v>
      </c>
      <c r="ROK22" s="252">
        <v>0</v>
      </c>
      <c r="ROL22" s="252">
        <v>0</v>
      </c>
      <c r="ROM22" s="252">
        <v>0</v>
      </c>
      <c r="RON22" s="252">
        <v>0</v>
      </c>
      <c r="ROO22" s="252">
        <v>0</v>
      </c>
      <c r="ROP22" s="252">
        <v>0</v>
      </c>
      <c r="ROQ22" s="252">
        <v>0</v>
      </c>
      <c r="ROR22" s="252">
        <v>0</v>
      </c>
      <c r="ROS22" s="252">
        <v>0</v>
      </c>
      <c r="ROT22" s="252">
        <v>0</v>
      </c>
      <c r="ROU22" s="252">
        <v>0</v>
      </c>
      <c r="ROV22" s="252">
        <v>0</v>
      </c>
      <c r="ROW22" s="252">
        <v>0</v>
      </c>
      <c r="ROX22" s="252">
        <v>0</v>
      </c>
      <c r="ROY22" s="252">
        <v>0</v>
      </c>
      <c r="ROZ22" s="252">
        <v>0</v>
      </c>
      <c r="RPA22" s="252">
        <v>0</v>
      </c>
      <c r="RPB22" s="252">
        <v>0</v>
      </c>
      <c r="RPC22" s="252">
        <v>0</v>
      </c>
      <c r="RPD22" s="252">
        <v>0</v>
      </c>
      <c r="RPE22" s="252">
        <v>0</v>
      </c>
      <c r="RPF22" s="252">
        <v>0</v>
      </c>
      <c r="RPG22" s="252">
        <v>0</v>
      </c>
      <c r="RPH22" s="252">
        <v>0</v>
      </c>
      <c r="RPI22" s="252">
        <v>0</v>
      </c>
      <c r="RPJ22" s="252">
        <v>0</v>
      </c>
      <c r="RPK22" s="252">
        <v>0</v>
      </c>
      <c r="RPL22" s="252">
        <v>0</v>
      </c>
      <c r="RPM22" s="252">
        <v>0</v>
      </c>
      <c r="RPN22" s="252">
        <v>0</v>
      </c>
      <c r="RPO22" s="252">
        <v>0</v>
      </c>
      <c r="RPP22" s="252">
        <v>0</v>
      </c>
      <c r="RPQ22" s="252">
        <v>0</v>
      </c>
      <c r="RPR22" s="252">
        <v>0</v>
      </c>
      <c r="RPS22" s="252">
        <v>0</v>
      </c>
      <c r="RPT22" s="252">
        <v>0</v>
      </c>
      <c r="RPU22" s="252">
        <v>0</v>
      </c>
      <c r="RPV22" s="252">
        <v>0</v>
      </c>
      <c r="RPW22" s="252">
        <v>0</v>
      </c>
      <c r="RPX22" s="252">
        <v>0</v>
      </c>
      <c r="RPY22" s="252">
        <v>0</v>
      </c>
      <c r="RPZ22" s="252">
        <v>0</v>
      </c>
      <c r="RQA22" s="252">
        <v>0</v>
      </c>
      <c r="RQB22" s="252">
        <v>0</v>
      </c>
      <c r="RQC22" s="252">
        <v>0</v>
      </c>
      <c r="RQD22" s="252">
        <v>0</v>
      </c>
      <c r="RQE22" s="252">
        <v>0</v>
      </c>
      <c r="RQF22" s="252">
        <v>0</v>
      </c>
      <c r="RQG22" s="252">
        <v>0</v>
      </c>
      <c r="RQH22" s="252">
        <v>0</v>
      </c>
      <c r="RQI22" s="252">
        <v>0</v>
      </c>
      <c r="RQJ22" s="252">
        <v>0</v>
      </c>
      <c r="RQK22" s="252">
        <v>0</v>
      </c>
      <c r="RQL22" s="252">
        <v>0</v>
      </c>
      <c r="RQM22" s="252">
        <v>0</v>
      </c>
      <c r="RQN22" s="252">
        <v>0</v>
      </c>
      <c r="RQO22" s="252">
        <v>0</v>
      </c>
      <c r="RQP22" s="252">
        <v>0</v>
      </c>
      <c r="RQQ22" s="252">
        <v>0</v>
      </c>
      <c r="RQR22" s="252">
        <v>0</v>
      </c>
      <c r="RQS22" s="252">
        <v>0</v>
      </c>
      <c r="RQT22" s="252">
        <v>0</v>
      </c>
      <c r="RQU22" s="252">
        <v>0</v>
      </c>
      <c r="RQV22" s="252">
        <v>0</v>
      </c>
      <c r="RQW22" s="252">
        <v>0</v>
      </c>
      <c r="RQX22" s="252">
        <v>0</v>
      </c>
      <c r="RQY22" s="252">
        <v>0</v>
      </c>
      <c r="RQZ22" s="252">
        <v>0</v>
      </c>
      <c r="RRA22" s="252">
        <v>0</v>
      </c>
      <c r="RRB22" s="252">
        <v>0</v>
      </c>
      <c r="RRC22" s="252">
        <v>0</v>
      </c>
      <c r="RRD22" s="252">
        <v>0</v>
      </c>
      <c r="RRE22" s="252">
        <v>0</v>
      </c>
      <c r="RRF22" s="252">
        <v>0</v>
      </c>
      <c r="RRG22" s="252">
        <v>0</v>
      </c>
      <c r="RRH22" s="252">
        <v>0</v>
      </c>
      <c r="RRI22" s="252">
        <v>0</v>
      </c>
      <c r="RRJ22" s="252">
        <v>0</v>
      </c>
      <c r="RRK22" s="252">
        <v>0</v>
      </c>
      <c r="RRL22" s="252">
        <v>0</v>
      </c>
      <c r="RRM22" s="252">
        <v>0</v>
      </c>
      <c r="RRN22" s="252">
        <v>0</v>
      </c>
      <c r="RRO22" s="252">
        <v>0</v>
      </c>
      <c r="RRP22" s="252">
        <v>0</v>
      </c>
      <c r="RRQ22" s="252">
        <v>0</v>
      </c>
      <c r="RRR22" s="252">
        <v>0</v>
      </c>
      <c r="RRS22" s="252">
        <v>0</v>
      </c>
      <c r="RRT22" s="252">
        <v>0</v>
      </c>
      <c r="RRU22" s="252">
        <v>0</v>
      </c>
      <c r="RRV22" s="252">
        <v>0</v>
      </c>
      <c r="RRW22" s="252">
        <v>0</v>
      </c>
      <c r="RRX22" s="252">
        <v>0</v>
      </c>
      <c r="RRY22" s="252">
        <v>0</v>
      </c>
      <c r="RRZ22" s="252">
        <v>0</v>
      </c>
      <c r="RSA22" s="252">
        <v>0</v>
      </c>
      <c r="RSB22" s="252">
        <v>0</v>
      </c>
      <c r="RSC22" s="252">
        <v>0</v>
      </c>
      <c r="RSD22" s="252">
        <v>0</v>
      </c>
      <c r="RSE22" s="252">
        <v>0</v>
      </c>
      <c r="RSF22" s="252">
        <v>0</v>
      </c>
      <c r="RSG22" s="252">
        <v>0</v>
      </c>
      <c r="RSH22" s="252">
        <v>0</v>
      </c>
      <c r="RSI22" s="252">
        <v>0</v>
      </c>
      <c r="RSJ22" s="252">
        <v>0</v>
      </c>
      <c r="RSK22" s="252">
        <v>0</v>
      </c>
      <c r="RSL22" s="252">
        <v>0</v>
      </c>
      <c r="RSM22" s="252">
        <v>0</v>
      </c>
      <c r="RSN22" s="252">
        <v>0</v>
      </c>
      <c r="RSO22" s="252">
        <v>0</v>
      </c>
      <c r="RSP22" s="252">
        <v>0</v>
      </c>
      <c r="RSQ22" s="252">
        <v>0</v>
      </c>
      <c r="RSR22" s="252">
        <v>0</v>
      </c>
      <c r="RSS22" s="252">
        <v>0</v>
      </c>
      <c r="RST22" s="252">
        <v>0</v>
      </c>
      <c r="RSU22" s="252">
        <v>0</v>
      </c>
      <c r="RSV22" s="252">
        <v>0</v>
      </c>
      <c r="RSW22" s="252">
        <v>0</v>
      </c>
      <c r="RSX22" s="252">
        <v>0</v>
      </c>
      <c r="RSY22" s="252">
        <v>0</v>
      </c>
      <c r="RSZ22" s="252">
        <v>0</v>
      </c>
      <c r="RTA22" s="252">
        <v>0</v>
      </c>
      <c r="RTB22" s="252">
        <v>0</v>
      </c>
      <c r="RTC22" s="252">
        <v>0</v>
      </c>
      <c r="RTD22" s="252">
        <v>0</v>
      </c>
      <c r="RTE22" s="252">
        <v>0</v>
      </c>
      <c r="RTF22" s="252">
        <v>0</v>
      </c>
      <c r="RTG22" s="252">
        <v>0</v>
      </c>
      <c r="RTH22" s="252">
        <v>0</v>
      </c>
      <c r="RTI22" s="252">
        <v>0</v>
      </c>
      <c r="RTJ22" s="252">
        <v>0</v>
      </c>
      <c r="RTK22" s="252">
        <v>0</v>
      </c>
      <c r="RTL22" s="252">
        <v>0</v>
      </c>
      <c r="RTM22" s="252">
        <v>0</v>
      </c>
      <c r="RTN22" s="252">
        <v>0</v>
      </c>
      <c r="RTO22" s="252">
        <v>0</v>
      </c>
      <c r="RTP22" s="252">
        <v>0</v>
      </c>
      <c r="RTQ22" s="252">
        <v>0</v>
      </c>
      <c r="RTR22" s="252">
        <v>0</v>
      </c>
      <c r="RTS22" s="252">
        <v>0</v>
      </c>
      <c r="RTT22" s="252">
        <v>0</v>
      </c>
      <c r="RTU22" s="252">
        <v>0</v>
      </c>
      <c r="RTV22" s="252">
        <v>0</v>
      </c>
      <c r="RTW22" s="252">
        <v>0</v>
      </c>
      <c r="RTX22" s="252">
        <v>0</v>
      </c>
      <c r="RTY22" s="252">
        <v>0</v>
      </c>
      <c r="RTZ22" s="252">
        <v>0</v>
      </c>
      <c r="RUA22" s="252">
        <v>0</v>
      </c>
      <c r="RUB22" s="252">
        <v>0</v>
      </c>
      <c r="RUC22" s="252">
        <v>0</v>
      </c>
      <c r="RUD22" s="252">
        <v>0</v>
      </c>
      <c r="RUE22" s="252">
        <v>0</v>
      </c>
      <c r="RUF22" s="252">
        <v>0</v>
      </c>
      <c r="RUG22" s="252">
        <v>0</v>
      </c>
      <c r="RUH22" s="252">
        <v>0</v>
      </c>
      <c r="RUI22" s="252">
        <v>0</v>
      </c>
      <c r="RUJ22" s="252">
        <v>0</v>
      </c>
      <c r="RUK22" s="252">
        <v>0</v>
      </c>
      <c r="RUL22" s="252">
        <v>0</v>
      </c>
      <c r="RUM22" s="252">
        <v>0</v>
      </c>
      <c r="RUN22" s="252">
        <v>0</v>
      </c>
      <c r="RUO22" s="252">
        <v>0</v>
      </c>
      <c r="RUP22" s="252">
        <v>0</v>
      </c>
      <c r="RUQ22" s="252">
        <v>0</v>
      </c>
      <c r="RUR22" s="252">
        <v>0</v>
      </c>
      <c r="RUS22" s="252">
        <v>0</v>
      </c>
      <c r="RUT22" s="252">
        <v>0</v>
      </c>
      <c r="RUU22" s="252">
        <v>0</v>
      </c>
      <c r="RUV22" s="252">
        <v>0</v>
      </c>
      <c r="RUW22" s="252">
        <v>0</v>
      </c>
      <c r="RUX22" s="252">
        <v>0</v>
      </c>
      <c r="RUY22" s="252">
        <v>0</v>
      </c>
      <c r="RUZ22" s="252">
        <v>0</v>
      </c>
      <c r="RVA22" s="252">
        <v>0</v>
      </c>
      <c r="RVB22" s="252">
        <v>0</v>
      </c>
      <c r="RVC22" s="252">
        <v>0</v>
      </c>
      <c r="RVD22" s="252">
        <v>0</v>
      </c>
      <c r="RVE22" s="252">
        <v>0</v>
      </c>
      <c r="RVF22" s="252">
        <v>0</v>
      </c>
      <c r="RVG22" s="252">
        <v>0</v>
      </c>
      <c r="RVH22" s="252">
        <v>0</v>
      </c>
      <c r="RVI22" s="252">
        <v>0</v>
      </c>
      <c r="RVJ22" s="252">
        <v>0</v>
      </c>
      <c r="RVK22" s="252">
        <v>0</v>
      </c>
      <c r="RVL22" s="252">
        <v>0</v>
      </c>
      <c r="RVM22" s="252">
        <v>0</v>
      </c>
      <c r="RVN22" s="252">
        <v>0</v>
      </c>
      <c r="RVO22" s="252">
        <v>0</v>
      </c>
      <c r="RVP22" s="252">
        <v>0</v>
      </c>
      <c r="RVQ22" s="252">
        <v>0</v>
      </c>
      <c r="RVR22" s="252">
        <v>0</v>
      </c>
      <c r="RVS22" s="252">
        <v>0</v>
      </c>
      <c r="RVT22" s="252">
        <v>0</v>
      </c>
      <c r="RVU22" s="252">
        <v>0</v>
      </c>
      <c r="RVV22" s="252">
        <v>0</v>
      </c>
      <c r="RVW22" s="252">
        <v>0</v>
      </c>
      <c r="RVX22" s="252">
        <v>0</v>
      </c>
      <c r="RVY22" s="252">
        <v>0</v>
      </c>
      <c r="RVZ22" s="252">
        <v>0</v>
      </c>
      <c r="RWA22" s="252">
        <v>0</v>
      </c>
      <c r="RWB22" s="252">
        <v>0</v>
      </c>
      <c r="RWC22" s="252">
        <v>0</v>
      </c>
      <c r="RWD22" s="252">
        <v>0</v>
      </c>
      <c r="RWE22" s="252">
        <v>0</v>
      </c>
      <c r="RWF22" s="252">
        <v>0</v>
      </c>
      <c r="RWG22" s="252">
        <v>0</v>
      </c>
      <c r="RWH22" s="252">
        <v>0</v>
      </c>
      <c r="RWI22" s="252">
        <v>0</v>
      </c>
      <c r="RWJ22" s="252">
        <v>0</v>
      </c>
      <c r="RWK22" s="252">
        <v>0</v>
      </c>
      <c r="RWL22" s="252">
        <v>0</v>
      </c>
      <c r="RWM22" s="252">
        <v>0</v>
      </c>
      <c r="RWN22" s="252">
        <v>0</v>
      </c>
      <c r="RWO22" s="252">
        <v>0</v>
      </c>
      <c r="RWP22" s="252">
        <v>0</v>
      </c>
      <c r="RWQ22" s="252">
        <v>0</v>
      </c>
      <c r="RWR22" s="252">
        <v>0</v>
      </c>
      <c r="RWS22" s="252">
        <v>0</v>
      </c>
      <c r="RWT22" s="252">
        <v>0</v>
      </c>
      <c r="RWU22" s="252">
        <v>0</v>
      </c>
      <c r="RWV22" s="252">
        <v>0</v>
      </c>
      <c r="RWW22" s="252">
        <v>0</v>
      </c>
      <c r="RWX22" s="252">
        <v>0</v>
      </c>
      <c r="RWY22" s="252">
        <v>0</v>
      </c>
      <c r="RWZ22" s="252">
        <v>0</v>
      </c>
      <c r="RXA22" s="252">
        <v>0</v>
      </c>
      <c r="RXB22" s="252">
        <v>0</v>
      </c>
      <c r="RXC22" s="252">
        <v>0</v>
      </c>
      <c r="RXD22" s="252">
        <v>0</v>
      </c>
      <c r="RXE22" s="252">
        <v>0</v>
      </c>
      <c r="RXF22" s="252">
        <v>0</v>
      </c>
      <c r="RXG22" s="252">
        <v>0</v>
      </c>
      <c r="RXH22" s="252">
        <v>0</v>
      </c>
      <c r="RXI22" s="252">
        <v>0</v>
      </c>
      <c r="RXJ22" s="252">
        <v>0</v>
      </c>
      <c r="RXK22" s="252">
        <v>0</v>
      </c>
      <c r="RXL22" s="252">
        <v>0</v>
      </c>
      <c r="RXM22" s="252">
        <v>0</v>
      </c>
      <c r="RXN22" s="252">
        <v>0</v>
      </c>
      <c r="RXO22" s="252">
        <v>0</v>
      </c>
      <c r="RXP22" s="252">
        <v>0</v>
      </c>
      <c r="RXQ22" s="252">
        <v>0</v>
      </c>
      <c r="RXR22" s="252">
        <v>0</v>
      </c>
      <c r="RXS22" s="252">
        <v>0</v>
      </c>
      <c r="RXT22" s="252">
        <v>0</v>
      </c>
      <c r="RXU22" s="252">
        <v>0</v>
      </c>
      <c r="RXV22" s="252">
        <v>0</v>
      </c>
      <c r="RXW22" s="252">
        <v>0</v>
      </c>
      <c r="RXX22" s="252">
        <v>0</v>
      </c>
      <c r="RXY22" s="252">
        <v>0</v>
      </c>
      <c r="RXZ22" s="252">
        <v>0</v>
      </c>
      <c r="RYA22" s="252">
        <v>0</v>
      </c>
      <c r="RYB22" s="252">
        <v>0</v>
      </c>
      <c r="RYC22" s="252">
        <v>0</v>
      </c>
      <c r="RYD22" s="252">
        <v>0</v>
      </c>
      <c r="RYE22" s="252">
        <v>0</v>
      </c>
      <c r="RYF22" s="252">
        <v>0</v>
      </c>
      <c r="RYG22" s="252">
        <v>0</v>
      </c>
      <c r="RYH22" s="252">
        <v>0</v>
      </c>
      <c r="RYI22" s="252">
        <v>0</v>
      </c>
      <c r="RYJ22" s="252">
        <v>0</v>
      </c>
      <c r="RYK22" s="252">
        <v>0</v>
      </c>
      <c r="RYL22" s="252">
        <v>0</v>
      </c>
      <c r="RYM22" s="252">
        <v>0</v>
      </c>
      <c r="RYN22" s="252">
        <v>0</v>
      </c>
      <c r="RYO22" s="252">
        <v>0</v>
      </c>
      <c r="RYP22" s="252">
        <v>0</v>
      </c>
      <c r="RYQ22" s="252">
        <v>0</v>
      </c>
      <c r="RYR22" s="252">
        <v>0</v>
      </c>
      <c r="RYS22" s="252">
        <v>0</v>
      </c>
      <c r="RYT22" s="252">
        <v>0</v>
      </c>
      <c r="RYU22" s="252">
        <v>0</v>
      </c>
      <c r="RYV22" s="252">
        <v>0</v>
      </c>
      <c r="RYW22" s="252">
        <v>0</v>
      </c>
      <c r="RYX22" s="252">
        <v>0</v>
      </c>
      <c r="RYY22" s="252">
        <v>0</v>
      </c>
      <c r="RYZ22" s="252">
        <v>0</v>
      </c>
      <c r="RZA22" s="252">
        <v>0</v>
      </c>
      <c r="RZB22" s="252">
        <v>0</v>
      </c>
      <c r="RZC22" s="252">
        <v>0</v>
      </c>
      <c r="RZD22" s="252">
        <v>0</v>
      </c>
      <c r="RZE22" s="252">
        <v>0</v>
      </c>
      <c r="RZF22" s="252">
        <v>0</v>
      </c>
      <c r="RZG22" s="252">
        <v>0</v>
      </c>
      <c r="RZH22" s="252">
        <v>0</v>
      </c>
      <c r="RZI22" s="252">
        <v>0</v>
      </c>
      <c r="RZJ22" s="252">
        <v>0</v>
      </c>
      <c r="RZK22" s="252">
        <v>0</v>
      </c>
      <c r="RZL22" s="252">
        <v>0</v>
      </c>
      <c r="RZM22" s="252">
        <v>0</v>
      </c>
      <c r="RZN22" s="252">
        <v>0</v>
      </c>
      <c r="RZO22" s="252">
        <v>0</v>
      </c>
      <c r="RZP22" s="252">
        <v>0</v>
      </c>
      <c r="RZQ22" s="252">
        <v>0</v>
      </c>
      <c r="RZR22" s="252">
        <v>0</v>
      </c>
      <c r="RZS22" s="252">
        <v>0</v>
      </c>
      <c r="RZT22" s="252">
        <v>0</v>
      </c>
      <c r="RZU22" s="252">
        <v>0</v>
      </c>
      <c r="RZV22" s="252">
        <v>0</v>
      </c>
      <c r="RZW22" s="252">
        <v>0</v>
      </c>
      <c r="RZX22" s="252">
        <v>0</v>
      </c>
      <c r="RZY22" s="252">
        <v>0</v>
      </c>
      <c r="RZZ22" s="252">
        <v>0</v>
      </c>
      <c r="SAA22" s="252">
        <v>0</v>
      </c>
      <c r="SAB22" s="252">
        <v>0</v>
      </c>
      <c r="SAC22" s="252">
        <v>0</v>
      </c>
      <c r="SAD22" s="252">
        <v>0</v>
      </c>
      <c r="SAE22" s="252">
        <v>0</v>
      </c>
      <c r="SAF22" s="252">
        <v>0</v>
      </c>
      <c r="SAG22" s="252">
        <v>0</v>
      </c>
      <c r="SAH22" s="252">
        <v>0</v>
      </c>
      <c r="SAI22" s="252">
        <v>0</v>
      </c>
      <c r="SAJ22" s="252">
        <v>0</v>
      </c>
      <c r="SAK22" s="252">
        <v>0</v>
      </c>
      <c r="SAL22" s="252">
        <v>0</v>
      </c>
      <c r="SAM22" s="252">
        <v>0</v>
      </c>
      <c r="SAN22" s="252">
        <v>0</v>
      </c>
      <c r="SAO22" s="252">
        <v>0</v>
      </c>
      <c r="SAP22" s="252">
        <v>0</v>
      </c>
      <c r="SAQ22" s="252">
        <v>0</v>
      </c>
      <c r="SAR22" s="252">
        <v>0</v>
      </c>
      <c r="SAS22" s="252">
        <v>0</v>
      </c>
      <c r="SAT22" s="252">
        <v>0</v>
      </c>
      <c r="SAU22" s="252">
        <v>0</v>
      </c>
      <c r="SAV22" s="252">
        <v>0</v>
      </c>
      <c r="SAW22" s="252">
        <v>0</v>
      </c>
      <c r="SAX22" s="252">
        <v>0</v>
      </c>
      <c r="SAY22" s="252">
        <v>0</v>
      </c>
      <c r="SAZ22" s="252">
        <v>0</v>
      </c>
      <c r="SBA22" s="252">
        <v>0</v>
      </c>
      <c r="SBB22" s="252">
        <v>0</v>
      </c>
      <c r="SBC22" s="252">
        <v>0</v>
      </c>
      <c r="SBD22" s="252">
        <v>0</v>
      </c>
      <c r="SBE22" s="252">
        <v>0</v>
      </c>
      <c r="SBF22" s="252">
        <v>0</v>
      </c>
      <c r="SBG22" s="252">
        <v>0</v>
      </c>
      <c r="SBH22" s="252">
        <v>0</v>
      </c>
      <c r="SBI22" s="252">
        <v>0</v>
      </c>
      <c r="SBJ22" s="252">
        <v>0</v>
      </c>
      <c r="SBK22" s="252">
        <v>0</v>
      </c>
      <c r="SBL22" s="252">
        <v>0</v>
      </c>
      <c r="SBM22" s="252">
        <v>0</v>
      </c>
      <c r="SBN22" s="252">
        <v>0</v>
      </c>
      <c r="SBO22" s="252">
        <v>0</v>
      </c>
      <c r="SBP22" s="252">
        <v>0</v>
      </c>
      <c r="SBQ22" s="252">
        <v>0</v>
      </c>
      <c r="SBR22" s="252">
        <v>0</v>
      </c>
      <c r="SBS22" s="252">
        <v>0</v>
      </c>
      <c r="SBT22" s="252">
        <v>0</v>
      </c>
      <c r="SBU22" s="252">
        <v>0</v>
      </c>
      <c r="SBV22" s="252">
        <v>0</v>
      </c>
      <c r="SBW22" s="252">
        <v>0</v>
      </c>
      <c r="SBX22" s="252">
        <v>0</v>
      </c>
      <c r="SBY22" s="252">
        <v>0</v>
      </c>
      <c r="SBZ22" s="252">
        <v>0</v>
      </c>
      <c r="SCA22" s="252">
        <v>0</v>
      </c>
      <c r="SCB22" s="252">
        <v>0</v>
      </c>
      <c r="SCC22" s="252">
        <v>0</v>
      </c>
      <c r="SCD22" s="252">
        <v>0</v>
      </c>
      <c r="SCE22" s="252">
        <v>0</v>
      </c>
      <c r="SCF22" s="252">
        <v>0</v>
      </c>
      <c r="SCG22" s="252">
        <v>0</v>
      </c>
      <c r="SCH22" s="252">
        <v>0</v>
      </c>
      <c r="SCI22" s="252">
        <v>0</v>
      </c>
      <c r="SCJ22" s="252">
        <v>0</v>
      </c>
      <c r="SCK22" s="252">
        <v>0</v>
      </c>
      <c r="SCL22" s="252">
        <v>0</v>
      </c>
      <c r="SCM22" s="252">
        <v>0</v>
      </c>
      <c r="SCN22" s="252">
        <v>0</v>
      </c>
      <c r="SCO22" s="252">
        <v>0</v>
      </c>
      <c r="SCP22" s="252">
        <v>0</v>
      </c>
      <c r="SCQ22" s="252">
        <v>0</v>
      </c>
      <c r="SCR22" s="252">
        <v>0</v>
      </c>
      <c r="SCS22" s="252">
        <v>0</v>
      </c>
      <c r="SCT22" s="252">
        <v>0</v>
      </c>
      <c r="SCU22" s="252">
        <v>0</v>
      </c>
      <c r="SCV22" s="252">
        <v>0</v>
      </c>
      <c r="SCW22" s="252">
        <v>0</v>
      </c>
      <c r="SCX22" s="252">
        <v>0</v>
      </c>
      <c r="SCY22" s="252">
        <v>0</v>
      </c>
      <c r="SCZ22" s="252">
        <v>0</v>
      </c>
      <c r="SDA22" s="252">
        <v>0</v>
      </c>
      <c r="SDB22" s="252">
        <v>0</v>
      </c>
      <c r="SDC22" s="252">
        <v>0</v>
      </c>
      <c r="SDD22" s="252">
        <v>0</v>
      </c>
      <c r="SDE22" s="252">
        <v>0</v>
      </c>
      <c r="SDF22" s="252">
        <v>0</v>
      </c>
      <c r="SDG22" s="252">
        <v>0</v>
      </c>
      <c r="SDH22" s="252">
        <v>0</v>
      </c>
      <c r="SDI22" s="252">
        <v>0</v>
      </c>
      <c r="SDJ22" s="252">
        <v>0</v>
      </c>
      <c r="SDK22" s="252">
        <v>0</v>
      </c>
      <c r="SDL22" s="252">
        <v>0</v>
      </c>
      <c r="SDM22" s="252">
        <v>0</v>
      </c>
      <c r="SDN22" s="252">
        <v>0</v>
      </c>
      <c r="SDO22" s="252">
        <v>0</v>
      </c>
      <c r="SDP22" s="252">
        <v>0</v>
      </c>
      <c r="SDQ22" s="252">
        <v>0</v>
      </c>
      <c r="SDR22" s="252">
        <v>0</v>
      </c>
      <c r="SDS22" s="252">
        <v>0</v>
      </c>
      <c r="SDT22" s="252">
        <v>0</v>
      </c>
      <c r="SDU22" s="252">
        <v>0</v>
      </c>
      <c r="SDV22" s="252">
        <v>0</v>
      </c>
      <c r="SDW22" s="252">
        <v>0</v>
      </c>
      <c r="SDX22" s="252">
        <v>0</v>
      </c>
      <c r="SDY22" s="252">
        <v>0</v>
      </c>
      <c r="SDZ22" s="252">
        <v>0</v>
      </c>
      <c r="SEA22" s="252">
        <v>0</v>
      </c>
      <c r="SEB22" s="252">
        <v>0</v>
      </c>
      <c r="SEC22" s="252">
        <v>0</v>
      </c>
      <c r="SED22" s="252">
        <v>0</v>
      </c>
      <c r="SEE22" s="252">
        <v>0</v>
      </c>
      <c r="SEF22" s="252">
        <v>0</v>
      </c>
      <c r="SEG22" s="252">
        <v>0</v>
      </c>
      <c r="SEH22" s="252">
        <v>0</v>
      </c>
      <c r="SEI22" s="252">
        <v>0</v>
      </c>
      <c r="SEJ22" s="252">
        <v>0</v>
      </c>
      <c r="SEK22" s="252">
        <v>0</v>
      </c>
      <c r="SEL22" s="252">
        <v>0</v>
      </c>
      <c r="SEM22" s="252">
        <v>0</v>
      </c>
      <c r="SEN22" s="252">
        <v>0</v>
      </c>
      <c r="SEO22" s="252">
        <v>0</v>
      </c>
      <c r="SEP22" s="252">
        <v>0</v>
      </c>
      <c r="SEQ22" s="252">
        <v>0</v>
      </c>
      <c r="SER22" s="252">
        <v>0</v>
      </c>
      <c r="SES22" s="252">
        <v>0</v>
      </c>
      <c r="SET22" s="252">
        <v>0</v>
      </c>
      <c r="SEU22" s="252">
        <v>0</v>
      </c>
      <c r="SEV22" s="252">
        <v>0</v>
      </c>
      <c r="SEW22" s="252">
        <v>0</v>
      </c>
      <c r="SEX22" s="252">
        <v>0</v>
      </c>
      <c r="SEY22" s="252">
        <v>0</v>
      </c>
      <c r="SEZ22" s="252">
        <v>0</v>
      </c>
      <c r="SFA22" s="252">
        <v>0</v>
      </c>
      <c r="SFB22" s="252">
        <v>0</v>
      </c>
      <c r="SFC22" s="252">
        <v>0</v>
      </c>
      <c r="SFD22" s="252">
        <v>0</v>
      </c>
      <c r="SFE22" s="252">
        <v>0</v>
      </c>
      <c r="SFF22" s="252">
        <v>0</v>
      </c>
      <c r="SFG22" s="252">
        <v>0</v>
      </c>
      <c r="SFH22" s="252">
        <v>0</v>
      </c>
      <c r="SFI22" s="252">
        <v>0</v>
      </c>
      <c r="SFJ22" s="252">
        <v>0</v>
      </c>
      <c r="SFK22" s="252">
        <v>0</v>
      </c>
      <c r="SFL22" s="252">
        <v>0</v>
      </c>
      <c r="SFM22" s="252">
        <v>0</v>
      </c>
      <c r="SFN22" s="252">
        <v>0</v>
      </c>
      <c r="SFO22" s="252">
        <v>0</v>
      </c>
      <c r="SFP22" s="252">
        <v>0</v>
      </c>
      <c r="SFQ22" s="252">
        <v>0</v>
      </c>
      <c r="SFR22" s="252">
        <v>0</v>
      </c>
      <c r="SFS22" s="252">
        <v>0</v>
      </c>
      <c r="SFT22" s="252">
        <v>0</v>
      </c>
      <c r="SFU22" s="252">
        <v>0</v>
      </c>
      <c r="SFV22" s="252">
        <v>0</v>
      </c>
      <c r="SFW22" s="252">
        <v>0</v>
      </c>
      <c r="SFX22" s="252">
        <v>0</v>
      </c>
      <c r="SFY22" s="252">
        <v>0</v>
      </c>
      <c r="SFZ22" s="252">
        <v>0</v>
      </c>
      <c r="SGA22" s="252">
        <v>0</v>
      </c>
      <c r="SGB22" s="252">
        <v>0</v>
      </c>
      <c r="SGC22" s="252">
        <v>0</v>
      </c>
      <c r="SGD22" s="252">
        <v>0</v>
      </c>
      <c r="SGE22" s="252">
        <v>0</v>
      </c>
      <c r="SGF22" s="252">
        <v>0</v>
      </c>
      <c r="SGG22" s="252">
        <v>0</v>
      </c>
      <c r="SGH22" s="252">
        <v>0</v>
      </c>
      <c r="SGI22" s="252">
        <v>0</v>
      </c>
      <c r="SGJ22" s="252">
        <v>0</v>
      </c>
      <c r="SGK22" s="252">
        <v>0</v>
      </c>
      <c r="SGL22" s="252">
        <v>0</v>
      </c>
      <c r="SGM22" s="252">
        <v>0</v>
      </c>
      <c r="SGN22" s="252">
        <v>0</v>
      </c>
      <c r="SGO22" s="252">
        <v>0</v>
      </c>
      <c r="SGP22" s="252">
        <v>0</v>
      </c>
      <c r="SGQ22" s="252">
        <v>0</v>
      </c>
      <c r="SGR22" s="252">
        <v>0</v>
      </c>
      <c r="SGS22" s="252">
        <v>0</v>
      </c>
      <c r="SGT22" s="252">
        <v>0</v>
      </c>
      <c r="SGU22" s="252">
        <v>0</v>
      </c>
      <c r="SGV22" s="252">
        <v>0</v>
      </c>
      <c r="SGW22" s="252">
        <v>0</v>
      </c>
      <c r="SGX22" s="252">
        <v>0</v>
      </c>
      <c r="SGY22" s="252">
        <v>0</v>
      </c>
      <c r="SGZ22" s="252">
        <v>0</v>
      </c>
      <c r="SHA22" s="252">
        <v>0</v>
      </c>
      <c r="SHB22" s="252">
        <v>0</v>
      </c>
      <c r="SHC22" s="252">
        <v>0</v>
      </c>
      <c r="SHD22" s="252">
        <v>0</v>
      </c>
      <c r="SHE22" s="252">
        <v>0</v>
      </c>
      <c r="SHF22" s="252">
        <v>0</v>
      </c>
      <c r="SHG22" s="252">
        <v>0</v>
      </c>
      <c r="SHH22" s="252">
        <v>0</v>
      </c>
      <c r="SHI22" s="252">
        <v>0</v>
      </c>
      <c r="SHJ22" s="252">
        <v>0</v>
      </c>
      <c r="SHK22" s="252">
        <v>0</v>
      </c>
      <c r="SHL22" s="252">
        <v>0</v>
      </c>
      <c r="SHM22" s="252">
        <v>0</v>
      </c>
      <c r="SHN22" s="252">
        <v>0</v>
      </c>
      <c r="SHO22" s="252">
        <v>0</v>
      </c>
      <c r="SHP22" s="252">
        <v>0</v>
      </c>
      <c r="SHQ22" s="252">
        <v>0</v>
      </c>
      <c r="SHR22" s="252">
        <v>0</v>
      </c>
      <c r="SHS22" s="252">
        <v>0</v>
      </c>
      <c r="SHT22" s="252">
        <v>0</v>
      </c>
      <c r="SHU22" s="252">
        <v>0</v>
      </c>
      <c r="SHV22" s="252">
        <v>0</v>
      </c>
      <c r="SHW22" s="252">
        <v>0</v>
      </c>
      <c r="SHX22" s="252">
        <v>0</v>
      </c>
      <c r="SHY22" s="252">
        <v>0</v>
      </c>
      <c r="SHZ22" s="252">
        <v>0</v>
      </c>
      <c r="SIA22" s="252">
        <v>0</v>
      </c>
      <c r="SIB22" s="252">
        <v>0</v>
      </c>
      <c r="SIC22" s="252">
        <v>0</v>
      </c>
      <c r="SID22" s="252">
        <v>0</v>
      </c>
      <c r="SIE22" s="252">
        <v>0</v>
      </c>
      <c r="SIF22" s="252">
        <v>0</v>
      </c>
      <c r="SIG22" s="252">
        <v>0</v>
      </c>
      <c r="SIH22" s="252">
        <v>0</v>
      </c>
      <c r="SII22" s="252">
        <v>0</v>
      </c>
      <c r="SIJ22" s="252">
        <v>0</v>
      </c>
      <c r="SIK22" s="252">
        <v>0</v>
      </c>
      <c r="SIL22" s="252">
        <v>0</v>
      </c>
      <c r="SIM22" s="252">
        <v>0</v>
      </c>
      <c r="SIN22" s="252">
        <v>0</v>
      </c>
      <c r="SIO22" s="252">
        <v>0</v>
      </c>
      <c r="SIP22" s="252">
        <v>0</v>
      </c>
      <c r="SIQ22" s="252">
        <v>0</v>
      </c>
      <c r="SIR22" s="252">
        <v>0</v>
      </c>
      <c r="SIS22" s="252">
        <v>0</v>
      </c>
      <c r="SIT22" s="252">
        <v>0</v>
      </c>
      <c r="SIU22" s="252">
        <v>0</v>
      </c>
      <c r="SIV22" s="252">
        <v>0</v>
      </c>
      <c r="SIW22" s="252">
        <v>0</v>
      </c>
      <c r="SIX22" s="252">
        <v>0</v>
      </c>
      <c r="SIY22" s="252">
        <v>0</v>
      </c>
      <c r="SIZ22" s="252">
        <v>0</v>
      </c>
      <c r="SJA22" s="252">
        <v>0</v>
      </c>
      <c r="SJB22" s="252">
        <v>0</v>
      </c>
      <c r="SJC22" s="252">
        <v>0</v>
      </c>
      <c r="SJD22" s="252">
        <v>0</v>
      </c>
      <c r="SJE22" s="252">
        <v>0</v>
      </c>
      <c r="SJF22" s="252">
        <v>0</v>
      </c>
      <c r="SJG22" s="252">
        <v>0</v>
      </c>
      <c r="SJH22" s="252">
        <v>0</v>
      </c>
      <c r="SJI22" s="252">
        <v>0</v>
      </c>
      <c r="SJJ22" s="252">
        <v>0</v>
      </c>
      <c r="SJK22" s="252">
        <v>0</v>
      </c>
      <c r="SJL22" s="252">
        <v>0</v>
      </c>
      <c r="SJM22" s="252">
        <v>0</v>
      </c>
      <c r="SJN22" s="252">
        <v>0</v>
      </c>
      <c r="SJO22" s="252">
        <v>0</v>
      </c>
      <c r="SJP22" s="252">
        <v>0</v>
      </c>
      <c r="SJQ22" s="252">
        <v>0</v>
      </c>
      <c r="SJR22" s="252">
        <v>0</v>
      </c>
      <c r="SJS22" s="252">
        <v>0</v>
      </c>
      <c r="SJT22" s="252">
        <v>0</v>
      </c>
      <c r="SJU22" s="252">
        <v>0</v>
      </c>
      <c r="SJV22" s="252">
        <v>0</v>
      </c>
      <c r="SJW22" s="252">
        <v>0</v>
      </c>
      <c r="SJX22" s="252">
        <v>0</v>
      </c>
      <c r="SJY22" s="252">
        <v>0</v>
      </c>
      <c r="SJZ22" s="252">
        <v>0</v>
      </c>
      <c r="SKA22" s="252">
        <v>0</v>
      </c>
      <c r="SKB22" s="252">
        <v>0</v>
      </c>
      <c r="SKC22" s="252">
        <v>0</v>
      </c>
      <c r="SKD22" s="252">
        <v>0</v>
      </c>
      <c r="SKE22" s="252">
        <v>0</v>
      </c>
      <c r="SKF22" s="252">
        <v>0</v>
      </c>
      <c r="SKG22" s="252">
        <v>0</v>
      </c>
      <c r="SKH22" s="252">
        <v>0</v>
      </c>
      <c r="SKI22" s="252">
        <v>0</v>
      </c>
      <c r="SKJ22" s="252">
        <v>0</v>
      </c>
      <c r="SKK22" s="252">
        <v>0</v>
      </c>
      <c r="SKL22" s="252">
        <v>0</v>
      </c>
      <c r="SKM22" s="252">
        <v>0</v>
      </c>
      <c r="SKN22" s="252">
        <v>0</v>
      </c>
      <c r="SKO22" s="252">
        <v>0</v>
      </c>
      <c r="SKP22" s="252">
        <v>0</v>
      </c>
      <c r="SKQ22" s="252">
        <v>0</v>
      </c>
      <c r="SKR22" s="252">
        <v>0</v>
      </c>
      <c r="SKS22" s="252">
        <v>0</v>
      </c>
      <c r="SKT22" s="252">
        <v>0</v>
      </c>
      <c r="SKU22" s="252">
        <v>0</v>
      </c>
      <c r="SKV22" s="252">
        <v>0</v>
      </c>
      <c r="SKW22" s="252">
        <v>0</v>
      </c>
      <c r="SKX22" s="252">
        <v>0</v>
      </c>
      <c r="SKY22" s="252">
        <v>0</v>
      </c>
      <c r="SKZ22" s="252">
        <v>0</v>
      </c>
      <c r="SLA22" s="252">
        <v>0</v>
      </c>
      <c r="SLB22" s="252">
        <v>0</v>
      </c>
      <c r="SLC22" s="252">
        <v>0</v>
      </c>
      <c r="SLD22" s="252">
        <v>0</v>
      </c>
      <c r="SLE22" s="252">
        <v>0</v>
      </c>
      <c r="SLF22" s="252">
        <v>0</v>
      </c>
      <c r="SLG22" s="252">
        <v>0</v>
      </c>
      <c r="SLH22" s="252">
        <v>0</v>
      </c>
      <c r="SLI22" s="252">
        <v>0</v>
      </c>
      <c r="SLJ22" s="252">
        <v>0</v>
      </c>
      <c r="SLK22" s="252">
        <v>0</v>
      </c>
      <c r="SLL22" s="252">
        <v>0</v>
      </c>
      <c r="SLM22" s="252">
        <v>0</v>
      </c>
      <c r="SLN22" s="252">
        <v>0</v>
      </c>
      <c r="SLO22" s="252">
        <v>0</v>
      </c>
      <c r="SLP22" s="252">
        <v>0</v>
      </c>
      <c r="SLQ22" s="252">
        <v>0</v>
      </c>
      <c r="SLR22" s="252">
        <v>0</v>
      </c>
      <c r="SLS22" s="252">
        <v>0</v>
      </c>
      <c r="SLT22" s="252">
        <v>0</v>
      </c>
      <c r="SLU22" s="252">
        <v>0</v>
      </c>
      <c r="SLV22" s="252">
        <v>0</v>
      </c>
      <c r="SLW22" s="252">
        <v>0</v>
      </c>
      <c r="SLX22" s="252">
        <v>0</v>
      </c>
      <c r="SLY22" s="252">
        <v>0</v>
      </c>
      <c r="SLZ22" s="252">
        <v>0</v>
      </c>
      <c r="SMA22" s="252">
        <v>0</v>
      </c>
      <c r="SMB22" s="252">
        <v>0</v>
      </c>
      <c r="SMC22" s="252">
        <v>0</v>
      </c>
      <c r="SMD22" s="252">
        <v>0</v>
      </c>
      <c r="SME22" s="252">
        <v>0</v>
      </c>
      <c r="SMF22" s="252">
        <v>0</v>
      </c>
      <c r="SMG22" s="252">
        <v>0</v>
      </c>
      <c r="SMH22" s="252">
        <v>0</v>
      </c>
      <c r="SMI22" s="252">
        <v>0</v>
      </c>
      <c r="SMJ22" s="252">
        <v>0</v>
      </c>
      <c r="SMK22" s="252">
        <v>0</v>
      </c>
      <c r="SML22" s="252">
        <v>0</v>
      </c>
      <c r="SMM22" s="252">
        <v>0</v>
      </c>
      <c r="SMN22" s="252">
        <v>0</v>
      </c>
      <c r="SMO22" s="252">
        <v>0</v>
      </c>
      <c r="SMP22" s="252">
        <v>0</v>
      </c>
      <c r="SMQ22" s="252">
        <v>0</v>
      </c>
      <c r="SMR22" s="252">
        <v>0</v>
      </c>
      <c r="SMS22" s="252">
        <v>0</v>
      </c>
      <c r="SMT22" s="252">
        <v>0</v>
      </c>
      <c r="SMU22" s="252">
        <v>0</v>
      </c>
      <c r="SMV22" s="252">
        <v>0</v>
      </c>
      <c r="SMW22" s="252">
        <v>0</v>
      </c>
      <c r="SMX22" s="252">
        <v>0</v>
      </c>
      <c r="SMY22" s="252">
        <v>0</v>
      </c>
      <c r="SMZ22" s="252">
        <v>0</v>
      </c>
      <c r="SNA22" s="252">
        <v>0</v>
      </c>
      <c r="SNB22" s="252">
        <v>0</v>
      </c>
      <c r="SNC22" s="252">
        <v>0</v>
      </c>
      <c r="SND22" s="252">
        <v>0</v>
      </c>
      <c r="SNE22" s="252">
        <v>0</v>
      </c>
      <c r="SNF22" s="252">
        <v>0</v>
      </c>
      <c r="SNG22" s="252">
        <v>0</v>
      </c>
      <c r="SNH22" s="252">
        <v>0</v>
      </c>
      <c r="SNI22" s="252">
        <v>0</v>
      </c>
      <c r="SNJ22" s="252">
        <v>0</v>
      </c>
      <c r="SNK22" s="252">
        <v>0</v>
      </c>
      <c r="SNL22" s="252">
        <v>0</v>
      </c>
      <c r="SNM22" s="252">
        <v>0</v>
      </c>
      <c r="SNN22" s="252">
        <v>0</v>
      </c>
      <c r="SNO22" s="252">
        <v>0</v>
      </c>
      <c r="SNP22" s="252">
        <v>0</v>
      </c>
      <c r="SNQ22" s="252">
        <v>0</v>
      </c>
      <c r="SNR22" s="252">
        <v>0</v>
      </c>
      <c r="SNS22" s="252">
        <v>0</v>
      </c>
      <c r="SNT22" s="252">
        <v>0</v>
      </c>
      <c r="SNU22" s="252">
        <v>0</v>
      </c>
      <c r="SNV22" s="252">
        <v>0</v>
      </c>
      <c r="SNW22" s="252">
        <v>0</v>
      </c>
      <c r="SNX22" s="252">
        <v>0</v>
      </c>
      <c r="SNY22" s="252">
        <v>0</v>
      </c>
      <c r="SNZ22" s="252">
        <v>0</v>
      </c>
      <c r="SOA22" s="252">
        <v>0</v>
      </c>
      <c r="SOB22" s="252">
        <v>0</v>
      </c>
      <c r="SOC22" s="252">
        <v>0</v>
      </c>
      <c r="SOD22" s="252">
        <v>0</v>
      </c>
      <c r="SOE22" s="252">
        <v>0</v>
      </c>
      <c r="SOF22" s="252">
        <v>0</v>
      </c>
      <c r="SOG22" s="252">
        <v>0</v>
      </c>
      <c r="SOH22" s="252">
        <v>0</v>
      </c>
      <c r="SOI22" s="252">
        <v>0</v>
      </c>
      <c r="SOJ22" s="252">
        <v>0</v>
      </c>
      <c r="SOK22" s="252">
        <v>0</v>
      </c>
      <c r="SOL22" s="252">
        <v>0</v>
      </c>
      <c r="SOM22" s="252">
        <v>0</v>
      </c>
      <c r="SON22" s="252">
        <v>0</v>
      </c>
      <c r="SOO22" s="252">
        <v>0</v>
      </c>
      <c r="SOP22" s="252">
        <v>0</v>
      </c>
      <c r="SOQ22" s="252">
        <v>0</v>
      </c>
      <c r="SOR22" s="252">
        <v>0</v>
      </c>
      <c r="SOS22" s="252">
        <v>0</v>
      </c>
      <c r="SOT22" s="252">
        <v>0</v>
      </c>
      <c r="SOU22" s="252">
        <v>0</v>
      </c>
      <c r="SOV22" s="252">
        <v>0</v>
      </c>
      <c r="SOW22" s="252">
        <v>0</v>
      </c>
      <c r="SOX22" s="252">
        <v>0</v>
      </c>
      <c r="SOY22" s="252">
        <v>0</v>
      </c>
      <c r="SOZ22" s="252">
        <v>0</v>
      </c>
      <c r="SPA22" s="252">
        <v>0</v>
      </c>
      <c r="SPB22" s="252">
        <v>0</v>
      </c>
      <c r="SPC22" s="252">
        <v>0</v>
      </c>
      <c r="SPD22" s="252">
        <v>0</v>
      </c>
      <c r="SPE22" s="252">
        <v>0</v>
      </c>
      <c r="SPF22" s="252">
        <v>0</v>
      </c>
      <c r="SPG22" s="252">
        <v>0</v>
      </c>
      <c r="SPH22" s="252">
        <v>0</v>
      </c>
      <c r="SPI22" s="252">
        <v>0</v>
      </c>
      <c r="SPJ22" s="252">
        <v>0</v>
      </c>
      <c r="SPK22" s="252">
        <v>0</v>
      </c>
      <c r="SPL22" s="252">
        <v>0</v>
      </c>
      <c r="SPM22" s="252">
        <v>0</v>
      </c>
      <c r="SPN22" s="252">
        <v>0</v>
      </c>
      <c r="SPO22" s="252">
        <v>0</v>
      </c>
      <c r="SPP22" s="252">
        <v>0</v>
      </c>
      <c r="SPQ22" s="252">
        <v>0</v>
      </c>
      <c r="SPR22" s="252">
        <v>0</v>
      </c>
      <c r="SPS22" s="252">
        <v>0</v>
      </c>
      <c r="SPT22" s="252">
        <v>0</v>
      </c>
      <c r="SPU22" s="252">
        <v>0</v>
      </c>
      <c r="SPV22" s="252">
        <v>0</v>
      </c>
      <c r="SPW22" s="252">
        <v>0</v>
      </c>
      <c r="SPX22" s="252">
        <v>0</v>
      </c>
      <c r="SPY22" s="252">
        <v>0</v>
      </c>
      <c r="SPZ22" s="252">
        <v>0</v>
      </c>
      <c r="SQA22" s="252">
        <v>0</v>
      </c>
      <c r="SQB22" s="252">
        <v>0</v>
      </c>
      <c r="SQC22" s="252">
        <v>0</v>
      </c>
      <c r="SQD22" s="252">
        <v>0</v>
      </c>
      <c r="SQE22" s="252">
        <v>0</v>
      </c>
      <c r="SQF22" s="252">
        <v>0</v>
      </c>
      <c r="SQG22" s="252">
        <v>0</v>
      </c>
      <c r="SQH22" s="252">
        <v>0</v>
      </c>
      <c r="SQI22" s="252">
        <v>0</v>
      </c>
      <c r="SQJ22" s="252">
        <v>0</v>
      </c>
      <c r="SQK22" s="252">
        <v>0</v>
      </c>
      <c r="SQL22" s="252">
        <v>0</v>
      </c>
      <c r="SQM22" s="252">
        <v>0</v>
      </c>
      <c r="SQN22" s="252">
        <v>0</v>
      </c>
      <c r="SQO22" s="252">
        <v>0</v>
      </c>
      <c r="SQP22" s="252">
        <v>0</v>
      </c>
      <c r="SQQ22" s="252">
        <v>0</v>
      </c>
      <c r="SQR22" s="252">
        <v>0</v>
      </c>
      <c r="SQS22" s="252">
        <v>0</v>
      </c>
      <c r="SQT22" s="252">
        <v>0</v>
      </c>
      <c r="SQU22" s="252">
        <v>0</v>
      </c>
      <c r="SQV22" s="252">
        <v>0</v>
      </c>
      <c r="SQW22" s="252">
        <v>0</v>
      </c>
      <c r="SQX22" s="252">
        <v>0</v>
      </c>
      <c r="SQY22" s="252">
        <v>0</v>
      </c>
      <c r="SQZ22" s="252">
        <v>0</v>
      </c>
      <c r="SRA22" s="252">
        <v>0</v>
      </c>
      <c r="SRB22" s="252">
        <v>0</v>
      </c>
      <c r="SRC22" s="252">
        <v>0</v>
      </c>
      <c r="SRD22" s="252">
        <v>0</v>
      </c>
      <c r="SRE22" s="252">
        <v>0</v>
      </c>
      <c r="SRF22" s="252">
        <v>0</v>
      </c>
      <c r="SRG22" s="252">
        <v>0</v>
      </c>
      <c r="SRH22" s="252">
        <v>0</v>
      </c>
      <c r="SRI22" s="252">
        <v>0</v>
      </c>
      <c r="SRJ22" s="252">
        <v>0</v>
      </c>
      <c r="SRK22" s="252">
        <v>0</v>
      </c>
      <c r="SRL22" s="252">
        <v>0</v>
      </c>
      <c r="SRM22" s="252">
        <v>0</v>
      </c>
      <c r="SRN22" s="252">
        <v>0</v>
      </c>
      <c r="SRO22" s="252">
        <v>0</v>
      </c>
      <c r="SRP22" s="252">
        <v>0</v>
      </c>
      <c r="SRQ22" s="252">
        <v>0</v>
      </c>
      <c r="SRR22" s="252">
        <v>0</v>
      </c>
      <c r="SRS22" s="252">
        <v>0</v>
      </c>
      <c r="SRT22" s="252">
        <v>0</v>
      </c>
      <c r="SRU22" s="252">
        <v>0</v>
      </c>
      <c r="SRV22" s="252">
        <v>0</v>
      </c>
      <c r="SRW22" s="252">
        <v>0</v>
      </c>
      <c r="SRX22" s="252">
        <v>0</v>
      </c>
      <c r="SRY22" s="252">
        <v>0</v>
      </c>
      <c r="SRZ22" s="252">
        <v>0</v>
      </c>
      <c r="SSA22" s="252">
        <v>0</v>
      </c>
      <c r="SSB22" s="252">
        <v>0</v>
      </c>
      <c r="SSC22" s="252">
        <v>0</v>
      </c>
      <c r="SSD22" s="252">
        <v>0</v>
      </c>
      <c r="SSE22" s="252">
        <v>0</v>
      </c>
      <c r="SSF22" s="252">
        <v>0</v>
      </c>
      <c r="SSG22" s="252">
        <v>0</v>
      </c>
      <c r="SSH22" s="252">
        <v>0</v>
      </c>
      <c r="SSI22" s="252">
        <v>0</v>
      </c>
      <c r="SSJ22" s="252">
        <v>0</v>
      </c>
      <c r="SSK22" s="252">
        <v>0</v>
      </c>
      <c r="SSL22" s="252">
        <v>0</v>
      </c>
      <c r="SSM22" s="252">
        <v>0</v>
      </c>
      <c r="SSN22" s="252">
        <v>0</v>
      </c>
      <c r="SSO22" s="252">
        <v>0</v>
      </c>
      <c r="SSP22" s="252">
        <v>0</v>
      </c>
      <c r="SSQ22" s="252">
        <v>0</v>
      </c>
      <c r="SSR22" s="252">
        <v>0</v>
      </c>
      <c r="SSS22" s="252">
        <v>0</v>
      </c>
      <c r="SST22" s="252">
        <v>0</v>
      </c>
      <c r="SSU22" s="252">
        <v>0</v>
      </c>
      <c r="SSV22" s="252">
        <v>0</v>
      </c>
      <c r="SSW22" s="252">
        <v>0</v>
      </c>
      <c r="SSX22" s="252">
        <v>0</v>
      </c>
      <c r="SSY22" s="252">
        <v>0</v>
      </c>
      <c r="SSZ22" s="252">
        <v>0</v>
      </c>
      <c r="STA22" s="252">
        <v>0</v>
      </c>
      <c r="STB22" s="252">
        <v>0</v>
      </c>
      <c r="STC22" s="252">
        <v>0</v>
      </c>
      <c r="STD22" s="252">
        <v>0</v>
      </c>
      <c r="STE22" s="252">
        <v>0</v>
      </c>
      <c r="STF22" s="252">
        <v>0</v>
      </c>
      <c r="STG22" s="252">
        <v>0</v>
      </c>
      <c r="STH22" s="252">
        <v>0</v>
      </c>
      <c r="STI22" s="252">
        <v>0</v>
      </c>
      <c r="STJ22" s="252">
        <v>0</v>
      </c>
      <c r="STK22" s="252">
        <v>0</v>
      </c>
      <c r="STL22" s="252">
        <v>0</v>
      </c>
      <c r="STM22" s="252">
        <v>0</v>
      </c>
      <c r="STN22" s="252">
        <v>0</v>
      </c>
      <c r="STO22" s="252">
        <v>0</v>
      </c>
      <c r="STP22" s="252">
        <v>0</v>
      </c>
      <c r="STQ22" s="252">
        <v>0</v>
      </c>
      <c r="STR22" s="252">
        <v>0</v>
      </c>
      <c r="STS22" s="252">
        <v>0</v>
      </c>
      <c r="STT22" s="252">
        <v>0</v>
      </c>
      <c r="STU22" s="252">
        <v>0</v>
      </c>
      <c r="STV22" s="252">
        <v>0</v>
      </c>
      <c r="STW22" s="252">
        <v>0</v>
      </c>
      <c r="STX22" s="252">
        <v>0</v>
      </c>
      <c r="STY22" s="252">
        <v>0</v>
      </c>
      <c r="STZ22" s="252">
        <v>0</v>
      </c>
      <c r="SUA22" s="252">
        <v>0</v>
      </c>
      <c r="SUB22" s="252">
        <v>0</v>
      </c>
      <c r="SUC22" s="252">
        <v>0</v>
      </c>
      <c r="SUD22" s="252">
        <v>0</v>
      </c>
      <c r="SUE22" s="252">
        <v>0</v>
      </c>
      <c r="SUF22" s="252">
        <v>0</v>
      </c>
      <c r="SUG22" s="252">
        <v>0</v>
      </c>
      <c r="SUH22" s="252">
        <v>0</v>
      </c>
      <c r="SUI22" s="252">
        <v>0</v>
      </c>
      <c r="SUJ22" s="252">
        <v>0</v>
      </c>
      <c r="SUK22" s="252">
        <v>0</v>
      </c>
      <c r="SUL22" s="252">
        <v>0</v>
      </c>
      <c r="SUM22" s="252">
        <v>0</v>
      </c>
      <c r="SUN22" s="252">
        <v>0</v>
      </c>
      <c r="SUO22" s="252">
        <v>0</v>
      </c>
      <c r="SUP22" s="252">
        <v>0</v>
      </c>
      <c r="SUQ22" s="252">
        <v>0</v>
      </c>
      <c r="SUR22" s="252">
        <v>0</v>
      </c>
      <c r="SUS22" s="252">
        <v>0</v>
      </c>
      <c r="SUT22" s="252">
        <v>0</v>
      </c>
      <c r="SUU22" s="252">
        <v>0</v>
      </c>
      <c r="SUV22" s="252">
        <v>0</v>
      </c>
      <c r="SUW22" s="252">
        <v>0</v>
      </c>
      <c r="SUX22" s="252">
        <v>0</v>
      </c>
      <c r="SUY22" s="252">
        <v>0</v>
      </c>
      <c r="SUZ22" s="252">
        <v>0</v>
      </c>
      <c r="SVA22" s="252">
        <v>0</v>
      </c>
      <c r="SVB22" s="252">
        <v>0</v>
      </c>
      <c r="SVC22" s="252">
        <v>0</v>
      </c>
      <c r="SVD22" s="252">
        <v>0</v>
      </c>
      <c r="SVE22" s="252">
        <v>0</v>
      </c>
      <c r="SVF22" s="252">
        <v>0</v>
      </c>
      <c r="SVG22" s="252">
        <v>0</v>
      </c>
      <c r="SVH22" s="252">
        <v>0</v>
      </c>
      <c r="SVI22" s="252">
        <v>0</v>
      </c>
      <c r="SVJ22" s="252">
        <v>0</v>
      </c>
      <c r="SVK22" s="252">
        <v>0</v>
      </c>
      <c r="SVL22" s="252">
        <v>0</v>
      </c>
      <c r="SVM22" s="252">
        <v>0</v>
      </c>
      <c r="SVN22" s="252">
        <v>0</v>
      </c>
      <c r="SVO22" s="252">
        <v>0</v>
      </c>
      <c r="SVP22" s="252">
        <v>0</v>
      </c>
      <c r="SVQ22" s="252">
        <v>0</v>
      </c>
      <c r="SVR22" s="252">
        <v>0</v>
      </c>
      <c r="SVS22" s="252">
        <v>0</v>
      </c>
      <c r="SVT22" s="252">
        <v>0</v>
      </c>
      <c r="SVU22" s="252">
        <v>0</v>
      </c>
      <c r="SVV22" s="252">
        <v>0</v>
      </c>
      <c r="SVW22" s="252">
        <v>0</v>
      </c>
      <c r="SVX22" s="252">
        <v>0</v>
      </c>
      <c r="SVY22" s="252">
        <v>0</v>
      </c>
      <c r="SVZ22" s="252">
        <v>0</v>
      </c>
      <c r="SWA22" s="252">
        <v>0</v>
      </c>
      <c r="SWB22" s="252">
        <v>0</v>
      </c>
      <c r="SWC22" s="252">
        <v>0</v>
      </c>
      <c r="SWD22" s="252">
        <v>0</v>
      </c>
      <c r="SWE22" s="252">
        <v>0</v>
      </c>
      <c r="SWF22" s="252">
        <v>0</v>
      </c>
      <c r="SWG22" s="252">
        <v>0</v>
      </c>
      <c r="SWH22" s="252">
        <v>0</v>
      </c>
      <c r="SWI22" s="252">
        <v>0</v>
      </c>
      <c r="SWJ22" s="252">
        <v>0</v>
      </c>
      <c r="SWK22" s="252">
        <v>0</v>
      </c>
      <c r="SWL22" s="252">
        <v>0</v>
      </c>
      <c r="SWM22" s="252">
        <v>0</v>
      </c>
      <c r="SWN22" s="252">
        <v>0</v>
      </c>
      <c r="SWO22" s="252">
        <v>0</v>
      </c>
      <c r="SWP22" s="252">
        <v>0</v>
      </c>
      <c r="SWQ22" s="252">
        <v>0</v>
      </c>
      <c r="SWR22" s="252">
        <v>0</v>
      </c>
      <c r="SWS22" s="252">
        <v>0</v>
      </c>
      <c r="SWT22" s="252">
        <v>0</v>
      </c>
      <c r="SWU22" s="252">
        <v>0</v>
      </c>
      <c r="SWV22" s="252">
        <v>0</v>
      </c>
      <c r="SWW22" s="252">
        <v>0</v>
      </c>
      <c r="SWX22" s="252">
        <v>0</v>
      </c>
      <c r="SWY22" s="252">
        <v>0</v>
      </c>
      <c r="SWZ22" s="252">
        <v>0</v>
      </c>
      <c r="SXA22" s="252">
        <v>0</v>
      </c>
      <c r="SXB22" s="252">
        <v>0</v>
      </c>
      <c r="SXC22" s="252">
        <v>0</v>
      </c>
      <c r="SXD22" s="252">
        <v>0</v>
      </c>
      <c r="SXE22" s="252">
        <v>0</v>
      </c>
      <c r="SXF22" s="252">
        <v>0</v>
      </c>
      <c r="SXG22" s="252">
        <v>0</v>
      </c>
      <c r="SXH22" s="252">
        <v>0</v>
      </c>
      <c r="SXI22" s="252">
        <v>0</v>
      </c>
      <c r="SXJ22" s="252">
        <v>0</v>
      </c>
      <c r="SXK22" s="252">
        <v>0</v>
      </c>
      <c r="SXL22" s="252">
        <v>0</v>
      </c>
      <c r="SXM22" s="252">
        <v>0</v>
      </c>
      <c r="SXN22" s="252">
        <v>0</v>
      </c>
      <c r="SXO22" s="252">
        <v>0</v>
      </c>
      <c r="SXP22" s="252">
        <v>0</v>
      </c>
      <c r="SXQ22" s="252">
        <v>0</v>
      </c>
      <c r="SXR22" s="252">
        <v>0</v>
      </c>
      <c r="SXS22" s="252">
        <v>0</v>
      </c>
      <c r="SXT22" s="252">
        <v>0</v>
      </c>
      <c r="SXU22" s="252">
        <v>0</v>
      </c>
      <c r="SXV22" s="252">
        <v>0</v>
      </c>
      <c r="SXW22" s="252">
        <v>0</v>
      </c>
      <c r="SXX22" s="252">
        <v>0</v>
      </c>
      <c r="SXY22" s="252">
        <v>0</v>
      </c>
      <c r="SXZ22" s="252">
        <v>0</v>
      </c>
      <c r="SYA22" s="252">
        <v>0</v>
      </c>
      <c r="SYB22" s="252">
        <v>0</v>
      </c>
      <c r="SYC22" s="252">
        <v>0</v>
      </c>
      <c r="SYD22" s="252">
        <v>0</v>
      </c>
      <c r="SYE22" s="252">
        <v>0</v>
      </c>
      <c r="SYF22" s="252">
        <v>0</v>
      </c>
      <c r="SYG22" s="252">
        <v>0</v>
      </c>
      <c r="SYH22" s="252">
        <v>0</v>
      </c>
      <c r="SYI22" s="252">
        <v>0</v>
      </c>
      <c r="SYJ22" s="252">
        <v>0</v>
      </c>
      <c r="SYK22" s="252">
        <v>0</v>
      </c>
      <c r="SYL22" s="252">
        <v>0</v>
      </c>
      <c r="SYM22" s="252">
        <v>0</v>
      </c>
      <c r="SYN22" s="252">
        <v>0</v>
      </c>
      <c r="SYO22" s="252">
        <v>0</v>
      </c>
      <c r="SYP22" s="252">
        <v>0</v>
      </c>
      <c r="SYQ22" s="252">
        <v>0</v>
      </c>
      <c r="SYR22" s="252">
        <v>0</v>
      </c>
      <c r="SYS22" s="252">
        <v>0</v>
      </c>
      <c r="SYT22" s="252">
        <v>0</v>
      </c>
      <c r="SYU22" s="252">
        <v>0</v>
      </c>
      <c r="SYV22" s="252">
        <v>0</v>
      </c>
      <c r="SYW22" s="252">
        <v>0</v>
      </c>
      <c r="SYX22" s="252">
        <v>0</v>
      </c>
      <c r="SYY22" s="252">
        <v>0</v>
      </c>
      <c r="SYZ22" s="252">
        <v>0</v>
      </c>
      <c r="SZA22" s="252">
        <v>0</v>
      </c>
      <c r="SZB22" s="252">
        <v>0</v>
      </c>
      <c r="SZC22" s="252">
        <v>0</v>
      </c>
      <c r="SZD22" s="252">
        <v>0</v>
      </c>
      <c r="SZE22" s="252">
        <v>0</v>
      </c>
      <c r="SZF22" s="252">
        <v>0</v>
      </c>
      <c r="SZG22" s="252">
        <v>0</v>
      </c>
      <c r="SZH22" s="252">
        <v>0</v>
      </c>
      <c r="SZI22" s="252">
        <v>0</v>
      </c>
      <c r="SZJ22" s="252">
        <v>0</v>
      </c>
      <c r="SZK22" s="252">
        <v>0</v>
      </c>
      <c r="SZL22" s="252">
        <v>0</v>
      </c>
      <c r="SZM22" s="252">
        <v>0</v>
      </c>
      <c r="SZN22" s="252">
        <v>0</v>
      </c>
      <c r="SZO22" s="252">
        <v>0</v>
      </c>
      <c r="SZP22" s="252">
        <v>0</v>
      </c>
      <c r="SZQ22" s="252">
        <v>0</v>
      </c>
      <c r="SZR22" s="252">
        <v>0</v>
      </c>
      <c r="SZS22" s="252">
        <v>0</v>
      </c>
      <c r="SZT22" s="252">
        <v>0</v>
      </c>
      <c r="SZU22" s="252">
        <v>0</v>
      </c>
      <c r="SZV22" s="252">
        <v>0</v>
      </c>
      <c r="SZW22" s="252">
        <v>0</v>
      </c>
      <c r="SZX22" s="252">
        <v>0</v>
      </c>
      <c r="SZY22" s="252">
        <v>0</v>
      </c>
      <c r="SZZ22" s="252">
        <v>0</v>
      </c>
      <c r="TAA22" s="252">
        <v>0</v>
      </c>
      <c r="TAB22" s="252">
        <v>0</v>
      </c>
      <c r="TAC22" s="252">
        <v>0</v>
      </c>
      <c r="TAD22" s="252">
        <v>0</v>
      </c>
      <c r="TAE22" s="252">
        <v>0</v>
      </c>
      <c r="TAF22" s="252">
        <v>0</v>
      </c>
      <c r="TAG22" s="252">
        <v>0</v>
      </c>
      <c r="TAH22" s="252">
        <v>0</v>
      </c>
      <c r="TAI22" s="252">
        <v>0</v>
      </c>
      <c r="TAJ22" s="252">
        <v>0</v>
      </c>
      <c r="TAK22" s="252">
        <v>0</v>
      </c>
      <c r="TAL22" s="252">
        <v>0</v>
      </c>
      <c r="TAM22" s="252">
        <v>0</v>
      </c>
      <c r="TAN22" s="252">
        <v>0</v>
      </c>
      <c r="TAO22" s="252">
        <v>0</v>
      </c>
      <c r="TAP22" s="252">
        <v>0</v>
      </c>
      <c r="TAQ22" s="252">
        <v>0</v>
      </c>
      <c r="TAR22" s="252">
        <v>0</v>
      </c>
      <c r="TAS22" s="252">
        <v>0</v>
      </c>
      <c r="TAT22" s="252">
        <v>0</v>
      </c>
      <c r="TAU22" s="252">
        <v>0</v>
      </c>
      <c r="TAV22" s="252">
        <v>0</v>
      </c>
      <c r="TAW22" s="252">
        <v>0</v>
      </c>
      <c r="TAX22" s="252">
        <v>0</v>
      </c>
      <c r="TAY22" s="252">
        <v>0</v>
      </c>
      <c r="TAZ22" s="252">
        <v>0</v>
      </c>
      <c r="TBA22" s="252">
        <v>0</v>
      </c>
      <c r="TBB22" s="252">
        <v>0</v>
      </c>
      <c r="TBC22" s="252">
        <v>0</v>
      </c>
      <c r="TBD22" s="252">
        <v>0</v>
      </c>
      <c r="TBE22" s="252">
        <v>0</v>
      </c>
      <c r="TBF22" s="252">
        <v>0</v>
      </c>
      <c r="TBG22" s="252">
        <v>0</v>
      </c>
      <c r="TBH22" s="252">
        <v>0</v>
      </c>
      <c r="TBI22" s="252">
        <v>0</v>
      </c>
      <c r="TBJ22" s="252">
        <v>0</v>
      </c>
      <c r="TBK22" s="252">
        <v>0</v>
      </c>
      <c r="TBL22" s="252">
        <v>0</v>
      </c>
      <c r="TBM22" s="252">
        <v>0</v>
      </c>
      <c r="TBN22" s="252">
        <v>0</v>
      </c>
      <c r="TBO22" s="252">
        <v>0</v>
      </c>
      <c r="TBP22" s="252">
        <v>0</v>
      </c>
      <c r="TBQ22" s="252">
        <v>0</v>
      </c>
      <c r="TBR22" s="252">
        <v>0</v>
      </c>
      <c r="TBS22" s="252">
        <v>0</v>
      </c>
      <c r="TBT22" s="252">
        <v>0</v>
      </c>
      <c r="TBU22" s="252">
        <v>0</v>
      </c>
      <c r="TBV22" s="252">
        <v>0</v>
      </c>
      <c r="TBW22" s="252">
        <v>0</v>
      </c>
      <c r="TBX22" s="252">
        <v>0</v>
      </c>
      <c r="TBY22" s="252">
        <v>0</v>
      </c>
      <c r="TBZ22" s="252">
        <v>0</v>
      </c>
      <c r="TCA22" s="252">
        <v>0</v>
      </c>
      <c r="TCB22" s="252">
        <v>0</v>
      </c>
      <c r="TCC22" s="252">
        <v>0</v>
      </c>
      <c r="TCD22" s="252">
        <v>0</v>
      </c>
      <c r="TCE22" s="252">
        <v>0</v>
      </c>
      <c r="TCF22" s="252">
        <v>0</v>
      </c>
      <c r="TCG22" s="252">
        <v>0</v>
      </c>
      <c r="TCH22" s="252">
        <v>0</v>
      </c>
      <c r="TCI22" s="252">
        <v>0</v>
      </c>
      <c r="TCJ22" s="252">
        <v>0</v>
      </c>
      <c r="TCK22" s="252">
        <v>0</v>
      </c>
      <c r="TCL22" s="252">
        <v>0</v>
      </c>
      <c r="TCM22" s="252">
        <v>0</v>
      </c>
      <c r="TCN22" s="252">
        <v>0</v>
      </c>
      <c r="TCO22" s="252">
        <v>0</v>
      </c>
      <c r="TCP22" s="252">
        <v>0</v>
      </c>
      <c r="TCQ22" s="252">
        <v>0</v>
      </c>
      <c r="TCR22" s="252">
        <v>0</v>
      </c>
      <c r="TCS22" s="252">
        <v>0</v>
      </c>
      <c r="TCT22" s="252">
        <v>0</v>
      </c>
      <c r="TCU22" s="252">
        <v>0</v>
      </c>
      <c r="TCV22" s="252">
        <v>0</v>
      </c>
      <c r="TCW22" s="252">
        <v>0</v>
      </c>
      <c r="TCX22" s="252">
        <v>0</v>
      </c>
      <c r="TCY22" s="252">
        <v>0</v>
      </c>
      <c r="TCZ22" s="252">
        <v>0</v>
      </c>
      <c r="TDA22" s="252">
        <v>0</v>
      </c>
      <c r="TDB22" s="252">
        <v>0</v>
      </c>
      <c r="TDC22" s="252">
        <v>0</v>
      </c>
      <c r="TDD22" s="252">
        <v>0</v>
      </c>
      <c r="TDE22" s="252">
        <v>0</v>
      </c>
      <c r="TDF22" s="252">
        <v>0</v>
      </c>
      <c r="TDG22" s="252">
        <v>0</v>
      </c>
      <c r="TDH22" s="252">
        <v>0</v>
      </c>
      <c r="TDI22" s="252">
        <v>0</v>
      </c>
      <c r="TDJ22" s="252">
        <v>0</v>
      </c>
      <c r="TDK22" s="252">
        <v>0</v>
      </c>
      <c r="TDL22" s="252">
        <v>0</v>
      </c>
      <c r="TDM22" s="252">
        <v>0</v>
      </c>
      <c r="TDN22" s="252">
        <v>0</v>
      </c>
      <c r="TDO22" s="252">
        <v>0</v>
      </c>
      <c r="TDP22" s="252">
        <v>0</v>
      </c>
      <c r="TDQ22" s="252">
        <v>0</v>
      </c>
      <c r="TDR22" s="252">
        <v>0</v>
      </c>
      <c r="TDS22" s="252">
        <v>0</v>
      </c>
      <c r="TDT22" s="252">
        <v>0</v>
      </c>
      <c r="TDU22" s="252">
        <v>0</v>
      </c>
      <c r="TDV22" s="252">
        <v>0</v>
      </c>
      <c r="TDW22" s="252">
        <v>0</v>
      </c>
      <c r="TDX22" s="252">
        <v>0</v>
      </c>
      <c r="TDY22" s="252">
        <v>0</v>
      </c>
      <c r="TDZ22" s="252">
        <v>0</v>
      </c>
      <c r="TEA22" s="252">
        <v>0</v>
      </c>
      <c r="TEB22" s="252">
        <v>0</v>
      </c>
      <c r="TEC22" s="252">
        <v>0</v>
      </c>
      <c r="TED22" s="252">
        <v>0</v>
      </c>
      <c r="TEE22" s="252">
        <v>0</v>
      </c>
      <c r="TEF22" s="252">
        <v>0</v>
      </c>
      <c r="TEG22" s="252">
        <v>0</v>
      </c>
      <c r="TEH22" s="252">
        <v>0</v>
      </c>
      <c r="TEI22" s="252">
        <v>0</v>
      </c>
      <c r="TEJ22" s="252">
        <v>0</v>
      </c>
      <c r="TEK22" s="252">
        <v>0</v>
      </c>
      <c r="TEL22" s="252">
        <v>0</v>
      </c>
      <c r="TEM22" s="252">
        <v>0</v>
      </c>
      <c r="TEN22" s="252">
        <v>0</v>
      </c>
      <c r="TEO22" s="252">
        <v>0</v>
      </c>
      <c r="TEP22" s="252">
        <v>0</v>
      </c>
      <c r="TEQ22" s="252">
        <v>0</v>
      </c>
      <c r="TER22" s="252">
        <v>0</v>
      </c>
      <c r="TES22" s="252">
        <v>0</v>
      </c>
      <c r="TET22" s="252">
        <v>0</v>
      </c>
      <c r="TEU22" s="252">
        <v>0</v>
      </c>
      <c r="TEV22" s="252">
        <v>0</v>
      </c>
      <c r="TEW22" s="252">
        <v>0</v>
      </c>
      <c r="TEX22" s="252">
        <v>0</v>
      </c>
      <c r="TEY22" s="252">
        <v>0</v>
      </c>
      <c r="TEZ22" s="252">
        <v>0</v>
      </c>
      <c r="TFA22" s="252">
        <v>0</v>
      </c>
      <c r="TFB22" s="252">
        <v>0</v>
      </c>
      <c r="TFC22" s="252">
        <v>0</v>
      </c>
      <c r="TFD22" s="252">
        <v>0</v>
      </c>
      <c r="TFE22" s="252">
        <v>0</v>
      </c>
      <c r="TFF22" s="252">
        <v>0</v>
      </c>
      <c r="TFG22" s="252">
        <v>0</v>
      </c>
      <c r="TFH22" s="252">
        <v>0</v>
      </c>
      <c r="TFI22" s="252">
        <v>0</v>
      </c>
      <c r="TFJ22" s="252">
        <v>0</v>
      </c>
      <c r="TFK22" s="252">
        <v>0</v>
      </c>
      <c r="TFL22" s="252">
        <v>0</v>
      </c>
      <c r="TFM22" s="252">
        <v>0</v>
      </c>
      <c r="TFN22" s="252">
        <v>0</v>
      </c>
      <c r="TFO22" s="252">
        <v>0</v>
      </c>
      <c r="TFP22" s="252">
        <v>0</v>
      </c>
      <c r="TFQ22" s="252">
        <v>0</v>
      </c>
      <c r="TFR22" s="252">
        <v>0</v>
      </c>
      <c r="TFS22" s="252">
        <v>0</v>
      </c>
      <c r="TFT22" s="252">
        <v>0</v>
      </c>
      <c r="TFU22" s="252">
        <v>0</v>
      </c>
      <c r="TFV22" s="252">
        <v>0</v>
      </c>
      <c r="TFW22" s="252">
        <v>0</v>
      </c>
      <c r="TFX22" s="252">
        <v>0</v>
      </c>
      <c r="TFY22" s="252">
        <v>0</v>
      </c>
      <c r="TFZ22" s="252">
        <v>0</v>
      </c>
      <c r="TGA22" s="252">
        <v>0</v>
      </c>
      <c r="TGB22" s="252">
        <v>0</v>
      </c>
      <c r="TGC22" s="252">
        <v>0</v>
      </c>
      <c r="TGD22" s="252">
        <v>0</v>
      </c>
      <c r="TGE22" s="252">
        <v>0</v>
      </c>
      <c r="TGF22" s="252">
        <v>0</v>
      </c>
      <c r="TGG22" s="252">
        <v>0</v>
      </c>
      <c r="TGH22" s="252">
        <v>0</v>
      </c>
      <c r="TGI22" s="252">
        <v>0</v>
      </c>
      <c r="TGJ22" s="252">
        <v>0</v>
      </c>
      <c r="TGK22" s="252">
        <v>0</v>
      </c>
      <c r="TGL22" s="252">
        <v>0</v>
      </c>
      <c r="TGM22" s="252">
        <v>0</v>
      </c>
      <c r="TGN22" s="252">
        <v>0</v>
      </c>
      <c r="TGO22" s="252">
        <v>0</v>
      </c>
      <c r="TGP22" s="252">
        <v>0</v>
      </c>
      <c r="TGQ22" s="252">
        <v>0</v>
      </c>
      <c r="TGR22" s="252">
        <v>0</v>
      </c>
      <c r="TGS22" s="252">
        <v>0</v>
      </c>
      <c r="TGT22" s="252">
        <v>0</v>
      </c>
      <c r="TGU22" s="252">
        <v>0</v>
      </c>
      <c r="TGV22" s="252">
        <v>0</v>
      </c>
      <c r="TGW22" s="252">
        <v>0</v>
      </c>
      <c r="TGX22" s="252">
        <v>0</v>
      </c>
      <c r="TGY22" s="252">
        <v>0</v>
      </c>
      <c r="TGZ22" s="252">
        <v>0</v>
      </c>
      <c r="THA22" s="252">
        <v>0</v>
      </c>
      <c r="THB22" s="252">
        <v>0</v>
      </c>
      <c r="THC22" s="252">
        <v>0</v>
      </c>
      <c r="THD22" s="252">
        <v>0</v>
      </c>
      <c r="THE22" s="252">
        <v>0</v>
      </c>
      <c r="THF22" s="252">
        <v>0</v>
      </c>
      <c r="THG22" s="252">
        <v>0</v>
      </c>
      <c r="THH22" s="252">
        <v>0</v>
      </c>
      <c r="THI22" s="252">
        <v>0</v>
      </c>
      <c r="THJ22" s="252">
        <v>0</v>
      </c>
      <c r="THK22" s="252">
        <v>0</v>
      </c>
      <c r="THL22" s="252">
        <v>0</v>
      </c>
      <c r="THM22" s="252">
        <v>0</v>
      </c>
      <c r="THN22" s="252">
        <v>0</v>
      </c>
      <c r="THO22" s="252">
        <v>0</v>
      </c>
      <c r="THP22" s="252">
        <v>0</v>
      </c>
      <c r="THQ22" s="252">
        <v>0</v>
      </c>
      <c r="THR22" s="252">
        <v>0</v>
      </c>
      <c r="THS22" s="252">
        <v>0</v>
      </c>
      <c r="THT22" s="252">
        <v>0</v>
      </c>
      <c r="THU22" s="252">
        <v>0</v>
      </c>
      <c r="THV22" s="252">
        <v>0</v>
      </c>
      <c r="THW22" s="252">
        <v>0</v>
      </c>
      <c r="THX22" s="252">
        <v>0</v>
      </c>
      <c r="THY22" s="252">
        <v>0</v>
      </c>
      <c r="THZ22" s="252">
        <v>0</v>
      </c>
      <c r="TIA22" s="252">
        <v>0</v>
      </c>
      <c r="TIB22" s="252">
        <v>0</v>
      </c>
      <c r="TIC22" s="252">
        <v>0</v>
      </c>
      <c r="TID22" s="252">
        <v>0</v>
      </c>
      <c r="TIE22" s="252">
        <v>0</v>
      </c>
      <c r="TIF22" s="252">
        <v>0</v>
      </c>
      <c r="TIG22" s="252">
        <v>0</v>
      </c>
      <c r="TIH22" s="252">
        <v>0</v>
      </c>
      <c r="TII22" s="252">
        <v>0</v>
      </c>
      <c r="TIJ22" s="252">
        <v>0</v>
      </c>
      <c r="TIK22" s="252">
        <v>0</v>
      </c>
      <c r="TIL22" s="252">
        <v>0</v>
      </c>
      <c r="TIM22" s="252">
        <v>0</v>
      </c>
      <c r="TIN22" s="252">
        <v>0</v>
      </c>
      <c r="TIO22" s="252">
        <v>0</v>
      </c>
      <c r="TIP22" s="252">
        <v>0</v>
      </c>
      <c r="TIQ22" s="252">
        <v>0</v>
      </c>
      <c r="TIR22" s="252">
        <v>0</v>
      </c>
      <c r="TIS22" s="252">
        <v>0</v>
      </c>
      <c r="TIT22" s="252">
        <v>0</v>
      </c>
      <c r="TIU22" s="252">
        <v>0</v>
      </c>
      <c r="TIV22" s="252">
        <v>0</v>
      </c>
      <c r="TIW22" s="252">
        <v>0</v>
      </c>
      <c r="TIX22" s="252">
        <v>0</v>
      </c>
      <c r="TIY22" s="252">
        <v>0</v>
      </c>
      <c r="TIZ22" s="252">
        <v>0</v>
      </c>
      <c r="TJA22" s="252">
        <v>0</v>
      </c>
      <c r="TJB22" s="252">
        <v>0</v>
      </c>
      <c r="TJC22" s="252">
        <v>0</v>
      </c>
      <c r="TJD22" s="252">
        <v>0</v>
      </c>
      <c r="TJE22" s="252">
        <v>0</v>
      </c>
      <c r="TJF22" s="252">
        <v>0</v>
      </c>
      <c r="TJG22" s="252">
        <v>0</v>
      </c>
      <c r="TJH22" s="252">
        <v>0</v>
      </c>
      <c r="TJI22" s="252">
        <v>0</v>
      </c>
      <c r="TJJ22" s="252">
        <v>0</v>
      </c>
      <c r="TJK22" s="252">
        <v>0</v>
      </c>
      <c r="TJL22" s="252">
        <v>0</v>
      </c>
      <c r="TJM22" s="252">
        <v>0</v>
      </c>
      <c r="TJN22" s="252">
        <v>0</v>
      </c>
      <c r="TJO22" s="252">
        <v>0</v>
      </c>
      <c r="TJP22" s="252">
        <v>0</v>
      </c>
      <c r="TJQ22" s="252">
        <v>0</v>
      </c>
      <c r="TJR22" s="252">
        <v>0</v>
      </c>
      <c r="TJS22" s="252">
        <v>0</v>
      </c>
      <c r="TJT22" s="252">
        <v>0</v>
      </c>
      <c r="TJU22" s="252">
        <v>0</v>
      </c>
      <c r="TJV22" s="252">
        <v>0</v>
      </c>
      <c r="TJW22" s="252">
        <v>0</v>
      </c>
      <c r="TJX22" s="252">
        <v>0</v>
      </c>
      <c r="TJY22" s="252">
        <v>0</v>
      </c>
      <c r="TJZ22" s="252">
        <v>0</v>
      </c>
      <c r="TKA22" s="252">
        <v>0</v>
      </c>
      <c r="TKB22" s="252">
        <v>0</v>
      </c>
      <c r="TKC22" s="252">
        <v>0</v>
      </c>
      <c r="TKD22" s="252">
        <v>0</v>
      </c>
      <c r="TKE22" s="252">
        <v>0</v>
      </c>
      <c r="TKF22" s="252">
        <v>0</v>
      </c>
      <c r="TKG22" s="252">
        <v>0</v>
      </c>
      <c r="TKH22" s="252">
        <v>0</v>
      </c>
      <c r="TKI22" s="252">
        <v>0</v>
      </c>
      <c r="TKJ22" s="252">
        <v>0</v>
      </c>
      <c r="TKK22" s="252">
        <v>0</v>
      </c>
      <c r="TKL22" s="252">
        <v>0</v>
      </c>
      <c r="TKM22" s="252">
        <v>0</v>
      </c>
      <c r="TKN22" s="252">
        <v>0</v>
      </c>
      <c r="TKO22" s="252">
        <v>0</v>
      </c>
      <c r="TKP22" s="252">
        <v>0</v>
      </c>
      <c r="TKQ22" s="252">
        <v>0</v>
      </c>
      <c r="TKR22" s="252">
        <v>0</v>
      </c>
      <c r="TKS22" s="252">
        <v>0</v>
      </c>
      <c r="TKT22" s="252">
        <v>0</v>
      </c>
      <c r="TKU22" s="252">
        <v>0</v>
      </c>
      <c r="TKV22" s="252">
        <v>0</v>
      </c>
      <c r="TKW22" s="252">
        <v>0</v>
      </c>
      <c r="TKX22" s="252">
        <v>0</v>
      </c>
      <c r="TKY22" s="252">
        <v>0</v>
      </c>
      <c r="TKZ22" s="252">
        <v>0</v>
      </c>
      <c r="TLA22" s="252">
        <v>0</v>
      </c>
      <c r="TLB22" s="252">
        <v>0</v>
      </c>
      <c r="TLC22" s="252">
        <v>0</v>
      </c>
      <c r="TLD22" s="252">
        <v>0</v>
      </c>
      <c r="TLE22" s="252">
        <v>0</v>
      </c>
      <c r="TLF22" s="252">
        <v>0</v>
      </c>
      <c r="TLG22" s="252">
        <v>0</v>
      </c>
      <c r="TLH22" s="252">
        <v>0</v>
      </c>
      <c r="TLI22" s="252">
        <v>0</v>
      </c>
      <c r="TLJ22" s="252">
        <v>0</v>
      </c>
      <c r="TLK22" s="252">
        <v>0</v>
      </c>
      <c r="TLL22" s="252">
        <v>0</v>
      </c>
      <c r="TLM22" s="252">
        <v>0</v>
      </c>
      <c r="TLN22" s="252">
        <v>0</v>
      </c>
      <c r="TLO22" s="252">
        <v>0</v>
      </c>
      <c r="TLP22" s="252">
        <v>0</v>
      </c>
      <c r="TLQ22" s="252">
        <v>0</v>
      </c>
      <c r="TLR22" s="252">
        <v>0</v>
      </c>
      <c r="TLS22" s="252">
        <v>0</v>
      </c>
      <c r="TLT22" s="252">
        <v>0</v>
      </c>
      <c r="TLU22" s="252">
        <v>0</v>
      </c>
      <c r="TLV22" s="252">
        <v>0</v>
      </c>
      <c r="TLW22" s="252">
        <v>0</v>
      </c>
      <c r="TLX22" s="252">
        <v>0</v>
      </c>
      <c r="TLY22" s="252">
        <v>0</v>
      </c>
      <c r="TLZ22" s="252">
        <v>0</v>
      </c>
      <c r="TMA22" s="252">
        <v>0</v>
      </c>
      <c r="TMB22" s="252">
        <v>0</v>
      </c>
      <c r="TMC22" s="252">
        <v>0</v>
      </c>
      <c r="TMD22" s="252">
        <v>0</v>
      </c>
      <c r="TME22" s="252">
        <v>0</v>
      </c>
      <c r="TMF22" s="252">
        <v>0</v>
      </c>
      <c r="TMG22" s="252">
        <v>0</v>
      </c>
      <c r="TMH22" s="252">
        <v>0</v>
      </c>
      <c r="TMI22" s="252">
        <v>0</v>
      </c>
      <c r="TMJ22" s="252">
        <v>0</v>
      </c>
      <c r="TMK22" s="252">
        <v>0</v>
      </c>
      <c r="TML22" s="252">
        <v>0</v>
      </c>
      <c r="TMM22" s="252">
        <v>0</v>
      </c>
      <c r="TMN22" s="252">
        <v>0</v>
      </c>
      <c r="TMO22" s="252">
        <v>0</v>
      </c>
      <c r="TMP22" s="252">
        <v>0</v>
      </c>
      <c r="TMQ22" s="252">
        <v>0</v>
      </c>
      <c r="TMR22" s="252">
        <v>0</v>
      </c>
      <c r="TMS22" s="252">
        <v>0</v>
      </c>
      <c r="TMT22" s="252">
        <v>0</v>
      </c>
      <c r="TMU22" s="252">
        <v>0</v>
      </c>
      <c r="TMV22" s="252">
        <v>0</v>
      </c>
      <c r="TMW22" s="252">
        <v>0</v>
      </c>
      <c r="TMX22" s="252">
        <v>0</v>
      </c>
      <c r="TMY22" s="252">
        <v>0</v>
      </c>
      <c r="TMZ22" s="252">
        <v>0</v>
      </c>
      <c r="TNA22" s="252">
        <v>0</v>
      </c>
      <c r="TNB22" s="252">
        <v>0</v>
      </c>
      <c r="TNC22" s="252">
        <v>0</v>
      </c>
      <c r="TND22" s="252">
        <v>0</v>
      </c>
      <c r="TNE22" s="252">
        <v>0</v>
      </c>
      <c r="TNF22" s="252">
        <v>0</v>
      </c>
      <c r="TNG22" s="252">
        <v>0</v>
      </c>
      <c r="TNH22" s="252">
        <v>0</v>
      </c>
      <c r="TNI22" s="252">
        <v>0</v>
      </c>
      <c r="TNJ22" s="252">
        <v>0</v>
      </c>
      <c r="TNK22" s="252">
        <v>0</v>
      </c>
      <c r="TNL22" s="252">
        <v>0</v>
      </c>
      <c r="TNM22" s="252">
        <v>0</v>
      </c>
      <c r="TNN22" s="252">
        <v>0</v>
      </c>
      <c r="TNO22" s="252">
        <v>0</v>
      </c>
      <c r="TNP22" s="252">
        <v>0</v>
      </c>
      <c r="TNQ22" s="252">
        <v>0</v>
      </c>
      <c r="TNR22" s="252">
        <v>0</v>
      </c>
      <c r="TNS22" s="252">
        <v>0</v>
      </c>
      <c r="TNT22" s="252">
        <v>0</v>
      </c>
      <c r="TNU22" s="252">
        <v>0</v>
      </c>
      <c r="TNV22" s="252">
        <v>0</v>
      </c>
      <c r="TNW22" s="252">
        <v>0</v>
      </c>
      <c r="TNX22" s="252">
        <v>0</v>
      </c>
      <c r="TNY22" s="252">
        <v>0</v>
      </c>
      <c r="TNZ22" s="252">
        <v>0</v>
      </c>
      <c r="TOA22" s="252">
        <v>0</v>
      </c>
      <c r="TOB22" s="252">
        <v>0</v>
      </c>
      <c r="TOC22" s="252">
        <v>0</v>
      </c>
      <c r="TOD22" s="252">
        <v>0</v>
      </c>
      <c r="TOE22" s="252">
        <v>0</v>
      </c>
      <c r="TOF22" s="252">
        <v>0</v>
      </c>
      <c r="TOG22" s="252">
        <v>0</v>
      </c>
      <c r="TOH22" s="252">
        <v>0</v>
      </c>
      <c r="TOI22" s="252">
        <v>0</v>
      </c>
      <c r="TOJ22" s="252">
        <v>0</v>
      </c>
      <c r="TOK22" s="252">
        <v>0</v>
      </c>
      <c r="TOL22" s="252">
        <v>0</v>
      </c>
      <c r="TOM22" s="252">
        <v>0</v>
      </c>
      <c r="TON22" s="252">
        <v>0</v>
      </c>
      <c r="TOO22" s="252">
        <v>0</v>
      </c>
      <c r="TOP22" s="252">
        <v>0</v>
      </c>
      <c r="TOQ22" s="252">
        <v>0</v>
      </c>
      <c r="TOR22" s="252">
        <v>0</v>
      </c>
      <c r="TOS22" s="252">
        <v>0</v>
      </c>
      <c r="TOT22" s="252">
        <v>0</v>
      </c>
      <c r="TOU22" s="252">
        <v>0</v>
      </c>
      <c r="TOV22" s="252">
        <v>0</v>
      </c>
      <c r="TOW22" s="252">
        <v>0</v>
      </c>
      <c r="TOX22" s="252">
        <v>0</v>
      </c>
      <c r="TOY22" s="252">
        <v>0</v>
      </c>
      <c r="TOZ22" s="252">
        <v>0</v>
      </c>
      <c r="TPA22" s="252">
        <v>0</v>
      </c>
      <c r="TPB22" s="252">
        <v>0</v>
      </c>
      <c r="TPC22" s="252">
        <v>0</v>
      </c>
      <c r="TPD22" s="252">
        <v>0</v>
      </c>
      <c r="TPE22" s="252">
        <v>0</v>
      </c>
      <c r="TPF22" s="252">
        <v>0</v>
      </c>
      <c r="TPG22" s="252">
        <v>0</v>
      </c>
      <c r="TPH22" s="252">
        <v>0</v>
      </c>
      <c r="TPI22" s="252">
        <v>0</v>
      </c>
      <c r="TPJ22" s="252">
        <v>0</v>
      </c>
      <c r="TPK22" s="252">
        <v>0</v>
      </c>
      <c r="TPL22" s="252">
        <v>0</v>
      </c>
      <c r="TPM22" s="252">
        <v>0</v>
      </c>
      <c r="TPN22" s="252">
        <v>0</v>
      </c>
      <c r="TPO22" s="252">
        <v>0</v>
      </c>
      <c r="TPP22" s="252">
        <v>0</v>
      </c>
      <c r="TPQ22" s="252">
        <v>0</v>
      </c>
      <c r="TPR22" s="252">
        <v>0</v>
      </c>
      <c r="TPS22" s="252">
        <v>0</v>
      </c>
      <c r="TPT22" s="252">
        <v>0</v>
      </c>
      <c r="TPU22" s="252">
        <v>0</v>
      </c>
      <c r="TPV22" s="252">
        <v>0</v>
      </c>
      <c r="TPW22" s="252">
        <v>0</v>
      </c>
      <c r="TPX22" s="252">
        <v>0</v>
      </c>
      <c r="TPY22" s="252">
        <v>0</v>
      </c>
      <c r="TPZ22" s="252">
        <v>0</v>
      </c>
      <c r="TQA22" s="252">
        <v>0</v>
      </c>
      <c r="TQB22" s="252">
        <v>0</v>
      </c>
      <c r="TQC22" s="252">
        <v>0</v>
      </c>
      <c r="TQD22" s="252">
        <v>0</v>
      </c>
      <c r="TQE22" s="252">
        <v>0</v>
      </c>
      <c r="TQF22" s="252">
        <v>0</v>
      </c>
      <c r="TQG22" s="252">
        <v>0</v>
      </c>
      <c r="TQH22" s="252">
        <v>0</v>
      </c>
      <c r="TQI22" s="252">
        <v>0</v>
      </c>
      <c r="TQJ22" s="252">
        <v>0</v>
      </c>
      <c r="TQK22" s="252">
        <v>0</v>
      </c>
      <c r="TQL22" s="252">
        <v>0</v>
      </c>
      <c r="TQM22" s="252">
        <v>0</v>
      </c>
      <c r="TQN22" s="252">
        <v>0</v>
      </c>
      <c r="TQO22" s="252">
        <v>0</v>
      </c>
      <c r="TQP22" s="252">
        <v>0</v>
      </c>
      <c r="TQQ22" s="252">
        <v>0</v>
      </c>
      <c r="TQR22" s="252">
        <v>0</v>
      </c>
      <c r="TQS22" s="252">
        <v>0</v>
      </c>
      <c r="TQT22" s="252">
        <v>0</v>
      </c>
      <c r="TQU22" s="252">
        <v>0</v>
      </c>
      <c r="TQV22" s="252">
        <v>0</v>
      </c>
      <c r="TQW22" s="252">
        <v>0</v>
      </c>
      <c r="TQX22" s="252">
        <v>0</v>
      </c>
      <c r="TQY22" s="252">
        <v>0</v>
      </c>
      <c r="TQZ22" s="252">
        <v>0</v>
      </c>
      <c r="TRA22" s="252">
        <v>0</v>
      </c>
      <c r="TRB22" s="252">
        <v>0</v>
      </c>
      <c r="TRC22" s="252">
        <v>0</v>
      </c>
      <c r="TRD22" s="252">
        <v>0</v>
      </c>
      <c r="TRE22" s="252">
        <v>0</v>
      </c>
      <c r="TRF22" s="252">
        <v>0</v>
      </c>
      <c r="TRG22" s="252">
        <v>0</v>
      </c>
      <c r="TRH22" s="252">
        <v>0</v>
      </c>
      <c r="TRI22" s="252">
        <v>0</v>
      </c>
      <c r="TRJ22" s="252">
        <v>0</v>
      </c>
      <c r="TRK22" s="252">
        <v>0</v>
      </c>
      <c r="TRL22" s="252">
        <v>0</v>
      </c>
      <c r="TRM22" s="252">
        <v>0</v>
      </c>
      <c r="TRN22" s="252">
        <v>0</v>
      </c>
      <c r="TRO22" s="252">
        <v>0</v>
      </c>
      <c r="TRP22" s="252">
        <v>0</v>
      </c>
      <c r="TRQ22" s="252">
        <v>0</v>
      </c>
      <c r="TRR22" s="252">
        <v>0</v>
      </c>
      <c r="TRS22" s="252">
        <v>0</v>
      </c>
      <c r="TRT22" s="252">
        <v>0</v>
      </c>
      <c r="TRU22" s="252">
        <v>0</v>
      </c>
      <c r="TRV22" s="252">
        <v>0</v>
      </c>
      <c r="TRW22" s="252">
        <v>0</v>
      </c>
      <c r="TRX22" s="252">
        <v>0</v>
      </c>
      <c r="TRY22" s="252">
        <v>0</v>
      </c>
      <c r="TRZ22" s="252">
        <v>0</v>
      </c>
      <c r="TSA22" s="252">
        <v>0</v>
      </c>
      <c r="TSB22" s="252">
        <v>0</v>
      </c>
      <c r="TSC22" s="252">
        <v>0</v>
      </c>
      <c r="TSD22" s="252">
        <v>0</v>
      </c>
      <c r="TSE22" s="252">
        <v>0</v>
      </c>
      <c r="TSF22" s="252">
        <v>0</v>
      </c>
      <c r="TSG22" s="252">
        <v>0</v>
      </c>
      <c r="TSH22" s="252">
        <v>0</v>
      </c>
      <c r="TSI22" s="252">
        <v>0</v>
      </c>
      <c r="TSJ22" s="252">
        <v>0</v>
      </c>
      <c r="TSK22" s="252">
        <v>0</v>
      </c>
      <c r="TSL22" s="252">
        <v>0</v>
      </c>
      <c r="TSM22" s="252">
        <v>0</v>
      </c>
      <c r="TSN22" s="252">
        <v>0</v>
      </c>
      <c r="TSO22" s="252">
        <v>0</v>
      </c>
      <c r="TSP22" s="252">
        <v>0</v>
      </c>
      <c r="TSQ22" s="252">
        <v>0</v>
      </c>
      <c r="TSR22" s="252">
        <v>0</v>
      </c>
      <c r="TSS22" s="252">
        <v>0</v>
      </c>
      <c r="TST22" s="252">
        <v>0</v>
      </c>
      <c r="TSU22" s="252">
        <v>0</v>
      </c>
      <c r="TSV22" s="252">
        <v>0</v>
      </c>
      <c r="TSW22" s="252">
        <v>0</v>
      </c>
      <c r="TSX22" s="252">
        <v>0</v>
      </c>
      <c r="TSY22" s="252">
        <v>0</v>
      </c>
      <c r="TSZ22" s="252">
        <v>0</v>
      </c>
      <c r="TTA22" s="252">
        <v>0</v>
      </c>
      <c r="TTB22" s="252">
        <v>0</v>
      </c>
      <c r="TTC22" s="252">
        <v>0</v>
      </c>
      <c r="TTD22" s="252">
        <v>0</v>
      </c>
      <c r="TTE22" s="252">
        <v>0</v>
      </c>
      <c r="TTF22" s="252">
        <v>0</v>
      </c>
      <c r="TTG22" s="252">
        <v>0</v>
      </c>
      <c r="TTH22" s="252">
        <v>0</v>
      </c>
      <c r="TTI22" s="252">
        <v>0</v>
      </c>
      <c r="TTJ22" s="252">
        <v>0</v>
      </c>
      <c r="TTK22" s="252">
        <v>0</v>
      </c>
      <c r="TTL22" s="252">
        <v>0</v>
      </c>
      <c r="TTM22" s="252">
        <v>0</v>
      </c>
      <c r="TTN22" s="252">
        <v>0</v>
      </c>
      <c r="TTO22" s="252">
        <v>0</v>
      </c>
      <c r="TTP22" s="252">
        <v>0</v>
      </c>
      <c r="TTQ22" s="252">
        <v>0</v>
      </c>
      <c r="TTR22" s="252">
        <v>0</v>
      </c>
      <c r="TTS22" s="252">
        <v>0</v>
      </c>
      <c r="TTT22" s="252">
        <v>0</v>
      </c>
      <c r="TTU22" s="252">
        <v>0</v>
      </c>
      <c r="TTV22" s="252">
        <v>0</v>
      </c>
      <c r="TTW22" s="252">
        <v>0</v>
      </c>
      <c r="TTX22" s="252">
        <v>0</v>
      </c>
      <c r="TTY22" s="252">
        <v>0</v>
      </c>
      <c r="TTZ22" s="252">
        <v>0</v>
      </c>
      <c r="TUA22" s="252">
        <v>0</v>
      </c>
      <c r="TUB22" s="252">
        <v>0</v>
      </c>
      <c r="TUC22" s="252">
        <v>0</v>
      </c>
      <c r="TUD22" s="252">
        <v>0</v>
      </c>
      <c r="TUE22" s="252">
        <v>0</v>
      </c>
      <c r="TUF22" s="252">
        <v>0</v>
      </c>
      <c r="TUG22" s="252">
        <v>0</v>
      </c>
      <c r="TUH22" s="252">
        <v>0</v>
      </c>
      <c r="TUI22" s="252">
        <v>0</v>
      </c>
      <c r="TUJ22" s="252">
        <v>0</v>
      </c>
      <c r="TUK22" s="252">
        <v>0</v>
      </c>
      <c r="TUL22" s="252">
        <v>0</v>
      </c>
      <c r="TUM22" s="252">
        <v>0</v>
      </c>
      <c r="TUN22" s="252">
        <v>0</v>
      </c>
      <c r="TUO22" s="252">
        <v>0</v>
      </c>
      <c r="TUP22" s="252">
        <v>0</v>
      </c>
      <c r="TUQ22" s="252">
        <v>0</v>
      </c>
      <c r="TUR22" s="252">
        <v>0</v>
      </c>
      <c r="TUS22" s="252">
        <v>0</v>
      </c>
      <c r="TUT22" s="252">
        <v>0</v>
      </c>
      <c r="TUU22" s="252">
        <v>0</v>
      </c>
      <c r="TUV22" s="252">
        <v>0</v>
      </c>
      <c r="TUW22" s="252">
        <v>0</v>
      </c>
      <c r="TUX22" s="252">
        <v>0</v>
      </c>
      <c r="TUY22" s="252">
        <v>0</v>
      </c>
      <c r="TUZ22" s="252">
        <v>0</v>
      </c>
      <c r="TVA22" s="252">
        <v>0</v>
      </c>
      <c r="TVB22" s="252">
        <v>0</v>
      </c>
      <c r="TVC22" s="252">
        <v>0</v>
      </c>
      <c r="TVD22" s="252">
        <v>0</v>
      </c>
      <c r="TVE22" s="252">
        <v>0</v>
      </c>
      <c r="TVF22" s="252">
        <v>0</v>
      </c>
      <c r="TVG22" s="252">
        <v>0</v>
      </c>
      <c r="TVH22" s="252">
        <v>0</v>
      </c>
      <c r="TVI22" s="252">
        <v>0</v>
      </c>
      <c r="TVJ22" s="252">
        <v>0</v>
      </c>
      <c r="TVK22" s="252">
        <v>0</v>
      </c>
      <c r="TVL22" s="252">
        <v>0</v>
      </c>
      <c r="TVM22" s="252">
        <v>0</v>
      </c>
      <c r="TVN22" s="252">
        <v>0</v>
      </c>
      <c r="TVO22" s="252">
        <v>0</v>
      </c>
      <c r="TVP22" s="252">
        <v>0</v>
      </c>
      <c r="TVQ22" s="252">
        <v>0</v>
      </c>
      <c r="TVR22" s="252">
        <v>0</v>
      </c>
      <c r="TVS22" s="252">
        <v>0</v>
      </c>
      <c r="TVT22" s="252">
        <v>0</v>
      </c>
      <c r="TVU22" s="252">
        <v>0</v>
      </c>
      <c r="TVV22" s="252">
        <v>0</v>
      </c>
      <c r="TVW22" s="252">
        <v>0</v>
      </c>
      <c r="TVX22" s="252">
        <v>0</v>
      </c>
      <c r="TVY22" s="252">
        <v>0</v>
      </c>
      <c r="TVZ22" s="252">
        <v>0</v>
      </c>
      <c r="TWA22" s="252">
        <v>0</v>
      </c>
      <c r="TWB22" s="252">
        <v>0</v>
      </c>
      <c r="TWC22" s="252">
        <v>0</v>
      </c>
      <c r="TWD22" s="252">
        <v>0</v>
      </c>
      <c r="TWE22" s="252">
        <v>0</v>
      </c>
      <c r="TWF22" s="252">
        <v>0</v>
      </c>
      <c r="TWG22" s="252">
        <v>0</v>
      </c>
      <c r="TWH22" s="252">
        <v>0</v>
      </c>
      <c r="TWI22" s="252">
        <v>0</v>
      </c>
      <c r="TWJ22" s="252">
        <v>0</v>
      </c>
      <c r="TWK22" s="252">
        <v>0</v>
      </c>
      <c r="TWL22" s="252">
        <v>0</v>
      </c>
      <c r="TWM22" s="252">
        <v>0</v>
      </c>
      <c r="TWN22" s="252">
        <v>0</v>
      </c>
      <c r="TWO22" s="252">
        <v>0</v>
      </c>
      <c r="TWP22" s="252">
        <v>0</v>
      </c>
      <c r="TWQ22" s="252">
        <v>0</v>
      </c>
      <c r="TWR22" s="252">
        <v>0</v>
      </c>
      <c r="TWS22" s="252">
        <v>0</v>
      </c>
      <c r="TWT22" s="252">
        <v>0</v>
      </c>
      <c r="TWU22" s="252">
        <v>0</v>
      </c>
      <c r="TWV22" s="252">
        <v>0</v>
      </c>
      <c r="TWW22" s="252">
        <v>0</v>
      </c>
      <c r="TWX22" s="252">
        <v>0</v>
      </c>
      <c r="TWY22" s="252">
        <v>0</v>
      </c>
      <c r="TWZ22" s="252">
        <v>0</v>
      </c>
      <c r="TXA22" s="252">
        <v>0</v>
      </c>
      <c r="TXB22" s="252">
        <v>0</v>
      </c>
      <c r="TXC22" s="252">
        <v>0</v>
      </c>
      <c r="TXD22" s="252">
        <v>0</v>
      </c>
      <c r="TXE22" s="252">
        <v>0</v>
      </c>
      <c r="TXF22" s="252">
        <v>0</v>
      </c>
      <c r="TXG22" s="252">
        <v>0</v>
      </c>
      <c r="TXH22" s="252">
        <v>0</v>
      </c>
      <c r="TXI22" s="252">
        <v>0</v>
      </c>
      <c r="TXJ22" s="252">
        <v>0</v>
      </c>
      <c r="TXK22" s="252">
        <v>0</v>
      </c>
      <c r="TXL22" s="252">
        <v>0</v>
      </c>
      <c r="TXM22" s="252">
        <v>0</v>
      </c>
      <c r="TXN22" s="252">
        <v>0</v>
      </c>
      <c r="TXO22" s="252">
        <v>0</v>
      </c>
      <c r="TXP22" s="252">
        <v>0</v>
      </c>
      <c r="TXQ22" s="252">
        <v>0</v>
      </c>
      <c r="TXR22" s="252">
        <v>0</v>
      </c>
      <c r="TXS22" s="252">
        <v>0</v>
      </c>
      <c r="TXT22" s="252">
        <v>0</v>
      </c>
      <c r="TXU22" s="252">
        <v>0</v>
      </c>
      <c r="TXV22" s="252">
        <v>0</v>
      </c>
      <c r="TXW22" s="252">
        <v>0</v>
      </c>
      <c r="TXX22" s="252">
        <v>0</v>
      </c>
      <c r="TXY22" s="252">
        <v>0</v>
      </c>
      <c r="TXZ22" s="252">
        <v>0</v>
      </c>
      <c r="TYA22" s="252">
        <v>0</v>
      </c>
      <c r="TYB22" s="252">
        <v>0</v>
      </c>
      <c r="TYC22" s="252">
        <v>0</v>
      </c>
      <c r="TYD22" s="252">
        <v>0</v>
      </c>
      <c r="TYE22" s="252">
        <v>0</v>
      </c>
      <c r="TYF22" s="252">
        <v>0</v>
      </c>
      <c r="TYG22" s="252">
        <v>0</v>
      </c>
      <c r="TYH22" s="252">
        <v>0</v>
      </c>
      <c r="TYI22" s="252">
        <v>0</v>
      </c>
      <c r="TYJ22" s="252">
        <v>0</v>
      </c>
      <c r="TYK22" s="252">
        <v>0</v>
      </c>
      <c r="TYL22" s="252">
        <v>0</v>
      </c>
      <c r="TYM22" s="252">
        <v>0</v>
      </c>
      <c r="TYN22" s="252">
        <v>0</v>
      </c>
      <c r="TYO22" s="252">
        <v>0</v>
      </c>
      <c r="TYP22" s="252">
        <v>0</v>
      </c>
      <c r="TYQ22" s="252">
        <v>0</v>
      </c>
      <c r="TYR22" s="252">
        <v>0</v>
      </c>
      <c r="TYS22" s="252">
        <v>0</v>
      </c>
      <c r="TYT22" s="252">
        <v>0</v>
      </c>
      <c r="TYU22" s="252">
        <v>0</v>
      </c>
      <c r="TYV22" s="252">
        <v>0</v>
      </c>
      <c r="TYW22" s="252">
        <v>0</v>
      </c>
      <c r="TYX22" s="252">
        <v>0</v>
      </c>
      <c r="TYY22" s="252">
        <v>0</v>
      </c>
      <c r="TYZ22" s="252">
        <v>0</v>
      </c>
      <c r="TZA22" s="252">
        <v>0</v>
      </c>
      <c r="TZB22" s="252">
        <v>0</v>
      </c>
      <c r="TZC22" s="252">
        <v>0</v>
      </c>
      <c r="TZD22" s="252">
        <v>0</v>
      </c>
      <c r="TZE22" s="252">
        <v>0</v>
      </c>
      <c r="TZF22" s="252">
        <v>0</v>
      </c>
      <c r="TZG22" s="252">
        <v>0</v>
      </c>
      <c r="TZH22" s="252">
        <v>0</v>
      </c>
      <c r="TZI22" s="252">
        <v>0</v>
      </c>
      <c r="TZJ22" s="252">
        <v>0</v>
      </c>
      <c r="TZK22" s="252">
        <v>0</v>
      </c>
      <c r="TZL22" s="252">
        <v>0</v>
      </c>
      <c r="TZM22" s="252">
        <v>0</v>
      </c>
      <c r="TZN22" s="252">
        <v>0</v>
      </c>
      <c r="TZO22" s="252">
        <v>0</v>
      </c>
      <c r="TZP22" s="252">
        <v>0</v>
      </c>
      <c r="TZQ22" s="252">
        <v>0</v>
      </c>
      <c r="TZR22" s="252">
        <v>0</v>
      </c>
      <c r="TZS22" s="252">
        <v>0</v>
      </c>
      <c r="TZT22" s="252">
        <v>0</v>
      </c>
      <c r="TZU22" s="252">
        <v>0</v>
      </c>
      <c r="TZV22" s="252">
        <v>0</v>
      </c>
      <c r="TZW22" s="252">
        <v>0</v>
      </c>
      <c r="TZX22" s="252">
        <v>0</v>
      </c>
      <c r="TZY22" s="252">
        <v>0</v>
      </c>
      <c r="TZZ22" s="252">
        <v>0</v>
      </c>
      <c r="UAA22" s="252">
        <v>0</v>
      </c>
      <c r="UAB22" s="252">
        <v>0</v>
      </c>
      <c r="UAC22" s="252">
        <v>0</v>
      </c>
      <c r="UAD22" s="252">
        <v>0</v>
      </c>
      <c r="UAE22" s="252">
        <v>0</v>
      </c>
      <c r="UAF22" s="252">
        <v>0</v>
      </c>
      <c r="UAG22" s="252">
        <v>0</v>
      </c>
      <c r="UAH22" s="252">
        <v>0</v>
      </c>
      <c r="UAI22" s="252">
        <v>0</v>
      </c>
      <c r="UAJ22" s="252">
        <v>0</v>
      </c>
      <c r="UAK22" s="252">
        <v>0</v>
      </c>
      <c r="UAL22" s="252">
        <v>0</v>
      </c>
      <c r="UAM22" s="252">
        <v>0</v>
      </c>
      <c r="UAN22" s="252">
        <v>0</v>
      </c>
      <c r="UAO22" s="252">
        <v>0</v>
      </c>
      <c r="UAP22" s="252">
        <v>0</v>
      </c>
      <c r="UAQ22" s="252">
        <v>0</v>
      </c>
      <c r="UAR22" s="252">
        <v>0</v>
      </c>
      <c r="UAS22" s="252">
        <v>0</v>
      </c>
      <c r="UAT22" s="252">
        <v>0</v>
      </c>
      <c r="UAU22" s="252">
        <v>0</v>
      </c>
      <c r="UAV22" s="252">
        <v>0</v>
      </c>
      <c r="UAW22" s="252">
        <v>0</v>
      </c>
      <c r="UAX22" s="252">
        <v>0</v>
      </c>
      <c r="UAY22" s="252">
        <v>0</v>
      </c>
      <c r="UAZ22" s="252">
        <v>0</v>
      </c>
      <c r="UBA22" s="252">
        <v>0</v>
      </c>
      <c r="UBB22" s="252">
        <v>0</v>
      </c>
      <c r="UBC22" s="252">
        <v>0</v>
      </c>
      <c r="UBD22" s="252">
        <v>0</v>
      </c>
      <c r="UBE22" s="252">
        <v>0</v>
      </c>
      <c r="UBF22" s="252">
        <v>0</v>
      </c>
      <c r="UBG22" s="252">
        <v>0</v>
      </c>
      <c r="UBH22" s="252">
        <v>0</v>
      </c>
      <c r="UBI22" s="252">
        <v>0</v>
      </c>
      <c r="UBJ22" s="252">
        <v>0</v>
      </c>
      <c r="UBK22" s="252">
        <v>0</v>
      </c>
      <c r="UBL22" s="252">
        <v>0</v>
      </c>
      <c r="UBM22" s="252">
        <v>0</v>
      </c>
      <c r="UBN22" s="252">
        <v>0</v>
      </c>
      <c r="UBO22" s="252">
        <v>0</v>
      </c>
      <c r="UBP22" s="252">
        <v>0</v>
      </c>
      <c r="UBQ22" s="252">
        <v>0</v>
      </c>
      <c r="UBR22" s="252">
        <v>0</v>
      </c>
      <c r="UBS22" s="252">
        <v>0</v>
      </c>
      <c r="UBT22" s="252">
        <v>0</v>
      </c>
      <c r="UBU22" s="252">
        <v>0</v>
      </c>
      <c r="UBV22" s="252">
        <v>0</v>
      </c>
      <c r="UBW22" s="252">
        <v>0</v>
      </c>
      <c r="UBX22" s="252">
        <v>0</v>
      </c>
      <c r="UBY22" s="252">
        <v>0</v>
      </c>
      <c r="UBZ22" s="252">
        <v>0</v>
      </c>
      <c r="UCA22" s="252">
        <v>0</v>
      </c>
      <c r="UCB22" s="252">
        <v>0</v>
      </c>
      <c r="UCC22" s="252">
        <v>0</v>
      </c>
      <c r="UCD22" s="252">
        <v>0</v>
      </c>
      <c r="UCE22" s="252">
        <v>0</v>
      </c>
      <c r="UCF22" s="252">
        <v>0</v>
      </c>
      <c r="UCG22" s="252">
        <v>0</v>
      </c>
      <c r="UCH22" s="252">
        <v>0</v>
      </c>
      <c r="UCI22" s="252">
        <v>0</v>
      </c>
      <c r="UCJ22" s="252">
        <v>0</v>
      </c>
      <c r="UCK22" s="252">
        <v>0</v>
      </c>
      <c r="UCL22" s="252">
        <v>0</v>
      </c>
      <c r="UCM22" s="252">
        <v>0</v>
      </c>
      <c r="UCN22" s="252">
        <v>0</v>
      </c>
      <c r="UCO22" s="252">
        <v>0</v>
      </c>
      <c r="UCP22" s="252">
        <v>0</v>
      </c>
      <c r="UCQ22" s="252">
        <v>0</v>
      </c>
      <c r="UCR22" s="252">
        <v>0</v>
      </c>
      <c r="UCS22" s="252">
        <v>0</v>
      </c>
      <c r="UCT22" s="252">
        <v>0</v>
      </c>
      <c r="UCU22" s="252">
        <v>0</v>
      </c>
      <c r="UCV22" s="252">
        <v>0</v>
      </c>
      <c r="UCW22" s="252">
        <v>0</v>
      </c>
      <c r="UCX22" s="252">
        <v>0</v>
      </c>
      <c r="UCY22" s="252">
        <v>0</v>
      </c>
      <c r="UCZ22" s="252">
        <v>0</v>
      </c>
      <c r="UDA22" s="252">
        <v>0</v>
      </c>
      <c r="UDB22" s="252">
        <v>0</v>
      </c>
      <c r="UDC22" s="252">
        <v>0</v>
      </c>
      <c r="UDD22" s="252">
        <v>0</v>
      </c>
      <c r="UDE22" s="252">
        <v>0</v>
      </c>
      <c r="UDF22" s="252">
        <v>0</v>
      </c>
      <c r="UDG22" s="252">
        <v>0</v>
      </c>
      <c r="UDH22" s="252">
        <v>0</v>
      </c>
      <c r="UDI22" s="252">
        <v>0</v>
      </c>
      <c r="UDJ22" s="252">
        <v>0</v>
      </c>
      <c r="UDK22" s="252">
        <v>0</v>
      </c>
      <c r="UDL22" s="252">
        <v>0</v>
      </c>
      <c r="UDM22" s="252">
        <v>0</v>
      </c>
      <c r="UDN22" s="252">
        <v>0</v>
      </c>
      <c r="UDO22" s="252">
        <v>0</v>
      </c>
      <c r="UDP22" s="252">
        <v>0</v>
      </c>
      <c r="UDQ22" s="252">
        <v>0</v>
      </c>
      <c r="UDR22" s="252">
        <v>0</v>
      </c>
      <c r="UDS22" s="252">
        <v>0</v>
      </c>
      <c r="UDT22" s="252">
        <v>0</v>
      </c>
      <c r="UDU22" s="252">
        <v>0</v>
      </c>
      <c r="UDV22" s="252">
        <v>0</v>
      </c>
      <c r="UDW22" s="252">
        <v>0</v>
      </c>
      <c r="UDX22" s="252">
        <v>0</v>
      </c>
      <c r="UDY22" s="252">
        <v>0</v>
      </c>
      <c r="UDZ22" s="252">
        <v>0</v>
      </c>
      <c r="UEA22" s="252">
        <v>0</v>
      </c>
      <c r="UEB22" s="252">
        <v>0</v>
      </c>
      <c r="UEC22" s="252">
        <v>0</v>
      </c>
      <c r="UED22" s="252">
        <v>0</v>
      </c>
      <c r="UEE22" s="252">
        <v>0</v>
      </c>
      <c r="UEF22" s="252">
        <v>0</v>
      </c>
      <c r="UEG22" s="252">
        <v>0</v>
      </c>
      <c r="UEH22" s="252">
        <v>0</v>
      </c>
      <c r="UEI22" s="252">
        <v>0</v>
      </c>
      <c r="UEJ22" s="252">
        <v>0</v>
      </c>
      <c r="UEK22" s="252">
        <v>0</v>
      </c>
      <c r="UEL22" s="252">
        <v>0</v>
      </c>
      <c r="UEM22" s="252">
        <v>0</v>
      </c>
      <c r="UEN22" s="252">
        <v>0</v>
      </c>
      <c r="UEO22" s="252">
        <v>0</v>
      </c>
      <c r="UEP22" s="252">
        <v>0</v>
      </c>
      <c r="UEQ22" s="252">
        <v>0</v>
      </c>
      <c r="UER22" s="252">
        <v>0</v>
      </c>
      <c r="UES22" s="252">
        <v>0</v>
      </c>
      <c r="UET22" s="252">
        <v>0</v>
      </c>
      <c r="UEU22" s="252">
        <v>0</v>
      </c>
      <c r="UEV22" s="252">
        <v>0</v>
      </c>
      <c r="UEW22" s="252">
        <v>0</v>
      </c>
      <c r="UEX22" s="252">
        <v>0</v>
      </c>
      <c r="UEY22" s="252">
        <v>0</v>
      </c>
      <c r="UEZ22" s="252">
        <v>0</v>
      </c>
      <c r="UFA22" s="252">
        <v>0</v>
      </c>
      <c r="UFB22" s="252">
        <v>0</v>
      </c>
      <c r="UFC22" s="252">
        <v>0</v>
      </c>
      <c r="UFD22" s="252">
        <v>0</v>
      </c>
      <c r="UFE22" s="252">
        <v>0</v>
      </c>
      <c r="UFF22" s="252">
        <v>0</v>
      </c>
      <c r="UFG22" s="252">
        <v>0</v>
      </c>
      <c r="UFH22" s="252">
        <v>0</v>
      </c>
      <c r="UFI22" s="252">
        <v>0</v>
      </c>
      <c r="UFJ22" s="252">
        <v>0</v>
      </c>
      <c r="UFK22" s="252">
        <v>0</v>
      </c>
      <c r="UFL22" s="252">
        <v>0</v>
      </c>
      <c r="UFM22" s="252">
        <v>0</v>
      </c>
      <c r="UFN22" s="252">
        <v>0</v>
      </c>
      <c r="UFO22" s="252">
        <v>0</v>
      </c>
      <c r="UFP22" s="252">
        <v>0</v>
      </c>
      <c r="UFQ22" s="252">
        <v>0</v>
      </c>
      <c r="UFR22" s="252">
        <v>0</v>
      </c>
      <c r="UFS22" s="252">
        <v>0</v>
      </c>
      <c r="UFT22" s="252">
        <v>0</v>
      </c>
      <c r="UFU22" s="252">
        <v>0</v>
      </c>
      <c r="UFV22" s="252">
        <v>0</v>
      </c>
      <c r="UFW22" s="252">
        <v>0</v>
      </c>
      <c r="UFX22" s="252">
        <v>0</v>
      </c>
      <c r="UFY22" s="252">
        <v>0</v>
      </c>
      <c r="UFZ22" s="252">
        <v>0</v>
      </c>
      <c r="UGA22" s="252">
        <v>0</v>
      </c>
      <c r="UGB22" s="252">
        <v>0</v>
      </c>
      <c r="UGC22" s="252">
        <v>0</v>
      </c>
      <c r="UGD22" s="252">
        <v>0</v>
      </c>
      <c r="UGE22" s="252">
        <v>0</v>
      </c>
      <c r="UGF22" s="252">
        <v>0</v>
      </c>
      <c r="UGG22" s="252">
        <v>0</v>
      </c>
      <c r="UGH22" s="252">
        <v>0</v>
      </c>
      <c r="UGI22" s="252">
        <v>0</v>
      </c>
      <c r="UGJ22" s="252">
        <v>0</v>
      </c>
      <c r="UGK22" s="252">
        <v>0</v>
      </c>
      <c r="UGL22" s="252">
        <v>0</v>
      </c>
      <c r="UGM22" s="252">
        <v>0</v>
      </c>
      <c r="UGN22" s="252">
        <v>0</v>
      </c>
      <c r="UGO22" s="252">
        <v>0</v>
      </c>
      <c r="UGP22" s="252">
        <v>0</v>
      </c>
      <c r="UGQ22" s="252">
        <v>0</v>
      </c>
      <c r="UGR22" s="252">
        <v>0</v>
      </c>
      <c r="UGS22" s="252">
        <v>0</v>
      </c>
      <c r="UGT22" s="252">
        <v>0</v>
      </c>
      <c r="UGU22" s="252">
        <v>0</v>
      </c>
      <c r="UGV22" s="252">
        <v>0</v>
      </c>
      <c r="UGW22" s="252">
        <v>0</v>
      </c>
      <c r="UGX22" s="252">
        <v>0</v>
      </c>
      <c r="UGY22" s="252">
        <v>0</v>
      </c>
      <c r="UGZ22" s="252">
        <v>0</v>
      </c>
      <c r="UHA22" s="252">
        <v>0</v>
      </c>
      <c r="UHB22" s="252">
        <v>0</v>
      </c>
      <c r="UHC22" s="252">
        <v>0</v>
      </c>
      <c r="UHD22" s="252">
        <v>0</v>
      </c>
      <c r="UHE22" s="252">
        <v>0</v>
      </c>
      <c r="UHF22" s="252">
        <v>0</v>
      </c>
      <c r="UHG22" s="252">
        <v>0</v>
      </c>
      <c r="UHH22" s="252">
        <v>0</v>
      </c>
      <c r="UHI22" s="252">
        <v>0</v>
      </c>
      <c r="UHJ22" s="252">
        <v>0</v>
      </c>
      <c r="UHK22" s="252">
        <v>0</v>
      </c>
      <c r="UHL22" s="252">
        <v>0</v>
      </c>
      <c r="UHM22" s="252">
        <v>0</v>
      </c>
      <c r="UHN22" s="252">
        <v>0</v>
      </c>
      <c r="UHO22" s="252">
        <v>0</v>
      </c>
      <c r="UHP22" s="252">
        <v>0</v>
      </c>
      <c r="UHQ22" s="252">
        <v>0</v>
      </c>
      <c r="UHR22" s="252">
        <v>0</v>
      </c>
      <c r="UHS22" s="252">
        <v>0</v>
      </c>
      <c r="UHT22" s="252">
        <v>0</v>
      </c>
      <c r="UHU22" s="252">
        <v>0</v>
      </c>
      <c r="UHV22" s="252">
        <v>0</v>
      </c>
      <c r="UHW22" s="252">
        <v>0</v>
      </c>
      <c r="UHX22" s="252">
        <v>0</v>
      </c>
      <c r="UHY22" s="252">
        <v>0</v>
      </c>
      <c r="UHZ22" s="252">
        <v>0</v>
      </c>
      <c r="UIA22" s="252">
        <v>0</v>
      </c>
      <c r="UIB22" s="252">
        <v>0</v>
      </c>
      <c r="UIC22" s="252">
        <v>0</v>
      </c>
      <c r="UID22" s="252">
        <v>0</v>
      </c>
      <c r="UIE22" s="252">
        <v>0</v>
      </c>
      <c r="UIF22" s="252">
        <v>0</v>
      </c>
      <c r="UIG22" s="252">
        <v>0</v>
      </c>
      <c r="UIH22" s="252">
        <v>0</v>
      </c>
      <c r="UII22" s="252">
        <v>0</v>
      </c>
      <c r="UIJ22" s="252">
        <v>0</v>
      </c>
      <c r="UIK22" s="252">
        <v>0</v>
      </c>
      <c r="UIL22" s="252">
        <v>0</v>
      </c>
      <c r="UIM22" s="252">
        <v>0</v>
      </c>
      <c r="UIN22" s="252">
        <v>0</v>
      </c>
      <c r="UIO22" s="252">
        <v>0</v>
      </c>
      <c r="UIP22" s="252">
        <v>0</v>
      </c>
      <c r="UIQ22" s="252">
        <v>0</v>
      </c>
      <c r="UIR22" s="252">
        <v>0</v>
      </c>
      <c r="UIS22" s="252">
        <v>0</v>
      </c>
      <c r="UIT22" s="252">
        <v>0</v>
      </c>
      <c r="UIU22" s="252">
        <v>0</v>
      </c>
      <c r="UIV22" s="252">
        <v>0</v>
      </c>
      <c r="UIW22" s="252">
        <v>0</v>
      </c>
      <c r="UIX22" s="252">
        <v>0</v>
      </c>
      <c r="UIY22" s="252">
        <v>0</v>
      </c>
      <c r="UIZ22" s="252">
        <v>0</v>
      </c>
      <c r="UJA22" s="252">
        <v>0</v>
      </c>
      <c r="UJB22" s="252">
        <v>0</v>
      </c>
      <c r="UJC22" s="252">
        <v>0</v>
      </c>
      <c r="UJD22" s="252">
        <v>0</v>
      </c>
      <c r="UJE22" s="252">
        <v>0</v>
      </c>
      <c r="UJF22" s="252">
        <v>0</v>
      </c>
      <c r="UJG22" s="252">
        <v>0</v>
      </c>
      <c r="UJH22" s="252">
        <v>0</v>
      </c>
      <c r="UJI22" s="252">
        <v>0</v>
      </c>
      <c r="UJJ22" s="252">
        <v>0</v>
      </c>
      <c r="UJK22" s="252">
        <v>0</v>
      </c>
      <c r="UJL22" s="252">
        <v>0</v>
      </c>
      <c r="UJM22" s="252">
        <v>0</v>
      </c>
      <c r="UJN22" s="252">
        <v>0</v>
      </c>
      <c r="UJO22" s="252">
        <v>0</v>
      </c>
      <c r="UJP22" s="252">
        <v>0</v>
      </c>
      <c r="UJQ22" s="252">
        <v>0</v>
      </c>
      <c r="UJR22" s="252">
        <v>0</v>
      </c>
      <c r="UJS22" s="252">
        <v>0</v>
      </c>
      <c r="UJT22" s="252">
        <v>0</v>
      </c>
      <c r="UJU22" s="252">
        <v>0</v>
      </c>
      <c r="UJV22" s="252">
        <v>0</v>
      </c>
      <c r="UJW22" s="252">
        <v>0</v>
      </c>
      <c r="UJX22" s="252">
        <v>0</v>
      </c>
      <c r="UJY22" s="252">
        <v>0</v>
      </c>
      <c r="UJZ22" s="252">
        <v>0</v>
      </c>
      <c r="UKA22" s="252">
        <v>0</v>
      </c>
      <c r="UKB22" s="252">
        <v>0</v>
      </c>
      <c r="UKC22" s="252">
        <v>0</v>
      </c>
      <c r="UKD22" s="252">
        <v>0</v>
      </c>
      <c r="UKE22" s="252">
        <v>0</v>
      </c>
      <c r="UKF22" s="252">
        <v>0</v>
      </c>
      <c r="UKG22" s="252">
        <v>0</v>
      </c>
      <c r="UKH22" s="252">
        <v>0</v>
      </c>
      <c r="UKI22" s="252">
        <v>0</v>
      </c>
      <c r="UKJ22" s="252">
        <v>0</v>
      </c>
      <c r="UKK22" s="252">
        <v>0</v>
      </c>
      <c r="UKL22" s="252">
        <v>0</v>
      </c>
      <c r="UKM22" s="252">
        <v>0</v>
      </c>
      <c r="UKN22" s="252">
        <v>0</v>
      </c>
      <c r="UKO22" s="252">
        <v>0</v>
      </c>
      <c r="UKP22" s="252">
        <v>0</v>
      </c>
      <c r="UKQ22" s="252">
        <v>0</v>
      </c>
      <c r="UKR22" s="252">
        <v>0</v>
      </c>
      <c r="UKS22" s="252">
        <v>0</v>
      </c>
      <c r="UKT22" s="252">
        <v>0</v>
      </c>
      <c r="UKU22" s="252">
        <v>0</v>
      </c>
      <c r="UKV22" s="252">
        <v>0</v>
      </c>
      <c r="UKW22" s="252">
        <v>0</v>
      </c>
      <c r="UKX22" s="252">
        <v>0</v>
      </c>
      <c r="UKY22" s="252">
        <v>0</v>
      </c>
      <c r="UKZ22" s="252">
        <v>0</v>
      </c>
      <c r="ULA22" s="252">
        <v>0</v>
      </c>
      <c r="ULB22" s="252">
        <v>0</v>
      </c>
      <c r="ULC22" s="252">
        <v>0</v>
      </c>
      <c r="ULD22" s="252">
        <v>0</v>
      </c>
      <c r="ULE22" s="252">
        <v>0</v>
      </c>
      <c r="ULF22" s="252">
        <v>0</v>
      </c>
      <c r="ULG22" s="252">
        <v>0</v>
      </c>
      <c r="ULH22" s="252">
        <v>0</v>
      </c>
      <c r="ULI22" s="252">
        <v>0</v>
      </c>
      <c r="ULJ22" s="252">
        <v>0</v>
      </c>
      <c r="ULK22" s="252">
        <v>0</v>
      </c>
      <c r="ULL22" s="252">
        <v>0</v>
      </c>
      <c r="ULM22" s="252">
        <v>0</v>
      </c>
      <c r="ULN22" s="252">
        <v>0</v>
      </c>
      <c r="ULO22" s="252">
        <v>0</v>
      </c>
      <c r="ULP22" s="252">
        <v>0</v>
      </c>
      <c r="ULQ22" s="252">
        <v>0</v>
      </c>
      <c r="ULR22" s="252">
        <v>0</v>
      </c>
      <c r="ULS22" s="252">
        <v>0</v>
      </c>
      <c r="ULT22" s="252">
        <v>0</v>
      </c>
      <c r="ULU22" s="252">
        <v>0</v>
      </c>
      <c r="ULV22" s="252">
        <v>0</v>
      </c>
      <c r="ULW22" s="252">
        <v>0</v>
      </c>
      <c r="ULX22" s="252">
        <v>0</v>
      </c>
      <c r="ULY22" s="252">
        <v>0</v>
      </c>
      <c r="ULZ22" s="252">
        <v>0</v>
      </c>
      <c r="UMA22" s="252">
        <v>0</v>
      </c>
      <c r="UMB22" s="252">
        <v>0</v>
      </c>
      <c r="UMC22" s="252">
        <v>0</v>
      </c>
      <c r="UMD22" s="252">
        <v>0</v>
      </c>
      <c r="UME22" s="252">
        <v>0</v>
      </c>
      <c r="UMF22" s="252">
        <v>0</v>
      </c>
      <c r="UMG22" s="252">
        <v>0</v>
      </c>
      <c r="UMH22" s="252">
        <v>0</v>
      </c>
      <c r="UMI22" s="252">
        <v>0</v>
      </c>
      <c r="UMJ22" s="252">
        <v>0</v>
      </c>
      <c r="UMK22" s="252">
        <v>0</v>
      </c>
      <c r="UML22" s="252">
        <v>0</v>
      </c>
      <c r="UMM22" s="252">
        <v>0</v>
      </c>
      <c r="UMN22" s="252">
        <v>0</v>
      </c>
      <c r="UMO22" s="252">
        <v>0</v>
      </c>
      <c r="UMP22" s="252">
        <v>0</v>
      </c>
      <c r="UMQ22" s="252">
        <v>0</v>
      </c>
      <c r="UMR22" s="252">
        <v>0</v>
      </c>
      <c r="UMS22" s="252">
        <v>0</v>
      </c>
      <c r="UMT22" s="252">
        <v>0</v>
      </c>
      <c r="UMU22" s="252">
        <v>0</v>
      </c>
      <c r="UMV22" s="252">
        <v>0</v>
      </c>
      <c r="UMW22" s="252">
        <v>0</v>
      </c>
      <c r="UMX22" s="252">
        <v>0</v>
      </c>
      <c r="UMY22" s="252">
        <v>0</v>
      </c>
      <c r="UMZ22" s="252">
        <v>0</v>
      </c>
      <c r="UNA22" s="252">
        <v>0</v>
      </c>
      <c r="UNB22" s="252">
        <v>0</v>
      </c>
      <c r="UNC22" s="252">
        <v>0</v>
      </c>
      <c r="UND22" s="252">
        <v>0</v>
      </c>
      <c r="UNE22" s="252">
        <v>0</v>
      </c>
      <c r="UNF22" s="252">
        <v>0</v>
      </c>
      <c r="UNG22" s="252">
        <v>0</v>
      </c>
      <c r="UNH22" s="252">
        <v>0</v>
      </c>
      <c r="UNI22" s="252">
        <v>0</v>
      </c>
      <c r="UNJ22" s="252">
        <v>0</v>
      </c>
      <c r="UNK22" s="252">
        <v>0</v>
      </c>
      <c r="UNL22" s="252">
        <v>0</v>
      </c>
      <c r="UNM22" s="252">
        <v>0</v>
      </c>
      <c r="UNN22" s="252">
        <v>0</v>
      </c>
      <c r="UNO22" s="252">
        <v>0</v>
      </c>
      <c r="UNP22" s="252">
        <v>0</v>
      </c>
      <c r="UNQ22" s="252">
        <v>0</v>
      </c>
      <c r="UNR22" s="252">
        <v>0</v>
      </c>
      <c r="UNS22" s="252">
        <v>0</v>
      </c>
      <c r="UNT22" s="252">
        <v>0</v>
      </c>
      <c r="UNU22" s="252">
        <v>0</v>
      </c>
      <c r="UNV22" s="252">
        <v>0</v>
      </c>
      <c r="UNW22" s="252">
        <v>0</v>
      </c>
      <c r="UNX22" s="252">
        <v>0</v>
      </c>
      <c r="UNY22" s="252">
        <v>0</v>
      </c>
      <c r="UNZ22" s="252">
        <v>0</v>
      </c>
      <c r="UOA22" s="252">
        <v>0</v>
      </c>
      <c r="UOB22" s="252">
        <v>0</v>
      </c>
      <c r="UOC22" s="252">
        <v>0</v>
      </c>
      <c r="UOD22" s="252">
        <v>0</v>
      </c>
      <c r="UOE22" s="252">
        <v>0</v>
      </c>
      <c r="UOF22" s="252">
        <v>0</v>
      </c>
      <c r="UOG22" s="252">
        <v>0</v>
      </c>
      <c r="UOH22" s="252">
        <v>0</v>
      </c>
      <c r="UOI22" s="252">
        <v>0</v>
      </c>
      <c r="UOJ22" s="252">
        <v>0</v>
      </c>
      <c r="UOK22" s="252">
        <v>0</v>
      </c>
      <c r="UOL22" s="252">
        <v>0</v>
      </c>
      <c r="UOM22" s="252">
        <v>0</v>
      </c>
      <c r="UON22" s="252">
        <v>0</v>
      </c>
      <c r="UOO22" s="252">
        <v>0</v>
      </c>
      <c r="UOP22" s="252">
        <v>0</v>
      </c>
      <c r="UOQ22" s="252">
        <v>0</v>
      </c>
      <c r="UOR22" s="252">
        <v>0</v>
      </c>
      <c r="UOS22" s="252">
        <v>0</v>
      </c>
      <c r="UOT22" s="252">
        <v>0</v>
      </c>
      <c r="UOU22" s="252">
        <v>0</v>
      </c>
      <c r="UOV22" s="252">
        <v>0</v>
      </c>
      <c r="UOW22" s="252">
        <v>0</v>
      </c>
      <c r="UOX22" s="252">
        <v>0</v>
      </c>
      <c r="UOY22" s="252">
        <v>0</v>
      </c>
      <c r="UOZ22" s="252">
        <v>0</v>
      </c>
      <c r="UPA22" s="252">
        <v>0</v>
      </c>
      <c r="UPB22" s="252">
        <v>0</v>
      </c>
      <c r="UPC22" s="252">
        <v>0</v>
      </c>
      <c r="UPD22" s="252">
        <v>0</v>
      </c>
      <c r="UPE22" s="252">
        <v>0</v>
      </c>
      <c r="UPF22" s="252">
        <v>0</v>
      </c>
      <c r="UPG22" s="252">
        <v>0</v>
      </c>
      <c r="UPH22" s="252">
        <v>0</v>
      </c>
      <c r="UPI22" s="252">
        <v>0</v>
      </c>
      <c r="UPJ22" s="252">
        <v>0</v>
      </c>
      <c r="UPK22" s="252">
        <v>0</v>
      </c>
      <c r="UPL22" s="252">
        <v>0</v>
      </c>
      <c r="UPM22" s="252">
        <v>0</v>
      </c>
      <c r="UPN22" s="252">
        <v>0</v>
      </c>
      <c r="UPO22" s="252">
        <v>0</v>
      </c>
      <c r="UPP22" s="252">
        <v>0</v>
      </c>
      <c r="UPQ22" s="252">
        <v>0</v>
      </c>
      <c r="UPR22" s="252">
        <v>0</v>
      </c>
      <c r="UPS22" s="252">
        <v>0</v>
      </c>
      <c r="UPT22" s="252">
        <v>0</v>
      </c>
      <c r="UPU22" s="252">
        <v>0</v>
      </c>
      <c r="UPV22" s="252">
        <v>0</v>
      </c>
      <c r="UPW22" s="252">
        <v>0</v>
      </c>
      <c r="UPX22" s="252">
        <v>0</v>
      </c>
      <c r="UPY22" s="252">
        <v>0</v>
      </c>
      <c r="UPZ22" s="252">
        <v>0</v>
      </c>
      <c r="UQA22" s="252">
        <v>0</v>
      </c>
      <c r="UQB22" s="252">
        <v>0</v>
      </c>
      <c r="UQC22" s="252">
        <v>0</v>
      </c>
      <c r="UQD22" s="252">
        <v>0</v>
      </c>
      <c r="UQE22" s="252">
        <v>0</v>
      </c>
      <c r="UQF22" s="252">
        <v>0</v>
      </c>
      <c r="UQG22" s="252">
        <v>0</v>
      </c>
      <c r="UQH22" s="252">
        <v>0</v>
      </c>
      <c r="UQI22" s="252">
        <v>0</v>
      </c>
      <c r="UQJ22" s="252">
        <v>0</v>
      </c>
      <c r="UQK22" s="252">
        <v>0</v>
      </c>
      <c r="UQL22" s="252">
        <v>0</v>
      </c>
      <c r="UQM22" s="252">
        <v>0</v>
      </c>
      <c r="UQN22" s="252">
        <v>0</v>
      </c>
      <c r="UQO22" s="252">
        <v>0</v>
      </c>
      <c r="UQP22" s="252">
        <v>0</v>
      </c>
      <c r="UQQ22" s="252">
        <v>0</v>
      </c>
      <c r="UQR22" s="252">
        <v>0</v>
      </c>
      <c r="UQS22" s="252">
        <v>0</v>
      </c>
      <c r="UQT22" s="252">
        <v>0</v>
      </c>
      <c r="UQU22" s="252">
        <v>0</v>
      </c>
      <c r="UQV22" s="252">
        <v>0</v>
      </c>
      <c r="UQW22" s="252">
        <v>0</v>
      </c>
      <c r="UQX22" s="252">
        <v>0</v>
      </c>
      <c r="UQY22" s="252">
        <v>0</v>
      </c>
      <c r="UQZ22" s="252">
        <v>0</v>
      </c>
      <c r="URA22" s="252">
        <v>0</v>
      </c>
      <c r="URB22" s="252">
        <v>0</v>
      </c>
      <c r="URC22" s="252">
        <v>0</v>
      </c>
      <c r="URD22" s="252">
        <v>0</v>
      </c>
      <c r="URE22" s="252">
        <v>0</v>
      </c>
      <c r="URF22" s="252">
        <v>0</v>
      </c>
      <c r="URG22" s="252">
        <v>0</v>
      </c>
      <c r="URH22" s="252">
        <v>0</v>
      </c>
      <c r="URI22" s="252">
        <v>0</v>
      </c>
      <c r="URJ22" s="252">
        <v>0</v>
      </c>
      <c r="URK22" s="252">
        <v>0</v>
      </c>
      <c r="URL22" s="252">
        <v>0</v>
      </c>
      <c r="URM22" s="252">
        <v>0</v>
      </c>
      <c r="URN22" s="252">
        <v>0</v>
      </c>
      <c r="URO22" s="252">
        <v>0</v>
      </c>
      <c r="URP22" s="252">
        <v>0</v>
      </c>
      <c r="URQ22" s="252">
        <v>0</v>
      </c>
      <c r="URR22" s="252">
        <v>0</v>
      </c>
      <c r="URS22" s="252">
        <v>0</v>
      </c>
      <c r="URT22" s="252">
        <v>0</v>
      </c>
      <c r="URU22" s="252">
        <v>0</v>
      </c>
      <c r="URV22" s="252">
        <v>0</v>
      </c>
      <c r="URW22" s="252">
        <v>0</v>
      </c>
      <c r="URX22" s="252">
        <v>0</v>
      </c>
      <c r="URY22" s="252">
        <v>0</v>
      </c>
      <c r="URZ22" s="252">
        <v>0</v>
      </c>
      <c r="USA22" s="252">
        <v>0</v>
      </c>
      <c r="USB22" s="252">
        <v>0</v>
      </c>
      <c r="USC22" s="252">
        <v>0</v>
      </c>
      <c r="USD22" s="252">
        <v>0</v>
      </c>
      <c r="USE22" s="252">
        <v>0</v>
      </c>
      <c r="USF22" s="252">
        <v>0</v>
      </c>
      <c r="USG22" s="252">
        <v>0</v>
      </c>
      <c r="USH22" s="252">
        <v>0</v>
      </c>
      <c r="USI22" s="252">
        <v>0</v>
      </c>
      <c r="USJ22" s="252">
        <v>0</v>
      </c>
      <c r="USK22" s="252">
        <v>0</v>
      </c>
      <c r="USL22" s="252">
        <v>0</v>
      </c>
      <c r="USM22" s="252">
        <v>0</v>
      </c>
      <c r="USN22" s="252">
        <v>0</v>
      </c>
      <c r="USO22" s="252">
        <v>0</v>
      </c>
      <c r="USP22" s="252">
        <v>0</v>
      </c>
      <c r="USQ22" s="252">
        <v>0</v>
      </c>
      <c r="USR22" s="252">
        <v>0</v>
      </c>
      <c r="USS22" s="252">
        <v>0</v>
      </c>
      <c r="UST22" s="252">
        <v>0</v>
      </c>
      <c r="USU22" s="252">
        <v>0</v>
      </c>
      <c r="USV22" s="252">
        <v>0</v>
      </c>
      <c r="USW22" s="252">
        <v>0</v>
      </c>
      <c r="USX22" s="252">
        <v>0</v>
      </c>
      <c r="USY22" s="252">
        <v>0</v>
      </c>
      <c r="USZ22" s="252">
        <v>0</v>
      </c>
      <c r="UTA22" s="252">
        <v>0</v>
      </c>
      <c r="UTB22" s="252">
        <v>0</v>
      </c>
      <c r="UTC22" s="252">
        <v>0</v>
      </c>
      <c r="UTD22" s="252">
        <v>0</v>
      </c>
      <c r="UTE22" s="252">
        <v>0</v>
      </c>
      <c r="UTF22" s="252">
        <v>0</v>
      </c>
      <c r="UTG22" s="252">
        <v>0</v>
      </c>
      <c r="UTH22" s="252">
        <v>0</v>
      </c>
      <c r="UTI22" s="252">
        <v>0</v>
      </c>
      <c r="UTJ22" s="252">
        <v>0</v>
      </c>
      <c r="UTK22" s="252">
        <v>0</v>
      </c>
      <c r="UTL22" s="252">
        <v>0</v>
      </c>
      <c r="UTM22" s="252">
        <v>0</v>
      </c>
      <c r="UTN22" s="252">
        <v>0</v>
      </c>
      <c r="UTO22" s="252">
        <v>0</v>
      </c>
      <c r="UTP22" s="252">
        <v>0</v>
      </c>
      <c r="UTQ22" s="252">
        <v>0</v>
      </c>
      <c r="UTR22" s="252">
        <v>0</v>
      </c>
      <c r="UTS22" s="252">
        <v>0</v>
      </c>
      <c r="UTT22" s="252">
        <v>0</v>
      </c>
      <c r="UTU22" s="252">
        <v>0</v>
      </c>
      <c r="UTV22" s="252">
        <v>0</v>
      </c>
      <c r="UTW22" s="252">
        <v>0</v>
      </c>
      <c r="UTX22" s="252">
        <v>0</v>
      </c>
      <c r="UTY22" s="252">
        <v>0</v>
      </c>
      <c r="UTZ22" s="252">
        <v>0</v>
      </c>
      <c r="UUA22" s="252">
        <v>0</v>
      </c>
      <c r="UUB22" s="252">
        <v>0</v>
      </c>
      <c r="UUC22" s="252">
        <v>0</v>
      </c>
      <c r="UUD22" s="252">
        <v>0</v>
      </c>
      <c r="UUE22" s="252">
        <v>0</v>
      </c>
      <c r="UUF22" s="252">
        <v>0</v>
      </c>
      <c r="UUG22" s="252">
        <v>0</v>
      </c>
      <c r="UUH22" s="252">
        <v>0</v>
      </c>
      <c r="UUI22" s="252">
        <v>0</v>
      </c>
      <c r="UUJ22" s="252">
        <v>0</v>
      </c>
      <c r="UUK22" s="252">
        <v>0</v>
      </c>
      <c r="UUL22" s="252">
        <v>0</v>
      </c>
      <c r="UUM22" s="252">
        <v>0</v>
      </c>
      <c r="UUN22" s="252">
        <v>0</v>
      </c>
      <c r="UUO22" s="252">
        <v>0</v>
      </c>
      <c r="UUP22" s="252">
        <v>0</v>
      </c>
      <c r="UUQ22" s="252">
        <v>0</v>
      </c>
      <c r="UUR22" s="252">
        <v>0</v>
      </c>
      <c r="UUS22" s="252">
        <v>0</v>
      </c>
      <c r="UUT22" s="252">
        <v>0</v>
      </c>
      <c r="UUU22" s="252">
        <v>0</v>
      </c>
      <c r="UUV22" s="252">
        <v>0</v>
      </c>
      <c r="UUW22" s="252">
        <v>0</v>
      </c>
      <c r="UUX22" s="252">
        <v>0</v>
      </c>
      <c r="UUY22" s="252">
        <v>0</v>
      </c>
      <c r="UUZ22" s="252">
        <v>0</v>
      </c>
      <c r="UVA22" s="252">
        <v>0</v>
      </c>
      <c r="UVB22" s="252">
        <v>0</v>
      </c>
      <c r="UVC22" s="252">
        <v>0</v>
      </c>
      <c r="UVD22" s="252">
        <v>0</v>
      </c>
      <c r="UVE22" s="252">
        <v>0</v>
      </c>
      <c r="UVF22" s="252">
        <v>0</v>
      </c>
      <c r="UVG22" s="252">
        <v>0</v>
      </c>
      <c r="UVH22" s="252">
        <v>0</v>
      </c>
      <c r="UVI22" s="252">
        <v>0</v>
      </c>
      <c r="UVJ22" s="252">
        <v>0</v>
      </c>
      <c r="UVK22" s="252">
        <v>0</v>
      </c>
      <c r="UVL22" s="252">
        <v>0</v>
      </c>
      <c r="UVM22" s="252">
        <v>0</v>
      </c>
      <c r="UVN22" s="252">
        <v>0</v>
      </c>
      <c r="UVO22" s="252">
        <v>0</v>
      </c>
      <c r="UVP22" s="252">
        <v>0</v>
      </c>
      <c r="UVQ22" s="252">
        <v>0</v>
      </c>
      <c r="UVR22" s="252">
        <v>0</v>
      </c>
      <c r="UVS22" s="252">
        <v>0</v>
      </c>
      <c r="UVT22" s="252">
        <v>0</v>
      </c>
      <c r="UVU22" s="252">
        <v>0</v>
      </c>
      <c r="UVV22" s="252">
        <v>0</v>
      </c>
      <c r="UVW22" s="252">
        <v>0</v>
      </c>
      <c r="UVX22" s="252">
        <v>0</v>
      </c>
      <c r="UVY22" s="252">
        <v>0</v>
      </c>
      <c r="UVZ22" s="252">
        <v>0</v>
      </c>
      <c r="UWA22" s="252">
        <v>0</v>
      </c>
      <c r="UWB22" s="252">
        <v>0</v>
      </c>
      <c r="UWC22" s="252">
        <v>0</v>
      </c>
      <c r="UWD22" s="252">
        <v>0</v>
      </c>
      <c r="UWE22" s="252">
        <v>0</v>
      </c>
      <c r="UWF22" s="252">
        <v>0</v>
      </c>
      <c r="UWG22" s="252">
        <v>0</v>
      </c>
      <c r="UWH22" s="252">
        <v>0</v>
      </c>
      <c r="UWI22" s="252">
        <v>0</v>
      </c>
      <c r="UWJ22" s="252">
        <v>0</v>
      </c>
      <c r="UWK22" s="252">
        <v>0</v>
      </c>
      <c r="UWL22" s="252">
        <v>0</v>
      </c>
      <c r="UWM22" s="252">
        <v>0</v>
      </c>
      <c r="UWN22" s="252">
        <v>0</v>
      </c>
      <c r="UWO22" s="252">
        <v>0</v>
      </c>
      <c r="UWP22" s="252">
        <v>0</v>
      </c>
      <c r="UWQ22" s="252">
        <v>0</v>
      </c>
      <c r="UWR22" s="252">
        <v>0</v>
      </c>
      <c r="UWS22" s="252">
        <v>0</v>
      </c>
      <c r="UWT22" s="252">
        <v>0</v>
      </c>
      <c r="UWU22" s="252">
        <v>0</v>
      </c>
      <c r="UWV22" s="252">
        <v>0</v>
      </c>
      <c r="UWW22" s="252">
        <v>0</v>
      </c>
      <c r="UWX22" s="252">
        <v>0</v>
      </c>
      <c r="UWY22" s="252">
        <v>0</v>
      </c>
      <c r="UWZ22" s="252">
        <v>0</v>
      </c>
      <c r="UXA22" s="252">
        <v>0</v>
      </c>
      <c r="UXB22" s="252">
        <v>0</v>
      </c>
      <c r="UXC22" s="252">
        <v>0</v>
      </c>
      <c r="UXD22" s="252">
        <v>0</v>
      </c>
      <c r="UXE22" s="252">
        <v>0</v>
      </c>
      <c r="UXF22" s="252">
        <v>0</v>
      </c>
      <c r="UXG22" s="252">
        <v>0</v>
      </c>
      <c r="UXH22" s="252">
        <v>0</v>
      </c>
      <c r="UXI22" s="252">
        <v>0</v>
      </c>
      <c r="UXJ22" s="252">
        <v>0</v>
      </c>
      <c r="UXK22" s="252">
        <v>0</v>
      </c>
      <c r="UXL22" s="252">
        <v>0</v>
      </c>
      <c r="UXM22" s="252">
        <v>0</v>
      </c>
      <c r="UXN22" s="252">
        <v>0</v>
      </c>
      <c r="UXO22" s="252">
        <v>0</v>
      </c>
      <c r="UXP22" s="252">
        <v>0</v>
      </c>
      <c r="UXQ22" s="252">
        <v>0</v>
      </c>
      <c r="UXR22" s="252">
        <v>0</v>
      </c>
      <c r="UXS22" s="252">
        <v>0</v>
      </c>
      <c r="UXT22" s="252">
        <v>0</v>
      </c>
      <c r="UXU22" s="252">
        <v>0</v>
      </c>
      <c r="UXV22" s="252">
        <v>0</v>
      </c>
      <c r="UXW22" s="252">
        <v>0</v>
      </c>
      <c r="UXX22" s="252">
        <v>0</v>
      </c>
      <c r="UXY22" s="252">
        <v>0</v>
      </c>
      <c r="UXZ22" s="252">
        <v>0</v>
      </c>
      <c r="UYA22" s="252">
        <v>0</v>
      </c>
      <c r="UYB22" s="252">
        <v>0</v>
      </c>
      <c r="UYC22" s="252">
        <v>0</v>
      </c>
      <c r="UYD22" s="252">
        <v>0</v>
      </c>
      <c r="UYE22" s="252">
        <v>0</v>
      </c>
      <c r="UYF22" s="252">
        <v>0</v>
      </c>
      <c r="UYG22" s="252">
        <v>0</v>
      </c>
      <c r="UYH22" s="252">
        <v>0</v>
      </c>
      <c r="UYI22" s="252">
        <v>0</v>
      </c>
      <c r="UYJ22" s="252">
        <v>0</v>
      </c>
      <c r="UYK22" s="252">
        <v>0</v>
      </c>
      <c r="UYL22" s="252">
        <v>0</v>
      </c>
      <c r="UYM22" s="252">
        <v>0</v>
      </c>
      <c r="UYN22" s="252">
        <v>0</v>
      </c>
      <c r="UYO22" s="252">
        <v>0</v>
      </c>
      <c r="UYP22" s="252">
        <v>0</v>
      </c>
      <c r="UYQ22" s="252">
        <v>0</v>
      </c>
      <c r="UYR22" s="252">
        <v>0</v>
      </c>
      <c r="UYS22" s="252">
        <v>0</v>
      </c>
      <c r="UYT22" s="252">
        <v>0</v>
      </c>
      <c r="UYU22" s="252">
        <v>0</v>
      </c>
      <c r="UYV22" s="252">
        <v>0</v>
      </c>
      <c r="UYW22" s="252">
        <v>0</v>
      </c>
      <c r="UYX22" s="252">
        <v>0</v>
      </c>
      <c r="UYY22" s="252">
        <v>0</v>
      </c>
      <c r="UYZ22" s="252">
        <v>0</v>
      </c>
      <c r="UZA22" s="252">
        <v>0</v>
      </c>
      <c r="UZB22" s="252">
        <v>0</v>
      </c>
      <c r="UZC22" s="252">
        <v>0</v>
      </c>
      <c r="UZD22" s="252">
        <v>0</v>
      </c>
      <c r="UZE22" s="252">
        <v>0</v>
      </c>
      <c r="UZF22" s="252">
        <v>0</v>
      </c>
      <c r="UZG22" s="252">
        <v>0</v>
      </c>
      <c r="UZH22" s="252">
        <v>0</v>
      </c>
      <c r="UZI22" s="252">
        <v>0</v>
      </c>
      <c r="UZJ22" s="252">
        <v>0</v>
      </c>
      <c r="UZK22" s="252">
        <v>0</v>
      </c>
      <c r="UZL22" s="252">
        <v>0</v>
      </c>
      <c r="UZM22" s="252">
        <v>0</v>
      </c>
      <c r="UZN22" s="252">
        <v>0</v>
      </c>
      <c r="UZO22" s="252">
        <v>0</v>
      </c>
      <c r="UZP22" s="252">
        <v>0</v>
      </c>
      <c r="UZQ22" s="252">
        <v>0</v>
      </c>
      <c r="UZR22" s="252">
        <v>0</v>
      </c>
      <c r="UZS22" s="252">
        <v>0</v>
      </c>
      <c r="UZT22" s="252">
        <v>0</v>
      </c>
      <c r="UZU22" s="252">
        <v>0</v>
      </c>
      <c r="UZV22" s="252">
        <v>0</v>
      </c>
      <c r="UZW22" s="252">
        <v>0</v>
      </c>
      <c r="UZX22" s="252">
        <v>0</v>
      </c>
      <c r="UZY22" s="252">
        <v>0</v>
      </c>
      <c r="UZZ22" s="252">
        <v>0</v>
      </c>
      <c r="VAA22" s="252">
        <v>0</v>
      </c>
      <c r="VAB22" s="252">
        <v>0</v>
      </c>
      <c r="VAC22" s="252">
        <v>0</v>
      </c>
      <c r="VAD22" s="252">
        <v>0</v>
      </c>
      <c r="VAE22" s="252">
        <v>0</v>
      </c>
      <c r="VAF22" s="252">
        <v>0</v>
      </c>
      <c r="VAG22" s="252">
        <v>0</v>
      </c>
      <c r="VAH22" s="252">
        <v>0</v>
      </c>
      <c r="VAI22" s="252">
        <v>0</v>
      </c>
      <c r="VAJ22" s="252">
        <v>0</v>
      </c>
      <c r="VAK22" s="252">
        <v>0</v>
      </c>
      <c r="VAL22" s="252">
        <v>0</v>
      </c>
      <c r="VAM22" s="252">
        <v>0</v>
      </c>
      <c r="VAN22" s="252">
        <v>0</v>
      </c>
      <c r="VAO22" s="252">
        <v>0</v>
      </c>
      <c r="VAP22" s="252">
        <v>0</v>
      </c>
      <c r="VAQ22" s="252">
        <v>0</v>
      </c>
      <c r="VAR22" s="252">
        <v>0</v>
      </c>
      <c r="VAS22" s="252">
        <v>0</v>
      </c>
      <c r="VAT22" s="252">
        <v>0</v>
      </c>
      <c r="VAU22" s="252">
        <v>0</v>
      </c>
      <c r="VAV22" s="252">
        <v>0</v>
      </c>
      <c r="VAW22" s="252">
        <v>0</v>
      </c>
      <c r="VAX22" s="252">
        <v>0</v>
      </c>
      <c r="VAY22" s="252">
        <v>0</v>
      </c>
      <c r="VAZ22" s="252">
        <v>0</v>
      </c>
      <c r="VBA22" s="252">
        <v>0</v>
      </c>
      <c r="VBB22" s="252">
        <v>0</v>
      </c>
      <c r="VBC22" s="252">
        <v>0</v>
      </c>
      <c r="VBD22" s="252">
        <v>0</v>
      </c>
      <c r="VBE22" s="252">
        <v>0</v>
      </c>
      <c r="VBF22" s="252">
        <v>0</v>
      </c>
      <c r="VBG22" s="252">
        <v>0</v>
      </c>
      <c r="VBH22" s="252">
        <v>0</v>
      </c>
      <c r="VBI22" s="252">
        <v>0</v>
      </c>
      <c r="VBJ22" s="252">
        <v>0</v>
      </c>
      <c r="VBK22" s="252">
        <v>0</v>
      </c>
      <c r="VBL22" s="252">
        <v>0</v>
      </c>
      <c r="VBM22" s="252">
        <v>0</v>
      </c>
      <c r="VBN22" s="252">
        <v>0</v>
      </c>
      <c r="VBO22" s="252">
        <v>0</v>
      </c>
      <c r="VBP22" s="252">
        <v>0</v>
      </c>
      <c r="VBQ22" s="252">
        <v>0</v>
      </c>
      <c r="VBR22" s="252">
        <v>0</v>
      </c>
      <c r="VBS22" s="252">
        <v>0</v>
      </c>
      <c r="VBT22" s="252">
        <v>0</v>
      </c>
      <c r="VBU22" s="252">
        <v>0</v>
      </c>
      <c r="VBV22" s="252">
        <v>0</v>
      </c>
      <c r="VBW22" s="252">
        <v>0</v>
      </c>
      <c r="VBX22" s="252">
        <v>0</v>
      </c>
      <c r="VBY22" s="252">
        <v>0</v>
      </c>
      <c r="VBZ22" s="252">
        <v>0</v>
      </c>
      <c r="VCA22" s="252">
        <v>0</v>
      </c>
      <c r="VCB22" s="252">
        <v>0</v>
      </c>
      <c r="VCC22" s="252">
        <v>0</v>
      </c>
      <c r="VCD22" s="252">
        <v>0</v>
      </c>
      <c r="VCE22" s="252">
        <v>0</v>
      </c>
      <c r="VCF22" s="252">
        <v>0</v>
      </c>
      <c r="VCG22" s="252">
        <v>0</v>
      </c>
      <c r="VCH22" s="252">
        <v>0</v>
      </c>
      <c r="VCI22" s="252">
        <v>0</v>
      </c>
      <c r="VCJ22" s="252">
        <v>0</v>
      </c>
      <c r="VCK22" s="252">
        <v>0</v>
      </c>
      <c r="VCL22" s="252">
        <v>0</v>
      </c>
      <c r="VCM22" s="252">
        <v>0</v>
      </c>
      <c r="VCN22" s="252">
        <v>0</v>
      </c>
      <c r="VCO22" s="252">
        <v>0</v>
      </c>
      <c r="VCP22" s="252">
        <v>0</v>
      </c>
      <c r="VCQ22" s="252">
        <v>0</v>
      </c>
      <c r="VCR22" s="252">
        <v>0</v>
      </c>
      <c r="VCS22" s="252">
        <v>0</v>
      </c>
      <c r="VCT22" s="252">
        <v>0</v>
      </c>
      <c r="VCU22" s="252">
        <v>0</v>
      </c>
      <c r="VCV22" s="252">
        <v>0</v>
      </c>
      <c r="VCW22" s="252">
        <v>0</v>
      </c>
      <c r="VCX22" s="252">
        <v>0</v>
      </c>
      <c r="VCY22" s="252">
        <v>0</v>
      </c>
      <c r="VCZ22" s="252">
        <v>0</v>
      </c>
      <c r="VDA22" s="252">
        <v>0</v>
      </c>
      <c r="VDB22" s="252">
        <v>0</v>
      </c>
      <c r="VDC22" s="252">
        <v>0</v>
      </c>
      <c r="VDD22" s="252">
        <v>0</v>
      </c>
      <c r="VDE22" s="252">
        <v>0</v>
      </c>
      <c r="VDF22" s="252">
        <v>0</v>
      </c>
      <c r="VDG22" s="252">
        <v>0</v>
      </c>
      <c r="VDH22" s="252">
        <v>0</v>
      </c>
      <c r="VDI22" s="252">
        <v>0</v>
      </c>
      <c r="VDJ22" s="252">
        <v>0</v>
      </c>
      <c r="VDK22" s="252">
        <v>0</v>
      </c>
      <c r="VDL22" s="252">
        <v>0</v>
      </c>
      <c r="VDM22" s="252">
        <v>0</v>
      </c>
      <c r="VDN22" s="252">
        <v>0</v>
      </c>
      <c r="VDO22" s="252">
        <v>0</v>
      </c>
      <c r="VDP22" s="252">
        <v>0</v>
      </c>
      <c r="VDQ22" s="252">
        <v>0</v>
      </c>
      <c r="VDR22" s="252">
        <v>0</v>
      </c>
      <c r="VDS22" s="252">
        <v>0</v>
      </c>
      <c r="VDT22" s="252">
        <v>0</v>
      </c>
      <c r="VDU22" s="252">
        <v>0</v>
      </c>
      <c r="VDV22" s="252">
        <v>0</v>
      </c>
      <c r="VDW22" s="252">
        <v>0</v>
      </c>
      <c r="VDX22" s="252">
        <v>0</v>
      </c>
      <c r="VDY22" s="252">
        <v>0</v>
      </c>
      <c r="VDZ22" s="252">
        <v>0</v>
      </c>
      <c r="VEA22" s="252">
        <v>0</v>
      </c>
      <c r="VEB22" s="252">
        <v>0</v>
      </c>
      <c r="VEC22" s="252">
        <v>0</v>
      </c>
      <c r="VED22" s="252">
        <v>0</v>
      </c>
      <c r="VEE22" s="252">
        <v>0</v>
      </c>
      <c r="VEF22" s="252">
        <v>0</v>
      </c>
      <c r="VEG22" s="252">
        <v>0</v>
      </c>
      <c r="VEH22" s="252">
        <v>0</v>
      </c>
      <c r="VEI22" s="252">
        <v>0</v>
      </c>
      <c r="VEJ22" s="252">
        <v>0</v>
      </c>
      <c r="VEK22" s="252">
        <v>0</v>
      </c>
      <c r="VEL22" s="252">
        <v>0</v>
      </c>
      <c r="VEM22" s="252">
        <v>0</v>
      </c>
      <c r="VEN22" s="252">
        <v>0</v>
      </c>
      <c r="VEO22" s="252">
        <v>0</v>
      </c>
      <c r="VEP22" s="252">
        <v>0</v>
      </c>
      <c r="VEQ22" s="252">
        <v>0</v>
      </c>
      <c r="VER22" s="252">
        <v>0</v>
      </c>
      <c r="VES22" s="252">
        <v>0</v>
      </c>
      <c r="VET22" s="252">
        <v>0</v>
      </c>
      <c r="VEU22" s="252">
        <v>0</v>
      </c>
      <c r="VEV22" s="252">
        <v>0</v>
      </c>
      <c r="VEW22" s="252">
        <v>0</v>
      </c>
      <c r="VEX22" s="252">
        <v>0</v>
      </c>
      <c r="VEY22" s="252">
        <v>0</v>
      </c>
      <c r="VEZ22" s="252">
        <v>0</v>
      </c>
      <c r="VFA22" s="252">
        <v>0</v>
      </c>
      <c r="VFB22" s="252">
        <v>0</v>
      </c>
      <c r="VFC22" s="252">
        <v>0</v>
      </c>
      <c r="VFD22" s="252">
        <v>0</v>
      </c>
      <c r="VFE22" s="252">
        <v>0</v>
      </c>
      <c r="VFF22" s="252">
        <v>0</v>
      </c>
      <c r="VFG22" s="252">
        <v>0</v>
      </c>
      <c r="VFH22" s="252">
        <v>0</v>
      </c>
      <c r="VFI22" s="252">
        <v>0</v>
      </c>
      <c r="VFJ22" s="252">
        <v>0</v>
      </c>
      <c r="VFK22" s="252">
        <v>0</v>
      </c>
      <c r="VFL22" s="252">
        <v>0</v>
      </c>
      <c r="VFM22" s="252">
        <v>0</v>
      </c>
      <c r="VFN22" s="252">
        <v>0</v>
      </c>
      <c r="VFO22" s="252">
        <v>0</v>
      </c>
      <c r="VFP22" s="252">
        <v>0</v>
      </c>
      <c r="VFQ22" s="252">
        <v>0</v>
      </c>
      <c r="VFR22" s="252">
        <v>0</v>
      </c>
      <c r="VFS22" s="252">
        <v>0</v>
      </c>
      <c r="VFT22" s="252">
        <v>0</v>
      </c>
      <c r="VFU22" s="252">
        <v>0</v>
      </c>
      <c r="VFV22" s="252">
        <v>0</v>
      </c>
      <c r="VFW22" s="252">
        <v>0</v>
      </c>
      <c r="VFX22" s="252">
        <v>0</v>
      </c>
      <c r="VFY22" s="252">
        <v>0</v>
      </c>
      <c r="VFZ22" s="252">
        <v>0</v>
      </c>
      <c r="VGA22" s="252">
        <v>0</v>
      </c>
      <c r="VGB22" s="252">
        <v>0</v>
      </c>
      <c r="VGC22" s="252">
        <v>0</v>
      </c>
      <c r="VGD22" s="252">
        <v>0</v>
      </c>
      <c r="VGE22" s="252">
        <v>0</v>
      </c>
      <c r="VGF22" s="252">
        <v>0</v>
      </c>
      <c r="VGG22" s="252">
        <v>0</v>
      </c>
      <c r="VGH22" s="252">
        <v>0</v>
      </c>
      <c r="VGI22" s="252">
        <v>0</v>
      </c>
      <c r="VGJ22" s="252">
        <v>0</v>
      </c>
      <c r="VGK22" s="252">
        <v>0</v>
      </c>
      <c r="VGL22" s="252">
        <v>0</v>
      </c>
      <c r="VGM22" s="252">
        <v>0</v>
      </c>
      <c r="VGN22" s="252">
        <v>0</v>
      </c>
      <c r="VGO22" s="252">
        <v>0</v>
      </c>
      <c r="VGP22" s="252">
        <v>0</v>
      </c>
      <c r="VGQ22" s="252">
        <v>0</v>
      </c>
      <c r="VGR22" s="252">
        <v>0</v>
      </c>
      <c r="VGS22" s="252">
        <v>0</v>
      </c>
      <c r="VGT22" s="252">
        <v>0</v>
      </c>
      <c r="VGU22" s="252">
        <v>0</v>
      </c>
      <c r="VGV22" s="252">
        <v>0</v>
      </c>
      <c r="VGW22" s="252">
        <v>0</v>
      </c>
      <c r="VGX22" s="252">
        <v>0</v>
      </c>
      <c r="VGY22" s="252">
        <v>0</v>
      </c>
      <c r="VGZ22" s="252">
        <v>0</v>
      </c>
      <c r="VHA22" s="252">
        <v>0</v>
      </c>
      <c r="VHB22" s="252">
        <v>0</v>
      </c>
      <c r="VHC22" s="252">
        <v>0</v>
      </c>
      <c r="VHD22" s="252">
        <v>0</v>
      </c>
      <c r="VHE22" s="252">
        <v>0</v>
      </c>
      <c r="VHF22" s="252">
        <v>0</v>
      </c>
      <c r="VHG22" s="252">
        <v>0</v>
      </c>
      <c r="VHH22" s="252">
        <v>0</v>
      </c>
      <c r="VHI22" s="252">
        <v>0</v>
      </c>
      <c r="VHJ22" s="252">
        <v>0</v>
      </c>
      <c r="VHK22" s="252">
        <v>0</v>
      </c>
      <c r="VHL22" s="252">
        <v>0</v>
      </c>
      <c r="VHM22" s="252">
        <v>0</v>
      </c>
      <c r="VHN22" s="252">
        <v>0</v>
      </c>
      <c r="VHO22" s="252">
        <v>0</v>
      </c>
      <c r="VHP22" s="252">
        <v>0</v>
      </c>
      <c r="VHQ22" s="252">
        <v>0</v>
      </c>
      <c r="VHR22" s="252">
        <v>0</v>
      </c>
      <c r="VHS22" s="252">
        <v>0</v>
      </c>
      <c r="VHT22" s="252">
        <v>0</v>
      </c>
      <c r="VHU22" s="252">
        <v>0</v>
      </c>
      <c r="VHV22" s="252">
        <v>0</v>
      </c>
      <c r="VHW22" s="252">
        <v>0</v>
      </c>
      <c r="VHX22" s="252">
        <v>0</v>
      </c>
      <c r="VHY22" s="252">
        <v>0</v>
      </c>
      <c r="VHZ22" s="252">
        <v>0</v>
      </c>
      <c r="VIA22" s="252">
        <v>0</v>
      </c>
      <c r="VIB22" s="252">
        <v>0</v>
      </c>
      <c r="VIC22" s="252">
        <v>0</v>
      </c>
      <c r="VID22" s="252">
        <v>0</v>
      </c>
      <c r="VIE22" s="252">
        <v>0</v>
      </c>
      <c r="VIF22" s="252">
        <v>0</v>
      </c>
      <c r="VIG22" s="252">
        <v>0</v>
      </c>
      <c r="VIH22" s="252">
        <v>0</v>
      </c>
      <c r="VII22" s="252">
        <v>0</v>
      </c>
      <c r="VIJ22" s="252">
        <v>0</v>
      </c>
      <c r="VIK22" s="252">
        <v>0</v>
      </c>
      <c r="VIL22" s="252">
        <v>0</v>
      </c>
      <c r="VIM22" s="252">
        <v>0</v>
      </c>
      <c r="VIN22" s="252">
        <v>0</v>
      </c>
      <c r="VIO22" s="252">
        <v>0</v>
      </c>
      <c r="VIP22" s="252">
        <v>0</v>
      </c>
      <c r="VIQ22" s="252">
        <v>0</v>
      </c>
      <c r="VIR22" s="252">
        <v>0</v>
      </c>
      <c r="VIS22" s="252">
        <v>0</v>
      </c>
      <c r="VIT22" s="252">
        <v>0</v>
      </c>
      <c r="VIU22" s="252">
        <v>0</v>
      </c>
      <c r="VIV22" s="252">
        <v>0</v>
      </c>
      <c r="VIW22" s="252">
        <v>0</v>
      </c>
      <c r="VIX22" s="252">
        <v>0</v>
      </c>
      <c r="VIY22" s="252">
        <v>0</v>
      </c>
      <c r="VIZ22" s="252">
        <v>0</v>
      </c>
      <c r="VJA22" s="252">
        <v>0</v>
      </c>
      <c r="VJB22" s="252">
        <v>0</v>
      </c>
      <c r="VJC22" s="252">
        <v>0</v>
      </c>
      <c r="VJD22" s="252">
        <v>0</v>
      </c>
      <c r="VJE22" s="252">
        <v>0</v>
      </c>
      <c r="VJF22" s="252">
        <v>0</v>
      </c>
      <c r="VJG22" s="252">
        <v>0</v>
      </c>
      <c r="VJH22" s="252">
        <v>0</v>
      </c>
      <c r="VJI22" s="252">
        <v>0</v>
      </c>
      <c r="VJJ22" s="252">
        <v>0</v>
      </c>
      <c r="VJK22" s="252">
        <v>0</v>
      </c>
      <c r="VJL22" s="252">
        <v>0</v>
      </c>
      <c r="VJM22" s="252">
        <v>0</v>
      </c>
      <c r="VJN22" s="252">
        <v>0</v>
      </c>
      <c r="VJO22" s="252">
        <v>0</v>
      </c>
      <c r="VJP22" s="252">
        <v>0</v>
      </c>
      <c r="VJQ22" s="252">
        <v>0</v>
      </c>
      <c r="VJR22" s="252">
        <v>0</v>
      </c>
      <c r="VJS22" s="252">
        <v>0</v>
      </c>
      <c r="VJT22" s="252">
        <v>0</v>
      </c>
      <c r="VJU22" s="252">
        <v>0</v>
      </c>
      <c r="VJV22" s="252">
        <v>0</v>
      </c>
      <c r="VJW22" s="252">
        <v>0</v>
      </c>
      <c r="VJX22" s="252">
        <v>0</v>
      </c>
      <c r="VJY22" s="252">
        <v>0</v>
      </c>
      <c r="VJZ22" s="252">
        <v>0</v>
      </c>
      <c r="VKA22" s="252">
        <v>0</v>
      </c>
      <c r="VKB22" s="252">
        <v>0</v>
      </c>
      <c r="VKC22" s="252">
        <v>0</v>
      </c>
      <c r="VKD22" s="252">
        <v>0</v>
      </c>
      <c r="VKE22" s="252">
        <v>0</v>
      </c>
      <c r="VKF22" s="252">
        <v>0</v>
      </c>
      <c r="VKG22" s="252">
        <v>0</v>
      </c>
      <c r="VKH22" s="252">
        <v>0</v>
      </c>
      <c r="VKI22" s="252">
        <v>0</v>
      </c>
      <c r="VKJ22" s="252">
        <v>0</v>
      </c>
      <c r="VKK22" s="252">
        <v>0</v>
      </c>
      <c r="VKL22" s="252">
        <v>0</v>
      </c>
      <c r="VKM22" s="252">
        <v>0</v>
      </c>
      <c r="VKN22" s="252">
        <v>0</v>
      </c>
      <c r="VKO22" s="252">
        <v>0</v>
      </c>
      <c r="VKP22" s="252">
        <v>0</v>
      </c>
      <c r="VKQ22" s="252">
        <v>0</v>
      </c>
      <c r="VKR22" s="252">
        <v>0</v>
      </c>
      <c r="VKS22" s="252">
        <v>0</v>
      </c>
      <c r="VKT22" s="252">
        <v>0</v>
      </c>
      <c r="VKU22" s="252">
        <v>0</v>
      </c>
      <c r="VKV22" s="252">
        <v>0</v>
      </c>
      <c r="VKW22" s="252">
        <v>0</v>
      </c>
      <c r="VKX22" s="252">
        <v>0</v>
      </c>
      <c r="VKY22" s="252">
        <v>0</v>
      </c>
      <c r="VKZ22" s="252">
        <v>0</v>
      </c>
      <c r="VLA22" s="252">
        <v>0</v>
      </c>
      <c r="VLB22" s="252">
        <v>0</v>
      </c>
      <c r="VLC22" s="252">
        <v>0</v>
      </c>
      <c r="VLD22" s="252">
        <v>0</v>
      </c>
      <c r="VLE22" s="252">
        <v>0</v>
      </c>
      <c r="VLF22" s="252">
        <v>0</v>
      </c>
      <c r="VLG22" s="252">
        <v>0</v>
      </c>
      <c r="VLH22" s="252">
        <v>0</v>
      </c>
      <c r="VLI22" s="252">
        <v>0</v>
      </c>
      <c r="VLJ22" s="252">
        <v>0</v>
      </c>
      <c r="VLK22" s="252">
        <v>0</v>
      </c>
      <c r="VLL22" s="252">
        <v>0</v>
      </c>
      <c r="VLM22" s="252">
        <v>0</v>
      </c>
      <c r="VLN22" s="252">
        <v>0</v>
      </c>
      <c r="VLO22" s="252">
        <v>0</v>
      </c>
      <c r="VLP22" s="252">
        <v>0</v>
      </c>
      <c r="VLQ22" s="252">
        <v>0</v>
      </c>
      <c r="VLR22" s="252">
        <v>0</v>
      </c>
      <c r="VLS22" s="252">
        <v>0</v>
      </c>
      <c r="VLT22" s="252">
        <v>0</v>
      </c>
      <c r="VLU22" s="252">
        <v>0</v>
      </c>
      <c r="VLV22" s="252">
        <v>0</v>
      </c>
      <c r="VLW22" s="252">
        <v>0</v>
      </c>
      <c r="VLX22" s="252">
        <v>0</v>
      </c>
      <c r="VLY22" s="252">
        <v>0</v>
      </c>
      <c r="VLZ22" s="252">
        <v>0</v>
      </c>
      <c r="VMA22" s="252">
        <v>0</v>
      </c>
      <c r="VMB22" s="252">
        <v>0</v>
      </c>
      <c r="VMC22" s="252">
        <v>0</v>
      </c>
      <c r="VMD22" s="252">
        <v>0</v>
      </c>
      <c r="VME22" s="252">
        <v>0</v>
      </c>
      <c r="VMF22" s="252">
        <v>0</v>
      </c>
      <c r="VMG22" s="252">
        <v>0</v>
      </c>
      <c r="VMH22" s="252">
        <v>0</v>
      </c>
      <c r="VMI22" s="252">
        <v>0</v>
      </c>
      <c r="VMJ22" s="252">
        <v>0</v>
      </c>
      <c r="VMK22" s="252">
        <v>0</v>
      </c>
      <c r="VML22" s="252">
        <v>0</v>
      </c>
      <c r="VMM22" s="252">
        <v>0</v>
      </c>
      <c r="VMN22" s="252">
        <v>0</v>
      </c>
      <c r="VMO22" s="252">
        <v>0</v>
      </c>
      <c r="VMP22" s="252">
        <v>0</v>
      </c>
      <c r="VMQ22" s="252">
        <v>0</v>
      </c>
      <c r="VMR22" s="252">
        <v>0</v>
      </c>
      <c r="VMS22" s="252">
        <v>0</v>
      </c>
      <c r="VMT22" s="252">
        <v>0</v>
      </c>
      <c r="VMU22" s="252">
        <v>0</v>
      </c>
      <c r="VMV22" s="252">
        <v>0</v>
      </c>
      <c r="VMW22" s="252">
        <v>0</v>
      </c>
      <c r="VMX22" s="252">
        <v>0</v>
      </c>
      <c r="VMY22" s="252">
        <v>0</v>
      </c>
      <c r="VMZ22" s="252">
        <v>0</v>
      </c>
      <c r="VNA22" s="252">
        <v>0</v>
      </c>
      <c r="VNB22" s="252">
        <v>0</v>
      </c>
      <c r="VNC22" s="252">
        <v>0</v>
      </c>
      <c r="VND22" s="252">
        <v>0</v>
      </c>
      <c r="VNE22" s="252">
        <v>0</v>
      </c>
      <c r="VNF22" s="252">
        <v>0</v>
      </c>
      <c r="VNG22" s="252">
        <v>0</v>
      </c>
      <c r="VNH22" s="252">
        <v>0</v>
      </c>
      <c r="VNI22" s="252">
        <v>0</v>
      </c>
      <c r="VNJ22" s="252">
        <v>0</v>
      </c>
      <c r="VNK22" s="252">
        <v>0</v>
      </c>
      <c r="VNL22" s="252">
        <v>0</v>
      </c>
      <c r="VNM22" s="252">
        <v>0</v>
      </c>
      <c r="VNN22" s="252">
        <v>0</v>
      </c>
      <c r="VNO22" s="252">
        <v>0</v>
      </c>
      <c r="VNP22" s="252">
        <v>0</v>
      </c>
      <c r="VNQ22" s="252">
        <v>0</v>
      </c>
      <c r="VNR22" s="252">
        <v>0</v>
      </c>
      <c r="VNS22" s="252">
        <v>0</v>
      </c>
      <c r="VNT22" s="252">
        <v>0</v>
      </c>
      <c r="VNU22" s="252">
        <v>0</v>
      </c>
      <c r="VNV22" s="252">
        <v>0</v>
      </c>
      <c r="VNW22" s="252">
        <v>0</v>
      </c>
      <c r="VNX22" s="252">
        <v>0</v>
      </c>
      <c r="VNY22" s="252">
        <v>0</v>
      </c>
      <c r="VNZ22" s="252">
        <v>0</v>
      </c>
      <c r="VOA22" s="252">
        <v>0</v>
      </c>
      <c r="VOB22" s="252">
        <v>0</v>
      </c>
      <c r="VOC22" s="252">
        <v>0</v>
      </c>
      <c r="VOD22" s="252">
        <v>0</v>
      </c>
      <c r="VOE22" s="252">
        <v>0</v>
      </c>
      <c r="VOF22" s="252">
        <v>0</v>
      </c>
      <c r="VOG22" s="252">
        <v>0</v>
      </c>
      <c r="VOH22" s="252">
        <v>0</v>
      </c>
      <c r="VOI22" s="252">
        <v>0</v>
      </c>
      <c r="VOJ22" s="252">
        <v>0</v>
      </c>
      <c r="VOK22" s="252">
        <v>0</v>
      </c>
      <c r="VOL22" s="252">
        <v>0</v>
      </c>
      <c r="VOM22" s="252">
        <v>0</v>
      </c>
      <c r="VON22" s="252">
        <v>0</v>
      </c>
      <c r="VOO22" s="252">
        <v>0</v>
      </c>
      <c r="VOP22" s="252">
        <v>0</v>
      </c>
      <c r="VOQ22" s="252">
        <v>0</v>
      </c>
      <c r="VOR22" s="252">
        <v>0</v>
      </c>
      <c r="VOS22" s="252">
        <v>0</v>
      </c>
      <c r="VOT22" s="252">
        <v>0</v>
      </c>
      <c r="VOU22" s="252">
        <v>0</v>
      </c>
      <c r="VOV22" s="252">
        <v>0</v>
      </c>
      <c r="VOW22" s="252">
        <v>0</v>
      </c>
      <c r="VOX22" s="252">
        <v>0</v>
      </c>
      <c r="VOY22" s="252">
        <v>0</v>
      </c>
      <c r="VOZ22" s="252">
        <v>0</v>
      </c>
      <c r="VPA22" s="252">
        <v>0</v>
      </c>
      <c r="VPB22" s="252">
        <v>0</v>
      </c>
      <c r="VPC22" s="252">
        <v>0</v>
      </c>
      <c r="VPD22" s="252">
        <v>0</v>
      </c>
      <c r="VPE22" s="252">
        <v>0</v>
      </c>
      <c r="VPF22" s="252">
        <v>0</v>
      </c>
      <c r="VPG22" s="252">
        <v>0</v>
      </c>
      <c r="VPH22" s="252">
        <v>0</v>
      </c>
      <c r="VPI22" s="252">
        <v>0</v>
      </c>
      <c r="VPJ22" s="252">
        <v>0</v>
      </c>
      <c r="VPK22" s="252">
        <v>0</v>
      </c>
      <c r="VPL22" s="252">
        <v>0</v>
      </c>
      <c r="VPM22" s="252">
        <v>0</v>
      </c>
      <c r="VPN22" s="252">
        <v>0</v>
      </c>
      <c r="VPO22" s="252">
        <v>0</v>
      </c>
      <c r="VPP22" s="252">
        <v>0</v>
      </c>
      <c r="VPQ22" s="252">
        <v>0</v>
      </c>
      <c r="VPR22" s="252">
        <v>0</v>
      </c>
      <c r="VPS22" s="252">
        <v>0</v>
      </c>
      <c r="VPT22" s="252">
        <v>0</v>
      </c>
      <c r="VPU22" s="252">
        <v>0</v>
      </c>
      <c r="VPV22" s="252">
        <v>0</v>
      </c>
      <c r="VPW22" s="252">
        <v>0</v>
      </c>
      <c r="VPX22" s="252">
        <v>0</v>
      </c>
      <c r="VPY22" s="252">
        <v>0</v>
      </c>
      <c r="VPZ22" s="252">
        <v>0</v>
      </c>
      <c r="VQA22" s="252">
        <v>0</v>
      </c>
      <c r="VQB22" s="252">
        <v>0</v>
      </c>
      <c r="VQC22" s="252">
        <v>0</v>
      </c>
      <c r="VQD22" s="252">
        <v>0</v>
      </c>
      <c r="VQE22" s="252">
        <v>0</v>
      </c>
      <c r="VQF22" s="252">
        <v>0</v>
      </c>
      <c r="VQG22" s="252">
        <v>0</v>
      </c>
      <c r="VQH22" s="252">
        <v>0</v>
      </c>
      <c r="VQI22" s="252">
        <v>0</v>
      </c>
      <c r="VQJ22" s="252">
        <v>0</v>
      </c>
      <c r="VQK22" s="252">
        <v>0</v>
      </c>
      <c r="VQL22" s="252">
        <v>0</v>
      </c>
      <c r="VQM22" s="252">
        <v>0</v>
      </c>
      <c r="VQN22" s="252">
        <v>0</v>
      </c>
      <c r="VQO22" s="252">
        <v>0</v>
      </c>
      <c r="VQP22" s="252">
        <v>0</v>
      </c>
      <c r="VQQ22" s="252">
        <v>0</v>
      </c>
      <c r="VQR22" s="252">
        <v>0</v>
      </c>
      <c r="VQS22" s="252">
        <v>0</v>
      </c>
      <c r="VQT22" s="252">
        <v>0</v>
      </c>
      <c r="VQU22" s="252">
        <v>0</v>
      </c>
      <c r="VQV22" s="252">
        <v>0</v>
      </c>
      <c r="VQW22" s="252">
        <v>0</v>
      </c>
      <c r="VQX22" s="252">
        <v>0</v>
      </c>
      <c r="VQY22" s="252">
        <v>0</v>
      </c>
      <c r="VQZ22" s="252">
        <v>0</v>
      </c>
      <c r="VRA22" s="252">
        <v>0</v>
      </c>
      <c r="VRB22" s="252">
        <v>0</v>
      </c>
      <c r="VRC22" s="252">
        <v>0</v>
      </c>
      <c r="VRD22" s="252">
        <v>0</v>
      </c>
      <c r="VRE22" s="252">
        <v>0</v>
      </c>
      <c r="VRF22" s="252">
        <v>0</v>
      </c>
      <c r="VRG22" s="252">
        <v>0</v>
      </c>
      <c r="VRH22" s="252">
        <v>0</v>
      </c>
      <c r="VRI22" s="252">
        <v>0</v>
      </c>
      <c r="VRJ22" s="252">
        <v>0</v>
      </c>
      <c r="VRK22" s="252">
        <v>0</v>
      </c>
      <c r="VRL22" s="252">
        <v>0</v>
      </c>
      <c r="VRM22" s="252">
        <v>0</v>
      </c>
      <c r="VRN22" s="252">
        <v>0</v>
      </c>
      <c r="VRO22" s="252">
        <v>0</v>
      </c>
      <c r="VRP22" s="252">
        <v>0</v>
      </c>
      <c r="VRQ22" s="252">
        <v>0</v>
      </c>
      <c r="VRR22" s="252">
        <v>0</v>
      </c>
      <c r="VRS22" s="252">
        <v>0</v>
      </c>
      <c r="VRT22" s="252">
        <v>0</v>
      </c>
      <c r="VRU22" s="252">
        <v>0</v>
      </c>
      <c r="VRV22" s="252">
        <v>0</v>
      </c>
      <c r="VRW22" s="252">
        <v>0</v>
      </c>
      <c r="VRX22" s="252">
        <v>0</v>
      </c>
      <c r="VRY22" s="252">
        <v>0</v>
      </c>
      <c r="VRZ22" s="252">
        <v>0</v>
      </c>
      <c r="VSA22" s="252">
        <v>0</v>
      </c>
      <c r="VSB22" s="252">
        <v>0</v>
      </c>
      <c r="VSC22" s="252">
        <v>0</v>
      </c>
      <c r="VSD22" s="252">
        <v>0</v>
      </c>
      <c r="VSE22" s="252">
        <v>0</v>
      </c>
      <c r="VSF22" s="252">
        <v>0</v>
      </c>
      <c r="VSG22" s="252">
        <v>0</v>
      </c>
      <c r="VSH22" s="252">
        <v>0</v>
      </c>
      <c r="VSI22" s="252">
        <v>0</v>
      </c>
      <c r="VSJ22" s="252">
        <v>0</v>
      </c>
      <c r="VSK22" s="252">
        <v>0</v>
      </c>
      <c r="VSL22" s="252">
        <v>0</v>
      </c>
      <c r="VSM22" s="252">
        <v>0</v>
      </c>
      <c r="VSN22" s="252">
        <v>0</v>
      </c>
      <c r="VSO22" s="252">
        <v>0</v>
      </c>
      <c r="VSP22" s="252">
        <v>0</v>
      </c>
      <c r="VSQ22" s="252">
        <v>0</v>
      </c>
      <c r="VSR22" s="252">
        <v>0</v>
      </c>
      <c r="VSS22" s="252">
        <v>0</v>
      </c>
      <c r="VST22" s="252">
        <v>0</v>
      </c>
      <c r="VSU22" s="252">
        <v>0</v>
      </c>
      <c r="VSV22" s="252">
        <v>0</v>
      </c>
      <c r="VSW22" s="252">
        <v>0</v>
      </c>
      <c r="VSX22" s="252">
        <v>0</v>
      </c>
      <c r="VSY22" s="252">
        <v>0</v>
      </c>
      <c r="VSZ22" s="252">
        <v>0</v>
      </c>
      <c r="VTA22" s="252">
        <v>0</v>
      </c>
      <c r="VTB22" s="252">
        <v>0</v>
      </c>
      <c r="VTC22" s="252">
        <v>0</v>
      </c>
      <c r="VTD22" s="252">
        <v>0</v>
      </c>
      <c r="VTE22" s="252">
        <v>0</v>
      </c>
      <c r="VTF22" s="252">
        <v>0</v>
      </c>
      <c r="VTG22" s="252">
        <v>0</v>
      </c>
      <c r="VTH22" s="252">
        <v>0</v>
      </c>
      <c r="VTI22" s="252">
        <v>0</v>
      </c>
      <c r="VTJ22" s="252">
        <v>0</v>
      </c>
      <c r="VTK22" s="252">
        <v>0</v>
      </c>
      <c r="VTL22" s="252">
        <v>0</v>
      </c>
      <c r="VTM22" s="252">
        <v>0</v>
      </c>
      <c r="VTN22" s="252">
        <v>0</v>
      </c>
      <c r="VTO22" s="252">
        <v>0</v>
      </c>
      <c r="VTP22" s="252">
        <v>0</v>
      </c>
      <c r="VTQ22" s="252">
        <v>0</v>
      </c>
      <c r="VTR22" s="252">
        <v>0</v>
      </c>
      <c r="VTS22" s="252">
        <v>0</v>
      </c>
      <c r="VTT22" s="252">
        <v>0</v>
      </c>
      <c r="VTU22" s="252">
        <v>0</v>
      </c>
      <c r="VTV22" s="252">
        <v>0</v>
      </c>
      <c r="VTW22" s="252">
        <v>0</v>
      </c>
      <c r="VTX22" s="252">
        <v>0</v>
      </c>
      <c r="VTY22" s="252">
        <v>0</v>
      </c>
      <c r="VTZ22" s="252">
        <v>0</v>
      </c>
      <c r="VUA22" s="252">
        <v>0</v>
      </c>
      <c r="VUB22" s="252">
        <v>0</v>
      </c>
      <c r="VUC22" s="252">
        <v>0</v>
      </c>
      <c r="VUD22" s="252">
        <v>0</v>
      </c>
      <c r="VUE22" s="252">
        <v>0</v>
      </c>
      <c r="VUF22" s="252">
        <v>0</v>
      </c>
      <c r="VUG22" s="252">
        <v>0</v>
      </c>
      <c r="VUH22" s="252">
        <v>0</v>
      </c>
      <c r="VUI22" s="252">
        <v>0</v>
      </c>
      <c r="VUJ22" s="252">
        <v>0</v>
      </c>
      <c r="VUK22" s="252">
        <v>0</v>
      </c>
      <c r="VUL22" s="252">
        <v>0</v>
      </c>
      <c r="VUM22" s="252">
        <v>0</v>
      </c>
      <c r="VUN22" s="252">
        <v>0</v>
      </c>
      <c r="VUO22" s="252">
        <v>0</v>
      </c>
      <c r="VUP22" s="252">
        <v>0</v>
      </c>
      <c r="VUQ22" s="252">
        <v>0</v>
      </c>
      <c r="VUR22" s="252">
        <v>0</v>
      </c>
      <c r="VUS22" s="252">
        <v>0</v>
      </c>
      <c r="VUT22" s="252">
        <v>0</v>
      </c>
      <c r="VUU22" s="252">
        <v>0</v>
      </c>
      <c r="VUV22" s="252">
        <v>0</v>
      </c>
      <c r="VUW22" s="252">
        <v>0</v>
      </c>
      <c r="VUX22" s="252">
        <v>0</v>
      </c>
      <c r="VUY22" s="252">
        <v>0</v>
      </c>
      <c r="VUZ22" s="252">
        <v>0</v>
      </c>
      <c r="VVA22" s="252">
        <v>0</v>
      </c>
      <c r="VVB22" s="252">
        <v>0</v>
      </c>
      <c r="VVC22" s="252">
        <v>0</v>
      </c>
      <c r="VVD22" s="252">
        <v>0</v>
      </c>
      <c r="VVE22" s="252">
        <v>0</v>
      </c>
      <c r="VVF22" s="252">
        <v>0</v>
      </c>
      <c r="VVG22" s="252">
        <v>0</v>
      </c>
      <c r="VVH22" s="252">
        <v>0</v>
      </c>
      <c r="VVI22" s="252">
        <v>0</v>
      </c>
      <c r="VVJ22" s="252">
        <v>0</v>
      </c>
      <c r="VVK22" s="252">
        <v>0</v>
      </c>
      <c r="VVL22" s="252">
        <v>0</v>
      </c>
      <c r="VVM22" s="252">
        <v>0</v>
      </c>
      <c r="VVN22" s="252">
        <v>0</v>
      </c>
      <c r="VVO22" s="252">
        <v>0</v>
      </c>
      <c r="VVP22" s="252">
        <v>0</v>
      </c>
      <c r="VVQ22" s="252">
        <v>0</v>
      </c>
      <c r="VVR22" s="252">
        <v>0</v>
      </c>
      <c r="VVS22" s="252">
        <v>0</v>
      </c>
      <c r="VVT22" s="252">
        <v>0</v>
      </c>
      <c r="VVU22" s="252">
        <v>0</v>
      </c>
      <c r="VVV22" s="252">
        <v>0</v>
      </c>
      <c r="VVW22" s="252">
        <v>0</v>
      </c>
      <c r="VVX22" s="252">
        <v>0</v>
      </c>
      <c r="VVY22" s="252">
        <v>0</v>
      </c>
      <c r="VVZ22" s="252">
        <v>0</v>
      </c>
      <c r="VWA22" s="252">
        <v>0</v>
      </c>
      <c r="VWB22" s="252">
        <v>0</v>
      </c>
      <c r="VWC22" s="252">
        <v>0</v>
      </c>
      <c r="VWD22" s="252">
        <v>0</v>
      </c>
      <c r="VWE22" s="252">
        <v>0</v>
      </c>
      <c r="VWF22" s="252">
        <v>0</v>
      </c>
      <c r="VWG22" s="252">
        <v>0</v>
      </c>
      <c r="VWH22" s="252">
        <v>0</v>
      </c>
      <c r="VWI22" s="252">
        <v>0</v>
      </c>
      <c r="VWJ22" s="252">
        <v>0</v>
      </c>
      <c r="VWK22" s="252">
        <v>0</v>
      </c>
      <c r="VWL22" s="252">
        <v>0</v>
      </c>
      <c r="VWM22" s="252">
        <v>0</v>
      </c>
      <c r="VWN22" s="252">
        <v>0</v>
      </c>
      <c r="VWO22" s="252">
        <v>0</v>
      </c>
      <c r="VWP22" s="252">
        <v>0</v>
      </c>
      <c r="VWQ22" s="252">
        <v>0</v>
      </c>
      <c r="VWR22" s="252">
        <v>0</v>
      </c>
      <c r="VWS22" s="252">
        <v>0</v>
      </c>
      <c r="VWT22" s="252">
        <v>0</v>
      </c>
      <c r="VWU22" s="252">
        <v>0</v>
      </c>
      <c r="VWV22" s="252">
        <v>0</v>
      </c>
      <c r="VWW22" s="252">
        <v>0</v>
      </c>
      <c r="VWX22" s="252">
        <v>0</v>
      </c>
      <c r="VWY22" s="252">
        <v>0</v>
      </c>
      <c r="VWZ22" s="252">
        <v>0</v>
      </c>
      <c r="VXA22" s="252">
        <v>0</v>
      </c>
      <c r="VXB22" s="252">
        <v>0</v>
      </c>
      <c r="VXC22" s="252">
        <v>0</v>
      </c>
      <c r="VXD22" s="252">
        <v>0</v>
      </c>
      <c r="VXE22" s="252">
        <v>0</v>
      </c>
      <c r="VXF22" s="252">
        <v>0</v>
      </c>
      <c r="VXG22" s="252">
        <v>0</v>
      </c>
      <c r="VXH22" s="252">
        <v>0</v>
      </c>
      <c r="VXI22" s="252">
        <v>0</v>
      </c>
      <c r="VXJ22" s="252">
        <v>0</v>
      </c>
      <c r="VXK22" s="252">
        <v>0</v>
      </c>
      <c r="VXL22" s="252">
        <v>0</v>
      </c>
      <c r="VXM22" s="252">
        <v>0</v>
      </c>
      <c r="VXN22" s="252">
        <v>0</v>
      </c>
      <c r="VXO22" s="252">
        <v>0</v>
      </c>
      <c r="VXP22" s="252">
        <v>0</v>
      </c>
      <c r="VXQ22" s="252">
        <v>0</v>
      </c>
      <c r="VXR22" s="252">
        <v>0</v>
      </c>
      <c r="VXS22" s="252">
        <v>0</v>
      </c>
      <c r="VXT22" s="252">
        <v>0</v>
      </c>
      <c r="VXU22" s="252">
        <v>0</v>
      </c>
      <c r="VXV22" s="252">
        <v>0</v>
      </c>
      <c r="VXW22" s="252">
        <v>0</v>
      </c>
      <c r="VXX22" s="252">
        <v>0</v>
      </c>
      <c r="VXY22" s="252">
        <v>0</v>
      </c>
      <c r="VXZ22" s="252">
        <v>0</v>
      </c>
      <c r="VYA22" s="252">
        <v>0</v>
      </c>
      <c r="VYB22" s="252">
        <v>0</v>
      </c>
      <c r="VYC22" s="252">
        <v>0</v>
      </c>
      <c r="VYD22" s="252">
        <v>0</v>
      </c>
      <c r="VYE22" s="252">
        <v>0</v>
      </c>
      <c r="VYF22" s="252">
        <v>0</v>
      </c>
      <c r="VYG22" s="252">
        <v>0</v>
      </c>
      <c r="VYH22" s="252">
        <v>0</v>
      </c>
      <c r="VYI22" s="252">
        <v>0</v>
      </c>
      <c r="VYJ22" s="252">
        <v>0</v>
      </c>
      <c r="VYK22" s="252">
        <v>0</v>
      </c>
      <c r="VYL22" s="252">
        <v>0</v>
      </c>
      <c r="VYM22" s="252">
        <v>0</v>
      </c>
      <c r="VYN22" s="252">
        <v>0</v>
      </c>
      <c r="VYO22" s="252">
        <v>0</v>
      </c>
      <c r="VYP22" s="252">
        <v>0</v>
      </c>
      <c r="VYQ22" s="252">
        <v>0</v>
      </c>
      <c r="VYR22" s="252">
        <v>0</v>
      </c>
      <c r="VYS22" s="252">
        <v>0</v>
      </c>
      <c r="VYT22" s="252">
        <v>0</v>
      </c>
      <c r="VYU22" s="252">
        <v>0</v>
      </c>
      <c r="VYV22" s="252">
        <v>0</v>
      </c>
      <c r="VYW22" s="252">
        <v>0</v>
      </c>
      <c r="VYX22" s="252">
        <v>0</v>
      </c>
      <c r="VYY22" s="252">
        <v>0</v>
      </c>
      <c r="VYZ22" s="252">
        <v>0</v>
      </c>
      <c r="VZA22" s="252">
        <v>0</v>
      </c>
      <c r="VZB22" s="252">
        <v>0</v>
      </c>
      <c r="VZC22" s="252">
        <v>0</v>
      </c>
      <c r="VZD22" s="252">
        <v>0</v>
      </c>
      <c r="VZE22" s="252">
        <v>0</v>
      </c>
      <c r="VZF22" s="252">
        <v>0</v>
      </c>
      <c r="VZG22" s="252">
        <v>0</v>
      </c>
      <c r="VZH22" s="252">
        <v>0</v>
      </c>
      <c r="VZI22" s="252">
        <v>0</v>
      </c>
      <c r="VZJ22" s="252">
        <v>0</v>
      </c>
      <c r="VZK22" s="252">
        <v>0</v>
      </c>
      <c r="VZL22" s="252">
        <v>0</v>
      </c>
      <c r="VZM22" s="252">
        <v>0</v>
      </c>
      <c r="VZN22" s="252">
        <v>0</v>
      </c>
      <c r="VZO22" s="252">
        <v>0</v>
      </c>
      <c r="VZP22" s="252">
        <v>0</v>
      </c>
      <c r="VZQ22" s="252">
        <v>0</v>
      </c>
      <c r="VZR22" s="252">
        <v>0</v>
      </c>
      <c r="VZS22" s="252">
        <v>0</v>
      </c>
      <c r="VZT22" s="252">
        <v>0</v>
      </c>
      <c r="VZU22" s="252">
        <v>0</v>
      </c>
      <c r="VZV22" s="252">
        <v>0</v>
      </c>
      <c r="VZW22" s="252">
        <v>0</v>
      </c>
      <c r="VZX22" s="252">
        <v>0</v>
      </c>
      <c r="VZY22" s="252">
        <v>0</v>
      </c>
      <c r="VZZ22" s="252">
        <v>0</v>
      </c>
      <c r="WAA22" s="252">
        <v>0</v>
      </c>
      <c r="WAB22" s="252">
        <v>0</v>
      </c>
      <c r="WAC22" s="252">
        <v>0</v>
      </c>
      <c r="WAD22" s="252">
        <v>0</v>
      </c>
      <c r="WAE22" s="252">
        <v>0</v>
      </c>
      <c r="WAF22" s="252">
        <v>0</v>
      </c>
      <c r="WAG22" s="252">
        <v>0</v>
      </c>
      <c r="WAH22" s="252">
        <v>0</v>
      </c>
      <c r="WAI22" s="252">
        <v>0</v>
      </c>
      <c r="WAJ22" s="252">
        <v>0</v>
      </c>
      <c r="WAK22" s="252">
        <v>0</v>
      </c>
      <c r="WAL22" s="252">
        <v>0</v>
      </c>
      <c r="WAM22" s="252">
        <v>0</v>
      </c>
      <c r="WAN22" s="252">
        <v>0</v>
      </c>
      <c r="WAO22" s="252">
        <v>0</v>
      </c>
      <c r="WAP22" s="252">
        <v>0</v>
      </c>
      <c r="WAQ22" s="252">
        <v>0</v>
      </c>
      <c r="WAR22" s="252">
        <v>0</v>
      </c>
      <c r="WAS22" s="252">
        <v>0</v>
      </c>
      <c r="WAT22" s="252">
        <v>0</v>
      </c>
      <c r="WAU22" s="252">
        <v>0</v>
      </c>
      <c r="WAV22" s="252">
        <v>0</v>
      </c>
      <c r="WAW22" s="252">
        <v>0</v>
      </c>
      <c r="WAX22" s="252">
        <v>0</v>
      </c>
      <c r="WAY22" s="252">
        <v>0</v>
      </c>
      <c r="WAZ22" s="252">
        <v>0</v>
      </c>
      <c r="WBA22" s="252">
        <v>0</v>
      </c>
      <c r="WBB22" s="252">
        <v>0</v>
      </c>
      <c r="WBC22" s="252">
        <v>0</v>
      </c>
      <c r="WBD22" s="252">
        <v>0</v>
      </c>
      <c r="WBE22" s="252">
        <v>0</v>
      </c>
      <c r="WBF22" s="252">
        <v>0</v>
      </c>
      <c r="WBG22" s="252">
        <v>0</v>
      </c>
      <c r="WBH22" s="252">
        <v>0</v>
      </c>
      <c r="WBI22" s="252">
        <v>0</v>
      </c>
      <c r="WBJ22" s="252">
        <v>0</v>
      </c>
      <c r="WBK22" s="252">
        <v>0</v>
      </c>
      <c r="WBL22" s="252">
        <v>0</v>
      </c>
      <c r="WBM22" s="252">
        <v>0</v>
      </c>
      <c r="WBN22" s="252">
        <v>0</v>
      </c>
      <c r="WBO22" s="252">
        <v>0</v>
      </c>
      <c r="WBP22" s="252">
        <v>0</v>
      </c>
      <c r="WBQ22" s="252">
        <v>0</v>
      </c>
      <c r="WBR22" s="252">
        <v>0</v>
      </c>
      <c r="WBS22" s="252">
        <v>0</v>
      </c>
      <c r="WBT22" s="252">
        <v>0</v>
      </c>
      <c r="WBU22" s="252">
        <v>0</v>
      </c>
      <c r="WBV22" s="252">
        <v>0</v>
      </c>
      <c r="WBW22" s="252">
        <v>0</v>
      </c>
      <c r="WBX22" s="252">
        <v>0</v>
      </c>
      <c r="WBY22" s="252">
        <v>0</v>
      </c>
      <c r="WBZ22" s="252">
        <v>0</v>
      </c>
      <c r="WCA22" s="252">
        <v>0</v>
      </c>
      <c r="WCB22" s="252">
        <v>0</v>
      </c>
      <c r="WCC22" s="252">
        <v>0</v>
      </c>
      <c r="WCD22" s="252">
        <v>0</v>
      </c>
      <c r="WCE22" s="252">
        <v>0</v>
      </c>
      <c r="WCF22" s="252">
        <v>0</v>
      </c>
      <c r="WCG22" s="252">
        <v>0</v>
      </c>
      <c r="WCH22" s="252">
        <v>0</v>
      </c>
      <c r="WCI22" s="252">
        <v>0</v>
      </c>
      <c r="WCJ22" s="252">
        <v>0</v>
      </c>
      <c r="WCK22" s="252">
        <v>0</v>
      </c>
      <c r="WCL22" s="252">
        <v>0</v>
      </c>
      <c r="WCM22" s="252">
        <v>0</v>
      </c>
      <c r="WCN22" s="252">
        <v>0</v>
      </c>
      <c r="WCO22" s="252">
        <v>0</v>
      </c>
      <c r="WCP22" s="252">
        <v>0</v>
      </c>
      <c r="WCQ22" s="252">
        <v>0</v>
      </c>
      <c r="WCR22" s="252">
        <v>0</v>
      </c>
      <c r="WCS22" s="252">
        <v>0</v>
      </c>
      <c r="WCT22" s="252">
        <v>0</v>
      </c>
      <c r="WCU22" s="252">
        <v>0</v>
      </c>
      <c r="WCV22" s="252">
        <v>0</v>
      </c>
      <c r="WCW22" s="252">
        <v>0</v>
      </c>
      <c r="WCX22" s="252">
        <v>0</v>
      </c>
      <c r="WCY22" s="252">
        <v>0</v>
      </c>
      <c r="WCZ22" s="252">
        <v>0</v>
      </c>
      <c r="WDA22" s="252">
        <v>0</v>
      </c>
      <c r="WDB22" s="252">
        <v>0</v>
      </c>
      <c r="WDC22" s="252">
        <v>0</v>
      </c>
      <c r="WDD22" s="252">
        <v>0</v>
      </c>
      <c r="WDE22" s="252">
        <v>0</v>
      </c>
      <c r="WDF22" s="252">
        <v>0</v>
      </c>
      <c r="WDG22" s="252">
        <v>0</v>
      </c>
      <c r="WDH22" s="252">
        <v>0</v>
      </c>
      <c r="WDI22" s="252">
        <v>0</v>
      </c>
      <c r="WDJ22" s="252">
        <v>0</v>
      </c>
      <c r="WDK22" s="252">
        <v>0</v>
      </c>
      <c r="WDL22" s="252">
        <v>0</v>
      </c>
      <c r="WDM22" s="252">
        <v>0</v>
      </c>
      <c r="WDN22" s="252">
        <v>0</v>
      </c>
      <c r="WDO22" s="252">
        <v>0</v>
      </c>
      <c r="WDP22" s="252">
        <v>0</v>
      </c>
      <c r="WDQ22" s="252">
        <v>0</v>
      </c>
      <c r="WDR22" s="252">
        <v>0</v>
      </c>
      <c r="WDS22" s="252">
        <v>0</v>
      </c>
      <c r="WDT22" s="252">
        <v>0</v>
      </c>
      <c r="WDU22" s="252">
        <v>0</v>
      </c>
      <c r="WDV22" s="252">
        <v>0</v>
      </c>
      <c r="WDW22" s="252">
        <v>0</v>
      </c>
      <c r="WDX22" s="252">
        <v>0</v>
      </c>
      <c r="WDY22" s="252">
        <v>0</v>
      </c>
      <c r="WDZ22" s="252">
        <v>0</v>
      </c>
      <c r="WEA22" s="252">
        <v>0</v>
      </c>
      <c r="WEB22" s="252">
        <v>0</v>
      </c>
      <c r="WEC22" s="252">
        <v>0</v>
      </c>
      <c r="WED22" s="252">
        <v>0</v>
      </c>
      <c r="WEE22" s="252">
        <v>0</v>
      </c>
      <c r="WEF22" s="252">
        <v>0</v>
      </c>
      <c r="WEG22" s="252">
        <v>0</v>
      </c>
      <c r="WEH22" s="252">
        <v>0</v>
      </c>
      <c r="WEI22" s="252">
        <v>0</v>
      </c>
      <c r="WEJ22" s="252">
        <v>0</v>
      </c>
      <c r="WEK22" s="252">
        <v>0</v>
      </c>
      <c r="WEL22" s="252">
        <v>0</v>
      </c>
      <c r="WEM22" s="252">
        <v>0</v>
      </c>
      <c r="WEN22" s="252">
        <v>0</v>
      </c>
      <c r="WEO22" s="252">
        <v>0</v>
      </c>
      <c r="WEP22" s="252">
        <v>0</v>
      </c>
      <c r="WEQ22" s="252">
        <v>0</v>
      </c>
      <c r="WER22" s="252">
        <v>0</v>
      </c>
      <c r="WES22" s="252">
        <v>0</v>
      </c>
      <c r="WET22" s="252">
        <v>0</v>
      </c>
      <c r="WEU22" s="252">
        <v>0</v>
      </c>
      <c r="WEV22" s="252">
        <v>0</v>
      </c>
      <c r="WEW22" s="252">
        <v>0</v>
      </c>
      <c r="WEX22" s="252">
        <v>0</v>
      </c>
      <c r="WEY22" s="252">
        <v>0</v>
      </c>
      <c r="WEZ22" s="252">
        <v>0</v>
      </c>
      <c r="WFA22" s="252">
        <v>0</v>
      </c>
      <c r="WFB22" s="252">
        <v>0</v>
      </c>
      <c r="WFC22" s="252">
        <v>0</v>
      </c>
      <c r="WFD22" s="252">
        <v>0</v>
      </c>
      <c r="WFE22" s="252">
        <v>0</v>
      </c>
      <c r="WFF22" s="252">
        <v>0</v>
      </c>
      <c r="WFG22" s="252">
        <v>0</v>
      </c>
      <c r="WFH22" s="252">
        <v>0</v>
      </c>
      <c r="WFI22" s="252">
        <v>0</v>
      </c>
      <c r="WFJ22" s="252">
        <v>0</v>
      </c>
      <c r="WFK22" s="252">
        <v>0</v>
      </c>
      <c r="WFL22" s="252">
        <v>0</v>
      </c>
      <c r="WFM22" s="252">
        <v>0</v>
      </c>
      <c r="WFN22" s="252">
        <v>0</v>
      </c>
      <c r="WFO22" s="252">
        <v>0</v>
      </c>
      <c r="WFP22" s="252">
        <v>0</v>
      </c>
      <c r="WFQ22" s="252">
        <v>0</v>
      </c>
      <c r="WFR22" s="252">
        <v>0</v>
      </c>
      <c r="WFS22" s="252">
        <v>0</v>
      </c>
      <c r="WFT22" s="252">
        <v>0</v>
      </c>
      <c r="WFU22" s="252">
        <v>0</v>
      </c>
      <c r="WFV22" s="252">
        <v>0</v>
      </c>
      <c r="WFW22" s="252">
        <v>0</v>
      </c>
      <c r="WFX22" s="252">
        <v>0</v>
      </c>
      <c r="WFY22" s="252">
        <v>0</v>
      </c>
      <c r="WFZ22" s="252">
        <v>0</v>
      </c>
      <c r="WGA22" s="252">
        <v>0</v>
      </c>
      <c r="WGB22" s="252">
        <v>0</v>
      </c>
      <c r="WGC22" s="252">
        <v>0</v>
      </c>
      <c r="WGD22" s="252">
        <v>0</v>
      </c>
      <c r="WGE22" s="252">
        <v>0</v>
      </c>
      <c r="WGF22" s="252">
        <v>0</v>
      </c>
      <c r="WGG22" s="252">
        <v>0</v>
      </c>
      <c r="WGH22" s="252">
        <v>0</v>
      </c>
      <c r="WGI22" s="252">
        <v>0</v>
      </c>
      <c r="WGJ22" s="252">
        <v>0</v>
      </c>
      <c r="WGK22" s="252">
        <v>0</v>
      </c>
      <c r="WGL22" s="252">
        <v>0</v>
      </c>
      <c r="WGM22" s="252">
        <v>0</v>
      </c>
      <c r="WGN22" s="252">
        <v>0</v>
      </c>
      <c r="WGO22" s="252">
        <v>0</v>
      </c>
      <c r="WGP22" s="252">
        <v>0</v>
      </c>
      <c r="WGQ22" s="252">
        <v>0</v>
      </c>
      <c r="WGR22" s="252">
        <v>0</v>
      </c>
      <c r="WGS22" s="252">
        <v>0</v>
      </c>
      <c r="WGT22" s="252">
        <v>0</v>
      </c>
      <c r="WGU22" s="252">
        <v>0</v>
      </c>
      <c r="WGV22" s="252">
        <v>0</v>
      </c>
      <c r="WGW22" s="252">
        <v>0</v>
      </c>
      <c r="WGX22" s="252">
        <v>0</v>
      </c>
      <c r="WGY22" s="252">
        <v>0</v>
      </c>
      <c r="WGZ22" s="252">
        <v>0</v>
      </c>
      <c r="WHA22" s="252">
        <v>0</v>
      </c>
      <c r="WHB22" s="252">
        <v>0</v>
      </c>
      <c r="WHC22" s="252">
        <v>0</v>
      </c>
      <c r="WHD22" s="252">
        <v>0</v>
      </c>
      <c r="WHE22" s="252">
        <v>0</v>
      </c>
      <c r="WHF22" s="252">
        <v>0</v>
      </c>
      <c r="WHG22" s="252">
        <v>0</v>
      </c>
      <c r="WHH22" s="252">
        <v>0</v>
      </c>
      <c r="WHI22" s="252">
        <v>0</v>
      </c>
      <c r="WHJ22" s="252">
        <v>0</v>
      </c>
      <c r="WHK22" s="252">
        <v>0</v>
      </c>
      <c r="WHL22" s="252">
        <v>0</v>
      </c>
      <c r="WHM22" s="252">
        <v>0</v>
      </c>
      <c r="WHN22" s="252">
        <v>0</v>
      </c>
      <c r="WHO22" s="252">
        <v>0</v>
      </c>
      <c r="WHP22" s="252">
        <v>0</v>
      </c>
      <c r="WHQ22" s="252">
        <v>0</v>
      </c>
      <c r="WHR22" s="252">
        <v>0</v>
      </c>
      <c r="WHS22" s="252">
        <v>0</v>
      </c>
      <c r="WHT22" s="252">
        <v>0</v>
      </c>
      <c r="WHU22" s="252">
        <v>0</v>
      </c>
      <c r="WHV22" s="252">
        <v>0</v>
      </c>
      <c r="WHW22" s="252">
        <v>0</v>
      </c>
      <c r="WHX22" s="252">
        <v>0</v>
      </c>
      <c r="WHY22" s="252">
        <v>0</v>
      </c>
      <c r="WHZ22" s="252">
        <v>0</v>
      </c>
      <c r="WIA22" s="252">
        <v>0</v>
      </c>
      <c r="WIB22" s="252">
        <v>0</v>
      </c>
      <c r="WIC22" s="252">
        <v>0</v>
      </c>
      <c r="WID22" s="252">
        <v>0</v>
      </c>
      <c r="WIE22" s="252">
        <v>0</v>
      </c>
      <c r="WIF22" s="252">
        <v>0</v>
      </c>
      <c r="WIG22" s="252">
        <v>0</v>
      </c>
      <c r="WIH22" s="252">
        <v>0</v>
      </c>
      <c r="WII22" s="252">
        <v>0</v>
      </c>
      <c r="WIJ22" s="252">
        <v>0</v>
      </c>
      <c r="WIK22" s="252">
        <v>0</v>
      </c>
      <c r="WIL22" s="252">
        <v>0</v>
      </c>
      <c r="WIM22" s="252">
        <v>0</v>
      </c>
      <c r="WIN22" s="252">
        <v>0</v>
      </c>
      <c r="WIO22" s="252">
        <v>0</v>
      </c>
      <c r="WIP22" s="252">
        <v>0</v>
      </c>
      <c r="WIQ22" s="252">
        <v>0</v>
      </c>
      <c r="WIR22" s="252">
        <v>0</v>
      </c>
      <c r="WIS22" s="252">
        <v>0</v>
      </c>
      <c r="WIT22" s="252">
        <v>0</v>
      </c>
      <c r="WIU22" s="252">
        <v>0</v>
      </c>
      <c r="WIV22" s="252">
        <v>0</v>
      </c>
      <c r="WIW22" s="252">
        <v>0</v>
      </c>
      <c r="WIX22" s="252">
        <v>0</v>
      </c>
      <c r="WIY22" s="252">
        <v>0</v>
      </c>
      <c r="WIZ22" s="252">
        <v>0</v>
      </c>
      <c r="WJA22" s="252">
        <v>0</v>
      </c>
      <c r="WJB22" s="252">
        <v>0</v>
      </c>
      <c r="WJC22" s="252">
        <v>0</v>
      </c>
      <c r="WJD22" s="252">
        <v>0</v>
      </c>
      <c r="WJE22" s="252">
        <v>0</v>
      </c>
      <c r="WJF22" s="252">
        <v>0</v>
      </c>
      <c r="WJG22" s="252">
        <v>0</v>
      </c>
      <c r="WJH22" s="252">
        <v>0</v>
      </c>
      <c r="WJI22" s="252">
        <v>0</v>
      </c>
      <c r="WJJ22" s="252">
        <v>0</v>
      </c>
      <c r="WJK22" s="252">
        <v>0</v>
      </c>
      <c r="WJL22" s="252">
        <v>0</v>
      </c>
      <c r="WJM22" s="252">
        <v>0</v>
      </c>
      <c r="WJN22" s="252">
        <v>0</v>
      </c>
      <c r="WJO22" s="252">
        <v>0</v>
      </c>
      <c r="WJP22" s="252">
        <v>0</v>
      </c>
      <c r="WJQ22" s="252">
        <v>0</v>
      </c>
      <c r="WJR22" s="252">
        <v>0</v>
      </c>
      <c r="WJS22" s="252">
        <v>0</v>
      </c>
      <c r="WJT22" s="252">
        <v>0</v>
      </c>
      <c r="WJU22" s="252">
        <v>0</v>
      </c>
      <c r="WJV22" s="252">
        <v>0</v>
      </c>
      <c r="WJW22" s="252">
        <v>0</v>
      </c>
      <c r="WJX22" s="252">
        <v>0</v>
      </c>
      <c r="WJY22" s="252">
        <v>0</v>
      </c>
      <c r="WJZ22" s="252">
        <v>0</v>
      </c>
      <c r="WKA22" s="252">
        <v>0</v>
      </c>
      <c r="WKB22" s="252">
        <v>0</v>
      </c>
      <c r="WKC22" s="252">
        <v>0</v>
      </c>
      <c r="WKD22" s="252">
        <v>0</v>
      </c>
      <c r="WKE22" s="252">
        <v>0</v>
      </c>
      <c r="WKF22" s="252">
        <v>0</v>
      </c>
      <c r="WKG22" s="252">
        <v>0</v>
      </c>
      <c r="WKH22" s="252">
        <v>0</v>
      </c>
      <c r="WKI22" s="252">
        <v>0</v>
      </c>
      <c r="WKJ22" s="252">
        <v>0</v>
      </c>
      <c r="WKK22" s="252">
        <v>0</v>
      </c>
      <c r="WKL22" s="252">
        <v>0</v>
      </c>
      <c r="WKM22" s="252">
        <v>0</v>
      </c>
      <c r="WKN22" s="252">
        <v>0</v>
      </c>
      <c r="WKO22" s="252">
        <v>0</v>
      </c>
      <c r="WKP22" s="252">
        <v>0</v>
      </c>
      <c r="WKQ22" s="252">
        <v>0</v>
      </c>
      <c r="WKR22" s="252">
        <v>0</v>
      </c>
      <c r="WKS22" s="252">
        <v>0</v>
      </c>
      <c r="WKT22" s="252">
        <v>0</v>
      </c>
      <c r="WKU22" s="252">
        <v>0</v>
      </c>
      <c r="WKV22" s="252">
        <v>0</v>
      </c>
      <c r="WKW22" s="252">
        <v>0</v>
      </c>
      <c r="WKX22" s="252">
        <v>0</v>
      </c>
      <c r="WKY22" s="252">
        <v>0</v>
      </c>
      <c r="WKZ22" s="252">
        <v>0</v>
      </c>
      <c r="WLA22" s="252">
        <v>0</v>
      </c>
      <c r="WLB22" s="252">
        <v>0</v>
      </c>
      <c r="WLC22" s="252">
        <v>0</v>
      </c>
      <c r="WLD22" s="252">
        <v>0</v>
      </c>
      <c r="WLE22" s="252">
        <v>0</v>
      </c>
      <c r="WLF22" s="252">
        <v>0</v>
      </c>
      <c r="WLG22" s="252">
        <v>0</v>
      </c>
      <c r="WLH22" s="252">
        <v>0</v>
      </c>
      <c r="WLI22" s="252">
        <v>0</v>
      </c>
      <c r="WLJ22" s="252">
        <v>0</v>
      </c>
      <c r="WLK22" s="252">
        <v>0</v>
      </c>
      <c r="WLL22" s="252">
        <v>0</v>
      </c>
      <c r="WLM22" s="252">
        <v>0</v>
      </c>
      <c r="WLN22" s="252">
        <v>0</v>
      </c>
      <c r="WLO22" s="252">
        <v>0</v>
      </c>
      <c r="WLP22" s="252">
        <v>0</v>
      </c>
      <c r="WLQ22" s="252">
        <v>0</v>
      </c>
      <c r="WLR22" s="252">
        <v>0</v>
      </c>
      <c r="WLS22" s="252">
        <v>0</v>
      </c>
      <c r="WLT22" s="252">
        <v>0</v>
      </c>
      <c r="WLU22" s="252">
        <v>0</v>
      </c>
      <c r="WLV22" s="252">
        <v>0</v>
      </c>
      <c r="WLW22" s="252">
        <v>0</v>
      </c>
      <c r="WLX22" s="252">
        <v>0</v>
      </c>
      <c r="WLY22" s="252">
        <v>0</v>
      </c>
      <c r="WLZ22" s="252">
        <v>0</v>
      </c>
      <c r="WMA22" s="252">
        <v>0</v>
      </c>
      <c r="WMB22" s="252">
        <v>0</v>
      </c>
      <c r="WMC22" s="252">
        <v>0</v>
      </c>
      <c r="WMD22" s="252">
        <v>0</v>
      </c>
      <c r="WME22" s="252">
        <v>0</v>
      </c>
      <c r="WMF22" s="252">
        <v>0</v>
      </c>
      <c r="WMG22" s="252">
        <v>0</v>
      </c>
      <c r="WMH22" s="252">
        <v>0</v>
      </c>
      <c r="WMI22" s="252">
        <v>0</v>
      </c>
      <c r="WMJ22" s="252">
        <v>0</v>
      </c>
      <c r="WMK22" s="252">
        <v>0</v>
      </c>
      <c r="WML22" s="252">
        <v>0</v>
      </c>
      <c r="WMM22" s="252">
        <v>0</v>
      </c>
      <c r="WMN22" s="252">
        <v>0</v>
      </c>
      <c r="WMO22" s="252">
        <v>0</v>
      </c>
      <c r="WMP22" s="252">
        <v>0</v>
      </c>
      <c r="WMQ22" s="252">
        <v>0</v>
      </c>
      <c r="WMR22" s="252">
        <v>0</v>
      </c>
      <c r="WMS22" s="252">
        <v>0</v>
      </c>
      <c r="WMT22" s="252">
        <v>0</v>
      </c>
      <c r="WMU22" s="252">
        <v>0</v>
      </c>
      <c r="WMV22" s="252">
        <v>0</v>
      </c>
      <c r="WMW22" s="252">
        <v>0</v>
      </c>
      <c r="WMX22" s="252">
        <v>0</v>
      </c>
      <c r="WMY22" s="252">
        <v>0</v>
      </c>
      <c r="WMZ22" s="252">
        <v>0</v>
      </c>
      <c r="WNA22" s="252">
        <v>0</v>
      </c>
      <c r="WNB22" s="252">
        <v>0</v>
      </c>
      <c r="WNC22" s="252">
        <v>0</v>
      </c>
      <c r="WND22" s="252">
        <v>0</v>
      </c>
      <c r="WNE22" s="252">
        <v>0</v>
      </c>
      <c r="WNF22" s="252">
        <v>0</v>
      </c>
      <c r="WNG22" s="252">
        <v>0</v>
      </c>
      <c r="WNH22" s="252">
        <v>0</v>
      </c>
      <c r="WNI22" s="252">
        <v>0</v>
      </c>
      <c r="WNJ22" s="252">
        <v>0</v>
      </c>
      <c r="WNK22" s="252">
        <v>0</v>
      </c>
      <c r="WNL22" s="252">
        <v>0</v>
      </c>
      <c r="WNM22" s="252">
        <v>0</v>
      </c>
      <c r="WNN22" s="252">
        <v>0</v>
      </c>
      <c r="WNO22" s="252">
        <v>0</v>
      </c>
      <c r="WNP22" s="252">
        <v>0</v>
      </c>
      <c r="WNQ22" s="252">
        <v>0</v>
      </c>
      <c r="WNR22" s="252">
        <v>0</v>
      </c>
      <c r="WNS22" s="252">
        <v>0</v>
      </c>
      <c r="WNT22" s="252">
        <v>0</v>
      </c>
      <c r="WNU22" s="252">
        <v>0</v>
      </c>
      <c r="WNV22" s="252">
        <v>0</v>
      </c>
      <c r="WNW22" s="252">
        <v>0</v>
      </c>
      <c r="WNX22" s="252">
        <v>0</v>
      </c>
      <c r="WNY22" s="252">
        <v>0</v>
      </c>
      <c r="WNZ22" s="252">
        <v>0</v>
      </c>
      <c r="WOA22" s="252">
        <v>0</v>
      </c>
      <c r="WOB22" s="252">
        <v>0</v>
      </c>
      <c r="WOC22" s="252">
        <v>0</v>
      </c>
      <c r="WOD22" s="252">
        <v>0</v>
      </c>
      <c r="WOE22" s="252">
        <v>0</v>
      </c>
      <c r="WOF22" s="252">
        <v>0</v>
      </c>
      <c r="WOG22" s="252">
        <v>0</v>
      </c>
      <c r="WOH22" s="252">
        <v>0</v>
      </c>
      <c r="WOI22" s="252">
        <v>0</v>
      </c>
      <c r="WOJ22" s="252">
        <v>0</v>
      </c>
      <c r="WOK22" s="252">
        <v>0</v>
      </c>
      <c r="WOL22" s="252">
        <v>0</v>
      </c>
      <c r="WOM22" s="252">
        <v>0</v>
      </c>
      <c r="WON22" s="252">
        <v>0</v>
      </c>
      <c r="WOO22" s="252">
        <v>0</v>
      </c>
      <c r="WOP22" s="252">
        <v>0</v>
      </c>
      <c r="WOQ22" s="252">
        <v>0</v>
      </c>
      <c r="WOR22" s="252">
        <v>0</v>
      </c>
      <c r="WOS22" s="252">
        <v>0</v>
      </c>
      <c r="WOT22" s="252">
        <v>0</v>
      </c>
      <c r="WOU22" s="252">
        <v>0</v>
      </c>
      <c r="WOV22" s="252">
        <v>0</v>
      </c>
      <c r="WOW22" s="252">
        <v>0</v>
      </c>
      <c r="WOX22" s="252">
        <v>0</v>
      </c>
      <c r="WOY22" s="252">
        <v>0</v>
      </c>
      <c r="WOZ22" s="252">
        <v>0</v>
      </c>
      <c r="WPA22" s="252">
        <v>0</v>
      </c>
      <c r="WPB22" s="252">
        <v>0</v>
      </c>
      <c r="WPC22" s="252">
        <v>0</v>
      </c>
      <c r="WPD22" s="252">
        <v>0</v>
      </c>
      <c r="WPE22" s="252">
        <v>0</v>
      </c>
      <c r="WPF22" s="252">
        <v>0</v>
      </c>
      <c r="WPG22" s="252">
        <v>0</v>
      </c>
      <c r="WPH22" s="252">
        <v>0</v>
      </c>
      <c r="WPI22" s="252">
        <v>0</v>
      </c>
      <c r="WPJ22" s="252">
        <v>0</v>
      </c>
      <c r="WPK22" s="252">
        <v>0</v>
      </c>
      <c r="WPL22" s="252">
        <v>0</v>
      </c>
      <c r="WPM22" s="252">
        <v>0</v>
      </c>
      <c r="WPN22" s="252">
        <v>0</v>
      </c>
      <c r="WPO22" s="252">
        <v>0</v>
      </c>
      <c r="WPP22" s="252">
        <v>0</v>
      </c>
      <c r="WPQ22" s="252">
        <v>0</v>
      </c>
      <c r="WPR22" s="252">
        <v>0</v>
      </c>
      <c r="WPS22" s="252">
        <v>0</v>
      </c>
      <c r="WPT22" s="252">
        <v>0</v>
      </c>
      <c r="WPU22" s="252">
        <v>0</v>
      </c>
      <c r="WPV22" s="252">
        <v>0</v>
      </c>
      <c r="WPW22" s="252">
        <v>0</v>
      </c>
      <c r="WPX22" s="252">
        <v>0</v>
      </c>
      <c r="WPY22" s="252">
        <v>0</v>
      </c>
      <c r="WPZ22" s="252">
        <v>0</v>
      </c>
      <c r="WQA22" s="252">
        <v>0</v>
      </c>
      <c r="WQB22" s="252">
        <v>0</v>
      </c>
      <c r="WQC22" s="252">
        <v>0</v>
      </c>
      <c r="WQD22" s="252">
        <v>0</v>
      </c>
      <c r="WQE22" s="252">
        <v>0</v>
      </c>
      <c r="WQF22" s="252">
        <v>0</v>
      </c>
      <c r="WQG22" s="252">
        <v>0</v>
      </c>
      <c r="WQH22" s="252">
        <v>0</v>
      </c>
      <c r="WQI22" s="252">
        <v>0</v>
      </c>
      <c r="WQJ22" s="252">
        <v>0</v>
      </c>
      <c r="WQK22" s="252">
        <v>0</v>
      </c>
      <c r="WQL22" s="252">
        <v>0</v>
      </c>
      <c r="WQM22" s="252">
        <v>0</v>
      </c>
      <c r="WQN22" s="252">
        <v>0</v>
      </c>
      <c r="WQO22" s="252">
        <v>0</v>
      </c>
      <c r="WQP22" s="252">
        <v>0</v>
      </c>
      <c r="WQQ22" s="252">
        <v>0</v>
      </c>
      <c r="WQR22" s="252">
        <v>0</v>
      </c>
      <c r="WQS22" s="252">
        <v>0</v>
      </c>
      <c r="WQT22" s="252">
        <v>0</v>
      </c>
      <c r="WQU22" s="252">
        <v>0</v>
      </c>
      <c r="WQV22" s="252">
        <v>0</v>
      </c>
      <c r="WQW22" s="252">
        <v>0</v>
      </c>
      <c r="WQX22" s="252">
        <v>0</v>
      </c>
      <c r="WQY22" s="252">
        <v>0</v>
      </c>
      <c r="WQZ22" s="252">
        <v>0</v>
      </c>
      <c r="WRA22" s="252">
        <v>0</v>
      </c>
      <c r="WRB22" s="252">
        <v>0</v>
      </c>
      <c r="WRC22" s="252">
        <v>0</v>
      </c>
      <c r="WRD22" s="252">
        <v>0</v>
      </c>
      <c r="WRE22" s="252">
        <v>0</v>
      </c>
      <c r="WRF22" s="252">
        <v>0</v>
      </c>
      <c r="WRG22" s="252">
        <v>0</v>
      </c>
      <c r="WRH22" s="252">
        <v>0</v>
      </c>
      <c r="WRI22" s="252">
        <v>0</v>
      </c>
      <c r="WRJ22" s="252">
        <v>0</v>
      </c>
      <c r="WRK22" s="252">
        <v>0</v>
      </c>
      <c r="WRL22" s="252">
        <v>0</v>
      </c>
      <c r="WRM22" s="252">
        <v>0</v>
      </c>
      <c r="WRN22" s="252">
        <v>0</v>
      </c>
      <c r="WRO22" s="252">
        <v>0</v>
      </c>
      <c r="WRP22" s="252">
        <v>0</v>
      </c>
      <c r="WRQ22" s="252">
        <v>0</v>
      </c>
      <c r="WRR22" s="252">
        <v>0</v>
      </c>
      <c r="WRS22" s="252">
        <v>0</v>
      </c>
      <c r="WRT22" s="252">
        <v>0</v>
      </c>
      <c r="WRU22" s="252">
        <v>0</v>
      </c>
      <c r="WRV22" s="252">
        <v>0</v>
      </c>
      <c r="WRW22" s="252">
        <v>0</v>
      </c>
      <c r="WRX22" s="252">
        <v>0</v>
      </c>
      <c r="WRY22" s="252">
        <v>0</v>
      </c>
      <c r="WRZ22" s="252">
        <v>0</v>
      </c>
      <c r="WSA22" s="252">
        <v>0</v>
      </c>
      <c r="WSB22" s="252">
        <v>0</v>
      </c>
      <c r="WSC22" s="252">
        <v>0</v>
      </c>
      <c r="WSD22" s="252">
        <v>0</v>
      </c>
      <c r="WSE22" s="252">
        <v>0</v>
      </c>
      <c r="WSF22" s="252">
        <v>0</v>
      </c>
      <c r="WSG22" s="252">
        <v>0</v>
      </c>
      <c r="WSH22" s="252">
        <v>0</v>
      </c>
      <c r="WSI22" s="252">
        <v>0</v>
      </c>
      <c r="WSJ22" s="252">
        <v>0</v>
      </c>
      <c r="WSK22" s="252">
        <v>0</v>
      </c>
      <c r="WSL22" s="252">
        <v>0</v>
      </c>
      <c r="WSM22" s="252">
        <v>0</v>
      </c>
      <c r="WSN22" s="252">
        <v>0</v>
      </c>
      <c r="WSO22" s="252">
        <v>0</v>
      </c>
      <c r="WSP22" s="252">
        <v>0</v>
      </c>
      <c r="WSQ22" s="252">
        <v>0</v>
      </c>
      <c r="WSR22" s="252">
        <v>0</v>
      </c>
      <c r="WSS22" s="252">
        <v>0</v>
      </c>
      <c r="WST22" s="252">
        <v>0</v>
      </c>
      <c r="WSU22" s="252">
        <v>0</v>
      </c>
      <c r="WSV22" s="252">
        <v>0</v>
      </c>
      <c r="WSW22" s="252">
        <v>0</v>
      </c>
      <c r="WSX22" s="252">
        <v>0</v>
      </c>
      <c r="WSY22" s="252">
        <v>0</v>
      </c>
      <c r="WSZ22" s="252">
        <v>0</v>
      </c>
      <c r="WTA22" s="252">
        <v>0</v>
      </c>
      <c r="WTB22" s="252">
        <v>0</v>
      </c>
      <c r="WTC22" s="252">
        <v>0</v>
      </c>
      <c r="WTD22" s="252">
        <v>0</v>
      </c>
      <c r="WTE22" s="252">
        <v>0</v>
      </c>
      <c r="WTF22" s="252">
        <v>0</v>
      </c>
      <c r="WTG22" s="252">
        <v>0</v>
      </c>
      <c r="WTH22" s="252">
        <v>0</v>
      </c>
      <c r="WTI22" s="252">
        <v>0</v>
      </c>
      <c r="WTJ22" s="252">
        <v>0</v>
      </c>
      <c r="WTK22" s="252">
        <v>0</v>
      </c>
      <c r="WTL22" s="252">
        <v>0</v>
      </c>
      <c r="WTM22" s="252">
        <v>0</v>
      </c>
      <c r="WTN22" s="252">
        <v>0</v>
      </c>
      <c r="WTO22" s="252">
        <v>0</v>
      </c>
      <c r="WTP22" s="252">
        <v>0</v>
      </c>
      <c r="WTQ22" s="252">
        <v>0</v>
      </c>
      <c r="WTR22" s="252">
        <v>0</v>
      </c>
      <c r="WTS22" s="252">
        <v>0</v>
      </c>
      <c r="WTT22" s="252">
        <v>0</v>
      </c>
      <c r="WTU22" s="252">
        <v>0</v>
      </c>
      <c r="WTV22" s="252">
        <v>0</v>
      </c>
      <c r="WTW22" s="252">
        <v>0</v>
      </c>
      <c r="WTX22" s="252">
        <v>0</v>
      </c>
      <c r="WTY22" s="252">
        <v>0</v>
      </c>
      <c r="WTZ22" s="252">
        <v>0</v>
      </c>
      <c r="WUA22" s="252">
        <v>0</v>
      </c>
      <c r="WUB22" s="252">
        <v>0</v>
      </c>
      <c r="WUC22" s="252">
        <v>0</v>
      </c>
      <c r="WUD22" s="252">
        <v>0</v>
      </c>
      <c r="WUE22" s="252">
        <v>0</v>
      </c>
      <c r="WUF22" s="252">
        <v>0</v>
      </c>
      <c r="WUG22" s="252">
        <v>0</v>
      </c>
      <c r="WUH22" s="252">
        <v>0</v>
      </c>
      <c r="WUI22" s="252">
        <v>0</v>
      </c>
      <c r="WUJ22" s="252">
        <v>0</v>
      </c>
      <c r="WUK22" s="252">
        <v>0</v>
      </c>
      <c r="WUL22" s="252">
        <v>0</v>
      </c>
      <c r="WUM22" s="252">
        <v>0</v>
      </c>
      <c r="WUN22" s="252">
        <v>0</v>
      </c>
      <c r="WUO22" s="252">
        <v>0</v>
      </c>
      <c r="WUP22" s="252">
        <v>0</v>
      </c>
      <c r="WUQ22" s="252">
        <v>0</v>
      </c>
      <c r="WUR22" s="252">
        <v>0</v>
      </c>
      <c r="WUS22" s="252">
        <v>0</v>
      </c>
      <c r="WUT22" s="252">
        <v>0</v>
      </c>
      <c r="WUU22" s="252">
        <v>0</v>
      </c>
      <c r="WUV22" s="252">
        <v>0</v>
      </c>
      <c r="WUW22" s="252">
        <v>0</v>
      </c>
      <c r="WUX22" s="252">
        <v>0</v>
      </c>
      <c r="WUY22" s="252">
        <v>0</v>
      </c>
      <c r="WUZ22" s="252">
        <v>0</v>
      </c>
      <c r="WVA22" s="252">
        <v>0</v>
      </c>
      <c r="WVB22" s="252">
        <v>0</v>
      </c>
      <c r="WVC22" s="252">
        <v>0</v>
      </c>
      <c r="WVD22" s="252">
        <v>0</v>
      </c>
      <c r="WVE22" s="252">
        <v>0</v>
      </c>
      <c r="WVF22" s="252">
        <v>0</v>
      </c>
      <c r="WVG22" s="252">
        <v>0</v>
      </c>
      <c r="WVH22" s="252">
        <v>0</v>
      </c>
      <c r="WVI22" s="252">
        <v>0</v>
      </c>
      <c r="WVJ22" s="252">
        <v>0</v>
      </c>
      <c r="WVK22" s="252">
        <v>0</v>
      </c>
      <c r="WVL22" s="252">
        <v>0</v>
      </c>
      <c r="WVM22" s="252">
        <v>0</v>
      </c>
      <c r="WVN22" s="252">
        <v>0</v>
      </c>
      <c r="WVO22" s="252">
        <v>0</v>
      </c>
      <c r="WVP22" s="252">
        <v>0</v>
      </c>
      <c r="WVQ22" s="252">
        <v>0</v>
      </c>
      <c r="WVR22" s="252">
        <v>0</v>
      </c>
      <c r="WVS22" s="252">
        <v>0</v>
      </c>
      <c r="WVT22" s="252">
        <v>0</v>
      </c>
      <c r="WVU22" s="252">
        <v>0</v>
      </c>
      <c r="WVV22" s="252">
        <v>0</v>
      </c>
      <c r="WVW22" s="252">
        <v>0</v>
      </c>
      <c r="WVX22" s="252">
        <v>0</v>
      </c>
      <c r="WVY22" s="252">
        <v>0</v>
      </c>
      <c r="WVZ22" s="252">
        <v>0</v>
      </c>
      <c r="WWA22" s="252">
        <v>0</v>
      </c>
      <c r="WWB22" s="252">
        <v>0</v>
      </c>
      <c r="WWC22" s="252">
        <v>0</v>
      </c>
      <c r="WWD22" s="252">
        <v>0</v>
      </c>
      <c r="WWE22" s="252">
        <v>0</v>
      </c>
      <c r="WWF22" s="252">
        <v>0</v>
      </c>
      <c r="WWG22" s="252">
        <v>0</v>
      </c>
      <c r="WWH22" s="252">
        <v>0</v>
      </c>
      <c r="WWI22" s="252">
        <v>0</v>
      </c>
      <c r="WWJ22" s="252">
        <v>0</v>
      </c>
      <c r="WWK22" s="252">
        <v>0</v>
      </c>
      <c r="WWL22" s="252">
        <v>0</v>
      </c>
      <c r="WWM22" s="252">
        <v>0</v>
      </c>
      <c r="WWN22" s="252">
        <v>0</v>
      </c>
      <c r="WWO22" s="252">
        <v>0</v>
      </c>
      <c r="WWP22" s="252">
        <v>0</v>
      </c>
      <c r="WWQ22" s="252">
        <v>0</v>
      </c>
      <c r="WWR22" s="252">
        <v>0</v>
      </c>
      <c r="WWS22" s="252">
        <v>0</v>
      </c>
      <c r="WWT22" s="252">
        <v>0</v>
      </c>
      <c r="WWU22" s="252">
        <v>0</v>
      </c>
      <c r="WWV22" s="252">
        <v>0</v>
      </c>
      <c r="WWW22" s="252">
        <v>0</v>
      </c>
      <c r="WWX22" s="252">
        <v>0</v>
      </c>
      <c r="WWY22" s="252">
        <v>0</v>
      </c>
      <c r="WWZ22" s="252">
        <v>0</v>
      </c>
      <c r="WXA22" s="252">
        <v>0</v>
      </c>
      <c r="WXB22" s="252">
        <v>0</v>
      </c>
      <c r="WXC22" s="252">
        <v>0</v>
      </c>
      <c r="WXD22" s="252">
        <v>0</v>
      </c>
      <c r="WXE22" s="252">
        <v>0</v>
      </c>
      <c r="WXF22" s="252">
        <v>0</v>
      </c>
      <c r="WXG22" s="252">
        <v>0</v>
      </c>
      <c r="WXH22" s="252">
        <v>0</v>
      </c>
      <c r="WXI22" s="252">
        <v>0</v>
      </c>
      <c r="WXJ22" s="252">
        <v>0</v>
      </c>
      <c r="WXK22" s="252">
        <v>0</v>
      </c>
      <c r="WXL22" s="252">
        <v>0</v>
      </c>
      <c r="WXM22" s="252">
        <v>0</v>
      </c>
      <c r="WXN22" s="252">
        <v>0</v>
      </c>
      <c r="WXO22" s="252">
        <v>0</v>
      </c>
      <c r="WXP22" s="252">
        <v>0</v>
      </c>
      <c r="WXQ22" s="252">
        <v>0</v>
      </c>
      <c r="WXR22" s="252">
        <v>0</v>
      </c>
      <c r="WXS22" s="252">
        <v>0</v>
      </c>
      <c r="WXT22" s="252">
        <v>0</v>
      </c>
      <c r="WXU22" s="252">
        <v>0</v>
      </c>
      <c r="WXV22" s="252">
        <v>0</v>
      </c>
      <c r="WXW22" s="252">
        <v>0</v>
      </c>
      <c r="WXX22" s="252">
        <v>0</v>
      </c>
      <c r="WXY22" s="252">
        <v>0</v>
      </c>
      <c r="WXZ22" s="252">
        <v>0</v>
      </c>
      <c r="WYA22" s="252">
        <v>0</v>
      </c>
      <c r="WYB22" s="252">
        <v>0</v>
      </c>
      <c r="WYC22" s="252">
        <v>0</v>
      </c>
      <c r="WYD22" s="252">
        <v>0</v>
      </c>
      <c r="WYE22" s="252">
        <v>0</v>
      </c>
      <c r="WYF22" s="252">
        <v>0</v>
      </c>
      <c r="WYG22" s="252">
        <v>0</v>
      </c>
      <c r="WYH22" s="252">
        <v>0</v>
      </c>
      <c r="WYI22" s="252">
        <v>0</v>
      </c>
      <c r="WYJ22" s="252">
        <v>0</v>
      </c>
      <c r="WYK22" s="252">
        <v>0</v>
      </c>
      <c r="WYL22" s="252">
        <v>0</v>
      </c>
      <c r="WYM22" s="252">
        <v>0</v>
      </c>
      <c r="WYN22" s="252">
        <v>0</v>
      </c>
      <c r="WYO22" s="252">
        <v>0</v>
      </c>
      <c r="WYP22" s="252">
        <v>0</v>
      </c>
      <c r="WYQ22" s="252">
        <v>0</v>
      </c>
      <c r="WYR22" s="252">
        <v>0</v>
      </c>
      <c r="WYS22" s="252">
        <v>0</v>
      </c>
      <c r="WYT22" s="252">
        <v>0</v>
      </c>
      <c r="WYU22" s="252">
        <v>0</v>
      </c>
      <c r="WYV22" s="252">
        <v>0</v>
      </c>
      <c r="WYW22" s="252">
        <v>0</v>
      </c>
      <c r="WYX22" s="252">
        <v>0</v>
      </c>
      <c r="WYY22" s="252">
        <v>0</v>
      </c>
      <c r="WYZ22" s="252">
        <v>0</v>
      </c>
      <c r="WZA22" s="252">
        <v>0</v>
      </c>
      <c r="WZB22" s="252">
        <v>0</v>
      </c>
      <c r="WZC22" s="252">
        <v>0</v>
      </c>
      <c r="WZD22" s="252">
        <v>0</v>
      </c>
      <c r="WZE22" s="252">
        <v>0</v>
      </c>
      <c r="WZF22" s="252">
        <v>0</v>
      </c>
      <c r="WZG22" s="252">
        <v>0</v>
      </c>
      <c r="WZH22" s="252">
        <v>0</v>
      </c>
      <c r="WZI22" s="252">
        <v>0</v>
      </c>
      <c r="WZJ22" s="252">
        <v>0</v>
      </c>
      <c r="WZK22" s="252">
        <v>0</v>
      </c>
      <c r="WZL22" s="252">
        <v>0</v>
      </c>
      <c r="WZM22" s="252">
        <v>0</v>
      </c>
      <c r="WZN22" s="252">
        <v>0</v>
      </c>
      <c r="WZO22" s="252">
        <v>0</v>
      </c>
      <c r="WZP22" s="252">
        <v>0</v>
      </c>
      <c r="WZQ22" s="252">
        <v>0</v>
      </c>
      <c r="WZR22" s="252">
        <v>0</v>
      </c>
      <c r="WZS22" s="252">
        <v>0</v>
      </c>
      <c r="WZT22" s="252">
        <v>0</v>
      </c>
      <c r="WZU22" s="252">
        <v>0</v>
      </c>
      <c r="WZV22" s="252">
        <v>0</v>
      </c>
      <c r="WZW22" s="252">
        <v>0</v>
      </c>
      <c r="WZX22" s="252">
        <v>0</v>
      </c>
      <c r="WZY22" s="252">
        <v>0</v>
      </c>
      <c r="WZZ22" s="252">
        <v>0</v>
      </c>
      <c r="XAA22" s="252">
        <v>0</v>
      </c>
      <c r="XAB22" s="252">
        <v>0</v>
      </c>
      <c r="XAC22" s="252">
        <v>0</v>
      </c>
      <c r="XAD22" s="252">
        <v>0</v>
      </c>
      <c r="XAE22" s="252">
        <v>0</v>
      </c>
      <c r="XAF22" s="252">
        <v>0</v>
      </c>
      <c r="XAG22" s="252">
        <v>0</v>
      </c>
      <c r="XAH22" s="252">
        <v>0</v>
      </c>
      <c r="XAI22" s="252">
        <v>0</v>
      </c>
      <c r="XAJ22" s="252">
        <v>0</v>
      </c>
      <c r="XAK22" s="252">
        <v>0</v>
      </c>
      <c r="XAL22" s="252">
        <v>0</v>
      </c>
      <c r="XAM22" s="252">
        <v>0</v>
      </c>
      <c r="XAN22" s="252">
        <v>0</v>
      </c>
      <c r="XAO22" s="252">
        <v>0</v>
      </c>
      <c r="XAP22" s="252">
        <v>0</v>
      </c>
      <c r="XAQ22" s="252">
        <v>0</v>
      </c>
      <c r="XAR22" s="252">
        <v>0</v>
      </c>
      <c r="XAS22" s="252">
        <v>0</v>
      </c>
      <c r="XAT22" s="252">
        <v>0</v>
      </c>
      <c r="XAU22" s="252">
        <v>0</v>
      </c>
      <c r="XAV22" s="252">
        <v>0</v>
      </c>
      <c r="XAW22" s="252">
        <v>0</v>
      </c>
      <c r="XAX22" s="252">
        <v>0</v>
      </c>
      <c r="XAY22" s="252">
        <v>0</v>
      </c>
      <c r="XAZ22" s="252">
        <v>0</v>
      </c>
      <c r="XBA22" s="252">
        <v>0</v>
      </c>
      <c r="XBB22" s="252">
        <v>0</v>
      </c>
      <c r="XBC22" s="252">
        <v>0</v>
      </c>
      <c r="XBD22" s="252">
        <v>0</v>
      </c>
      <c r="XBE22" s="252">
        <v>0</v>
      </c>
      <c r="XBF22" s="252">
        <v>0</v>
      </c>
      <c r="XBG22" s="252">
        <v>0</v>
      </c>
      <c r="XBH22" s="252">
        <v>0</v>
      </c>
      <c r="XBI22" s="252">
        <v>0</v>
      </c>
      <c r="XBJ22" s="252">
        <v>0</v>
      </c>
      <c r="XBK22" s="252">
        <v>0</v>
      </c>
      <c r="XBL22" s="252">
        <v>0</v>
      </c>
      <c r="XBM22" s="252">
        <v>0</v>
      </c>
      <c r="XBN22" s="252">
        <v>0</v>
      </c>
      <c r="XBO22" s="252">
        <v>0</v>
      </c>
      <c r="XBP22" s="252">
        <v>0</v>
      </c>
      <c r="XBQ22" s="252">
        <v>0</v>
      </c>
      <c r="XBR22" s="252">
        <v>0</v>
      </c>
      <c r="XBS22" s="252">
        <v>0</v>
      </c>
      <c r="XBT22" s="252">
        <v>0</v>
      </c>
      <c r="XBU22" s="252">
        <v>0</v>
      </c>
      <c r="XBV22" s="252">
        <v>0</v>
      </c>
      <c r="XBW22" s="252">
        <v>0</v>
      </c>
      <c r="XBX22" s="252">
        <v>0</v>
      </c>
      <c r="XBY22" s="252">
        <v>0</v>
      </c>
      <c r="XBZ22" s="252">
        <v>0</v>
      </c>
      <c r="XCA22" s="252">
        <v>0</v>
      </c>
      <c r="XCB22" s="252">
        <v>0</v>
      </c>
      <c r="XCC22" s="252">
        <v>0</v>
      </c>
      <c r="XCD22" s="252">
        <v>0</v>
      </c>
      <c r="XCE22" s="252">
        <v>0</v>
      </c>
      <c r="XCF22" s="252">
        <v>0</v>
      </c>
      <c r="XCG22" s="252">
        <v>0</v>
      </c>
      <c r="XCH22" s="252">
        <v>0</v>
      </c>
      <c r="XCI22" s="252">
        <v>0</v>
      </c>
      <c r="XCJ22" s="252">
        <v>0</v>
      </c>
      <c r="XCK22" s="252">
        <v>0</v>
      </c>
      <c r="XCL22" s="252">
        <v>0</v>
      </c>
      <c r="XCM22" s="252">
        <v>0</v>
      </c>
      <c r="XCN22" s="252">
        <v>0</v>
      </c>
      <c r="XCO22" s="252">
        <v>0</v>
      </c>
      <c r="XCP22" s="252">
        <v>0</v>
      </c>
      <c r="XCQ22" s="252">
        <v>0</v>
      </c>
      <c r="XCR22" s="252">
        <v>0</v>
      </c>
      <c r="XCS22" s="252">
        <v>0</v>
      </c>
      <c r="XCT22" s="252">
        <v>0</v>
      </c>
      <c r="XCU22" s="252">
        <v>0</v>
      </c>
      <c r="XCV22" s="252">
        <v>0</v>
      </c>
      <c r="XCW22" s="252">
        <v>0</v>
      </c>
      <c r="XCX22" s="252">
        <v>0</v>
      </c>
      <c r="XCY22" s="252">
        <v>0</v>
      </c>
      <c r="XCZ22" s="252">
        <v>0</v>
      </c>
      <c r="XDA22" s="252">
        <v>0</v>
      </c>
      <c r="XDB22" s="252">
        <v>0</v>
      </c>
      <c r="XDC22" s="252">
        <v>0</v>
      </c>
      <c r="XDD22" s="252">
        <v>0</v>
      </c>
      <c r="XDE22" s="252">
        <v>0</v>
      </c>
      <c r="XDF22" s="252">
        <v>0</v>
      </c>
      <c r="XDG22" s="252">
        <v>0</v>
      </c>
      <c r="XDH22" s="252">
        <v>0</v>
      </c>
      <c r="XDI22" s="252">
        <v>0</v>
      </c>
      <c r="XDJ22" s="252">
        <v>0</v>
      </c>
      <c r="XDK22" s="252">
        <v>0</v>
      </c>
      <c r="XDL22" s="252">
        <v>0</v>
      </c>
      <c r="XDM22" s="252">
        <v>0</v>
      </c>
      <c r="XDN22" s="252">
        <v>0</v>
      </c>
      <c r="XDO22" s="252">
        <v>0</v>
      </c>
      <c r="XDP22" s="252">
        <v>0</v>
      </c>
      <c r="XDQ22" s="252">
        <v>0</v>
      </c>
      <c r="XDR22" s="252">
        <v>0</v>
      </c>
      <c r="XDS22" s="252">
        <v>0</v>
      </c>
      <c r="XDT22" s="252">
        <v>0</v>
      </c>
      <c r="XDU22" s="252">
        <v>0</v>
      </c>
      <c r="XDV22" s="252">
        <v>0</v>
      </c>
      <c r="XDW22" s="252">
        <v>0</v>
      </c>
      <c r="XDX22" s="252">
        <v>0</v>
      </c>
      <c r="XDY22" s="252">
        <v>0</v>
      </c>
      <c r="XDZ22" s="252">
        <v>0</v>
      </c>
      <c r="XEA22" s="252">
        <v>0</v>
      </c>
      <c r="XEB22" s="252">
        <v>0</v>
      </c>
      <c r="XEC22" s="252">
        <v>0</v>
      </c>
      <c r="XED22" s="252">
        <v>0</v>
      </c>
      <c r="XEE22" s="252">
        <v>0</v>
      </c>
      <c r="XEF22" s="252">
        <v>0</v>
      </c>
      <c r="XEG22" s="252">
        <v>0</v>
      </c>
      <c r="XEH22" s="252">
        <v>0</v>
      </c>
      <c r="XEI22" s="252">
        <v>0</v>
      </c>
      <c r="XEJ22" s="252">
        <v>0</v>
      </c>
      <c r="XEK22" s="252">
        <v>0</v>
      </c>
      <c r="XEL22" s="252">
        <v>0</v>
      </c>
      <c r="XEM22" s="252">
        <v>0</v>
      </c>
      <c r="XEN22" s="252">
        <v>0</v>
      </c>
      <c r="XEO22" s="252">
        <v>0</v>
      </c>
      <c r="XEP22" s="252">
        <v>0</v>
      </c>
      <c r="XEQ22" s="252">
        <v>0</v>
      </c>
      <c r="XER22" s="252">
        <v>0</v>
      </c>
      <c r="XES22" s="252">
        <v>0</v>
      </c>
      <c r="XET22" s="252">
        <v>0</v>
      </c>
      <c r="XEU22" s="252">
        <v>0</v>
      </c>
      <c r="XEV22" s="252">
        <v>0</v>
      </c>
      <c r="XEW22" s="252">
        <v>0</v>
      </c>
      <c r="XEX22" s="252">
        <v>0</v>
      </c>
      <c r="XEY22" s="252">
        <v>0</v>
      </c>
      <c r="XEZ22" s="252">
        <v>0</v>
      </c>
      <c r="XFA22" s="252">
        <v>0</v>
      </c>
      <c r="XFB22" s="252">
        <v>0</v>
      </c>
    </row>
    <row r="23" spans="1:16382" s="251" customFormat="1" outlineLevel="1" x14ac:dyDescent="0.25">
      <c r="A23" s="224" t="s">
        <v>1166</v>
      </c>
      <c r="B23" s="229">
        <v>0</v>
      </c>
      <c r="C23" s="229">
        <v>0</v>
      </c>
      <c r="D23" s="229">
        <v>0</v>
      </c>
      <c r="E23" s="229">
        <v>0</v>
      </c>
      <c r="F23" s="229">
        <v>0</v>
      </c>
      <c r="G23" s="229">
        <v>0</v>
      </c>
      <c r="H23" s="229">
        <v>0</v>
      </c>
      <c r="I23" s="229">
        <v>0</v>
      </c>
      <c r="J23" s="229">
        <v>0</v>
      </c>
      <c r="K23" s="229">
        <v>0</v>
      </c>
      <c r="L23" s="229">
        <v>0</v>
      </c>
      <c r="M23" s="229">
        <v>0</v>
      </c>
      <c r="N23" s="229">
        <v>0</v>
      </c>
      <c r="O23" s="229">
        <v>0</v>
      </c>
      <c r="P23" s="229">
        <v>0</v>
      </c>
      <c r="Q23" s="229">
        <v>0</v>
      </c>
      <c r="R23" s="229">
        <v>0</v>
      </c>
      <c r="S23" s="229">
        <v>0</v>
      </c>
      <c r="T23" s="229">
        <v>0</v>
      </c>
      <c r="U23" s="229">
        <v>0</v>
      </c>
      <c r="V23" s="229">
        <v>0</v>
      </c>
      <c r="W23" s="229">
        <v>0</v>
      </c>
      <c r="X23" s="229">
        <v>0</v>
      </c>
      <c r="Y23" s="229">
        <v>0</v>
      </c>
      <c r="Z23" s="229">
        <v>0</v>
      </c>
      <c r="AA23" s="229">
        <v>0</v>
      </c>
      <c r="AB23" s="229">
        <v>0</v>
      </c>
      <c r="AC23" s="229">
        <v>0</v>
      </c>
      <c r="AD23" s="229">
        <v>0</v>
      </c>
      <c r="AE23" s="229">
        <v>0</v>
      </c>
      <c r="AF23" s="229">
        <v>0</v>
      </c>
      <c r="AG23" s="229">
        <v>0</v>
      </c>
      <c r="AH23" s="229">
        <v>0</v>
      </c>
      <c r="AI23" s="229">
        <v>0</v>
      </c>
      <c r="AJ23" s="229">
        <v>0</v>
      </c>
      <c r="AK23" s="229">
        <v>0</v>
      </c>
      <c r="AL23" s="229">
        <v>0</v>
      </c>
      <c r="AM23" s="229">
        <v>0</v>
      </c>
      <c r="AN23" s="229">
        <v>0</v>
      </c>
      <c r="AO23" s="229">
        <v>0</v>
      </c>
      <c r="AP23" s="229">
        <v>0</v>
      </c>
      <c r="AQ23" s="229">
        <v>0</v>
      </c>
      <c r="AR23" s="229">
        <v>0</v>
      </c>
      <c r="AS23" s="229">
        <v>0</v>
      </c>
      <c r="AT23" s="229">
        <v>0</v>
      </c>
      <c r="AU23" s="229">
        <v>0</v>
      </c>
      <c r="AV23" s="229">
        <v>0</v>
      </c>
      <c r="AW23" s="229">
        <v>0</v>
      </c>
      <c r="AX23" s="229">
        <v>0</v>
      </c>
      <c r="AY23" s="229">
        <v>0</v>
      </c>
      <c r="AZ23" s="229">
        <v>0</v>
      </c>
      <c r="BA23" s="229">
        <v>0</v>
      </c>
      <c r="BB23" s="229">
        <v>0</v>
      </c>
      <c r="BC23" s="229">
        <v>0</v>
      </c>
      <c r="BD23" s="229">
        <v>0</v>
      </c>
      <c r="BE23" s="229">
        <v>0</v>
      </c>
      <c r="BF23" s="229">
        <v>0</v>
      </c>
      <c r="BG23" s="229">
        <v>0</v>
      </c>
      <c r="BH23" s="229">
        <v>0</v>
      </c>
      <c r="BI23" s="229">
        <v>0</v>
      </c>
      <c r="BJ23" s="229">
        <v>0</v>
      </c>
      <c r="BK23" s="229">
        <v>0</v>
      </c>
      <c r="BL23" s="229">
        <v>0</v>
      </c>
      <c r="BM23" s="229">
        <v>0</v>
      </c>
      <c r="BN23" s="229">
        <v>0</v>
      </c>
      <c r="BO23" s="229">
        <v>0</v>
      </c>
      <c r="BP23" s="229">
        <v>0</v>
      </c>
      <c r="BQ23" s="229">
        <v>0</v>
      </c>
      <c r="BR23" s="229">
        <v>0</v>
      </c>
      <c r="BS23" s="229">
        <v>0</v>
      </c>
      <c r="BT23" s="229">
        <v>0</v>
      </c>
      <c r="BU23" s="229">
        <v>0</v>
      </c>
      <c r="BV23" s="229">
        <v>0</v>
      </c>
      <c r="BW23" s="229">
        <v>0</v>
      </c>
      <c r="BX23" s="229">
        <v>0</v>
      </c>
      <c r="BY23" s="229">
        <v>0</v>
      </c>
      <c r="BZ23" s="229">
        <v>0</v>
      </c>
      <c r="CA23" s="229">
        <v>0</v>
      </c>
      <c r="CB23" s="229">
        <v>0</v>
      </c>
      <c r="CC23" s="229">
        <v>0</v>
      </c>
      <c r="CD23" s="229">
        <v>0</v>
      </c>
      <c r="CE23" s="229">
        <v>0</v>
      </c>
      <c r="CF23" s="229">
        <v>0</v>
      </c>
      <c r="CG23" s="229">
        <v>0</v>
      </c>
      <c r="CH23" s="229">
        <v>0</v>
      </c>
      <c r="CI23" s="229">
        <v>0</v>
      </c>
      <c r="CJ23" s="229">
        <v>0</v>
      </c>
      <c r="CK23" s="229">
        <v>0</v>
      </c>
      <c r="CL23" s="229">
        <v>0</v>
      </c>
      <c r="CM23" s="229">
        <v>0</v>
      </c>
      <c r="CN23" s="229">
        <v>0</v>
      </c>
      <c r="CO23" s="229">
        <v>0</v>
      </c>
      <c r="CP23" s="229">
        <v>0</v>
      </c>
      <c r="CQ23" s="229">
        <v>0</v>
      </c>
      <c r="CR23" s="229">
        <v>0</v>
      </c>
      <c r="CS23" s="229">
        <v>0</v>
      </c>
      <c r="CT23" s="229">
        <v>0</v>
      </c>
      <c r="CU23" s="229">
        <v>0</v>
      </c>
      <c r="CV23" s="229">
        <v>0</v>
      </c>
      <c r="CW23" s="229">
        <v>0</v>
      </c>
      <c r="CX23" s="229">
        <v>0</v>
      </c>
      <c r="CY23" s="229">
        <v>0</v>
      </c>
      <c r="CZ23" s="229">
        <v>0</v>
      </c>
      <c r="DA23" s="229">
        <v>0</v>
      </c>
      <c r="DB23" s="229">
        <v>0</v>
      </c>
      <c r="DC23" s="229">
        <v>0</v>
      </c>
      <c r="DD23" s="229">
        <v>0</v>
      </c>
      <c r="DE23" s="229">
        <v>0</v>
      </c>
      <c r="DF23" s="229">
        <v>0</v>
      </c>
      <c r="DG23" s="229">
        <v>0</v>
      </c>
      <c r="DH23" s="229">
        <v>0</v>
      </c>
      <c r="DI23" s="229">
        <v>0</v>
      </c>
      <c r="DJ23" s="229">
        <v>0</v>
      </c>
      <c r="DK23" s="229">
        <v>0</v>
      </c>
      <c r="DL23" s="229">
        <v>0</v>
      </c>
      <c r="DM23" s="229">
        <v>0</v>
      </c>
      <c r="DN23" s="229">
        <v>0</v>
      </c>
      <c r="DO23" s="229">
        <v>0</v>
      </c>
      <c r="DP23" s="229">
        <v>0</v>
      </c>
      <c r="DQ23" s="229">
        <v>0</v>
      </c>
      <c r="DR23" s="229">
        <v>0</v>
      </c>
      <c r="DS23" s="229">
        <v>0</v>
      </c>
      <c r="DT23" s="229">
        <v>0</v>
      </c>
      <c r="DU23" s="229">
        <v>0</v>
      </c>
      <c r="DV23" s="229">
        <v>0</v>
      </c>
      <c r="DW23" s="229">
        <v>0</v>
      </c>
      <c r="DX23" s="229">
        <v>0</v>
      </c>
      <c r="DY23" s="229">
        <v>0</v>
      </c>
      <c r="DZ23" s="229">
        <v>0</v>
      </c>
      <c r="EA23" s="229">
        <v>0</v>
      </c>
      <c r="EB23" s="229">
        <v>0</v>
      </c>
      <c r="EC23" s="229">
        <v>0</v>
      </c>
      <c r="ED23" s="229">
        <v>0</v>
      </c>
      <c r="EE23" s="229">
        <v>0</v>
      </c>
      <c r="EF23" s="229">
        <v>0</v>
      </c>
      <c r="EG23" s="229">
        <v>0</v>
      </c>
      <c r="EH23" s="229">
        <v>0</v>
      </c>
      <c r="EI23" s="229">
        <v>0</v>
      </c>
      <c r="EJ23" s="229">
        <v>0</v>
      </c>
      <c r="EK23" s="229">
        <v>0</v>
      </c>
      <c r="EL23" s="229">
        <v>0</v>
      </c>
      <c r="EM23" s="229">
        <v>0</v>
      </c>
      <c r="EN23" s="229">
        <v>0</v>
      </c>
      <c r="EO23" s="229">
        <v>0</v>
      </c>
      <c r="EP23" s="229">
        <v>0</v>
      </c>
      <c r="EQ23" s="229">
        <v>0</v>
      </c>
      <c r="ER23" s="229">
        <v>0</v>
      </c>
      <c r="ES23" s="229">
        <v>0</v>
      </c>
      <c r="ET23" s="229">
        <v>0</v>
      </c>
      <c r="EU23" s="229">
        <v>0</v>
      </c>
      <c r="EV23" s="229">
        <v>0</v>
      </c>
      <c r="EW23" s="229">
        <v>0</v>
      </c>
      <c r="EX23" s="229">
        <v>0</v>
      </c>
      <c r="EY23" s="229">
        <v>0</v>
      </c>
      <c r="EZ23" s="229">
        <v>0</v>
      </c>
      <c r="FA23" s="229">
        <v>0</v>
      </c>
      <c r="FB23" s="229">
        <v>0</v>
      </c>
      <c r="FC23" s="229">
        <v>0</v>
      </c>
      <c r="FD23" s="229">
        <v>0</v>
      </c>
      <c r="FE23" s="229">
        <v>0</v>
      </c>
      <c r="FF23" s="229">
        <v>0</v>
      </c>
      <c r="FG23" s="229">
        <v>0</v>
      </c>
      <c r="FH23" s="229">
        <v>0</v>
      </c>
      <c r="FI23" s="229">
        <v>0</v>
      </c>
      <c r="FJ23" s="229">
        <v>0</v>
      </c>
      <c r="FK23" s="229">
        <v>0</v>
      </c>
      <c r="FL23" s="229">
        <v>0</v>
      </c>
      <c r="FM23" s="229">
        <v>0</v>
      </c>
      <c r="FN23" s="229">
        <v>0</v>
      </c>
      <c r="FO23" s="229">
        <v>0</v>
      </c>
      <c r="FP23" s="229">
        <v>0</v>
      </c>
      <c r="FQ23" s="229">
        <v>0</v>
      </c>
      <c r="FR23" s="229">
        <v>0</v>
      </c>
      <c r="FS23" s="229">
        <v>0</v>
      </c>
      <c r="FT23" s="229">
        <v>0</v>
      </c>
      <c r="FU23" s="229">
        <v>0</v>
      </c>
      <c r="FV23" s="229">
        <v>0</v>
      </c>
      <c r="FW23" s="229">
        <v>0</v>
      </c>
      <c r="FX23" s="229">
        <v>0</v>
      </c>
      <c r="FY23" s="229">
        <v>0</v>
      </c>
      <c r="FZ23" s="229">
        <v>0</v>
      </c>
      <c r="GA23" s="229">
        <v>0</v>
      </c>
      <c r="GB23" s="229">
        <v>0</v>
      </c>
      <c r="GC23" s="229">
        <v>0</v>
      </c>
      <c r="GD23" s="229">
        <v>0</v>
      </c>
      <c r="GE23" s="229">
        <v>0</v>
      </c>
      <c r="GF23" s="229">
        <v>0</v>
      </c>
      <c r="GG23" s="229">
        <v>0</v>
      </c>
      <c r="GH23" s="229">
        <v>0</v>
      </c>
      <c r="GI23" s="229">
        <v>0</v>
      </c>
      <c r="GJ23" s="229">
        <v>0</v>
      </c>
      <c r="GK23" s="229">
        <v>0</v>
      </c>
      <c r="GL23" s="229">
        <v>0</v>
      </c>
      <c r="GM23" s="229">
        <v>0</v>
      </c>
      <c r="GN23" s="229">
        <v>0</v>
      </c>
      <c r="GO23" s="229">
        <v>0</v>
      </c>
      <c r="GP23" s="229">
        <v>0</v>
      </c>
      <c r="GQ23" s="229">
        <v>0</v>
      </c>
      <c r="GR23" s="229">
        <v>0</v>
      </c>
      <c r="GS23" s="229">
        <v>0</v>
      </c>
      <c r="GT23" s="229">
        <v>0</v>
      </c>
      <c r="GU23" s="229">
        <v>0</v>
      </c>
      <c r="GV23" s="229">
        <v>0</v>
      </c>
      <c r="GW23" s="229">
        <v>0</v>
      </c>
      <c r="GX23" s="229">
        <v>0</v>
      </c>
      <c r="GY23" s="229">
        <v>0</v>
      </c>
      <c r="GZ23" s="229">
        <v>0</v>
      </c>
      <c r="HA23" s="229">
        <v>0</v>
      </c>
      <c r="HB23" s="229">
        <v>0</v>
      </c>
      <c r="HC23" s="229">
        <v>0</v>
      </c>
      <c r="HD23" s="229">
        <v>0</v>
      </c>
      <c r="HE23" s="229">
        <v>0</v>
      </c>
      <c r="HF23" s="229">
        <v>0</v>
      </c>
      <c r="HG23" s="229">
        <v>0</v>
      </c>
      <c r="HH23" s="229">
        <v>0</v>
      </c>
      <c r="HI23" s="229">
        <v>0</v>
      </c>
      <c r="HJ23" s="229">
        <v>0</v>
      </c>
      <c r="HK23" s="229">
        <v>0</v>
      </c>
      <c r="HL23" s="229">
        <v>0</v>
      </c>
      <c r="HM23" s="229">
        <v>0</v>
      </c>
      <c r="HN23" s="229">
        <v>0</v>
      </c>
      <c r="HO23" s="229">
        <v>0</v>
      </c>
      <c r="HP23" s="229">
        <v>0</v>
      </c>
      <c r="HQ23" s="229">
        <v>0</v>
      </c>
      <c r="HR23" s="229">
        <v>0</v>
      </c>
      <c r="HS23" s="229">
        <v>0</v>
      </c>
      <c r="HT23" s="229">
        <v>0</v>
      </c>
      <c r="HU23" s="229">
        <v>0</v>
      </c>
      <c r="HV23" s="229">
        <v>0</v>
      </c>
      <c r="HW23" s="229">
        <v>0</v>
      </c>
      <c r="HX23" s="229">
        <v>0</v>
      </c>
      <c r="HY23" s="229">
        <v>0</v>
      </c>
      <c r="HZ23" s="229">
        <v>0</v>
      </c>
      <c r="IA23" s="229">
        <v>0</v>
      </c>
      <c r="IB23" s="229">
        <v>0</v>
      </c>
      <c r="IC23" s="229">
        <v>0</v>
      </c>
      <c r="ID23" s="229">
        <v>0</v>
      </c>
      <c r="IE23" s="229">
        <v>0</v>
      </c>
      <c r="IF23" s="229">
        <v>0</v>
      </c>
      <c r="IG23" s="229">
        <v>0</v>
      </c>
      <c r="IH23" s="229">
        <v>0</v>
      </c>
      <c r="II23" s="229">
        <v>0</v>
      </c>
      <c r="IJ23" s="229">
        <v>0</v>
      </c>
      <c r="IK23" s="229">
        <v>0</v>
      </c>
      <c r="IL23" s="229">
        <v>0</v>
      </c>
      <c r="IM23" s="229">
        <v>0</v>
      </c>
      <c r="IN23" s="229">
        <v>0</v>
      </c>
      <c r="IO23" s="229">
        <v>0</v>
      </c>
      <c r="IP23" s="229">
        <v>0</v>
      </c>
      <c r="IQ23" s="229">
        <v>0</v>
      </c>
      <c r="IR23" s="229">
        <v>0</v>
      </c>
      <c r="IS23" s="229">
        <v>0</v>
      </c>
      <c r="IT23" s="229">
        <v>0</v>
      </c>
      <c r="IU23" s="229">
        <v>0</v>
      </c>
      <c r="IV23" s="229">
        <v>0</v>
      </c>
      <c r="IW23" s="229">
        <v>0</v>
      </c>
      <c r="IX23" s="229">
        <v>0</v>
      </c>
      <c r="IY23" s="229">
        <v>0</v>
      </c>
      <c r="IZ23" s="229">
        <v>0</v>
      </c>
      <c r="JA23" s="229">
        <v>0</v>
      </c>
      <c r="JB23" s="229">
        <v>0</v>
      </c>
      <c r="JC23" s="229">
        <v>0</v>
      </c>
      <c r="JD23" s="229">
        <v>0</v>
      </c>
      <c r="JE23" s="229">
        <v>0</v>
      </c>
      <c r="JF23" s="229">
        <v>0</v>
      </c>
      <c r="JG23" s="229">
        <v>0</v>
      </c>
      <c r="JH23" s="229">
        <v>0</v>
      </c>
      <c r="JI23" s="229">
        <v>0</v>
      </c>
      <c r="JJ23" s="229">
        <v>0</v>
      </c>
      <c r="JK23" s="229">
        <v>0</v>
      </c>
      <c r="JL23" s="229">
        <v>0</v>
      </c>
      <c r="JM23" s="229">
        <v>0</v>
      </c>
      <c r="JN23" s="229">
        <v>0</v>
      </c>
      <c r="JO23" s="229">
        <v>0</v>
      </c>
      <c r="JP23" s="229">
        <v>0</v>
      </c>
      <c r="JQ23" s="229">
        <v>0</v>
      </c>
      <c r="JR23" s="229">
        <v>0</v>
      </c>
      <c r="JS23" s="229">
        <v>0</v>
      </c>
      <c r="JT23" s="229">
        <v>0</v>
      </c>
      <c r="JU23" s="229">
        <v>0</v>
      </c>
      <c r="JV23" s="229">
        <v>0</v>
      </c>
      <c r="JW23" s="229">
        <v>0</v>
      </c>
      <c r="JX23" s="229">
        <v>0</v>
      </c>
      <c r="JY23" s="229">
        <v>0</v>
      </c>
      <c r="JZ23" s="229">
        <v>0</v>
      </c>
      <c r="KA23" s="229">
        <v>0</v>
      </c>
      <c r="KB23" s="229">
        <v>0</v>
      </c>
      <c r="KC23" s="229">
        <v>0</v>
      </c>
      <c r="KD23" s="229">
        <v>0</v>
      </c>
      <c r="KE23" s="229">
        <v>0</v>
      </c>
      <c r="KF23" s="229">
        <v>0</v>
      </c>
      <c r="KG23" s="229">
        <v>0</v>
      </c>
      <c r="KH23" s="229">
        <v>0</v>
      </c>
      <c r="KI23" s="229">
        <v>0</v>
      </c>
      <c r="KJ23" s="229">
        <v>0</v>
      </c>
      <c r="KK23" s="229">
        <v>0</v>
      </c>
      <c r="KL23" s="229">
        <v>0</v>
      </c>
      <c r="KM23" s="229">
        <v>0</v>
      </c>
      <c r="KN23" s="229">
        <v>0</v>
      </c>
      <c r="KO23" s="229">
        <v>0</v>
      </c>
      <c r="KP23" s="229">
        <v>0</v>
      </c>
      <c r="KQ23" s="229">
        <v>0</v>
      </c>
      <c r="KR23" s="229">
        <v>0</v>
      </c>
      <c r="KS23" s="229">
        <v>0</v>
      </c>
      <c r="KT23" s="229">
        <v>0</v>
      </c>
      <c r="KU23" s="229">
        <v>0</v>
      </c>
      <c r="KV23" s="229">
        <v>0</v>
      </c>
      <c r="KW23" s="229">
        <v>0</v>
      </c>
      <c r="KX23" s="229">
        <v>0</v>
      </c>
      <c r="KY23" s="229">
        <v>0</v>
      </c>
      <c r="KZ23" s="229">
        <v>0</v>
      </c>
      <c r="LA23" s="229">
        <v>0</v>
      </c>
      <c r="LB23" s="229">
        <v>0</v>
      </c>
      <c r="LC23" s="229">
        <v>0</v>
      </c>
      <c r="LD23" s="229">
        <v>0</v>
      </c>
      <c r="LE23" s="229">
        <v>0</v>
      </c>
      <c r="LF23" s="229">
        <v>0</v>
      </c>
      <c r="LG23" s="229">
        <v>0</v>
      </c>
      <c r="LH23" s="229">
        <v>0</v>
      </c>
      <c r="LI23" s="229">
        <v>0</v>
      </c>
      <c r="LJ23" s="229">
        <v>0</v>
      </c>
      <c r="LK23" s="229">
        <v>0</v>
      </c>
      <c r="LL23" s="229">
        <v>0</v>
      </c>
      <c r="LM23" s="229">
        <v>0</v>
      </c>
      <c r="LN23" s="229">
        <v>0</v>
      </c>
      <c r="LO23" s="229">
        <v>0</v>
      </c>
      <c r="LP23" s="229">
        <v>0</v>
      </c>
      <c r="LQ23" s="229">
        <v>0</v>
      </c>
      <c r="LR23" s="229">
        <v>0</v>
      </c>
      <c r="LS23" s="229">
        <v>0</v>
      </c>
      <c r="LT23" s="229">
        <v>0</v>
      </c>
      <c r="LU23" s="229">
        <v>0</v>
      </c>
      <c r="LV23" s="229">
        <v>0</v>
      </c>
      <c r="LW23" s="229">
        <v>0</v>
      </c>
      <c r="LX23" s="229">
        <v>0</v>
      </c>
      <c r="LY23" s="229">
        <v>0</v>
      </c>
      <c r="LZ23" s="229">
        <v>0</v>
      </c>
      <c r="MA23" s="229">
        <v>0</v>
      </c>
      <c r="MB23" s="229">
        <v>0</v>
      </c>
      <c r="MC23" s="229">
        <v>0</v>
      </c>
      <c r="MD23" s="229">
        <v>0</v>
      </c>
      <c r="ME23" s="229">
        <v>0</v>
      </c>
      <c r="MF23" s="229">
        <v>0</v>
      </c>
      <c r="MG23" s="229">
        <v>0</v>
      </c>
      <c r="MH23" s="229">
        <v>0</v>
      </c>
      <c r="MI23" s="229">
        <v>0</v>
      </c>
      <c r="MJ23" s="229">
        <v>0</v>
      </c>
      <c r="MK23" s="229">
        <v>0</v>
      </c>
      <c r="ML23" s="229">
        <v>0</v>
      </c>
      <c r="MM23" s="229">
        <v>0</v>
      </c>
      <c r="MN23" s="229">
        <v>0</v>
      </c>
      <c r="MO23" s="229">
        <v>0</v>
      </c>
      <c r="MP23" s="229">
        <v>0</v>
      </c>
      <c r="MQ23" s="229">
        <v>0</v>
      </c>
      <c r="MR23" s="229">
        <v>0</v>
      </c>
      <c r="MS23" s="229">
        <v>0</v>
      </c>
      <c r="MT23" s="229">
        <v>0</v>
      </c>
      <c r="MU23" s="229">
        <v>0</v>
      </c>
      <c r="MV23" s="229">
        <v>0</v>
      </c>
      <c r="MW23" s="229">
        <v>0</v>
      </c>
      <c r="MX23" s="229">
        <v>0</v>
      </c>
      <c r="MY23" s="229">
        <v>0</v>
      </c>
      <c r="MZ23" s="229">
        <v>0</v>
      </c>
      <c r="NA23" s="229">
        <v>0</v>
      </c>
      <c r="NB23" s="229">
        <v>0</v>
      </c>
      <c r="NC23" s="229">
        <v>0</v>
      </c>
      <c r="ND23" s="229">
        <v>0</v>
      </c>
      <c r="NE23" s="229">
        <v>0</v>
      </c>
      <c r="NF23" s="229">
        <v>0</v>
      </c>
      <c r="NG23" s="229">
        <v>0</v>
      </c>
      <c r="NH23" s="229">
        <v>0</v>
      </c>
      <c r="NI23" s="229">
        <v>0</v>
      </c>
      <c r="NJ23" s="229">
        <v>0</v>
      </c>
      <c r="NK23" s="229">
        <v>0</v>
      </c>
      <c r="NL23" s="229">
        <v>0</v>
      </c>
      <c r="NM23" s="229">
        <v>0</v>
      </c>
      <c r="NN23" s="229">
        <v>0</v>
      </c>
      <c r="NO23" s="229">
        <v>0</v>
      </c>
      <c r="NP23" s="229">
        <v>0</v>
      </c>
      <c r="NQ23" s="229">
        <v>0</v>
      </c>
      <c r="NR23" s="229">
        <v>0</v>
      </c>
      <c r="NS23" s="229">
        <v>0</v>
      </c>
      <c r="NT23" s="229">
        <v>0</v>
      </c>
      <c r="NU23" s="229">
        <v>0</v>
      </c>
      <c r="NV23" s="229">
        <v>0</v>
      </c>
      <c r="NW23" s="229">
        <v>0</v>
      </c>
      <c r="NX23" s="229">
        <v>0</v>
      </c>
      <c r="NY23" s="229">
        <v>0</v>
      </c>
      <c r="NZ23" s="229">
        <v>0</v>
      </c>
      <c r="OA23" s="229">
        <v>0</v>
      </c>
      <c r="OB23" s="229">
        <v>0</v>
      </c>
      <c r="OC23" s="229">
        <v>0</v>
      </c>
      <c r="OD23" s="229">
        <v>0</v>
      </c>
      <c r="OE23" s="229">
        <v>0</v>
      </c>
      <c r="OF23" s="229">
        <v>0</v>
      </c>
      <c r="OG23" s="229">
        <v>0</v>
      </c>
      <c r="OH23" s="229">
        <v>0</v>
      </c>
      <c r="OI23" s="229">
        <v>0</v>
      </c>
      <c r="OJ23" s="229">
        <v>0</v>
      </c>
      <c r="OK23" s="229">
        <v>0</v>
      </c>
      <c r="OL23" s="229">
        <v>0</v>
      </c>
      <c r="OM23" s="229">
        <v>0</v>
      </c>
      <c r="ON23" s="229">
        <v>0</v>
      </c>
      <c r="OO23" s="229">
        <v>0</v>
      </c>
      <c r="OP23" s="229">
        <v>0</v>
      </c>
      <c r="OQ23" s="229">
        <v>0</v>
      </c>
      <c r="OR23" s="229">
        <v>0</v>
      </c>
      <c r="OS23" s="229">
        <v>0</v>
      </c>
      <c r="OT23" s="229">
        <v>0</v>
      </c>
      <c r="OU23" s="229">
        <v>0</v>
      </c>
      <c r="OV23" s="229">
        <v>0</v>
      </c>
      <c r="OW23" s="229">
        <v>0</v>
      </c>
      <c r="OX23" s="229">
        <v>0</v>
      </c>
      <c r="OY23" s="229">
        <v>0</v>
      </c>
      <c r="OZ23" s="229">
        <v>0</v>
      </c>
      <c r="PA23" s="229">
        <v>0</v>
      </c>
      <c r="PB23" s="229">
        <v>0</v>
      </c>
      <c r="PC23" s="229">
        <v>0</v>
      </c>
      <c r="PD23" s="229">
        <v>0</v>
      </c>
      <c r="PE23" s="229">
        <v>0</v>
      </c>
      <c r="PF23" s="229">
        <v>0</v>
      </c>
      <c r="PG23" s="229">
        <v>0</v>
      </c>
      <c r="PH23" s="229">
        <v>0</v>
      </c>
      <c r="PI23" s="229">
        <v>0</v>
      </c>
      <c r="PJ23" s="229">
        <v>0</v>
      </c>
      <c r="PK23" s="229">
        <v>0</v>
      </c>
      <c r="PL23" s="229">
        <v>0</v>
      </c>
      <c r="PM23" s="229">
        <v>0</v>
      </c>
      <c r="PN23" s="229">
        <v>0</v>
      </c>
      <c r="PO23" s="229">
        <v>0</v>
      </c>
      <c r="PP23" s="229">
        <v>0</v>
      </c>
      <c r="PQ23" s="229">
        <v>0</v>
      </c>
      <c r="PR23" s="229">
        <v>0</v>
      </c>
      <c r="PS23" s="229">
        <v>0</v>
      </c>
      <c r="PT23" s="229">
        <v>0</v>
      </c>
      <c r="PU23" s="229">
        <v>0</v>
      </c>
      <c r="PV23" s="229">
        <v>0</v>
      </c>
      <c r="PW23" s="229">
        <v>0</v>
      </c>
      <c r="PX23" s="229">
        <v>0</v>
      </c>
      <c r="PY23" s="229">
        <v>0</v>
      </c>
      <c r="PZ23" s="229">
        <v>0</v>
      </c>
      <c r="QA23" s="229">
        <v>0</v>
      </c>
      <c r="QB23" s="229">
        <v>0</v>
      </c>
      <c r="QC23" s="229">
        <v>0</v>
      </c>
      <c r="QD23" s="229">
        <v>0</v>
      </c>
      <c r="QE23" s="229">
        <v>0</v>
      </c>
      <c r="QF23" s="229">
        <v>0</v>
      </c>
      <c r="QG23" s="229">
        <v>0</v>
      </c>
      <c r="QH23" s="229">
        <v>0</v>
      </c>
      <c r="QI23" s="229">
        <v>0</v>
      </c>
      <c r="QJ23" s="229">
        <v>0</v>
      </c>
      <c r="QK23" s="229">
        <v>0</v>
      </c>
      <c r="QL23" s="229">
        <v>0</v>
      </c>
      <c r="QM23" s="229">
        <v>0</v>
      </c>
      <c r="QN23" s="229">
        <v>0</v>
      </c>
      <c r="QO23" s="229">
        <v>0</v>
      </c>
      <c r="QP23" s="229">
        <v>0</v>
      </c>
      <c r="QQ23" s="229">
        <v>0</v>
      </c>
      <c r="QR23" s="229">
        <v>0</v>
      </c>
      <c r="QS23" s="229">
        <v>0</v>
      </c>
      <c r="QT23" s="229">
        <v>0</v>
      </c>
      <c r="QU23" s="229">
        <v>0</v>
      </c>
      <c r="QV23" s="229">
        <v>0</v>
      </c>
      <c r="QW23" s="229">
        <v>0</v>
      </c>
      <c r="QX23" s="229">
        <v>0</v>
      </c>
      <c r="QY23" s="229">
        <v>0</v>
      </c>
      <c r="QZ23" s="229">
        <v>0</v>
      </c>
      <c r="RA23" s="229">
        <v>0</v>
      </c>
      <c r="RB23" s="229">
        <v>0</v>
      </c>
      <c r="RC23" s="229">
        <v>0</v>
      </c>
      <c r="RD23" s="229">
        <v>0</v>
      </c>
      <c r="RE23" s="229">
        <v>0</v>
      </c>
      <c r="RF23" s="229">
        <v>0</v>
      </c>
      <c r="RG23" s="229">
        <v>0</v>
      </c>
      <c r="RH23" s="229">
        <v>0</v>
      </c>
      <c r="RI23" s="229">
        <v>0</v>
      </c>
      <c r="RJ23" s="229">
        <v>0</v>
      </c>
      <c r="RK23" s="229">
        <v>0</v>
      </c>
      <c r="RL23" s="229">
        <v>0</v>
      </c>
      <c r="RM23" s="229">
        <v>0</v>
      </c>
      <c r="RN23" s="229">
        <v>0</v>
      </c>
      <c r="RO23" s="229">
        <v>0</v>
      </c>
      <c r="RP23" s="229">
        <v>0</v>
      </c>
      <c r="RQ23" s="229">
        <v>0</v>
      </c>
      <c r="RR23" s="229">
        <v>0</v>
      </c>
      <c r="RS23" s="229">
        <v>0</v>
      </c>
      <c r="RT23" s="229">
        <v>0</v>
      </c>
      <c r="RU23" s="229">
        <v>0</v>
      </c>
      <c r="RV23" s="229">
        <v>0</v>
      </c>
      <c r="RW23" s="229">
        <v>0</v>
      </c>
      <c r="RX23" s="229">
        <v>0</v>
      </c>
      <c r="RY23" s="229">
        <v>0</v>
      </c>
      <c r="RZ23" s="229">
        <v>0</v>
      </c>
      <c r="SA23" s="229">
        <v>0</v>
      </c>
      <c r="SB23" s="229">
        <v>0</v>
      </c>
      <c r="SC23" s="229">
        <v>0</v>
      </c>
      <c r="SD23" s="229">
        <v>0</v>
      </c>
      <c r="SE23" s="229">
        <v>0</v>
      </c>
      <c r="SF23" s="229">
        <v>0</v>
      </c>
      <c r="SG23" s="229">
        <v>0</v>
      </c>
      <c r="SH23" s="229">
        <v>0</v>
      </c>
      <c r="SI23" s="229">
        <v>0</v>
      </c>
      <c r="SJ23" s="229">
        <v>0</v>
      </c>
      <c r="SK23" s="229">
        <v>0</v>
      </c>
      <c r="SL23" s="229">
        <v>0</v>
      </c>
      <c r="SM23" s="229">
        <v>0</v>
      </c>
      <c r="SN23" s="229">
        <v>0</v>
      </c>
      <c r="SO23" s="229">
        <v>0</v>
      </c>
      <c r="SP23" s="229">
        <v>0</v>
      </c>
      <c r="SQ23" s="229">
        <v>0</v>
      </c>
      <c r="SR23" s="229">
        <v>0</v>
      </c>
      <c r="SS23" s="229">
        <v>0</v>
      </c>
      <c r="ST23" s="229">
        <v>0</v>
      </c>
      <c r="SU23" s="229">
        <v>0</v>
      </c>
      <c r="SV23" s="229">
        <v>0</v>
      </c>
      <c r="SW23" s="229">
        <v>0</v>
      </c>
      <c r="SX23" s="229">
        <v>0</v>
      </c>
      <c r="SY23" s="229">
        <v>0</v>
      </c>
      <c r="SZ23" s="229">
        <v>0</v>
      </c>
      <c r="TA23" s="229">
        <v>0</v>
      </c>
      <c r="TB23" s="229">
        <v>0</v>
      </c>
      <c r="TC23" s="229">
        <v>0</v>
      </c>
      <c r="TD23" s="229">
        <v>0</v>
      </c>
      <c r="TE23" s="229">
        <v>0</v>
      </c>
      <c r="TF23" s="229">
        <v>0</v>
      </c>
      <c r="TG23" s="229">
        <v>0</v>
      </c>
      <c r="TH23" s="229">
        <v>0</v>
      </c>
      <c r="TI23" s="229">
        <v>0</v>
      </c>
      <c r="TJ23" s="229">
        <v>0</v>
      </c>
      <c r="TK23" s="229">
        <v>0</v>
      </c>
      <c r="TL23" s="229">
        <v>0</v>
      </c>
      <c r="TM23" s="229">
        <v>0</v>
      </c>
      <c r="TN23" s="229">
        <v>0</v>
      </c>
      <c r="TO23" s="229">
        <v>0</v>
      </c>
      <c r="TP23" s="229">
        <v>0</v>
      </c>
      <c r="TQ23" s="229">
        <v>0</v>
      </c>
      <c r="TR23" s="229">
        <v>0</v>
      </c>
      <c r="TS23" s="229">
        <v>0</v>
      </c>
      <c r="TT23" s="229">
        <v>0</v>
      </c>
      <c r="TU23" s="229">
        <v>0</v>
      </c>
      <c r="TV23" s="229">
        <v>0</v>
      </c>
      <c r="TW23" s="229">
        <v>0</v>
      </c>
      <c r="TX23" s="229">
        <v>0</v>
      </c>
      <c r="TY23" s="229">
        <v>0</v>
      </c>
      <c r="TZ23" s="229">
        <v>0</v>
      </c>
      <c r="UA23" s="229">
        <v>0</v>
      </c>
      <c r="UB23" s="229">
        <v>0</v>
      </c>
      <c r="UC23" s="229">
        <v>0</v>
      </c>
      <c r="UD23" s="229">
        <v>0</v>
      </c>
      <c r="UE23" s="229">
        <v>0</v>
      </c>
      <c r="UF23" s="229">
        <v>0</v>
      </c>
      <c r="UG23" s="229">
        <v>0</v>
      </c>
      <c r="UH23" s="229">
        <v>0</v>
      </c>
      <c r="UI23" s="229">
        <v>0</v>
      </c>
      <c r="UJ23" s="229">
        <v>0</v>
      </c>
      <c r="UK23" s="229">
        <v>0</v>
      </c>
      <c r="UL23" s="229">
        <v>0</v>
      </c>
      <c r="UM23" s="229">
        <v>0</v>
      </c>
      <c r="UN23" s="229">
        <v>0</v>
      </c>
      <c r="UO23" s="229">
        <v>0</v>
      </c>
      <c r="UP23" s="229">
        <v>0</v>
      </c>
      <c r="UQ23" s="229">
        <v>0</v>
      </c>
      <c r="UR23" s="229">
        <v>0</v>
      </c>
      <c r="US23" s="229">
        <v>0</v>
      </c>
      <c r="UT23" s="229">
        <v>0</v>
      </c>
      <c r="UU23" s="229">
        <v>0</v>
      </c>
      <c r="UV23" s="229">
        <v>0</v>
      </c>
      <c r="UW23" s="229">
        <v>0</v>
      </c>
      <c r="UX23" s="229">
        <v>0</v>
      </c>
      <c r="UY23" s="229">
        <v>0</v>
      </c>
      <c r="UZ23" s="229">
        <v>0</v>
      </c>
      <c r="VA23" s="229">
        <v>0</v>
      </c>
      <c r="VB23" s="229">
        <v>0</v>
      </c>
      <c r="VC23" s="229">
        <v>0</v>
      </c>
      <c r="VD23" s="229">
        <v>0</v>
      </c>
      <c r="VE23" s="229">
        <v>0</v>
      </c>
      <c r="VF23" s="229">
        <v>0</v>
      </c>
      <c r="VG23" s="229">
        <v>0</v>
      </c>
      <c r="VH23" s="229">
        <v>0</v>
      </c>
      <c r="VI23" s="229">
        <v>0</v>
      </c>
      <c r="VJ23" s="229">
        <v>0</v>
      </c>
      <c r="VK23" s="229">
        <v>0</v>
      </c>
      <c r="VL23" s="229">
        <v>0</v>
      </c>
      <c r="VM23" s="229">
        <v>0</v>
      </c>
      <c r="VN23" s="229">
        <v>0</v>
      </c>
      <c r="VO23" s="229">
        <v>0</v>
      </c>
      <c r="VP23" s="229">
        <v>0</v>
      </c>
      <c r="VQ23" s="229">
        <v>0</v>
      </c>
      <c r="VR23" s="229">
        <v>0</v>
      </c>
      <c r="VS23" s="229">
        <v>0</v>
      </c>
      <c r="VT23" s="229">
        <v>0</v>
      </c>
      <c r="VU23" s="229">
        <v>0</v>
      </c>
      <c r="VV23" s="229">
        <v>0</v>
      </c>
      <c r="VW23" s="229">
        <v>0</v>
      </c>
      <c r="VX23" s="229">
        <v>0</v>
      </c>
      <c r="VY23" s="229">
        <v>0</v>
      </c>
      <c r="VZ23" s="229">
        <v>0</v>
      </c>
      <c r="WA23" s="229">
        <v>0</v>
      </c>
      <c r="WB23" s="229">
        <v>0</v>
      </c>
      <c r="WC23" s="229">
        <v>0</v>
      </c>
      <c r="WD23" s="229">
        <v>0</v>
      </c>
      <c r="WE23" s="229">
        <v>0</v>
      </c>
      <c r="WF23" s="229">
        <v>0</v>
      </c>
      <c r="WG23" s="229">
        <v>0</v>
      </c>
      <c r="WH23" s="229">
        <v>0</v>
      </c>
      <c r="WI23" s="229">
        <v>0</v>
      </c>
      <c r="WJ23" s="229">
        <v>0</v>
      </c>
      <c r="WK23" s="229">
        <v>0</v>
      </c>
      <c r="WL23" s="229">
        <v>0</v>
      </c>
      <c r="WM23" s="229">
        <v>0</v>
      </c>
      <c r="WN23" s="229">
        <v>0</v>
      </c>
      <c r="WO23" s="229">
        <v>0</v>
      </c>
      <c r="WP23" s="229">
        <v>0</v>
      </c>
      <c r="WQ23" s="229">
        <v>0</v>
      </c>
      <c r="WR23" s="229">
        <v>0</v>
      </c>
      <c r="WS23" s="229">
        <v>0</v>
      </c>
      <c r="WT23" s="229">
        <v>0</v>
      </c>
      <c r="WU23" s="229">
        <v>0</v>
      </c>
      <c r="WV23" s="229">
        <v>0</v>
      </c>
      <c r="WW23" s="229">
        <v>0</v>
      </c>
      <c r="WX23" s="229">
        <v>0</v>
      </c>
      <c r="WY23" s="229">
        <v>0</v>
      </c>
      <c r="WZ23" s="229">
        <v>0</v>
      </c>
      <c r="XA23" s="229">
        <v>0</v>
      </c>
      <c r="XB23" s="229">
        <v>0</v>
      </c>
      <c r="XC23" s="229">
        <v>0</v>
      </c>
      <c r="XD23" s="229">
        <v>0</v>
      </c>
      <c r="XE23" s="229">
        <v>0</v>
      </c>
      <c r="XF23" s="229">
        <v>0</v>
      </c>
      <c r="XG23" s="229">
        <v>0</v>
      </c>
      <c r="XH23" s="229">
        <v>0</v>
      </c>
      <c r="XI23" s="229">
        <v>0</v>
      </c>
      <c r="XJ23" s="229">
        <v>0</v>
      </c>
      <c r="XK23" s="229">
        <v>0</v>
      </c>
      <c r="XL23" s="229">
        <v>0</v>
      </c>
      <c r="XM23" s="229">
        <v>0</v>
      </c>
      <c r="XN23" s="229">
        <v>0</v>
      </c>
      <c r="XO23" s="229">
        <v>0</v>
      </c>
      <c r="XP23" s="229">
        <v>0</v>
      </c>
      <c r="XQ23" s="229">
        <v>0</v>
      </c>
      <c r="XR23" s="229">
        <v>0</v>
      </c>
      <c r="XS23" s="229">
        <v>0</v>
      </c>
      <c r="XT23" s="229">
        <v>0</v>
      </c>
      <c r="XU23" s="229">
        <v>0</v>
      </c>
      <c r="XV23" s="229">
        <v>0</v>
      </c>
      <c r="XW23" s="229">
        <v>0</v>
      </c>
      <c r="XX23" s="229">
        <v>0</v>
      </c>
      <c r="XY23" s="229">
        <v>0</v>
      </c>
      <c r="XZ23" s="229">
        <v>0</v>
      </c>
      <c r="YA23" s="229">
        <v>0</v>
      </c>
      <c r="YB23" s="229">
        <v>0</v>
      </c>
      <c r="YC23" s="229">
        <v>0</v>
      </c>
      <c r="YD23" s="229">
        <v>0</v>
      </c>
      <c r="YE23" s="229">
        <v>0</v>
      </c>
      <c r="YF23" s="229">
        <v>0</v>
      </c>
      <c r="YG23" s="229">
        <v>0</v>
      </c>
      <c r="YH23" s="229">
        <v>0</v>
      </c>
      <c r="YI23" s="229">
        <v>0</v>
      </c>
      <c r="YJ23" s="229">
        <v>0</v>
      </c>
      <c r="YK23" s="229">
        <v>0</v>
      </c>
      <c r="YL23" s="229">
        <v>0</v>
      </c>
      <c r="YM23" s="229">
        <v>0</v>
      </c>
      <c r="YN23" s="229">
        <v>0</v>
      </c>
      <c r="YO23" s="229">
        <v>0</v>
      </c>
      <c r="YP23" s="229">
        <v>0</v>
      </c>
      <c r="YQ23" s="229">
        <v>0</v>
      </c>
      <c r="YR23" s="229">
        <v>0</v>
      </c>
      <c r="YS23" s="229">
        <v>0</v>
      </c>
      <c r="YT23" s="229">
        <v>0</v>
      </c>
      <c r="YU23" s="229">
        <v>0</v>
      </c>
      <c r="YV23" s="229">
        <v>0</v>
      </c>
      <c r="YW23" s="229">
        <v>0</v>
      </c>
      <c r="YX23" s="229">
        <v>0</v>
      </c>
      <c r="YY23" s="229">
        <v>0</v>
      </c>
      <c r="YZ23" s="229">
        <v>0</v>
      </c>
      <c r="ZA23" s="229">
        <v>0</v>
      </c>
      <c r="ZB23" s="229">
        <v>0</v>
      </c>
      <c r="ZC23" s="229">
        <v>0</v>
      </c>
      <c r="ZD23" s="229">
        <v>0</v>
      </c>
      <c r="ZE23" s="229">
        <v>0</v>
      </c>
      <c r="ZF23" s="229">
        <v>0</v>
      </c>
      <c r="ZG23" s="229">
        <v>0</v>
      </c>
      <c r="ZH23" s="229">
        <v>0</v>
      </c>
      <c r="ZI23" s="229">
        <v>0</v>
      </c>
      <c r="ZJ23" s="229">
        <v>0</v>
      </c>
      <c r="ZK23" s="229">
        <v>0</v>
      </c>
      <c r="ZL23" s="229">
        <v>0</v>
      </c>
      <c r="ZM23" s="229">
        <v>0</v>
      </c>
      <c r="ZN23" s="229">
        <v>0</v>
      </c>
      <c r="ZO23" s="229">
        <v>0</v>
      </c>
      <c r="ZP23" s="229">
        <v>0</v>
      </c>
      <c r="ZQ23" s="229">
        <v>0</v>
      </c>
      <c r="ZR23" s="229">
        <v>0</v>
      </c>
      <c r="ZS23" s="229">
        <v>0</v>
      </c>
      <c r="ZT23" s="229">
        <v>0</v>
      </c>
      <c r="ZU23" s="229">
        <v>0</v>
      </c>
      <c r="ZV23" s="229">
        <v>0</v>
      </c>
      <c r="ZW23" s="229">
        <v>0</v>
      </c>
      <c r="ZX23" s="229">
        <v>0</v>
      </c>
      <c r="ZY23" s="229">
        <v>0</v>
      </c>
      <c r="ZZ23" s="229">
        <v>0</v>
      </c>
      <c r="AAA23" s="229">
        <v>0</v>
      </c>
      <c r="AAB23" s="229">
        <v>0</v>
      </c>
      <c r="AAC23" s="229">
        <v>0</v>
      </c>
      <c r="AAD23" s="229">
        <v>0</v>
      </c>
      <c r="AAE23" s="229">
        <v>0</v>
      </c>
      <c r="AAF23" s="229">
        <v>0</v>
      </c>
      <c r="AAG23" s="229">
        <v>0</v>
      </c>
      <c r="AAH23" s="229">
        <v>0</v>
      </c>
      <c r="AAI23" s="229">
        <v>0</v>
      </c>
      <c r="AAJ23" s="229">
        <v>0</v>
      </c>
      <c r="AAK23" s="229">
        <v>0</v>
      </c>
      <c r="AAL23" s="229">
        <v>0</v>
      </c>
      <c r="AAM23" s="229">
        <v>0</v>
      </c>
      <c r="AAN23" s="229">
        <v>0</v>
      </c>
      <c r="AAO23" s="229">
        <v>0</v>
      </c>
      <c r="AAP23" s="229">
        <v>0</v>
      </c>
      <c r="AAQ23" s="229">
        <v>0</v>
      </c>
      <c r="AAR23" s="229">
        <v>0</v>
      </c>
      <c r="AAS23" s="229">
        <v>0</v>
      </c>
      <c r="AAT23" s="229">
        <v>0</v>
      </c>
      <c r="AAU23" s="229">
        <v>0</v>
      </c>
      <c r="AAV23" s="229">
        <v>0</v>
      </c>
      <c r="AAW23" s="229">
        <v>0</v>
      </c>
      <c r="AAX23" s="229">
        <v>0</v>
      </c>
      <c r="AAY23" s="229">
        <v>0</v>
      </c>
      <c r="AAZ23" s="229">
        <v>0</v>
      </c>
      <c r="ABA23" s="229">
        <v>0</v>
      </c>
      <c r="ABB23" s="229">
        <v>0</v>
      </c>
      <c r="ABC23" s="229">
        <v>0</v>
      </c>
      <c r="ABD23" s="229">
        <v>0</v>
      </c>
      <c r="ABE23" s="229">
        <v>0</v>
      </c>
      <c r="ABF23" s="229">
        <v>0</v>
      </c>
      <c r="ABG23" s="229">
        <v>0</v>
      </c>
      <c r="ABH23" s="229">
        <v>0</v>
      </c>
      <c r="ABI23" s="229">
        <v>0</v>
      </c>
      <c r="ABJ23" s="229">
        <v>0</v>
      </c>
      <c r="ABK23" s="229">
        <v>0</v>
      </c>
      <c r="ABL23" s="229">
        <v>0</v>
      </c>
      <c r="ABM23" s="229">
        <v>0</v>
      </c>
      <c r="ABN23" s="229">
        <v>0</v>
      </c>
      <c r="ABO23" s="229">
        <v>0</v>
      </c>
      <c r="ABP23" s="229">
        <v>0</v>
      </c>
      <c r="ABQ23" s="229">
        <v>0</v>
      </c>
      <c r="ABR23" s="229">
        <v>0</v>
      </c>
      <c r="ABS23" s="229">
        <v>0</v>
      </c>
      <c r="ABT23" s="229">
        <v>0</v>
      </c>
      <c r="ABU23" s="229">
        <v>0</v>
      </c>
      <c r="ABV23" s="229">
        <v>0</v>
      </c>
      <c r="ABW23" s="229">
        <v>0</v>
      </c>
      <c r="ABX23" s="229">
        <v>0</v>
      </c>
      <c r="ABY23" s="229">
        <v>0</v>
      </c>
      <c r="ABZ23" s="229">
        <v>0</v>
      </c>
      <c r="ACA23" s="229">
        <v>0</v>
      </c>
      <c r="ACB23" s="229">
        <v>0</v>
      </c>
      <c r="ACC23" s="229">
        <v>0</v>
      </c>
      <c r="ACD23" s="229">
        <v>0</v>
      </c>
      <c r="ACE23" s="229">
        <v>0</v>
      </c>
      <c r="ACF23" s="229">
        <v>0</v>
      </c>
      <c r="ACG23" s="229">
        <v>0</v>
      </c>
      <c r="ACH23" s="229">
        <v>0</v>
      </c>
      <c r="ACI23" s="229">
        <v>0</v>
      </c>
      <c r="ACJ23" s="229">
        <v>0</v>
      </c>
      <c r="ACK23" s="229">
        <v>0</v>
      </c>
      <c r="ACL23" s="229">
        <v>0</v>
      </c>
      <c r="ACM23" s="229">
        <v>0</v>
      </c>
      <c r="ACN23" s="229">
        <v>0</v>
      </c>
      <c r="ACO23" s="229">
        <v>0</v>
      </c>
      <c r="ACP23" s="229">
        <v>0</v>
      </c>
      <c r="ACQ23" s="229">
        <v>0</v>
      </c>
      <c r="ACR23" s="229">
        <v>0</v>
      </c>
      <c r="ACS23" s="229">
        <v>0</v>
      </c>
      <c r="ACT23" s="229">
        <v>0</v>
      </c>
      <c r="ACU23" s="229">
        <v>0</v>
      </c>
      <c r="ACV23" s="229">
        <v>0</v>
      </c>
      <c r="ACW23" s="229">
        <v>0</v>
      </c>
      <c r="ACX23" s="229">
        <v>0</v>
      </c>
      <c r="ACY23" s="229">
        <v>0</v>
      </c>
      <c r="ACZ23" s="229">
        <v>0</v>
      </c>
      <c r="ADA23" s="229">
        <v>0</v>
      </c>
      <c r="ADB23" s="229">
        <v>0</v>
      </c>
      <c r="ADC23" s="229">
        <v>0</v>
      </c>
      <c r="ADD23" s="229">
        <v>0</v>
      </c>
      <c r="ADE23" s="229">
        <v>0</v>
      </c>
      <c r="ADF23" s="229">
        <v>0</v>
      </c>
      <c r="ADG23" s="229">
        <v>0</v>
      </c>
      <c r="ADH23" s="229">
        <v>0</v>
      </c>
      <c r="ADI23" s="229">
        <v>0</v>
      </c>
      <c r="ADJ23" s="229">
        <v>0</v>
      </c>
      <c r="ADK23" s="229">
        <v>0</v>
      </c>
      <c r="ADL23" s="229">
        <v>0</v>
      </c>
      <c r="ADM23" s="229">
        <v>0</v>
      </c>
      <c r="ADN23" s="229">
        <v>0</v>
      </c>
      <c r="ADO23" s="229">
        <v>0</v>
      </c>
      <c r="ADP23" s="229">
        <v>0</v>
      </c>
      <c r="ADQ23" s="229">
        <v>0</v>
      </c>
      <c r="ADR23" s="229">
        <v>0</v>
      </c>
      <c r="ADS23" s="229">
        <v>0</v>
      </c>
      <c r="ADT23" s="229">
        <v>0</v>
      </c>
      <c r="ADU23" s="229">
        <v>0</v>
      </c>
      <c r="ADV23" s="229">
        <v>0</v>
      </c>
      <c r="ADW23" s="229">
        <v>0</v>
      </c>
      <c r="ADX23" s="229">
        <v>0</v>
      </c>
      <c r="ADY23" s="229">
        <v>0</v>
      </c>
      <c r="ADZ23" s="229">
        <v>0</v>
      </c>
      <c r="AEA23" s="229">
        <v>0</v>
      </c>
      <c r="AEB23" s="229">
        <v>0</v>
      </c>
      <c r="AEC23" s="229">
        <v>0</v>
      </c>
      <c r="AED23" s="229">
        <v>0</v>
      </c>
      <c r="AEE23" s="229">
        <v>0</v>
      </c>
      <c r="AEF23" s="229">
        <v>0</v>
      </c>
      <c r="AEG23" s="229">
        <v>0</v>
      </c>
      <c r="AEH23" s="229">
        <v>0</v>
      </c>
      <c r="AEI23" s="229">
        <v>0</v>
      </c>
      <c r="AEJ23" s="229">
        <v>0</v>
      </c>
      <c r="AEK23" s="229">
        <v>0</v>
      </c>
      <c r="AEL23" s="229">
        <v>0</v>
      </c>
      <c r="AEM23" s="229">
        <v>0</v>
      </c>
      <c r="AEN23" s="229">
        <v>0</v>
      </c>
      <c r="AEO23" s="229">
        <v>0</v>
      </c>
      <c r="AEP23" s="229">
        <v>0</v>
      </c>
      <c r="AEQ23" s="229">
        <v>0</v>
      </c>
      <c r="AER23" s="229">
        <v>0</v>
      </c>
      <c r="AES23" s="229">
        <v>0</v>
      </c>
      <c r="AET23" s="229">
        <v>0</v>
      </c>
      <c r="AEU23" s="229">
        <v>0</v>
      </c>
      <c r="AEV23" s="229">
        <v>0</v>
      </c>
      <c r="AEW23" s="229">
        <v>0</v>
      </c>
      <c r="AEX23" s="229">
        <v>0</v>
      </c>
      <c r="AEY23" s="229">
        <v>0</v>
      </c>
      <c r="AEZ23" s="229">
        <v>0</v>
      </c>
      <c r="AFA23" s="229">
        <v>0</v>
      </c>
      <c r="AFB23" s="229">
        <v>0</v>
      </c>
      <c r="AFC23" s="229">
        <v>0</v>
      </c>
      <c r="AFD23" s="229">
        <v>0</v>
      </c>
      <c r="AFE23" s="229">
        <v>0</v>
      </c>
      <c r="AFF23" s="229">
        <v>0</v>
      </c>
      <c r="AFG23" s="229">
        <v>0</v>
      </c>
      <c r="AFH23" s="229">
        <v>0</v>
      </c>
      <c r="AFI23" s="229">
        <v>0</v>
      </c>
      <c r="AFJ23" s="229">
        <v>0</v>
      </c>
      <c r="AFK23" s="229">
        <v>0</v>
      </c>
      <c r="AFL23" s="229">
        <v>0</v>
      </c>
      <c r="AFM23" s="229">
        <v>0</v>
      </c>
      <c r="AFN23" s="229">
        <v>0</v>
      </c>
      <c r="AFO23" s="229">
        <v>0</v>
      </c>
      <c r="AFP23" s="229">
        <v>0</v>
      </c>
      <c r="AFQ23" s="229">
        <v>0</v>
      </c>
      <c r="AFR23" s="229">
        <v>0</v>
      </c>
      <c r="AFS23" s="229">
        <v>0</v>
      </c>
      <c r="AFT23" s="229">
        <v>0</v>
      </c>
      <c r="AFU23" s="229">
        <v>0</v>
      </c>
      <c r="AFV23" s="229">
        <v>0</v>
      </c>
      <c r="AFW23" s="229">
        <v>0</v>
      </c>
      <c r="AFX23" s="229">
        <v>0</v>
      </c>
      <c r="AFY23" s="229">
        <v>0</v>
      </c>
      <c r="AFZ23" s="229">
        <v>0</v>
      </c>
      <c r="AGA23" s="229">
        <v>0</v>
      </c>
      <c r="AGB23" s="229">
        <v>0</v>
      </c>
      <c r="AGC23" s="229">
        <v>0</v>
      </c>
      <c r="AGD23" s="229">
        <v>0</v>
      </c>
      <c r="AGE23" s="229">
        <v>0</v>
      </c>
      <c r="AGF23" s="229">
        <v>0</v>
      </c>
      <c r="AGG23" s="229">
        <v>0</v>
      </c>
      <c r="AGH23" s="229">
        <v>0</v>
      </c>
      <c r="AGI23" s="229">
        <v>0</v>
      </c>
      <c r="AGJ23" s="229">
        <v>0</v>
      </c>
      <c r="AGK23" s="229">
        <v>0</v>
      </c>
      <c r="AGL23" s="229">
        <v>0</v>
      </c>
      <c r="AGM23" s="229">
        <v>0</v>
      </c>
      <c r="AGN23" s="229">
        <v>0</v>
      </c>
      <c r="AGO23" s="229">
        <v>0</v>
      </c>
      <c r="AGP23" s="229">
        <v>0</v>
      </c>
      <c r="AGQ23" s="229">
        <v>0</v>
      </c>
      <c r="AGR23" s="229">
        <v>0</v>
      </c>
      <c r="AGS23" s="229">
        <v>0</v>
      </c>
      <c r="AGT23" s="229">
        <v>0</v>
      </c>
      <c r="AGU23" s="229">
        <v>0</v>
      </c>
      <c r="AGV23" s="229">
        <v>0</v>
      </c>
      <c r="AGW23" s="229">
        <v>0</v>
      </c>
      <c r="AGX23" s="229">
        <v>0</v>
      </c>
      <c r="AGY23" s="229">
        <v>0</v>
      </c>
      <c r="AGZ23" s="229">
        <v>0</v>
      </c>
      <c r="AHA23" s="229">
        <v>0</v>
      </c>
      <c r="AHB23" s="229">
        <v>0</v>
      </c>
      <c r="AHC23" s="229">
        <v>0</v>
      </c>
      <c r="AHD23" s="229">
        <v>0</v>
      </c>
      <c r="AHE23" s="229">
        <v>0</v>
      </c>
      <c r="AHF23" s="229">
        <v>0</v>
      </c>
      <c r="AHG23" s="229">
        <v>0</v>
      </c>
      <c r="AHH23" s="229">
        <v>0</v>
      </c>
      <c r="AHI23" s="229">
        <v>0</v>
      </c>
      <c r="AHJ23" s="229">
        <v>0</v>
      </c>
      <c r="AHK23" s="229">
        <v>0</v>
      </c>
      <c r="AHL23" s="229">
        <v>0</v>
      </c>
      <c r="AHM23" s="229">
        <v>0</v>
      </c>
      <c r="AHN23" s="229">
        <v>0</v>
      </c>
      <c r="AHO23" s="229">
        <v>0</v>
      </c>
      <c r="AHP23" s="229">
        <v>0</v>
      </c>
      <c r="AHQ23" s="229">
        <v>0</v>
      </c>
      <c r="AHR23" s="229">
        <v>0</v>
      </c>
      <c r="AHS23" s="229">
        <v>0</v>
      </c>
      <c r="AHT23" s="229">
        <v>0</v>
      </c>
      <c r="AHU23" s="229">
        <v>0</v>
      </c>
      <c r="AHV23" s="229">
        <v>0</v>
      </c>
      <c r="AHW23" s="229">
        <v>0</v>
      </c>
      <c r="AHX23" s="229">
        <v>0</v>
      </c>
      <c r="AHY23" s="229">
        <v>0</v>
      </c>
      <c r="AHZ23" s="229">
        <v>0</v>
      </c>
      <c r="AIA23" s="229">
        <v>0</v>
      </c>
      <c r="AIB23" s="229">
        <v>0</v>
      </c>
      <c r="AIC23" s="229">
        <v>0</v>
      </c>
      <c r="AID23" s="229">
        <v>0</v>
      </c>
      <c r="AIE23" s="229">
        <v>0</v>
      </c>
      <c r="AIF23" s="229">
        <v>0</v>
      </c>
      <c r="AIG23" s="229">
        <v>0</v>
      </c>
      <c r="AIH23" s="229">
        <v>0</v>
      </c>
      <c r="AII23" s="229">
        <v>0</v>
      </c>
      <c r="AIJ23" s="229">
        <v>0</v>
      </c>
      <c r="AIK23" s="229">
        <v>0</v>
      </c>
      <c r="AIL23" s="229">
        <v>0</v>
      </c>
      <c r="AIM23" s="229">
        <v>0</v>
      </c>
      <c r="AIN23" s="229">
        <v>0</v>
      </c>
      <c r="AIO23" s="229">
        <v>0</v>
      </c>
      <c r="AIP23" s="229">
        <v>0</v>
      </c>
      <c r="AIQ23" s="229">
        <v>0</v>
      </c>
      <c r="AIR23" s="229">
        <v>0</v>
      </c>
      <c r="AIS23" s="229">
        <v>0</v>
      </c>
      <c r="AIT23" s="229">
        <v>0</v>
      </c>
      <c r="AIU23" s="229">
        <v>0</v>
      </c>
      <c r="AIV23" s="229">
        <v>0</v>
      </c>
      <c r="AIW23" s="229">
        <v>0</v>
      </c>
      <c r="AIX23" s="229">
        <v>0</v>
      </c>
      <c r="AIY23" s="229">
        <v>0</v>
      </c>
      <c r="AIZ23" s="229">
        <v>0</v>
      </c>
      <c r="AJA23" s="229">
        <v>0</v>
      </c>
      <c r="AJB23" s="229">
        <v>0</v>
      </c>
      <c r="AJC23" s="229">
        <v>0</v>
      </c>
      <c r="AJD23" s="229">
        <v>0</v>
      </c>
      <c r="AJE23" s="229">
        <v>0</v>
      </c>
      <c r="AJF23" s="229">
        <v>0</v>
      </c>
      <c r="AJG23" s="229">
        <v>0</v>
      </c>
      <c r="AJH23" s="229">
        <v>0</v>
      </c>
      <c r="AJI23" s="229">
        <v>0</v>
      </c>
      <c r="AJJ23" s="229">
        <v>0</v>
      </c>
      <c r="AJK23" s="229">
        <v>0</v>
      </c>
      <c r="AJL23" s="229">
        <v>0</v>
      </c>
      <c r="AJM23" s="229">
        <v>0</v>
      </c>
      <c r="AJN23" s="229">
        <v>0</v>
      </c>
      <c r="AJO23" s="229">
        <v>0</v>
      </c>
      <c r="AJP23" s="229">
        <v>0</v>
      </c>
      <c r="AJQ23" s="229">
        <v>0</v>
      </c>
      <c r="AJR23" s="229">
        <v>0</v>
      </c>
      <c r="AJS23" s="229">
        <v>0</v>
      </c>
      <c r="AJT23" s="229">
        <v>0</v>
      </c>
      <c r="AJU23" s="229">
        <v>0</v>
      </c>
      <c r="AJV23" s="229">
        <v>0</v>
      </c>
      <c r="AJW23" s="229">
        <v>0</v>
      </c>
      <c r="AJX23" s="229">
        <v>0</v>
      </c>
      <c r="AJY23" s="229">
        <v>0</v>
      </c>
      <c r="AJZ23" s="229">
        <v>0</v>
      </c>
      <c r="AKA23" s="229">
        <v>0</v>
      </c>
      <c r="AKB23" s="229">
        <v>0</v>
      </c>
      <c r="AKC23" s="229">
        <v>0</v>
      </c>
      <c r="AKD23" s="229">
        <v>0</v>
      </c>
      <c r="AKE23" s="229">
        <v>0</v>
      </c>
      <c r="AKF23" s="229">
        <v>0</v>
      </c>
      <c r="AKG23" s="229">
        <v>0</v>
      </c>
      <c r="AKH23" s="229">
        <v>0</v>
      </c>
      <c r="AKI23" s="229">
        <v>0</v>
      </c>
      <c r="AKJ23" s="229">
        <v>0</v>
      </c>
      <c r="AKK23" s="229">
        <v>0</v>
      </c>
      <c r="AKL23" s="229">
        <v>0</v>
      </c>
      <c r="AKM23" s="229">
        <v>0</v>
      </c>
      <c r="AKN23" s="229">
        <v>0</v>
      </c>
      <c r="AKO23" s="229">
        <v>0</v>
      </c>
      <c r="AKP23" s="229">
        <v>0</v>
      </c>
      <c r="AKQ23" s="229">
        <v>0</v>
      </c>
      <c r="AKR23" s="229">
        <v>0</v>
      </c>
      <c r="AKS23" s="229">
        <v>0</v>
      </c>
      <c r="AKT23" s="229">
        <v>0</v>
      </c>
      <c r="AKU23" s="229">
        <v>0</v>
      </c>
      <c r="AKV23" s="229">
        <v>0</v>
      </c>
      <c r="AKW23" s="229">
        <v>0</v>
      </c>
      <c r="AKX23" s="229">
        <v>0</v>
      </c>
      <c r="AKY23" s="229">
        <v>0</v>
      </c>
      <c r="AKZ23" s="229">
        <v>0</v>
      </c>
      <c r="ALA23" s="229">
        <v>0</v>
      </c>
      <c r="ALB23" s="229">
        <v>0</v>
      </c>
      <c r="ALC23" s="229">
        <v>0</v>
      </c>
      <c r="ALD23" s="229">
        <v>0</v>
      </c>
      <c r="ALE23" s="229">
        <v>0</v>
      </c>
      <c r="ALF23" s="229">
        <v>0</v>
      </c>
      <c r="ALG23" s="229">
        <v>0</v>
      </c>
      <c r="ALH23" s="229">
        <v>0</v>
      </c>
      <c r="ALI23" s="229">
        <v>0</v>
      </c>
      <c r="ALJ23" s="229">
        <v>0</v>
      </c>
      <c r="ALK23" s="229">
        <v>0</v>
      </c>
      <c r="ALL23" s="229">
        <v>0</v>
      </c>
      <c r="ALM23" s="229">
        <v>0</v>
      </c>
      <c r="ALN23" s="229">
        <v>0</v>
      </c>
      <c r="ALO23" s="229">
        <v>0</v>
      </c>
      <c r="ALP23" s="229">
        <v>0</v>
      </c>
      <c r="ALQ23" s="229">
        <v>0</v>
      </c>
      <c r="ALR23" s="229">
        <v>0</v>
      </c>
      <c r="ALS23" s="229">
        <v>0</v>
      </c>
      <c r="ALT23" s="229">
        <v>0</v>
      </c>
      <c r="ALU23" s="229">
        <v>0</v>
      </c>
      <c r="ALV23" s="229">
        <v>0</v>
      </c>
      <c r="ALW23" s="229">
        <v>0</v>
      </c>
      <c r="ALX23" s="229">
        <v>0</v>
      </c>
      <c r="ALY23" s="229">
        <v>0</v>
      </c>
      <c r="ALZ23" s="229">
        <v>0</v>
      </c>
      <c r="AMA23" s="229">
        <v>0</v>
      </c>
      <c r="AMB23" s="229">
        <v>0</v>
      </c>
      <c r="AMC23" s="229">
        <v>0</v>
      </c>
      <c r="AMD23" s="229">
        <v>0</v>
      </c>
      <c r="AME23" s="229">
        <v>0</v>
      </c>
      <c r="AMF23" s="229">
        <v>0</v>
      </c>
      <c r="AMG23" s="229">
        <v>0</v>
      </c>
      <c r="AMH23" s="229">
        <v>0</v>
      </c>
      <c r="AMI23" s="229">
        <v>0</v>
      </c>
      <c r="AMJ23" s="229">
        <v>0</v>
      </c>
      <c r="AMK23" s="229">
        <v>0</v>
      </c>
      <c r="AML23" s="229">
        <v>0</v>
      </c>
      <c r="AMM23" s="229">
        <v>0</v>
      </c>
      <c r="AMN23" s="229">
        <v>0</v>
      </c>
      <c r="AMO23" s="229">
        <v>0</v>
      </c>
      <c r="AMP23" s="229">
        <v>0</v>
      </c>
      <c r="AMQ23" s="229">
        <v>0</v>
      </c>
      <c r="AMR23" s="229">
        <v>0</v>
      </c>
      <c r="AMS23" s="229">
        <v>0</v>
      </c>
      <c r="AMT23" s="229">
        <v>0</v>
      </c>
      <c r="AMU23" s="229">
        <v>0</v>
      </c>
      <c r="AMV23" s="229">
        <v>0</v>
      </c>
      <c r="AMW23" s="229">
        <v>0</v>
      </c>
      <c r="AMX23" s="229">
        <v>0</v>
      </c>
      <c r="AMY23" s="229">
        <v>0</v>
      </c>
      <c r="AMZ23" s="229">
        <v>0</v>
      </c>
      <c r="ANA23" s="229">
        <v>0</v>
      </c>
      <c r="ANB23" s="229">
        <v>0</v>
      </c>
      <c r="ANC23" s="229">
        <v>0</v>
      </c>
      <c r="AND23" s="229">
        <v>0</v>
      </c>
      <c r="ANE23" s="229">
        <v>0</v>
      </c>
      <c r="ANF23" s="229">
        <v>0</v>
      </c>
      <c r="ANG23" s="229">
        <v>0</v>
      </c>
      <c r="ANH23" s="229">
        <v>0</v>
      </c>
      <c r="ANI23" s="229">
        <v>0</v>
      </c>
      <c r="ANJ23" s="229">
        <v>0</v>
      </c>
      <c r="ANK23" s="229">
        <v>0</v>
      </c>
      <c r="ANL23" s="229">
        <v>0</v>
      </c>
      <c r="ANM23" s="229">
        <v>0</v>
      </c>
      <c r="ANN23" s="229">
        <v>0</v>
      </c>
      <c r="ANO23" s="229">
        <v>0</v>
      </c>
      <c r="ANP23" s="229">
        <v>0</v>
      </c>
      <c r="ANQ23" s="229">
        <v>0</v>
      </c>
      <c r="ANR23" s="229">
        <v>0</v>
      </c>
      <c r="ANS23" s="229">
        <v>0</v>
      </c>
      <c r="ANT23" s="229">
        <v>0</v>
      </c>
      <c r="ANU23" s="229">
        <v>0</v>
      </c>
      <c r="ANV23" s="229">
        <v>0</v>
      </c>
      <c r="ANW23" s="229">
        <v>0</v>
      </c>
      <c r="ANX23" s="229">
        <v>0</v>
      </c>
      <c r="ANY23" s="229">
        <v>0</v>
      </c>
      <c r="ANZ23" s="229">
        <v>0</v>
      </c>
      <c r="AOA23" s="229">
        <v>0</v>
      </c>
      <c r="AOB23" s="229">
        <v>0</v>
      </c>
      <c r="AOC23" s="229">
        <v>0</v>
      </c>
      <c r="AOD23" s="229">
        <v>0</v>
      </c>
      <c r="AOE23" s="229">
        <v>0</v>
      </c>
      <c r="AOF23" s="229">
        <v>0</v>
      </c>
      <c r="AOG23" s="229">
        <v>0</v>
      </c>
      <c r="AOH23" s="229">
        <v>0</v>
      </c>
      <c r="AOI23" s="229">
        <v>0</v>
      </c>
      <c r="AOJ23" s="229">
        <v>0</v>
      </c>
      <c r="AOK23" s="229">
        <v>0</v>
      </c>
      <c r="AOL23" s="229">
        <v>0</v>
      </c>
      <c r="AOM23" s="229">
        <v>0</v>
      </c>
      <c r="AON23" s="229">
        <v>0</v>
      </c>
      <c r="AOO23" s="229">
        <v>0</v>
      </c>
      <c r="AOP23" s="229">
        <v>0</v>
      </c>
      <c r="AOQ23" s="229">
        <v>0</v>
      </c>
      <c r="AOR23" s="229">
        <v>0</v>
      </c>
      <c r="AOS23" s="229">
        <v>0</v>
      </c>
      <c r="AOT23" s="229">
        <v>0</v>
      </c>
      <c r="AOU23" s="229">
        <v>0</v>
      </c>
      <c r="AOV23" s="229">
        <v>0</v>
      </c>
      <c r="AOW23" s="229">
        <v>0</v>
      </c>
      <c r="AOX23" s="229">
        <v>0</v>
      </c>
      <c r="AOY23" s="229">
        <v>0</v>
      </c>
      <c r="AOZ23" s="229">
        <v>0</v>
      </c>
      <c r="APA23" s="229">
        <v>0</v>
      </c>
      <c r="APB23" s="229">
        <v>0</v>
      </c>
      <c r="APC23" s="229">
        <v>0</v>
      </c>
      <c r="APD23" s="229">
        <v>0</v>
      </c>
      <c r="APE23" s="229">
        <v>0</v>
      </c>
      <c r="APF23" s="229">
        <v>0</v>
      </c>
      <c r="APG23" s="229">
        <v>0</v>
      </c>
      <c r="APH23" s="229">
        <v>0</v>
      </c>
      <c r="API23" s="229">
        <v>0</v>
      </c>
      <c r="APJ23" s="229">
        <v>0</v>
      </c>
      <c r="APK23" s="229">
        <v>0</v>
      </c>
      <c r="APL23" s="229">
        <v>0</v>
      </c>
      <c r="APM23" s="229">
        <v>0</v>
      </c>
      <c r="APN23" s="229">
        <v>0</v>
      </c>
      <c r="APO23" s="229">
        <v>0</v>
      </c>
      <c r="APP23" s="229">
        <v>0</v>
      </c>
      <c r="APQ23" s="229">
        <v>0</v>
      </c>
      <c r="APR23" s="229">
        <v>0</v>
      </c>
      <c r="APS23" s="229">
        <v>0</v>
      </c>
      <c r="APT23" s="229">
        <v>0</v>
      </c>
      <c r="APU23" s="229">
        <v>0</v>
      </c>
      <c r="APV23" s="229">
        <v>0</v>
      </c>
      <c r="APW23" s="229">
        <v>0</v>
      </c>
      <c r="APX23" s="229">
        <v>0</v>
      </c>
      <c r="APY23" s="229">
        <v>0</v>
      </c>
      <c r="APZ23" s="229">
        <v>0</v>
      </c>
      <c r="AQA23" s="229">
        <v>0</v>
      </c>
      <c r="AQB23" s="229">
        <v>0</v>
      </c>
      <c r="AQC23" s="229">
        <v>0</v>
      </c>
      <c r="AQD23" s="229">
        <v>0</v>
      </c>
      <c r="AQE23" s="229">
        <v>0</v>
      </c>
      <c r="AQF23" s="229">
        <v>0</v>
      </c>
      <c r="AQG23" s="229">
        <v>0</v>
      </c>
      <c r="AQH23" s="229">
        <v>0</v>
      </c>
      <c r="AQI23" s="229">
        <v>0</v>
      </c>
      <c r="AQJ23" s="229">
        <v>0</v>
      </c>
      <c r="AQK23" s="229">
        <v>0</v>
      </c>
      <c r="AQL23" s="229">
        <v>0</v>
      </c>
      <c r="AQM23" s="229">
        <v>0</v>
      </c>
      <c r="AQN23" s="229">
        <v>0</v>
      </c>
      <c r="AQO23" s="229">
        <v>0</v>
      </c>
      <c r="AQP23" s="229">
        <v>0</v>
      </c>
      <c r="AQQ23" s="229">
        <v>0</v>
      </c>
      <c r="AQR23" s="229">
        <v>0</v>
      </c>
      <c r="AQS23" s="229">
        <v>0</v>
      </c>
      <c r="AQT23" s="229">
        <v>0</v>
      </c>
      <c r="AQU23" s="229">
        <v>0</v>
      </c>
      <c r="AQV23" s="229">
        <v>0</v>
      </c>
      <c r="AQW23" s="229">
        <v>0</v>
      </c>
      <c r="AQX23" s="229">
        <v>0</v>
      </c>
      <c r="AQY23" s="229">
        <v>0</v>
      </c>
      <c r="AQZ23" s="229">
        <v>0</v>
      </c>
      <c r="ARA23" s="229">
        <v>0</v>
      </c>
      <c r="ARB23" s="229">
        <v>0</v>
      </c>
      <c r="ARC23" s="229">
        <v>0</v>
      </c>
      <c r="ARD23" s="229">
        <v>0</v>
      </c>
      <c r="ARE23" s="229">
        <v>0</v>
      </c>
      <c r="ARF23" s="229">
        <v>0</v>
      </c>
      <c r="ARG23" s="229">
        <v>0</v>
      </c>
      <c r="ARH23" s="229">
        <v>0</v>
      </c>
      <c r="ARI23" s="229">
        <v>0</v>
      </c>
      <c r="ARJ23" s="229">
        <v>0</v>
      </c>
      <c r="ARK23" s="229">
        <v>0</v>
      </c>
      <c r="ARL23" s="229">
        <v>0</v>
      </c>
      <c r="ARM23" s="229">
        <v>0</v>
      </c>
      <c r="ARN23" s="229">
        <v>0</v>
      </c>
      <c r="ARO23" s="229">
        <v>0</v>
      </c>
      <c r="ARP23" s="229">
        <v>0</v>
      </c>
      <c r="ARQ23" s="229">
        <v>0</v>
      </c>
      <c r="ARR23" s="229">
        <v>0</v>
      </c>
      <c r="ARS23" s="229">
        <v>0</v>
      </c>
      <c r="ART23" s="229">
        <v>0</v>
      </c>
      <c r="ARU23" s="229">
        <v>0</v>
      </c>
      <c r="ARV23" s="229">
        <v>0</v>
      </c>
      <c r="ARW23" s="229">
        <v>0</v>
      </c>
      <c r="ARX23" s="229">
        <v>0</v>
      </c>
      <c r="ARY23" s="229">
        <v>0</v>
      </c>
      <c r="ARZ23" s="229">
        <v>0</v>
      </c>
      <c r="ASA23" s="229">
        <v>0</v>
      </c>
      <c r="ASB23" s="229">
        <v>0</v>
      </c>
      <c r="ASC23" s="229">
        <v>0</v>
      </c>
      <c r="ASD23" s="229">
        <v>0</v>
      </c>
      <c r="ASE23" s="229">
        <v>0</v>
      </c>
      <c r="ASF23" s="229">
        <v>0</v>
      </c>
      <c r="ASG23" s="229">
        <v>0</v>
      </c>
      <c r="ASH23" s="229">
        <v>0</v>
      </c>
      <c r="ASI23" s="229">
        <v>0</v>
      </c>
      <c r="ASJ23" s="229">
        <v>0</v>
      </c>
      <c r="ASK23" s="229">
        <v>0</v>
      </c>
      <c r="ASL23" s="229">
        <v>0</v>
      </c>
      <c r="ASM23" s="229">
        <v>0</v>
      </c>
      <c r="ASN23" s="229">
        <v>0</v>
      </c>
      <c r="ASO23" s="229">
        <v>0</v>
      </c>
      <c r="ASP23" s="229">
        <v>0</v>
      </c>
      <c r="ASQ23" s="229">
        <v>0</v>
      </c>
      <c r="ASR23" s="229">
        <v>0</v>
      </c>
      <c r="ASS23" s="229">
        <v>0</v>
      </c>
      <c r="AST23" s="229">
        <v>0</v>
      </c>
      <c r="ASU23" s="229">
        <v>0</v>
      </c>
      <c r="ASV23" s="229">
        <v>0</v>
      </c>
      <c r="ASW23" s="229">
        <v>0</v>
      </c>
      <c r="ASX23" s="229">
        <v>0</v>
      </c>
      <c r="ASY23" s="229">
        <v>0</v>
      </c>
      <c r="ASZ23" s="229">
        <v>0</v>
      </c>
      <c r="ATA23" s="229">
        <v>0</v>
      </c>
      <c r="ATB23" s="229">
        <v>0</v>
      </c>
      <c r="ATC23" s="229">
        <v>0</v>
      </c>
      <c r="ATD23" s="229">
        <v>0</v>
      </c>
      <c r="ATE23" s="229">
        <v>0</v>
      </c>
      <c r="ATF23" s="229">
        <v>0</v>
      </c>
      <c r="ATG23" s="229">
        <v>0</v>
      </c>
      <c r="ATH23" s="229">
        <v>0</v>
      </c>
      <c r="ATI23" s="229">
        <v>0</v>
      </c>
      <c r="ATJ23" s="229">
        <v>0</v>
      </c>
      <c r="ATK23" s="229">
        <v>0</v>
      </c>
      <c r="ATL23" s="229">
        <v>0</v>
      </c>
      <c r="ATM23" s="229">
        <v>0</v>
      </c>
      <c r="ATN23" s="229">
        <v>0</v>
      </c>
      <c r="ATO23" s="229">
        <v>0</v>
      </c>
      <c r="ATP23" s="229">
        <v>0</v>
      </c>
      <c r="ATQ23" s="229">
        <v>0</v>
      </c>
      <c r="ATR23" s="229">
        <v>0</v>
      </c>
      <c r="ATS23" s="229">
        <v>0</v>
      </c>
      <c r="ATT23" s="229">
        <v>0</v>
      </c>
      <c r="ATU23" s="229">
        <v>0</v>
      </c>
      <c r="ATV23" s="229">
        <v>0</v>
      </c>
      <c r="ATW23" s="229">
        <v>0</v>
      </c>
      <c r="ATX23" s="229">
        <v>0</v>
      </c>
      <c r="ATY23" s="229">
        <v>0</v>
      </c>
      <c r="ATZ23" s="229">
        <v>0</v>
      </c>
      <c r="AUA23" s="229">
        <v>0</v>
      </c>
      <c r="AUB23" s="229">
        <v>0</v>
      </c>
      <c r="AUC23" s="229">
        <v>0</v>
      </c>
      <c r="AUD23" s="229">
        <v>0</v>
      </c>
      <c r="AUE23" s="229">
        <v>0</v>
      </c>
      <c r="AUF23" s="229">
        <v>0</v>
      </c>
      <c r="AUG23" s="229">
        <v>0</v>
      </c>
      <c r="AUH23" s="229">
        <v>0</v>
      </c>
      <c r="AUI23" s="229">
        <v>0</v>
      </c>
      <c r="AUJ23" s="229">
        <v>0</v>
      </c>
      <c r="AUK23" s="229">
        <v>0</v>
      </c>
      <c r="AUL23" s="229">
        <v>0</v>
      </c>
      <c r="AUM23" s="229">
        <v>0</v>
      </c>
      <c r="AUN23" s="229">
        <v>0</v>
      </c>
      <c r="AUO23" s="229">
        <v>0</v>
      </c>
      <c r="AUP23" s="229">
        <v>0</v>
      </c>
      <c r="AUQ23" s="229">
        <v>0</v>
      </c>
      <c r="AUR23" s="229">
        <v>0</v>
      </c>
      <c r="AUS23" s="229">
        <v>0</v>
      </c>
      <c r="AUT23" s="229">
        <v>0</v>
      </c>
      <c r="AUU23" s="229">
        <v>0</v>
      </c>
      <c r="AUV23" s="229">
        <v>0</v>
      </c>
      <c r="AUW23" s="229">
        <v>0</v>
      </c>
      <c r="AUX23" s="229">
        <v>0</v>
      </c>
      <c r="AUY23" s="229">
        <v>0</v>
      </c>
      <c r="AUZ23" s="229">
        <v>0</v>
      </c>
      <c r="AVA23" s="229">
        <v>0</v>
      </c>
      <c r="AVB23" s="229">
        <v>0</v>
      </c>
      <c r="AVC23" s="229">
        <v>0</v>
      </c>
      <c r="AVD23" s="229">
        <v>0</v>
      </c>
      <c r="AVE23" s="229">
        <v>0</v>
      </c>
      <c r="AVF23" s="229">
        <v>0</v>
      </c>
      <c r="AVG23" s="229">
        <v>0</v>
      </c>
      <c r="AVH23" s="229">
        <v>0</v>
      </c>
      <c r="AVI23" s="229">
        <v>0</v>
      </c>
      <c r="AVJ23" s="229">
        <v>0</v>
      </c>
      <c r="AVK23" s="229">
        <v>0</v>
      </c>
      <c r="AVL23" s="229">
        <v>0</v>
      </c>
      <c r="AVM23" s="229">
        <v>0</v>
      </c>
      <c r="AVN23" s="229">
        <v>0</v>
      </c>
      <c r="AVO23" s="229">
        <v>0</v>
      </c>
      <c r="AVP23" s="229">
        <v>0</v>
      </c>
      <c r="AVQ23" s="229">
        <v>0</v>
      </c>
      <c r="AVR23" s="229">
        <v>0</v>
      </c>
      <c r="AVS23" s="229">
        <v>0</v>
      </c>
      <c r="AVT23" s="229">
        <v>0</v>
      </c>
      <c r="AVU23" s="229">
        <v>0</v>
      </c>
      <c r="AVV23" s="229">
        <v>0</v>
      </c>
      <c r="AVW23" s="229">
        <v>0</v>
      </c>
      <c r="AVX23" s="229">
        <v>0</v>
      </c>
      <c r="AVY23" s="229">
        <v>0</v>
      </c>
      <c r="AVZ23" s="229">
        <v>0</v>
      </c>
      <c r="AWA23" s="229">
        <v>0</v>
      </c>
      <c r="AWB23" s="229">
        <v>0</v>
      </c>
      <c r="AWC23" s="229">
        <v>0</v>
      </c>
      <c r="AWD23" s="229">
        <v>0</v>
      </c>
      <c r="AWE23" s="229">
        <v>0</v>
      </c>
      <c r="AWF23" s="229">
        <v>0</v>
      </c>
      <c r="AWG23" s="229">
        <v>0</v>
      </c>
      <c r="AWH23" s="229">
        <v>0</v>
      </c>
      <c r="AWI23" s="229">
        <v>0</v>
      </c>
      <c r="AWJ23" s="229">
        <v>0</v>
      </c>
      <c r="AWK23" s="229">
        <v>0</v>
      </c>
      <c r="AWL23" s="229">
        <v>0</v>
      </c>
      <c r="AWM23" s="229">
        <v>0</v>
      </c>
      <c r="AWN23" s="229">
        <v>0</v>
      </c>
      <c r="AWO23" s="229">
        <v>0</v>
      </c>
      <c r="AWP23" s="229">
        <v>0</v>
      </c>
      <c r="AWQ23" s="229">
        <v>0</v>
      </c>
      <c r="AWR23" s="229">
        <v>0</v>
      </c>
      <c r="AWS23" s="229">
        <v>0</v>
      </c>
      <c r="AWT23" s="229">
        <v>0</v>
      </c>
      <c r="AWU23" s="229">
        <v>0</v>
      </c>
      <c r="AWV23" s="229">
        <v>0</v>
      </c>
      <c r="AWW23" s="229">
        <v>0</v>
      </c>
      <c r="AWX23" s="229">
        <v>0</v>
      </c>
      <c r="AWY23" s="229">
        <v>0</v>
      </c>
      <c r="AWZ23" s="229">
        <v>0</v>
      </c>
      <c r="AXA23" s="229">
        <v>0</v>
      </c>
      <c r="AXB23" s="229">
        <v>0</v>
      </c>
      <c r="AXC23" s="229">
        <v>0</v>
      </c>
      <c r="AXD23" s="229">
        <v>0</v>
      </c>
      <c r="AXE23" s="229">
        <v>0</v>
      </c>
      <c r="AXF23" s="229">
        <v>0</v>
      </c>
      <c r="AXG23" s="229">
        <v>0</v>
      </c>
      <c r="AXH23" s="229">
        <v>0</v>
      </c>
      <c r="AXI23" s="229">
        <v>0</v>
      </c>
      <c r="AXJ23" s="229">
        <v>0</v>
      </c>
      <c r="AXK23" s="229">
        <v>0</v>
      </c>
      <c r="AXL23" s="229">
        <v>0</v>
      </c>
      <c r="AXM23" s="229">
        <v>0</v>
      </c>
      <c r="AXN23" s="229">
        <v>0</v>
      </c>
      <c r="AXO23" s="229">
        <v>0</v>
      </c>
      <c r="AXP23" s="229">
        <v>0</v>
      </c>
      <c r="AXQ23" s="229">
        <v>0</v>
      </c>
      <c r="AXR23" s="229">
        <v>0</v>
      </c>
      <c r="AXS23" s="229">
        <v>0</v>
      </c>
      <c r="AXT23" s="229">
        <v>0</v>
      </c>
      <c r="AXU23" s="229">
        <v>0</v>
      </c>
      <c r="AXV23" s="229">
        <v>0</v>
      </c>
      <c r="AXW23" s="229">
        <v>0</v>
      </c>
      <c r="AXX23" s="229">
        <v>0</v>
      </c>
      <c r="AXY23" s="229">
        <v>0</v>
      </c>
      <c r="AXZ23" s="229">
        <v>0</v>
      </c>
      <c r="AYA23" s="229">
        <v>0</v>
      </c>
      <c r="AYB23" s="229">
        <v>0</v>
      </c>
      <c r="AYC23" s="229">
        <v>0</v>
      </c>
      <c r="AYD23" s="229">
        <v>0</v>
      </c>
      <c r="AYE23" s="229">
        <v>0</v>
      </c>
      <c r="AYF23" s="229">
        <v>0</v>
      </c>
      <c r="AYG23" s="229">
        <v>0</v>
      </c>
      <c r="AYH23" s="229">
        <v>0</v>
      </c>
      <c r="AYI23" s="229">
        <v>0</v>
      </c>
      <c r="AYJ23" s="229">
        <v>0</v>
      </c>
      <c r="AYK23" s="229">
        <v>0</v>
      </c>
      <c r="AYL23" s="229">
        <v>0</v>
      </c>
      <c r="AYM23" s="229">
        <v>0</v>
      </c>
      <c r="AYN23" s="229">
        <v>0</v>
      </c>
      <c r="AYO23" s="229">
        <v>0</v>
      </c>
      <c r="AYP23" s="229">
        <v>0</v>
      </c>
      <c r="AYQ23" s="229">
        <v>0</v>
      </c>
      <c r="AYR23" s="229">
        <v>0</v>
      </c>
      <c r="AYS23" s="229">
        <v>0</v>
      </c>
      <c r="AYT23" s="229">
        <v>0</v>
      </c>
      <c r="AYU23" s="229">
        <v>0</v>
      </c>
      <c r="AYV23" s="229">
        <v>0</v>
      </c>
      <c r="AYW23" s="229">
        <v>0</v>
      </c>
      <c r="AYX23" s="229">
        <v>0</v>
      </c>
      <c r="AYY23" s="229">
        <v>0</v>
      </c>
      <c r="AYZ23" s="229">
        <v>0</v>
      </c>
      <c r="AZA23" s="229">
        <v>0</v>
      </c>
      <c r="AZB23" s="229">
        <v>0</v>
      </c>
      <c r="AZC23" s="229">
        <v>0</v>
      </c>
      <c r="AZD23" s="229">
        <v>0</v>
      </c>
      <c r="AZE23" s="229">
        <v>0</v>
      </c>
      <c r="AZF23" s="229">
        <v>0</v>
      </c>
      <c r="AZG23" s="229">
        <v>0</v>
      </c>
      <c r="AZH23" s="229">
        <v>0</v>
      </c>
      <c r="AZI23" s="229">
        <v>0</v>
      </c>
      <c r="AZJ23" s="229">
        <v>0</v>
      </c>
      <c r="AZK23" s="229">
        <v>0</v>
      </c>
      <c r="AZL23" s="229">
        <v>0</v>
      </c>
      <c r="AZM23" s="229">
        <v>0</v>
      </c>
      <c r="AZN23" s="229">
        <v>0</v>
      </c>
      <c r="AZO23" s="229">
        <v>0</v>
      </c>
      <c r="AZP23" s="229">
        <v>0</v>
      </c>
      <c r="AZQ23" s="229">
        <v>0</v>
      </c>
      <c r="AZR23" s="229">
        <v>0</v>
      </c>
      <c r="AZS23" s="229">
        <v>0</v>
      </c>
      <c r="AZT23" s="229">
        <v>0</v>
      </c>
      <c r="AZU23" s="229">
        <v>0</v>
      </c>
      <c r="AZV23" s="229">
        <v>0</v>
      </c>
      <c r="AZW23" s="229">
        <v>0</v>
      </c>
      <c r="AZX23" s="229">
        <v>0</v>
      </c>
      <c r="AZY23" s="229">
        <v>0</v>
      </c>
      <c r="AZZ23" s="229">
        <v>0</v>
      </c>
      <c r="BAA23" s="229">
        <v>0</v>
      </c>
      <c r="BAB23" s="229">
        <v>0</v>
      </c>
      <c r="BAC23" s="229">
        <v>0</v>
      </c>
      <c r="BAD23" s="229">
        <v>0</v>
      </c>
      <c r="BAE23" s="229">
        <v>0</v>
      </c>
      <c r="BAF23" s="229">
        <v>0</v>
      </c>
      <c r="BAG23" s="229">
        <v>0</v>
      </c>
      <c r="BAH23" s="229">
        <v>0</v>
      </c>
      <c r="BAI23" s="229">
        <v>0</v>
      </c>
      <c r="BAJ23" s="229">
        <v>0</v>
      </c>
      <c r="BAK23" s="229">
        <v>0</v>
      </c>
      <c r="BAL23" s="229">
        <v>0</v>
      </c>
      <c r="BAM23" s="229">
        <v>0</v>
      </c>
      <c r="BAN23" s="229">
        <v>0</v>
      </c>
      <c r="BAO23" s="229">
        <v>0</v>
      </c>
      <c r="BAP23" s="229">
        <v>0</v>
      </c>
      <c r="BAQ23" s="229">
        <v>0</v>
      </c>
      <c r="BAR23" s="229">
        <v>0</v>
      </c>
      <c r="BAS23" s="229">
        <v>0</v>
      </c>
      <c r="BAT23" s="229">
        <v>0</v>
      </c>
      <c r="BAU23" s="229">
        <v>0</v>
      </c>
      <c r="BAV23" s="229">
        <v>0</v>
      </c>
      <c r="BAW23" s="229">
        <v>0</v>
      </c>
      <c r="BAX23" s="229">
        <v>0</v>
      </c>
      <c r="BAY23" s="229">
        <v>0</v>
      </c>
      <c r="BAZ23" s="229">
        <v>0</v>
      </c>
      <c r="BBA23" s="229">
        <v>0</v>
      </c>
      <c r="BBB23" s="229">
        <v>0</v>
      </c>
      <c r="BBC23" s="229">
        <v>0</v>
      </c>
      <c r="BBD23" s="229">
        <v>0</v>
      </c>
      <c r="BBE23" s="229">
        <v>0</v>
      </c>
      <c r="BBF23" s="229">
        <v>0</v>
      </c>
      <c r="BBG23" s="229">
        <v>0</v>
      </c>
      <c r="BBH23" s="229">
        <v>0</v>
      </c>
      <c r="BBI23" s="229">
        <v>0</v>
      </c>
      <c r="BBJ23" s="229">
        <v>0</v>
      </c>
      <c r="BBK23" s="229">
        <v>0</v>
      </c>
      <c r="BBL23" s="229">
        <v>0</v>
      </c>
      <c r="BBM23" s="229">
        <v>0</v>
      </c>
      <c r="BBN23" s="229">
        <v>0</v>
      </c>
      <c r="BBO23" s="229">
        <v>0</v>
      </c>
      <c r="BBP23" s="229">
        <v>0</v>
      </c>
      <c r="BBQ23" s="229">
        <v>0</v>
      </c>
      <c r="BBR23" s="229">
        <v>0</v>
      </c>
      <c r="BBS23" s="229">
        <v>0</v>
      </c>
      <c r="BBT23" s="229">
        <v>0</v>
      </c>
      <c r="BBU23" s="229">
        <v>0</v>
      </c>
      <c r="BBV23" s="229">
        <v>0</v>
      </c>
      <c r="BBW23" s="229">
        <v>0</v>
      </c>
      <c r="BBX23" s="229">
        <v>0</v>
      </c>
      <c r="BBY23" s="229">
        <v>0</v>
      </c>
      <c r="BBZ23" s="229">
        <v>0</v>
      </c>
      <c r="BCA23" s="229">
        <v>0</v>
      </c>
      <c r="BCB23" s="229">
        <v>0</v>
      </c>
      <c r="BCC23" s="229">
        <v>0</v>
      </c>
      <c r="BCD23" s="229">
        <v>0</v>
      </c>
      <c r="BCE23" s="229">
        <v>0</v>
      </c>
      <c r="BCF23" s="229">
        <v>0</v>
      </c>
      <c r="BCG23" s="229">
        <v>0</v>
      </c>
      <c r="BCH23" s="229">
        <v>0</v>
      </c>
      <c r="BCI23" s="229">
        <v>0</v>
      </c>
      <c r="BCJ23" s="229">
        <v>0</v>
      </c>
      <c r="BCK23" s="229">
        <v>0</v>
      </c>
      <c r="BCL23" s="229">
        <v>0</v>
      </c>
      <c r="BCM23" s="229">
        <v>0</v>
      </c>
      <c r="BCN23" s="229">
        <v>0</v>
      </c>
      <c r="BCO23" s="229">
        <v>0</v>
      </c>
      <c r="BCP23" s="229">
        <v>0</v>
      </c>
      <c r="BCQ23" s="229">
        <v>0</v>
      </c>
      <c r="BCR23" s="229">
        <v>0</v>
      </c>
      <c r="BCS23" s="229">
        <v>0</v>
      </c>
      <c r="BCT23" s="229">
        <v>0</v>
      </c>
      <c r="BCU23" s="229">
        <v>0</v>
      </c>
      <c r="BCV23" s="229">
        <v>0</v>
      </c>
      <c r="BCW23" s="229">
        <v>0</v>
      </c>
      <c r="BCX23" s="229">
        <v>0</v>
      </c>
      <c r="BCY23" s="229">
        <v>0</v>
      </c>
      <c r="BCZ23" s="229">
        <v>0</v>
      </c>
      <c r="BDA23" s="229">
        <v>0</v>
      </c>
      <c r="BDB23" s="229">
        <v>0</v>
      </c>
      <c r="BDC23" s="229">
        <v>0</v>
      </c>
      <c r="BDD23" s="229">
        <v>0</v>
      </c>
      <c r="BDE23" s="229">
        <v>0</v>
      </c>
      <c r="BDF23" s="229">
        <v>0</v>
      </c>
      <c r="BDG23" s="229">
        <v>0</v>
      </c>
      <c r="BDH23" s="229">
        <v>0</v>
      </c>
      <c r="BDI23" s="229">
        <v>0</v>
      </c>
      <c r="BDJ23" s="229">
        <v>0</v>
      </c>
      <c r="BDK23" s="229">
        <v>0</v>
      </c>
      <c r="BDL23" s="229">
        <v>0</v>
      </c>
      <c r="BDM23" s="229">
        <v>0</v>
      </c>
      <c r="BDN23" s="229">
        <v>0</v>
      </c>
      <c r="BDO23" s="229">
        <v>0</v>
      </c>
      <c r="BDP23" s="229">
        <v>0</v>
      </c>
      <c r="BDQ23" s="229">
        <v>0</v>
      </c>
      <c r="BDR23" s="229">
        <v>0</v>
      </c>
      <c r="BDS23" s="229">
        <v>0</v>
      </c>
      <c r="BDT23" s="229">
        <v>0</v>
      </c>
      <c r="BDU23" s="229">
        <v>0</v>
      </c>
      <c r="BDV23" s="229">
        <v>0</v>
      </c>
      <c r="BDW23" s="229">
        <v>0</v>
      </c>
      <c r="BDX23" s="229">
        <v>0</v>
      </c>
      <c r="BDY23" s="229">
        <v>0</v>
      </c>
      <c r="BDZ23" s="229">
        <v>0</v>
      </c>
      <c r="BEA23" s="229">
        <v>0</v>
      </c>
      <c r="BEB23" s="229">
        <v>0</v>
      </c>
      <c r="BEC23" s="229">
        <v>0</v>
      </c>
      <c r="BED23" s="229">
        <v>0</v>
      </c>
      <c r="BEE23" s="229">
        <v>0</v>
      </c>
      <c r="BEF23" s="229">
        <v>0</v>
      </c>
      <c r="BEG23" s="229">
        <v>0</v>
      </c>
      <c r="BEH23" s="229">
        <v>0</v>
      </c>
      <c r="BEI23" s="229">
        <v>0</v>
      </c>
      <c r="BEJ23" s="229">
        <v>0</v>
      </c>
      <c r="BEK23" s="229">
        <v>0</v>
      </c>
      <c r="BEL23" s="229">
        <v>0</v>
      </c>
      <c r="BEM23" s="229">
        <v>0</v>
      </c>
      <c r="BEN23" s="229">
        <v>0</v>
      </c>
      <c r="BEO23" s="229">
        <v>0</v>
      </c>
      <c r="BEP23" s="229">
        <v>0</v>
      </c>
      <c r="BEQ23" s="229">
        <v>0</v>
      </c>
      <c r="BER23" s="229">
        <v>0</v>
      </c>
      <c r="BES23" s="229">
        <v>0</v>
      </c>
      <c r="BET23" s="229">
        <v>0</v>
      </c>
      <c r="BEU23" s="229">
        <v>0</v>
      </c>
      <c r="BEV23" s="229">
        <v>0</v>
      </c>
      <c r="BEW23" s="229">
        <v>0</v>
      </c>
      <c r="BEX23" s="229">
        <v>0</v>
      </c>
      <c r="BEY23" s="229">
        <v>0</v>
      </c>
      <c r="BEZ23" s="229">
        <v>0</v>
      </c>
      <c r="BFA23" s="229">
        <v>0</v>
      </c>
      <c r="BFB23" s="229">
        <v>0</v>
      </c>
      <c r="BFC23" s="229">
        <v>0</v>
      </c>
      <c r="BFD23" s="229">
        <v>0</v>
      </c>
      <c r="BFE23" s="229">
        <v>0</v>
      </c>
      <c r="BFF23" s="229">
        <v>0</v>
      </c>
      <c r="BFG23" s="229">
        <v>0</v>
      </c>
      <c r="BFH23" s="229">
        <v>0</v>
      </c>
      <c r="BFI23" s="229">
        <v>0</v>
      </c>
      <c r="BFJ23" s="229">
        <v>0</v>
      </c>
      <c r="BFK23" s="229">
        <v>0</v>
      </c>
      <c r="BFL23" s="229">
        <v>0</v>
      </c>
      <c r="BFM23" s="229">
        <v>0</v>
      </c>
      <c r="BFN23" s="229">
        <v>0</v>
      </c>
      <c r="BFO23" s="229">
        <v>0</v>
      </c>
      <c r="BFP23" s="229">
        <v>0</v>
      </c>
      <c r="BFQ23" s="229">
        <v>0</v>
      </c>
      <c r="BFR23" s="229">
        <v>0</v>
      </c>
      <c r="BFS23" s="229">
        <v>0</v>
      </c>
      <c r="BFT23" s="229">
        <v>0</v>
      </c>
      <c r="BFU23" s="229">
        <v>0</v>
      </c>
      <c r="BFV23" s="229">
        <v>0</v>
      </c>
      <c r="BFW23" s="229">
        <v>0</v>
      </c>
      <c r="BFX23" s="229">
        <v>0</v>
      </c>
      <c r="BFY23" s="229">
        <v>0</v>
      </c>
      <c r="BFZ23" s="229">
        <v>0</v>
      </c>
      <c r="BGA23" s="229">
        <v>0</v>
      </c>
      <c r="BGB23" s="229">
        <v>0</v>
      </c>
      <c r="BGC23" s="229">
        <v>0</v>
      </c>
      <c r="BGD23" s="229">
        <v>0</v>
      </c>
      <c r="BGE23" s="229">
        <v>0</v>
      </c>
      <c r="BGF23" s="229">
        <v>0</v>
      </c>
      <c r="BGG23" s="229">
        <v>0</v>
      </c>
      <c r="BGH23" s="229">
        <v>0</v>
      </c>
      <c r="BGI23" s="229">
        <v>0</v>
      </c>
      <c r="BGJ23" s="229">
        <v>0</v>
      </c>
      <c r="BGK23" s="229">
        <v>0</v>
      </c>
      <c r="BGL23" s="229">
        <v>0</v>
      </c>
      <c r="BGM23" s="229">
        <v>0</v>
      </c>
      <c r="BGN23" s="229">
        <v>0</v>
      </c>
      <c r="BGO23" s="229">
        <v>0</v>
      </c>
      <c r="BGP23" s="229">
        <v>0</v>
      </c>
      <c r="BGQ23" s="229">
        <v>0</v>
      </c>
      <c r="BGR23" s="229">
        <v>0</v>
      </c>
      <c r="BGS23" s="229">
        <v>0</v>
      </c>
      <c r="BGT23" s="229">
        <v>0</v>
      </c>
      <c r="BGU23" s="229">
        <v>0</v>
      </c>
      <c r="BGV23" s="229">
        <v>0</v>
      </c>
      <c r="BGW23" s="229">
        <v>0</v>
      </c>
      <c r="BGX23" s="229">
        <v>0</v>
      </c>
      <c r="BGY23" s="229">
        <v>0</v>
      </c>
      <c r="BGZ23" s="229">
        <v>0</v>
      </c>
      <c r="BHA23" s="229">
        <v>0</v>
      </c>
      <c r="BHB23" s="229">
        <v>0</v>
      </c>
      <c r="BHC23" s="229">
        <v>0</v>
      </c>
      <c r="BHD23" s="229">
        <v>0</v>
      </c>
      <c r="BHE23" s="229">
        <v>0</v>
      </c>
      <c r="BHF23" s="229">
        <v>0</v>
      </c>
      <c r="BHG23" s="229">
        <v>0</v>
      </c>
      <c r="BHH23" s="229">
        <v>0</v>
      </c>
      <c r="BHI23" s="229">
        <v>0</v>
      </c>
      <c r="BHJ23" s="229">
        <v>0</v>
      </c>
      <c r="BHK23" s="229">
        <v>0</v>
      </c>
      <c r="BHL23" s="229">
        <v>0</v>
      </c>
      <c r="BHM23" s="229">
        <v>0</v>
      </c>
      <c r="BHN23" s="229">
        <v>0</v>
      </c>
      <c r="BHO23" s="229">
        <v>0</v>
      </c>
      <c r="BHP23" s="229">
        <v>0</v>
      </c>
      <c r="BHQ23" s="229">
        <v>0</v>
      </c>
      <c r="BHR23" s="229">
        <v>0</v>
      </c>
      <c r="BHS23" s="229">
        <v>0</v>
      </c>
      <c r="BHT23" s="229">
        <v>0</v>
      </c>
      <c r="BHU23" s="229">
        <v>0</v>
      </c>
      <c r="BHV23" s="229">
        <v>0</v>
      </c>
      <c r="BHW23" s="229">
        <v>0</v>
      </c>
      <c r="BHX23" s="229">
        <v>0</v>
      </c>
      <c r="BHY23" s="229">
        <v>0</v>
      </c>
      <c r="BHZ23" s="229">
        <v>0</v>
      </c>
      <c r="BIA23" s="229">
        <v>0</v>
      </c>
      <c r="BIB23" s="229">
        <v>0</v>
      </c>
      <c r="BIC23" s="229">
        <v>0</v>
      </c>
      <c r="BID23" s="229">
        <v>0</v>
      </c>
      <c r="BIE23" s="229">
        <v>0</v>
      </c>
      <c r="BIF23" s="229">
        <v>0</v>
      </c>
      <c r="BIG23" s="229">
        <v>0</v>
      </c>
      <c r="BIH23" s="229">
        <v>0</v>
      </c>
      <c r="BII23" s="229">
        <v>0</v>
      </c>
      <c r="BIJ23" s="229">
        <v>0</v>
      </c>
      <c r="BIK23" s="229">
        <v>0</v>
      </c>
      <c r="BIL23" s="229">
        <v>0</v>
      </c>
      <c r="BIM23" s="229">
        <v>0</v>
      </c>
      <c r="BIN23" s="229">
        <v>0</v>
      </c>
      <c r="BIO23" s="229">
        <v>0</v>
      </c>
      <c r="BIP23" s="229">
        <v>0</v>
      </c>
      <c r="BIQ23" s="229">
        <v>0</v>
      </c>
      <c r="BIR23" s="229">
        <v>0</v>
      </c>
      <c r="BIS23" s="229">
        <v>0</v>
      </c>
      <c r="BIT23" s="229">
        <v>0</v>
      </c>
      <c r="BIU23" s="229">
        <v>0</v>
      </c>
      <c r="BIV23" s="229">
        <v>0</v>
      </c>
      <c r="BIW23" s="229">
        <v>0</v>
      </c>
      <c r="BIX23" s="229">
        <v>0</v>
      </c>
      <c r="BIY23" s="229">
        <v>0</v>
      </c>
      <c r="BIZ23" s="229">
        <v>0</v>
      </c>
      <c r="BJA23" s="229">
        <v>0</v>
      </c>
      <c r="BJB23" s="229">
        <v>0</v>
      </c>
      <c r="BJC23" s="229">
        <v>0</v>
      </c>
      <c r="BJD23" s="229">
        <v>0</v>
      </c>
      <c r="BJE23" s="229">
        <v>0</v>
      </c>
      <c r="BJF23" s="229">
        <v>0</v>
      </c>
      <c r="BJG23" s="229">
        <v>0</v>
      </c>
      <c r="BJH23" s="229">
        <v>0</v>
      </c>
      <c r="BJI23" s="229">
        <v>0</v>
      </c>
      <c r="BJJ23" s="229">
        <v>0</v>
      </c>
      <c r="BJK23" s="229">
        <v>0</v>
      </c>
      <c r="BJL23" s="229">
        <v>0</v>
      </c>
      <c r="BJM23" s="229">
        <v>0</v>
      </c>
      <c r="BJN23" s="229">
        <v>0</v>
      </c>
      <c r="BJO23" s="229">
        <v>0</v>
      </c>
      <c r="BJP23" s="229">
        <v>0</v>
      </c>
      <c r="BJQ23" s="229">
        <v>0</v>
      </c>
      <c r="BJR23" s="229">
        <v>0</v>
      </c>
      <c r="BJS23" s="229">
        <v>0</v>
      </c>
      <c r="BJT23" s="229">
        <v>0</v>
      </c>
      <c r="BJU23" s="229">
        <v>0</v>
      </c>
      <c r="BJV23" s="229">
        <v>0</v>
      </c>
      <c r="BJW23" s="229">
        <v>0</v>
      </c>
      <c r="BJX23" s="229">
        <v>0</v>
      </c>
      <c r="BJY23" s="229">
        <v>0</v>
      </c>
      <c r="BJZ23" s="229">
        <v>0</v>
      </c>
      <c r="BKA23" s="229">
        <v>0</v>
      </c>
      <c r="BKB23" s="229">
        <v>0</v>
      </c>
      <c r="BKC23" s="229">
        <v>0</v>
      </c>
      <c r="BKD23" s="229">
        <v>0</v>
      </c>
      <c r="BKE23" s="229">
        <v>0</v>
      </c>
      <c r="BKF23" s="229">
        <v>0</v>
      </c>
      <c r="BKG23" s="229">
        <v>0</v>
      </c>
      <c r="BKH23" s="229">
        <v>0</v>
      </c>
      <c r="BKI23" s="229">
        <v>0</v>
      </c>
      <c r="BKJ23" s="229">
        <v>0</v>
      </c>
      <c r="BKK23" s="229">
        <v>0</v>
      </c>
      <c r="BKL23" s="229">
        <v>0</v>
      </c>
      <c r="BKM23" s="229">
        <v>0</v>
      </c>
      <c r="BKN23" s="229">
        <v>0</v>
      </c>
      <c r="BKO23" s="229">
        <v>0</v>
      </c>
      <c r="BKP23" s="229">
        <v>0</v>
      </c>
      <c r="BKQ23" s="229">
        <v>0</v>
      </c>
      <c r="BKR23" s="229">
        <v>0</v>
      </c>
      <c r="BKS23" s="229">
        <v>0</v>
      </c>
      <c r="BKT23" s="229">
        <v>0</v>
      </c>
      <c r="BKU23" s="229">
        <v>0</v>
      </c>
      <c r="BKV23" s="229">
        <v>0</v>
      </c>
      <c r="BKW23" s="229">
        <v>0</v>
      </c>
      <c r="BKX23" s="229">
        <v>0</v>
      </c>
      <c r="BKY23" s="229">
        <v>0</v>
      </c>
      <c r="BKZ23" s="229">
        <v>0</v>
      </c>
      <c r="BLA23" s="229">
        <v>0</v>
      </c>
      <c r="BLB23" s="229">
        <v>0</v>
      </c>
      <c r="BLC23" s="229">
        <v>0</v>
      </c>
      <c r="BLD23" s="229">
        <v>0</v>
      </c>
      <c r="BLE23" s="229">
        <v>0</v>
      </c>
      <c r="BLF23" s="229">
        <v>0</v>
      </c>
      <c r="BLG23" s="229">
        <v>0</v>
      </c>
      <c r="BLH23" s="229">
        <v>0</v>
      </c>
      <c r="BLI23" s="229">
        <v>0</v>
      </c>
      <c r="BLJ23" s="229">
        <v>0</v>
      </c>
      <c r="BLK23" s="229">
        <v>0</v>
      </c>
      <c r="BLL23" s="229">
        <v>0</v>
      </c>
      <c r="BLM23" s="229">
        <v>0</v>
      </c>
      <c r="BLN23" s="229">
        <v>0</v>
      </c>
      <c r="BLO23" s="229">
        <v>0</v>
      </c>
      <c r="BLP23" s="229">
        <v>0</v>
      </c>
      <c r="BLQ23" s="229">
        <v>0</v>
      </c>
      <c r="BLR23" s="229">
        <v>0</v>
      </c>
      <c r="BLS23" s="229">
        <v>0</v>
      </c>
      <c r="BLT23" s="229">
        <v>0</v>
      </c>
      <c r="BLU23" s="229">
        <v>0</v>
      </c>
      <c r="BLV23" s="229">
        <v>0</v>
      </c>
      <c r="BLW23" s="229">
        <v>0</v>
      </c>
      <c r="BLX23" s="229">
        <v>0</v>
      </c>
      <c r="BLY23" s="229">
        <v>0</v>
      </c>
      <c r="BLZ23" s="229">
        <v>0</v>
      </c>
      <c r="BMA23" s="229">
        <v>0</v>
      </c>
      <c r="BMB23" s="229">
        <v>0</v>
      </c>
      <c r="BMC23" s="229">
        <v>0</v>
      </c>
      <c r="BMD23" s="229">
        <v>0</v>
      </c>
      <c r="BME23" s="229">
        <v>0</v>
      </c>
      <c r="BMF23" s="229">
        <v>0</v>
      </c>
      <c r="BMG23" s="229">
        <v>0</v>
      </c>
      <c r="BMH23" s="229">
        <v>0</v>
      </c>
      <c r="BMI23" s="229">
        <v>0</v>
      </c>
      <c r="BMJ23" s="229">
        <v>0</v>
      </c>
      <c r="BMK23" s="229">
        <v>0</v>
      </c>
      <c r="BML23" s="229">
        <v>0</v>
      </c>
      <c r="BMM23" s="229">
        <v>0</v>
      </c>
      <c r="BMN23" s="229">
        <v>0</v>
      </c>
      <c r="BMO23" s="229">
        <v>0</v>
      </c>
      <c r="BMP23" s="229">
        <v>0</v>
      </c>
      <c r="BMQ23" s="229">
        <v>0</v>
      </c>
      <c r="BMR23" s="229">
        <v>0</v>
      </c>
      <c r="BMS23" s="229">
        <v>0</v>
      </c>
      <c r="BMT23" s="229">
        <v>0</v>
      </c>
      <c r="BMU23" s="229">
        <v>0</v>
      </c>
      <c r="BMV23" s="229">
        <v>0</v>
      </c>
      <c r="BMW23" s="229">
        <v>0</v>
      </c>
      <c r="BMX23" s="229">
        <v>0</v>
      </c>
      <c r="BMY23" s="229">
        <v>0</v>
      </c>
      <c r="BMZ23" s="229">
        <v>0</v>
      </c>
      <c r="BNA23" s="229">
        <v>0</v>
      </c>
      <c r="BNB23" s="229">
        <v>0</v>
      </c>
      <c r="BNC23" s="229">
        <v>0</v>
      </c>
      <c r="BND23" s="229">
        <v>0</v>
      </c>
      <c r="BNE23" s="229">
        <v>0</v>
      </c>
      <c r="BNF23" s="229">
        <v>0</v>
      </c>
      <c r="BNG23" s="229">
        <v>0</v>
      </c>
      <c r="BNH23" s="229">
        <v>0</v>
      </c>
      <c r="BNI23" s="229">
        <v>0</v>
      </c>
      <c r="BNJ23" s="229">
        <v>0</v>
      </c>
      <c r="BNK23" s="229">
        <v>0</v>
      </c>
      <c r="BNL23" s="229">
        <v>0</v>
      </c>
      <c r="BNM23" s="229">
        <v>0</v>
      </c>
      <c r="BNN23" s="229">
        <v>0</v>
      </c>
      <c r="BNO23" s="229">
        <v>0</v>
      </c>
      <c r="BNP23" s="229">
        <v>0</v>
      </c>
      <c r="BNQ23" s="229">
        <v>0</v>
      </c>
      <c r="BNR23" s="229">
        <v>0</v>
      </c>
      <c r="BNS23" s="229">
        <v>0</v>
      </c>
      <c r="BNT23" s="229">
        <v>0</v>
      </c>
      <c r="BNU23" s="229">
        <v>0</v>
      </c>
      <c r="BNV23" s="229">
        <v>0</v>
      </c>
      <c r="BNW23" s="229">
        <v>0</v>
      </c>
      <c r="BNX23" s="229">
        <v>0</v>
      </c>
      <c r="BNY23" s="229">
        <v>0</v>
      </c>
      <c r="BNZ23" s="229">
        <v>0</v>
      </c>
      <c r="BOA23" s="229">
        <v>0</v>
      </c>
      <c r="BOB23" s="229">
        <v>0</v>
      </c>
      <c r="BOC23" s="229">
        <v>0</v>
      </c>
      <c r="BOD23" s="229">
        <v>0</v>
      </c>
      <c r="BOE23" s="229">
        <v>0</v>
      </c>
      <c r="BOF23" s="229">
        <v>0</v>
      </c>
      <c r="BOG23" s="229">
        <v>0</v>
      </c>
      <c r="BOH23" s="229">
        <v>0</v>
      </c>
      <c r="BOI23" s="229">
        <v>0</v>
      </c>
      <c r="BOJ23" s="229">
        <v>0</v>
      </c>
      <c r="BOK23" s="229">
        <v>0</v>
      </c>
      <c r="BOL23" s="229">
        <v>0</v>
      </c>
      <c r="BOM23" s="229">
        <v>0</v>
      </c>
      <c r="BON23" s="229">
        <v>0</v>
      </c>
      <c r="BOO23" s="229">
        <v>0</v>
      </c>
      <c r="BOP23" s="229">
        <v>0</v>
      </c>
      <c r="BOQ23" s="229">
        <v>0</v>
      </c>
      <c r="BOR23" s="229">
        <v>0</v>
      </c>
      <c r="BOS23" s="229">
        <v>0</v>
      </c>
      <c r="BOT23" s="229">
        <v>0</v>
      </c>
      <c r="BOU23" s="229">
        <v>0</v>
      </c>
      <c r="BOV23" s="229">
        <v>0</v>
      </c>
      <c r="BOW23" s="229">
        <v>0</v>
      </c>
      <c r="BOX23" s="229">
        <v>0</v>
      </c>
      <c r="BOY23" s="229">
        <v>0</v>
      </c>
      <c r="BOZ23" s="229">
        <v>0</v>
      </c>
      <c r="BPA23" s="229">
        <v>0</v>
      </c>
      <c r="BPB23" s="229">
        <v>0</v>
      </c>
      <c r="BPC23" s="229">
        <v>0</v>
      </c>
      <c r="BPD23" s="229">
        <v>0</v>
      </c>
      <c r="BPE23" s="229">
        <v>0</v>
      </c>
      <c r="BPF23" s="229">
        <v>0</v>
      </c>
      <c r="BPG23" s="229">
        <v>0</v>
      </c>
      <c r="BPH23" s="229">
        <v>0</v>
      </c>
      <c r="BPI23" s="229">
        <v>0</v>
      </c>
      <c r="BPJ23" s="229">
        <v>0</v>
      </c>
      <c r="BPK23" s="229">
        <v>0</v>
      </c>
      <c r="BPL23" s="229">
        <v>0</v>
      </c>
      <c r="BPM23" s="229">
        <v>0</v>
      </c>
      <c r="BPN23" s="229">
        <v>0</v>
      </c>
      <c r="BPO23" s="229">
        <v>0</v>
      </c>
      <c r="BPP23" s="229">
        <v>0</v>
      </c>
      <c r="BPQ23" s="229">
        <v>0</v>
      </c>
      <c r="BPR23" s="229">
        <v>0</v>
      </c>
      <c r="BPS23" s="229">
        <v>0</v>
      </c>
      <c r="BPT23" s="229">
        <v>0</v>
      </c>
      <c r="BPU23" s="229">
        <v>0</v>
      </c>
      <c r="BPV23" s="229">
        <v>0</v>
      </c>
      <c r="BPW23" s="229">
        <v>0</v>
      </c>
      <c r="BPX23" s="229">
        <v>0</v>
      </c>
      <c r="BPY23" s="229">
        <v>0</v>
      </c>
      <c r="BPZ23" s="229">
        <v>0</v>
      </c>
      <c r="BQA23" s="229">
        <v>0</v>
      </c>
      <c r="BQB23" s="229">
        <v>0</v>
      </c>
      <c r="BQC23" s="229">
        <v>0</v>
      </c>
      <c r="BQD23" s="229">
        <v>0</v>
      </c>
      <c r="BQE23" s="229">
        <v>0</v>
      </c>
      <c r="BQF23" s="229">
        <v>0</v>
      </c>
      <c r="BQG23" s="229">
        <v>0</v>
      </c>
      <c r="BQH23" s="229">
        <v>0</v>
      </c>
      <c r="BQI23" s="229">
        <v>0</v>
      </c>
      <c r="BQJ23" s="229">
        <v>0</v>
      </c>
      <c r="BQK23" s="229">
        <v>0</v>
      </c>
      <c r="BQL23" s="229">
        <v>0</v>
      </c>
      <c r="BQM23" s="229">
        <v>0</v>
      </c>
      <c r="BQN23" s="229">
        <v>0</v>
      </c>
      <c r="BQO23" s="229">
        <v>0</v>
      </c>
      <c r="BQP23" s="229">
        <v>0</v>
      </c>
      <c r="BQQ23" s="229">
        <v>0</v>
      </c>
      <c r="BQR23" s="229">
        <v>0</v>
      </c>
      <c r="BQS23" s="229">
        <v>0</v>
      </c>
      <c r="BQT23" s="229">
        <v>0</v>
      </c>
      <c r="BQU23" s="229">
        <v>0</v>
      </c>
      <c r="BQV23" s="229">
        <v>0</v>
      </c>
      <c r="BQW23" s="229">
        <v>0</v>
      </c>
      <c r="BQX23" s="229">
        <v>0</v>
      </c>
      <c r="BQY23" s="229">
        <v>0</v>
      </c>
      <c r="BQZ23" s="229">
        <v>0</v>
      </c>
      <c r="BRA23" s="229">
        <v>0</v>
      </c>
      <c r="BRB23" s="229">
        <v>0</v>
      </c>
      <c r="BRC23" s="229">
        <v>0</v>
      </c>
      <c r="BRD23" s="229">
        <v>0</v>
      </c>
      <c r="BRE23" s="229">
        <v>0</v>
      </c>
      <c r="BRF23" s="229">
        <v>0</v>
      </c>
      <c r="BRG23" s="229">
        <v>0</v>
      </c>
      <c r="BRH23" s="229">
        <v>0</v>
      </c>
      <c r="BRI23" s="229">
        <v>0</v>
      </c>
      <c r="BRJ23" s="229">
        <v>0</v>
      </c>
      <c r="BRK23" s="229">
        <v>0</v>
      </c>
      <c r="BRL23" s="229">
        <v>0</v>
      </c>
      <c r="BRM23" s="229">
        <v>0</v>
      </c>
      <c r="BRN23" s="229">
        <v>0</v>
      </c>
      <c r="BRO23" s="229">
        <v>0</v>
      </c>
      <c r="BRP23" s="229">
        <v>0</v>
      </c>
      <c r="BRQ23" s="229">
        <v>0</v>
      </c>
      <c r="BRR23" s="229">
        <v>0</v>
      </c>
      <c r="BRS23" s="229">
        <v>0</v>
      </c>
      <c r="BRT23" s="229">
        <v>0</v>
      </c>
      <c r="BRU23" s="229">
        <v>0</v>
      </c>
      <c r="BRV23" s="229">
        <v>0</v>
      </c>
      <c r="BRW23" s="229">
        <v>0</v>
      </c>
      <c r="BRX23" s="229">
        <v>0</v>
      </c>
      <c r="BRY23" s="229">
        <v>0</v>
      </c>
      <c r="BRZ23" s="229">
        <v>0</v>
      </c>
      <c r="BSA23" s="229">
        <v>0</v>
      </c>
      <c r="BSB23" s="229">
        <v>0</v>
      </c>
      <c r="BSC23" s="229">
        <v>0</v>
      </c>
      <c r="BSD23" s="229">
        <v>0</v>
      </c>
      <c r="BSE23" s="229">
        <v>0</v>
      </c>
      <c r="BSF23" s="229">
        <v>0</v>
      </c>
      <c r="BSG23" s="229">
        <v>0</v>
      </c>
      <c r="BSH23" s="229">
        <v>0</v>
      </c>
      <c r="BSI23" s="229">
        <v>0</v>
      </c>
      <c r="BSJ23" s="229">
        <v>0</v>
      </c>
      <c r="BSK23" s="229">
        <v>0</v>
      </c>
      <c r="BSL23" s="229">
        <v>0</v>
      </c>
      <c r="BSM23" s="229">
        <v>0</v>
      </c>
      <c r="BSN23" s="229">
        <v>0</v>
      </c>
      <c r="BSO23" s="229">
        <v>0</v>
      </c>
      <c r="BSP23" s="229">
        <v>0</v>
      </c>
      <c r="BSQ23" s="229">
        <v>0</v>
      </c>
      <c r="BSR23" s="229">
        <v>0</v>
      </c>
      <c r="BSS23" s="229">
        <v>0</v>
      </c>
      <c r="BST23" s="229">
        <v>0</v>
      </c>
      <c r="BSU23" s="229">
        <v>0</v>
      </c>
      <c r="BSV23" s="229">
        <v>0</v>
      </c>
      <c r="BSW23" s="229">
        <v>0</v>
      </c>
      <c r="BSX23" s="229">
        <v>0</v>
      </c>
      <c r="BSY23" s="229">
        <v>0</v>
      </c>
      <c r="BSZ23" s="229">
        <v>0</v>
      </c>
      <c r="BTA23" s="229">
        <v>0</v>
      </c>
      <c r="BTB23" s="229">
        <v>0</v>
      </c>
      <c r="BTC23" s="229">
        <v>0</v>
      </c>
      <c r="BTD23" s="229">
        <v>0</v>
      </c>
      <c r="BTE23" s="229">
        <v>0</v>
      </c>
      <c r="BTF23" s="229">
        <v>0</v>
      </c>
      <c r="BTG23" s="229">
        <v>0</v>
      </c>
      <c r="BTH23" s="229">
        <v>0</v>
      </c>
      <c r="BTI23" s="229">
        <v>0</v>
      </c>
      <c r="BTJ23" s="229">
        <v>0</v>
      </c>
      <c r="BTK23" s="229">
        <v>0</v>
      </c>
      <c r="BTL23" s="229">
        <v>0</v>
      </c>
      <c r="BTM23" s="229">
        <v>0</v>
      </c>
      <c r="BTN23" s="229">
        <v>0</v>
      </c>
      <c r="BTO23" s="229">
        <v>0</v>
      </c>
      <c r="BTP23" s="229">
        <v>0</v>
      </c>
      <c r="BTQ23" s="229">
        <v>0</v>
      </c>
      <c r="BTR23" s="229">
        <v>0</v>
      </c>
      <c r="BTS23" s="229">
        <v>0</v>
      </c>
      <c r="BTT23" s="229">
        <v>0</v>
      </c>
      <c r="BTU23" s="229">
        <v>0</v>
      </c>
      <c r="BTV23" s="229">
        <v>0</v>
      </c>
      <c r="BTW23" s="229">
        <v>0</v>
      </c>
      <c r="BTX23" s="229">
        <v>0</v>
      </c>
      <c r="BTY23" s="229">
        <v>0</v>
      </c>
      <c r="BTZ23" s="229">
        <v>0</v>
      </c>
      <c r="BUA23" s="229">
        <v>0</v>
      </c>
      <c r="BUB23" s="229">
        <v>0</v>
      </c>
      <c r="BUC23" s="229">
        <v>0</v>
      </c>
      <c r="BUD23" s="229">
        <v>0</v>
      </c>
      <c r="BUE23" s="229">
        <v>0</v>
      </c>
      <c r="BUF23" s="229">
        <v>0</v>
      </c>
      <c r="BUG23" s="229">
        <v>0</v>
      </c>
      <c r="BUH23" s="229">
        <v>0</v>
      </c>
      <c r="BUI23" s="229">
        <v>0</v>
      </c>
      <c r="BUJ23" s="229">
        <v>0</v>
      </c>
      <c r="BUK23" s="229">
        <v>0</v>
      </c>
      <c r="BUL23" s="229">
        <v>0</v>
      </c>
      <c r="BUM23" s="229">
        <v>0</v>
      </c>
      <c r="BUN23" s="229">
        <v>0</v>
      </c>
      <c r="BUO23" s="229">
        <v>0</v>
      </c>
      <c r="BUP23" s="229">
        <v>0</v>
      </c>
      <c r="BUQ23" s="229">
        <v>0</v>
      </c>
      <c r="BUR23" s="229">
        <v>0</v>
      </c>
      <c r="BUS23" s="229">
        <v>0</v>
      </c>
      <c r="BUT23" s="229">
        <v>0</v>
      </c>
      <c r="BUU23" s="229">
        <v>0</v>
      </c>
      <c r="BUV23" s="229">
        <v>0</v>
      </c>
      <c r="BUW23" s="229">
        <v>0</v>
      </c>
      <c r="BUX23" s="229">
        <v>0</v>
      </c>
      <c r="BUY23" s="229">
        <v>0</v>
      </c>
      <c r="BUZ23" s="229">
        <v>0</v>
      </c>
      <c r="BVA23" s="229">
        <v>0</v>
      </c>
      <c r="BVB23" s="229">
        <v>0</v>
      </c>
      <c r="BVC23" s="229">
        <v>0</v>
      </c>
      <c r="BVD23" s="229">
        <v>0</v>
      </c>
      <c r="BVE23" s="229">
        <v>0</v>
      </c>
      <c r="BVF23" s="229">
        <v>0</v>
      </c>
      <c r="BVG23" s="229">
        <v>0</v>
      </c>
      <c r="BVH23" s="229">
        <v>0</v>
      </c>
      <c r="BVI23" s="229">
        <v>0</v>
      </c>
      <c r="BVJ23" s="229">
        <v>0</v>
      </c>
      <c r="BVK23" s="229">
        <v>0</v>
      </c>
      <c r="BVL23" s="229">
        <v>0</v>
      </c>
      <c r="BVM23" s="229">
        <v>0</v>
      </c>
      <c r="BVN23" s="229">
        <v>0</v>
      </c>
      <c r="BVO23" s="229">
        <v>0</v>
      </c>
      <c r="BVP23" s="229">
        <v>0</v>
      </c>
      <c r="BVQ23" s="229">
        <v>0</v>
      </c>
      <c r="BVR23" s="229">
        <v>0</v>
      </c>
      <c r="BVS23" s="229">
        <v>0</v>
      </c>
      <c r="BVT23" s="229">
        <v>0</v>
      </c>
      <c r="BVU23" s="229">
        <v>0</v>
      </c>
      <c r="BVV23" s="229">
        <v>0</v>
      </c>
      <c r="BVW23" s="229">
        <v>0</v>
      </c>
      <c r="BVX23" s="229">
        <v>0</v>
      </c>
      <c r="BVY23" s="229">
        <v>0</v>
      </c>
      <c r="BVZ23" s="229">
        <v>0</v>
      </c>
      <c r="BWA23" s="229">
        <v>0</v>
      </c>
      <c r="BWB23" s="229">
        <v>0</v>
      </c>
      <c r="BWC23" s="229">
        <v>0</v>
      </c>
      <c r="BWD23" s="229">
        <v>0</v>
      </c>
      <c r="BWE23" s="229">
        <v>0</v>
      </c>
      <c r="BWF23" s="229">
        <v>0</v>
      </c>
      <c r="BWG23" s="229">
        <v>0</v>
      </c>
      <c r="BWH23" s="229">
        <v>0</v>
      </c>
      <c r="BWI23" s="229">
        <v>0</v>
      </c>
      <c r="BWJ23" s="229">
        <v>0</v>
      </c>
      <c r="BWK23" s="229">
        <v>0</v>
      </c>
      <c r="BWL23" s="229">
        <v>0</v>
      </c>
      <c r="BWM23" s="229">
        <v>0</v>
      </c>
      <c r="BWN23" s="229">
        <v>0</v>
      </c>
      <c r="BWO23" s="229">
        <v>0</v>
      </c>
      <c r="BWP23" s="229">
        <v>0</v>
      </c>
      <c r="BWQ23" s="229">
        <v>0</v>
      </c>
      <c r="BWR23" s="229">
        <v>0</v>
      </c>
      <c r="BWS23" s="229">
        <v>0</v>
      </c>
      <c r="BWT23" s="229">
        <v>0</v>
      </c>
      <c r="BWU23" s="229">
        <v>0</v>
      </c>
      <c r="BWV23" s="229">
        <v>0</v>
      </c>
      <c r="BWW23" s="229">
        <v>0</v>
      </c>
      <c r="BWX23" s="229">
        <v>0</v>
      </c>
      <c r="BWY23" s="229">
        <v>0</v>
      </c>
      <c r="BWZ23" s="229">
        <v>0</v>
      </c>
      <c r="BXA23" s="229">
        <v>0</v>
      </c>
      <c r="BXB23" s="229">
        <v>0</v>
      </c>
      <c r="BXC23" s="229">
        <v>0</v>
      </c>
      <c r="BXD23" s="229">
        <v>0</v>
      </c>
      <c r="BXE23" s="229">
        <v>0</v>
      </c>
      <c r="BXF23" s="229">
        <v>0</v>
      </c>
      <c r="BXG23" s="229">
        <v>0</v>
      </c>
      <c r="BXH23" s="229">
        <v>0</v>
      </c>
      <c r="BXI23" s="229">
        <v>0</v>
      </c>
      <c r="BXJ23" s="229">
        <v>0</v>
      </c>
      <c r="BXK23" s="229">
        <v>0</v>
      </c>
      <c r="BXL23" s="229">
        <v>0</v>
      </c>
      <c r="BXM23" s="229">
        <v>0</v>
      </c>
      <c r="BXN23" s="229">
        <v>0</v>
      </c>
      <c r="BXO23" s="229">
        <v>0</v>
      </c>
      <c r="BXP23" s="229">
        <v>0</v>
      </c>
      <c r="BXQ23" s="229">
        <v>0</v>
      </c>
      <c r="BXR23" s="229">
        <v>0</v>
      </c>
      <c r="BXS23" s="229">
        <v>0</v>
      </c>
      <c r="BXT23" s="229">
        <v>0</v>
      </c>
      <c r="BXU23" s="229">
        <v>0</v>
      </c>
      <c r="BXV23" s="229">
        <v>0</v>
      </c>
      <c r="BXW23" s="229">
        <v>0</v>
      </c>
      <c r="BXX23" s="229">
        <v>0</v>
      </c>
      <c r="BXY23" s="229">
        <v>0</v>
      </c>
      <c r="BXZ23" s="229">
        <v>0</v>
      </c>
      <c r="BYA23" s="229">
        <v>0</v>
      </c>
      <c r="BYB23" s="229">
        <v>0</v>
      </c>
      <c r="BYC23" s="229">
        <v>0</v>
      </c>
      <c r="BYD23" s="229">
        <v>0</v>
      </c>
      <c r="BYE23" s="229">
        <v>0</v>
      </c>
      <c r="BYF23" s="229">
        <v>0</v>
      </c>
      <c r="BYG23" s="229">
        <v>0</v>
      </c>
      <c r="BYH23" s="229">
        <v>0</v>
      </c>
      <c r="BYI23" s="229">
        <v>0</v>
      </c>
      <c r="BYJ23" s="229">
        <v>0</v>
      </c>
      <c r="BYK23" s="229">
        <v>0</v>
      </c>
      <c r="BYL23" s="229">
        <v>0</v>
      </c>
      <c r="BYM23" s="229">
        <v>0</v>
      </c>
      <c r="BYN23" s="229">
        <v>0</v>
      </c>
      <c r="BYO23" s="229">
        <v>0</v>
      </c>
      <c r="BYP23" s="229">
        <v>0</v>
      </c>
      <c r="BYQ23" s="229">
        <v>0</v>
      </c>
      <c r="BYR23" s="229">
        <v>0</v>
      </c>
      <c r="BYS23" s="229">
        <v>0</v>
      </c>
      <c r="BYT23" s="229">
        <v>0</v>
      </c>
      <c r="BYU23" s="229">
        <v>0</v>
      </c>
      <c r="BYV23" s="229">
        <v>0</v>
      </c>
      <c r="BYW23" s="229">
        <v>0</v>
      </c>
      <c r="BYX23" s="229">
        <v>0</v>
      </c>
      <c r="BYY23" s="229">
        <v>0</v>
      </c>
      <c r="BYZ23" s="229">
        <v>0</v>
      </c>
      <c r="BZA23" s="229">
        <v>0</v>
      </c>
      <c r="BZB23" s="229">
        <v>0</v>
      </c>
      <c r="BZC23" s="229">
        <v>0</v>
      </c>
      <c r="BZD23" s="229">
        <v>0</v>
      </c>
      <c r="BZE23" s="229">
        <v>0</v>
      </c>
      <c r="BZF23" s="229">
        <v>0</v>
      </c>
      <c r="BZG23" s="229">
        <v>0</v>
      </c>
      <c r="BZH23" s="229">
        <v>0</v>
      </c>
      <c r="BZI23" s="229">
        <v>0</v>
      </c>
      <c r="BZJ23" s="229">
        <v>0</v>
      </c>
      <c r="BZK23" s="229">
        <v>0</v>
      </c>
      <c r="BZL23" s="229">
        <v>0</v>
      </c>
      <c r="BZM23" s="229">
        <v>0</v>
      </c>
      <c r="BZN23" s="229">
        <v>0</v>
      </c>
      <c r="BZO23" s="229">
        <v>0</v>
      </c>
      <c r="BZP23" s="229">
        <v>0</v>
      </c>
      <c r="BZQ23" s="229">
        <v>0</v>
      </c>
      <c r="BZR23" s="229">
        <v>0</v>
      </c>
      <c r="BZS23" s="229">
        <v>0</v>
      </c>
      <c r="BZT23" s="229">
        <v>0</v>
      </c>
      <c r="BZU23" s="229">
        <v>0</v>
      </c>
      <c r="BZV23" s="229">
        <v>0</v>
      </c>
      <c r="BZW23" s="229">
        <v>0</v>
      </c>
      <c r="BZX23" s="229">
        <v>0</v>
      </c>
      <c r="BZY23" s="229">
        <v>0</v>
      </c>
      <c r="BZZ23" s="229">
        <v>0</v>
      </c>
      <c r="CAA23" s="229">
        <v>0</v>
      </c>
      <c r="CAB23" s="229">
        <v>0</v>
      </c>
      <c r="CAC23" s="229">
        <v>0</v>
      </c>
      <c r="CAD23" s="229">
        <v>0</v>
      </c>
      <c r="CAE23" s="229">
        <v>0</v>
      </c>
      <c r="CAF23" s="229">
        <v>0</v>
      </c>
      <c r="CAG23" s="229">
        <v>0</v>
      </c>
      <c r="CAH23" s="229">
        <v>0</v>
      </c>
      <c r="CAI23" s="229">
        <v>0</v>
      </c>
      <c r="CAJ23" s="229">
        <v>0</v>
      </c>
      <c r="CAK23" s="229">
        <v>0</v>
      </c>
      <c r="CAL23" s="229">
        <v>0</v>
      </c>
      <c r="CAM23" s="229">
        <v>0</v>
      </c>
      <c r="CAN23" s="229">
        <v>0</v>
      </c>
      <c r="CAO23" s="229">
        <v>0</v>
      </c>
      <c r="CAP23" s="229">
        <v>0</v>
      </c>
      <c r="CAQ23" s="229">
        <v>0</v>
      </c>
      <c r="CAR23" s="229">
        <v>0</v>
      </c>
      <c r="CAS23" s="229">
        <v>0</v>
      </c>
      <c r="CAT23" s="229">
        <v>0</v>
      </c>
      <c r="CAU23" s="229">
        <v>0</v>
      </c>
      <c r="CAV23" s="229">
        <v>0</v>
      </c>
      <c r="CAW23" s="229">
        <v>0</v>
      </c>
      <c r="CAX23" s="229">
        <v>0</v>
      </c>
      <c r="CAY23" s="229">
        <v>0</v>
      </c>
      <c r="CAZ23" s="229">
        <v>0</v>
      </c>
      <c r="CBA23" s="229">
        <v>0</v>
      </c>
      <c r="CBB23" s="229">
        <v>0</v>
      </c>
      <c r="CBC23" s="229">
        <v>0</v>
      </c>
      <c r="CBD23" s="229">
        <v>0</v>
      </c>
      <c r="CBE23" s="229">
        <v>0</v>
      </c>
      <c r="CBF23" s="229">
        <v>0</v>
      </c>
      <c r="CBG23" s="229">
        <v>0</v>
      </c>
      <c r="CBH23" s="229">
        <v>0</v>
      </c>
      <c r="CBI23" s="229">
        <v>0</v>
      </c>
      <c r="CBJ23" s="229">
        <v>0</v>
      </c>
      <c r="CBK23" s="229">
        <v>0</v>
      </c>
      <c r="CBL23" s="229">
        <v>0</v>
      </c>
      <c r="CBM23" s="229">
        <v>0</v>
      </c>
      <c r="CBN23" s="229">
        <v>0</v>
      </c>
      <c r="CBO23" s="229">
        <v>0</v>
      </c>
      <c r="CBP23" s="229">
        <v>0</v>
      </c>
      <c r="CBQ23" s="229">
        <v>0</v>
      </c>
      <c r="CBR23" s="229">
        <v>0</v>
      </c>
      <c r="CBS23" s="229">
        <v>0</v>
      </c>
      <c r="CBT23" s="229">
        <v>0</v>
      </c>
      <c r="CBU23" s="229">
        <v>0</v>
      </c>
      <c r="CBV23" s="229">
        <v>0</v>
      </c>
      <c r="CBW23" s="229">
        <v>0</v>
      </c>
      <c r="CBX23" s="229">
        <v>0</v>
      </c>
      <c r="CBY23" s="229">
        <v>0</v>
      </c>
      <c r="CBZ23" s="229">
        <v>0</v>
      </c>
      <c r="CCA23" s="229">
        <v>0</v>
      </c>
      <c r="CCB23" s="229">
        <v>0</v>
      </c>
      <c r="CCC23" s="229">
        <v>0</v>
      </c>
      <c r="CCD23" s="229">
        <v>0</v>
      </c>
      <c r="CCE23" s="229">
        <v>0</v>
      </c>
      <c r="CCF23" s="229">
        <v>0</v>
      </c>
      <c r="CCG23" s="229">
        <v>0</v>
      </c>
      <c r="CCH23" s="229">
        <v>0</v>
      </c>
      <c r="CCI23" s="229">
        <v>0</v>
      </c>
      <c r="CCJ23" s="229">
        <v>0</v>
      </c>
      <c r="CCK23" s="229">
        <v>0</v>
      </c>
      <c r="CCL23" s="229">
        <v>0</v>
      </c>
      <c r="CCM23" s="229">
        <v>0</v>
      </c>
      <c r="CCN23" s="229">
        <v>0</v>
      </c>
      <c r="CCO23" s="229">
        <v>0</v>
      </c>
      <c r="CCP23" s="229">
        <v>0</v>
      </c>
      <c r="CCQ23" s="229">
        <v>0</v>
      </c>
      <c r="CCR23" s="229">
        <v>0</v>
      </c>
      <c r="CCS23" s="229">
        <v>0</v>
      </c>
      <c r="CCT23" s="229">
        <v>0</v>
      </c>
      <c r="CCU23" s="229">
        <v>0</v>
      </c>
      <c r="CCV23" s="229">
        <v>0</v>
      </c>
      <c r="CCW23" s="229">
        <v>0</v>
      </c>
      <c r="CCX23" s="229">
        <v>0</v>
      </c>
      <c r="CCY23" s="229">
        <v>0</v>
      </c>
      <c r="CCZ23" s="229">
        <v>0</v>
      </c>
      <c r="CDA23" s="229">
        <v>0</v>
      </c>
      <c r="CDB23" s="229">
        <v>0</v>
      </c>
      <c r="CDC23" s="229">
        <v>0</v>
      </c>
      <c r="CDD23" s="229">
        <v>0</v>
      </c>
      <c r="CDE23" s="229">
        <v>0</v>
      </c>
      <c r="CDF23" s="229">
        <v>0</v>
      </c>
      <c r="CDG23" s="229">
        <v>0</v>
      </c>
      <c r="CDH23" s="229">
        <v>0</v>
      </c>
      <c r="CDI23" s="229">
        <v>0</v>
      </c>
      <c r="CDJ23" s="229">
        <v>0</v>
      </c>
      <c r="CDK23" s="229">
        <v>0</v>
      </c>
      <c r="CDL23" s="229">
        <v>0</v>
      </c>
      <c r="CDM23" s="229">
        <v>0</v>
      </c>
      <c r="CDN23" s="229">
        <v>0</v>
      </c>
      <c r="CDO23" s="229">
        <v>0</v>
      </c>
      <c r="CDP23" s="229">
        <v>0</v>
      </c>
      <c r="CDQ23" s="229">
        <v>0</v>
      </c>
      <c r="CDR23" s="229">
        <v>0</v>
      </c>
      <c r="CDS23" s="229">
        <v>0</v>
      </c>
      <c r="CDT23" s="229">
        <v>0</v>
      </c>
      <c r="CDU23" s="229">
        <v>0</v>
      </c>
      <c r="CDV23" s="229">
        <v>0</v>
      </c>
      <c r="CDW23" s="229">
        <v>0</v>
      </c>
      <c r="CDX23" s="229">
        <v>0</v>
      </c>
      <c r="CDY23" s="229">
        <v>0</v>
      </c>
      <c r="CDZ23" s="229">
        <v>0</v>
      </c>
      <c r="CEA23" s="229">
        <v>0</v>
      </c>
      <c r="CEB23" s="229">
        <v>0</v>
      </c>
      <c r="CEC23" s="229">
        <v>0</v>
      </c>
      <c r="CED23" s="229">
        <v>0</v>
      </c>
      <c r="CEE23" s="229">
        <v>0</v>
      </c>
      <c r="CEF23" s="229">
        <v>0</v>
      </c>
      <c r="CEG23" s="229">
        <v>0</v>
      </c>
      <c r="CEH23" s="229">
        <v>0</v>
      </c>
      <c r="CEI23" s="229">
        <v>0</v>
      </c>
      <c r="CEJ23" s="229">
        <v>0</v>
      </c>
      <c r="CEK23" s="229">
        <v>0</v>
      </c>
      <c r="CEL23" s="229">
        <v>0</v>
      </c>
      <c r="CEM23" s="229">
        <v>0</v>
      </c>
      <c r="CEN23" s="229">
        <v>0</v>
      </c>
      <c r="CEO23" s="229">
        <v>0</v>
      </c>
      <c r="CEP23" s="229">
        <v>0</v>
      </c>
      <c r="CEQ23" s="229">
        <v>0</v>
      </c>
      <c r="CER23" s="229">
        <v>0</v>
      </c>
      <c r="CES23" s="229">
        <v>0</v>
      </c>
      <c r="CET23" s="229">
        <v>0</v>
      </c>
      <c r="CEU23" s="229">
        <v>0</v>
      </c>
      <c r="CEV23" s="229">
        <v>0</v>
      </c>
      <c r="CEW23" s="229">
        <v>0</v>
      </c>
      <c r="CEX23" s="229">
        <v>0</v>
      </c>
      <c r="CEY23" s="229">
        <v>0</v>
      </c>
      <c r="CEZ23" s="229">
        <v>0</v>
      </c>
      <c r="CFA23" s="229">
        <v>0</v>
      </c>
      <c r="CFB23" s="229">
        <v>0</v>
      </c>
      <c r="CFC23" s="229">
        <v>0</v>
      </c>
      <c r="CFD23" s="229">
        <v>0</v>
      </c>
      <c r="CFE23" s="229">
        <v>0</v>
      </c>
      <c r="CFF23" s="229">
        <v>0</v>
      </c>
      <c r="CFG23" s="229">
        <v>0</v>
      </c>
      <c r="CFH23" s="229">
        <v>0</v>
      </c>
      <c r="CFI23" s="229">
        <v>0</v>
      </c>
      <c r="CFJ23" s="229">
        <v>0</v>
      </c>
      <c r="CFK23" s="229">
        <v>0</v>
      </c>
      <c r="CFL23" s="229">
        <v>0</v>
      </c>
      <c r="CFM23" s="229">
        <v>0</v>
      </c>
      <c r="CFN23" s="229">
        <v>0</v>
      </c>
      <c r="CFO23" s="229">
        <v>0</v>
      </c>
      <c r="CFP23" s="229">
        <v>0</v>
      </c>
      <c r="CFQ23" s="229">
        <v>0</v>
      </c>
      <c r="CFR23" s="229">
        <v>0</v>
      </c>
      <c r="CFS23" s="229">
        <v>0</v>
      </c>
      <c r="CFT23" s="229">
        <v>0</v>
      </c>
      <c r="CFU23" s="229">
        <v>0</v>
      </c>
      <c r="CFV23" s="229">
        <v>0</v>
      </c>
      <c r="CFW23" s="229">
        <v>0</v>
      </c>
      <c r="CFX23" s="229">
        <v>0</v>
      </c>
      <c r="CFY23" s="229">
        <v>0</v>
      </c>
      <c r="CFZ23" s="229">
        <v>0</v>
      </c>
      <c r="CGA23" s="229">
        <v>0</v>
      </c>
      <c r="CGB23" s="229">
        <v>0</v>
      </c>
      <c r="CGC23" s="229">
        <v>0</v>
      </c>
      <c r="CGD23" s="229">
        <v>0</v>
      </c>
      <c r="CGE23" s="229">
        <v>0</v>
      </c>
      <c r="CGF23" s="229">
        <v>0</v>
      </c>
      <c r="CGG23" s="229">
        <v>0</v>
      </c>
      <c r="CGH23" s="229">
        <v>0</v>
      </c>
      <c r="CGI23" s="229">
        <v>0</v>
      </c>
      <c r="CGJ23" s="229">
        <v>0</v>
      </c>
      <c r="CGK23" s="229">
        <v>0</v>
      </c>
      <c r="CGL23" s="229">
        <v>0</v>
      </c>
      <c r="CGM23" s="229">
        <v>0</v>
      </c>
      <c r="CGN23" s="229">
        <v>0</v>
      </c>
      <c r="CGO23" s="229">
        <v>0</v>
      </c>
      <c r="CGP23" s="229">
        <v>0</v>
      </c>
      <c r="CGQ23" s="229">
        <v>0</v>
      </c>
      <c r="CGR23" s="229">
        <v>0</v>
      </c>
      <c r="CGS23" s="229">
        <v>0</v>
      </c>
      <c r="CGT23" s="229">
        <v>0</v>
      </c>
      <c r="CGU23" s="229">
        <v>0</v>
      </c>
      <c r="CGV23" s="229">
        <v>0</v>
      </c>
      <c r="CGW23" s="229">
        <v>0</v>
      </c>
      <c r="CGX23" s="229">
        <v>0</v>
      </c>
      <c r="CGY23" s="229">
        <v>0</v>
      </c>
      <c r="CGZ23" s="229">
        <v>0</v>
      </c>
      <c r="CHA23" s="229">
        <v>0</v>
      </c>
      <c r="CHB23" s="229">
        <v>0</v>
      </c>
      <c r="CHC23" s="229">
        <v>0</v>
      </c>
      <c r="CHD23" s="229">
        <v>0</v>
      </c>
      <c r="CHE23" s="229">
        <v>0</v>
      </c>
      <c r="CHF23" s="229">
        <v>0</v>
      </c>
      <c r="CHG23" s="229">
        <v>0</v>
      </c>
      <c r="CHH23" s="229">
        <v>0</v>
      </c>
      <c r="CHI23" s="229">
        <v>0</v>
      </c>
      <c r="CHJ23" s="229">
        <v>0</v>
      </c>
      <c r="CHK23" s="229">
        <v>0</v>
      </c>
      <c r="CHL23" s="229">
        <v>0</v>
      </c>
      <c r="CHM23" s="229">
        <v>0</v>
      </c>
      <c r="CHN23" s="229">
        <v>0</v>
      </c>
      <c r="CHO23" s="229">
        <v>0</v>
      </c>
      <c r="CHP23" s="229">
        <v>0</v>
      </c>
      <c r="CHQ23" s="229">
        <v>0</v>
      </c>
      <c r="CHR23" s="229">
        <v>0</v>
      </c>
      <c r="CHS23" s="229">
        <v>0</v>
      </c>
      <c r="CHT23" s="229">
        <v>0</v>
      </c>
      <c r="CHU23" s="229">
        <v>0</v>
      </c>
      <c r="CHV23" s="229">
        <v>0</v>
      </c>
      <c r="CHW23" s="229">
        <v>0</v>
      </c>
      <c r="CHX23" s="229">
        <v>0</v>
      </c>
      <c r="CHY23" s="229">
        <v>0</v>
      </c>
      <c r="CHZ23" s="229">
        <v>0</v>
      </c>
      <c r="CIA23" s="229">
        <v>0</v>
      </c>
      <c r="CIB23" s="229">
        <v>0</v>
      </c>
      <c r="CIC23" s="229">
        <v>0</v>
      </c>
      <c r="CID23" s="229">
        <v>0</v>
      </c>
      <c r="CIE23" s="229">
        <v>0</v>
      </c>
      <c r="CIF23" s="229">
        <v>0</v>
      </c>
      <c r="CIG23" s="229">
        <v>0</v>
      </c>
      <c r="CIH23" s="229">
        <v>0</v>
      </c>
      <c r="CII23" s="229">
        <v>0</v>
      </c>
      <c r="CIJ23" s="229">
        <v>0</v>
      </c>
      <c r="CIK23" s="229">
        <v>0</v>
      </c>
      <c r="CIL23" s="229">
        <v>0</v>
      </c>
      <c r="CIM23" s="229">
        <v>0</v>
      </c>
      <c r="CIN23" s="229">
        <v>0</v>
      </c>
      <c r="CIO23" s="229">
        <v>0</v>
      </c>
      <c r="CIP23" s="229">
        <v>0</v>
      </c>
      <c r="CIQ23" s="229">
        <v>0</v>
      </c>
      <c r="CIR23" s="229">
        <v>0</v>
      </c>
      <c r="CIS23" s="229">
        <v>0</v>
      </c>
      <c r="CIT23" s="229">
        <v>0</v>
      </c>
      <c r="CIU23" s="229">
        <v>0</v>
      </c>
      <c r="CIV23" s="229">
        <v>0</v>
      </c>
      <c r="CIW23" s="229">
        <v>0</v>
      </c>
      <c r="CIX23" s="229">
        <v>0</v>
      </c>
      <c r="CIY23" s="229">
        <v>0</v>
      </c>
      <c r="CIZ23" s="229">
        <v>0</v>
      </c>
      <c r="CJA23" s="229">
        <v>0</v>
      </c>
      <c r="CJB23" s="229">
        <v>0</v>
      </c>
      <c r="CJC23" s="229">
        <v>0</v>
      </c>
      <c r="CJD23" s="229">
        <v>0</v>
      </c>
      <c r="CJE23" s="229">
        <v>0</v>
      </c>
      <c r="CJF23" s="229">
        <v>0</v>
      </c>
      <c r="CJG23" s="229">
        <v>0</v>
      </c>
      <c r="CJH23" s="229">
        <v>0</v>
      </c>
      <c r="CJI23" s="229">
        <v>0</v>
      </c>
      <c r="CJJ23" s="229">
        <v>0</v>
      </c>
      <c r="CJK23" s="229">
        <v>0</v>
      </c>
      <c r="CJL23" s="229">
        <v>0</v>
      </c>
      <c r="CJM23" s="229">
        <v>0</v>
      </c>
      <c r="CJN23" s="229">
        <v>0</v>
      </c>
      <c r="CJO23" s="229">
        <v>0</v>
      </c>
      <c r="CJP23" s="229">
        <v>0</v>
      </c>
      <c r="CJQ23" s="229">
        <v>0</v>
      </c>
      <c r="CJR23" s="229">
        <v>0</v>
      </c>
      <c r="CJS23" s="229">
        <v>0</v>
      </c>
      <c r="CJT23" s="229">
        <v>0</v>
      </c>
      <c r="CJU23" s="229">
        <v>0</v>
      </c>
      <c r="CJV23" s="229">
        <v>0</v>
      </c>
      <c r="CJW23" s="229">
        <v>0</v>
      </c>
      <c r="CJX23" s="229">
        <v>0</v>
      </c>
      <c r="CJY23" s="229">
        <v>0</v>
      </c>
      <c r="CJZ23" s="229">
        <v>0</v>
      </c>
      <c r="CKA23" s="229">
        <v>0</v>
      </c>
      <c r="CKB23" s="229">
        <v>0</v>
      </c>
      <c r="CKC23" s="229">
        <v>0</v>
      </c>
      <c r="CKD23" s="229">
        <v>0</v>
      </c>
      <c r="CKE23" s="229">
        <v>0</v>
      </c>
      <c r="CKF23" s="229">
        <v>0</v>
      </c>
      <c r="CKG23" s="229">
        <v>0</v>
      </c>
      <c r="CKH23" s="229">
        <v>0</v>
      </c>
      <c r="CKI23" s="229">
        <v>0</v>
      </c>
      <c r="CKJ23" s="229">
        <v>0</v>
      </c>
      <c r="CKK23" s="229">
        <v>0</v>
      </c>
      <c r="CKL23" s="229">
        <v>0</v>
      </c>
      <c r="CKM23" s="229">
        <v>0</v>
      </c>
      <c r="CKN23" s="229">
        <v>0</v>
      </c>
      <c r="CKO23" s="229">
        <v>0</v>
      </c>
      <c r="CKP23" s="229">
        <v>0</v>
      </c>
      <c r="CKQ23" s="229">
        <v>0</v>
      </c>
      <c r="CKR23" s="229">
        <v>0</v>
      </c>
      <c r="CKS23" s="229">
        <v>0</v>
      </c>
      <c r="CKT23" s="229">
        <v>0</v>
      </c>
      <c r="CKU23" s="229">
        <v>0</v>
      </c>
      <c r="CKV23" s="229">
        <v>0</v>
      </c>
      <c r="CKW23" s="229">
        <v>0</v>
      </c>
      <c r="CKX23" s="229">
        <v>0</v>
      </c>
      <c r="CKY23" s="229">
        <v>0</v>
      </c>
      <c r="CKZ23" s="229">
        <v>0</v>
      </c>
      <c r="CLA23" s="229">
        <v>0</v>
      </c>
      <c r="CLB23" s="229">
        <v>0</v>
      </c>
      <c r="CLC23" s="229">
        <v>0</v>
      </c>
      <c r="CLD23" s="229">
        <v>0</v>
      </c>
      <c r="CLE23" s="229">
        <v>0</v>
      </c>
      <c r="CLF23" s="229">
        <v>0</v>
      </c>
      <c r="CLG23" s="229">
        <v>0</v>
      </c>
      <c r="CLH23" s="229">
        <v>0</v>
      </c>
      <c r="CLI23" s="229">
        <v>0</v>
      </c>
      <c r="CLJ23" s="229">
        <v>0</v>
      </c>
      <c r="CLK23" s="229">
        <v>0</v>
      </c>
      <c r="CLL23" s="229">
        <v>0</v>
      </c>
      <c r="CLM23" s="229">
        <v>0</v>
      </c>
      <c r="CLN23" s="229">
        <v>0</v>
      </c>
      <c r="CLO23" s="229">
        <v>0</v>
      </c>
      <c r="CLP23" s="229">
        <v>0</v>
      </c>
      <c r="CLQ23" s="229">
        <v>0</v>
      </c>
      <c r="CLR23" s="229">
        <v>0</v>
      </c>
      <c r="CLS23" s="229">
        <v>0</v>
      </c>
      <c r="CLT23" s="229">
        <v>0</v>
      </c>
      <c r="CLU23" s="229">
        <v>0</v>
      </c>
      <c r="CLV23" s="229">
        <v>0</v>
      </c>
      <c r="CLW23" s="229">
        <v>0</v>
      </c>
      <c r="CLX23" s="229">
        <v>0</v>
      </c>
      <c r="CLY23" s="229">
        <v>0</v>
      </c>
      <c r="CLZ23" s="229">
        <v>0</v>
      </c>
      <c r="CMA23" s="229">
        <v>0</v>
      </c>
      <c r="CMB23" s="229">
        <v>0</v>
      </c>
      <c r="CMC23" s="229">
        <v>0</v>
      </c>
      <c r="CMD23" s="229">
        <v>0</v>
      </c>
      <c r="CME23" s="229">
        <v>0</v>
      </c>
      <c r="CMF23" s="229">
        <v>0</v>
      </c>
      <c r="CMG23" s="229">
        <v>0</v>
      </c>
      <c r="CMH23" s="229">
        <v>0</v>
      </c>
      <c r="CMI23" s="229">
        <v>0</v>
      </c>
      <c r="CMJ23" s="229">
        <v>0</v>
      </c>
      <c r="CMK23" s="229">
        <v>0</v>
      </c>
      <c r="CML23" s="229">
        <v>0</v>
      </c>
      <c r="CMM23" s="229">
        <v>0</v>
      </c>
      <c r="CMN23" s="229">
        <v>0</v>
      </c>
      <c r="CMO23" s="229">
        <v>0</v>
      </c>
      <c r="CMP23" s="229">
        <v>0</v>
      </c>
      <c r="CMQ23" s="229">
        <v>0</v>
      </c>
      <c r="CMR23" s="229">
        <v>0</v>
      </c>
      <c r="CMS23" s="229">
        <v>0</v>
      </c>
      <c r="CMT23" s="229">
        <v>0</v>
      </c>
      <c r="CMU23" s="229">
        <v>0</v>
      </c>
      <c r="CMV23" s="229">
        <v>0</v>
      </c>
      <c r="CMW23" s="229">
        <v>0</v>
      </c>
      <c r="CMX23" s="229">
        <v>0</v>
      </c>
      <c r="CMY23" s="229">
        <v>0</v>
      </c>
      <c r="CMZ23" s="229">
        <v>0</v>
      </c>
      <c r="CNA23" s="229">
        <v>0</v>
      </c>
      <c r="CNB23" s="229">
        <v>0</v>
      </c>
      <c r="CNC23" s="229">
        <v>0</v>
      </c>
      <c r="CND23" s="229">
        <v>0</v>
      </c>
      <c r="CNE23" s="229">
        <v>0</v>
      </c>
      <c r="CNF23" s="229">
        <v>0</v>
      </c>
      <c r="CNG23" s="229">
        <v>0</v>
      </c>
      <c r="CNH23" s="229">
        <v>0</v>
      </c>
      <c r="CNI23" s="229">
        <v>0</v>
      </c>
      <c r="CNJ23" s="229">
        <v>0</v>
      </c>
      <c r="CNK23" s="229">
        <v>0</v>
      </c>
      <c r="CNL23" s="229">
        <v>0</v>
      </c>
      <c r="CNM23" s="229">
        <v>0</v>
      </c>
      <c r="CNN23" s="229">
        <v>0</v>
      </c>
      <c r="CNO23" s="229">
        <v>0</v>
      </c>
      <c r="CNP23" s="229">
        <v>0</v>
      </c>
      <c r="CNQ23" s="229">
        <v>0</v>
      </c>
      <c r="CNR23" s="229">
        <v>0</v>
      </c>
      <c r="CNS23" s="229">
        <v>0</v>
      </c>
      <c r="CNT23" s="229">
        <v>0</v>
      </c>
      <c r="CNU23" s="229">
        <v>0</v>
      </c>
      <c r="CNV23" s="229">
        <v>0</v>
      </c>
      <c r="CNW23" s="229">
        <v>0</v>
      </c>
      <c r="CNX23" s="229">
        <v>0</v>
      </c>
      <c r="CNY23" s="229">
        <v>0</v>
      </c>
      <c r="CNZ23" s="229">
        <v>0</v>
      </c>
      <c r="COA23" s="229">
        <v>0</v>
      </c>
      <c r="COB23" s="229">
        <v>0</v>
      </c>
      <c r="COC23" s="229">
        <v>0</v>
      </c>
      <c r="COD23" s="229">
        <v>0</v>
      </c>
      <c r="COE23" s="229">
        <v>0</v>
      </c>
      <c r="COF23" s="229">
        <v>0</v>
      </c>
      <c r="COG23" s="229">
        <v>0</v>
      </c>
      <c r="COH23" s="229">
        <v>0</v>
      </c>
      <c r="COI23" s="229">
        <v>0</v>
      </c>
      <c r="COJ23" s="229">
        <v>0</v>
      </c>
      <c r="COK23" s="229">
        <v>0</v>
      </c>
      <c r="COL23" s="229">
        <v>0</v>
      </c>
      <c r="COM23" s="229">
        <v>0</v>
      </c>
      <c r="CON23" s="229">
        <v>0</v>
      </c>
      <c r="COO23" s="229">
        <v>0</v>
      </c>
      <c r="COP23" s="229">
        <v>0</v>
      </c>
      <c r="COQ23" s="229">
        <v>0</v>
      </c>
      <c r="COR23" s="229">
        <v>0</v>
      </c>
      <c r="COS23" s="229">
        <v>0</v>
      </c>
      <c r="COT23" s="229">
        <v>0</v>
      </c>
      <c r="COU23" s="229">
        <v>0</v>
      </c>
      <c r="COV23" s="229">
        <v>0</v>
      </c>
      <c r="COW23" s="229">
        <v>0</v>
      </c>
      <c r="COX23" s="229">
        <v>0</v>
      </c>
      <c r="COY23" s="229">
        <v>0</v>
      </c>
      <c r="COZ23" s="229">
        <v>0</v>
      </c>
      <c r="CPA23" s="229">
        <v>0</v>
      </c>
      <c r="CPB23" s="229">
        <v>0</v>
      </c>
      <c r="CPC23" s="229">
        <v>0</v>
      </c>
      <c r="CPD23" s="229">
        <v>0</v>
      </c>
      <c r="CPE23" s="229">
        <v>0</v>
      </c>
      <c r="CPF23" s="229">
        <v>0</v>
      </c>
      <c r="CPG23" s="229">
        <v>0</v>
      </c>
      <c r="CPH23" s="229">
        <v>0</v>
      </c>
      <c r="CPI23" s="229">
        <v>0</v>
      </c>
      <c r="CPJ23" s="229">
        <v>0</v>
      </c>
      <c r="CPK23" s="229">
        <v>0</v>
      </c>
      <c r="CPL23" s="229">
        <v>0</v>
      </c>
      <c r="CPM23" s="229">
        <v>0</v>
      </c>
      <c r="CPN23" s="229">
        <v>0</v>
      </c>
      <c r="CPO23" s="229">
        <v>0</v>
      </c>
      <c r="CPP23" s="229">
        <v>0</v>
      </c>
      <c r="CPQ23" s="229">
        <v>0</v>
      </c>
      <c r="CPR23" s="229">
        <v>0</v>
      </c>
      <c r="CPS23" s="229">
        <v>0</v>
      </c>
      <c r="CPT23" s="229">
        <v>0</v>
      </c>
      <c r="CPU23" s="229">
        <v>0</v>
      </c>
      <c r="CPV23" s="229">
        <v>0</v>
      </c>
      <c r="CPW23" s="229">
        <v>0</v>
      </c>
      <c r="CPX23" s="229">
        <v>0</v>
      </c>
      <c r="CPY23" s="229">
        <v>0</v>
      </c>
      <c r="CPZ23" s="229">
        <v>0</v>
      </c>
      <c r="CQA23" s="229">
        <v>0</v>
      </c>
      <c r="CQB23" s="229">
        <v>0</v>
      </c>
      <c r="CQC23" s="229">
        <v>0</v>
      </c>
      <c r="CQD23" s="229">
        <v>0</v>
      </c>
      <c r="CQE23" s="229">
        <v>0</v>
      </c>
      <c r="CQF23" s="229">
        <v>0</v>
      </c>
      <c r="CQG23" s="229">
        <v>0</v>
      </c>
      <c r="CQH23" s="229">
        <v>0</v>
      </c>
      <c r="CQI23" s="229">
        <v>0</v>
      </c>
      <c r="CQJ23" s="229">
        <v>0</v>
      </c>
      <c r="CQK23" s="229">
        <v>0</v>
      </c>
      <c r="CQL23" s="229">
        <v>0</v>
      </c>
      <c r="CQM23" s="229">
        <v>0</v>
      </c>
      <c r="CQN23" s="229">
        <v>0</v>
      </c>
      <c r="CQO23" s="229">
        <v>0</v>
      </c>
      <c r="CQP23" s="229">
        <v>0</v>
      </c>
      <c r="CQQ23" s="229">
        <v>0</v>
      </c>
      <c r="CQR23" s="229">
        <v>0</v>
      </c>
      <c r="CQS23" s="229">
        <v>0</v>
      </c>
      <c r="CQT23" s="229">
        <v>0</v>
      </c>
      <c r="CQU23" s="229">
        <v>0</v>
      </c>
      <c r="CQV23" s="229">
        <v>0</v>
      </c>
      <c r="CQW23" s="229">
        <v>0</v>
      </c>
      <c r="CQX23" s="229">
        <v>0</v>
      </c>
      <c r="CQY23" s="229">
        <v>0</v>
      </c>
      <c r="CQZ23" s="229">
        <v>0</v>
      </c>
      <c r="CRA23" s="229">
        <v>0</v>
      </c>
      <c r="CRB23" s="229">
        <v>0</v>
      </c>
      <c r="CRC23" s="229">
        <v>0</v>
      </c>
      <c r="CRD23" s="229">
        <v>0</v>
      </c>
      <c r="CRE23" s="229">
        <v>0</v>
      </c>
      <c r="CRF23" s="229">
        <v>0</v>
      </c>
      <c r="CRG23" s="229">
        <v>0</v>
      </c>
      <c r="CRH23" s="229">
        <v>0</v>
      </c>
      <c r="CRI23" s="229">
        <v>0</v>
      </c>
      <c r="CRJ23" s="229">
        <v>0</v>
      </c>
      <c r="CRK23" s="229">
        <v>0</v>
      </c>
      <c r="CRL23" s="229">
        <v>0</v>
      </c>
      <c r="CRM23" s="229">
        <v>0</v>
      </c>
      <c r="CRN23" s="229">
        <v>0</v>
      </c>
      <c r="CRO23" s="229">
        <v>0</v>
      </c>
      <c r="CRP23" s="229">
        <v>0</v>
      </c>
      <c r="CRQ23" s="229">
        <v>0</v>
      </c>
      <c r="CRR23" s="229">
        <v>0</v>
      </c>
      <c r="CRS23" s="229">
        <v>0</v>
      </c>
      <c r="CRT23" s="229">
        <v>0</v>
      </c>
      <c r="CRU23" s="229">
        <v>0</v>
      </c>
      <c r="CRV23" s="229">
        <v>0</v>
      </c>
      <c r="CRW23" s="229">
        <v>0</v>
      </c>
      <c r="CRX23" s="229">
        <v>0</v>
      </c>
      <c r="CRY23" s="229">
        <v>0</v>
      </c>
      <c r="CRZ23" s="229">
        <v>0</v>
      </c>
      <c r="CSA23" s="229">
        <v>0</v>
      </c>
      <c r="CSB23" s="229">
        <v>0</v>
      </c>
      <c r="CSC23" s="229">
        <v>0</v>
      </c>
      <c r="CSD23" s="229">
        <v>0</v>
      </c>
      <c r="CSE23" s="229">
        <v>0</v>
      </c>
      <c r="CSF23" s="229">
        <v>0</v>
      </c>
      <c r="CSG23" s="229">
        <v>0</v>
      </c>
      <c r="CSH23" s="229">
        <v>0</v>
      </c>
      <c r="CSI23" s="229">
        <v>0</v>
      </c>
      <c r="CSJ23" s="229">
        <v>0</v>
      </c>
      <c r="CSK23" s="229">
        <v>0</v>
      </c>
      <c r="CSL23" s="229">
        <v>0</v>
      </c>
      <c r="CSM23" s="229">
        <v>0</v>
      </c>
      <c r="CSN23" s="229">
        <v>0</v>
      </c>
      <c r="CSO23" s="229">
        <v>0</v>
      </c>
      <c r="CSP23" s="229">
        <v>0</v>
      </c>
      <c r="CSQ23" s="229">
        <v>0</v>
      </c>
      <c r="CSR23" s="229">
        <v>0</v>
      </c>
      <c r="CSS23" s="229">
        <v>0</v>
      </c>
      <c r="CST23" s="229">
        <v>0</v>
      </c>
      <c r="CSU23" s="229">
        <v>0</v>
      </c>
      <c r="CSV23" s="229">
        <v>0</v>
      </c>
      <c r="CSW23" s="229">
        <v>0</v>
      </c>
      <c r="CSX23" s="229">
        <v>0</v>
      </c>
      <c r="CSY23" s="229">
        <v>0</v>
      </c>
      <c r="CSZ23" s="229">
        <v>0</v>
      </c>
      <c r="CTA23" s="229">
        <v>0</v>
      </c>
      <c r="CTB23" s="229">
        <v>0</v>
      </c>
      <c r="CTC23" s="229">
        <v>0</v>
      </c>
      <c r="CTD23" s="229">
        <v>0</v>
      </c>
      <c r="CTE23" s="229">
        <v>0</v>
      </c>
      <c r="CTF23" s="229">
        <v>0</v>
      </c>
      <c r="CTG23" s="229">
        <v>0</v>
      </c>
      <c r="CTH23" s="229">
        <v>0</v>
      </c>
      <c r="CTI23" s="229">
        <v>0</v>
      </c>
      <c r="CTJ23" s="229">
        <v>0</v>
      </c>
      <c r="CTK23" s="229">
        <v>0</v>
      </c>
      <c r="CTL23" s="229">
        <v>0</v>
      </c>
      <c r="CTM23" s="229">
        <v>0</v>
      </c>
      <c r="CTN23" s="229">
        <v>0</v>
      </c>
      <c r="CTO23" s="229">
        <v>0</v>
      </c>
      <c r="CTP23" s="229">
        <v>0</v>
      </c>
      <c r="CTQ23" s="229">
        <v>0</v>
      </c>
      <c r="CTR23" s="229">
        <v>0</v>
      </c>
      <c r="CTS23" s="229">
        <v>0</v>
      </c>
      <c r="CTT23" s="229">
        <v>0</v>
      </c>
      <c r="CTU23" s="229">
        <v>0</v>
      </c>
      <c r="CTV23" s="229">
        <v>0</v>
      </c>
      <c r="CTW23" s="229">
        <v>0</v>
      </c>
      <c r="CTX23" s="229">
        <v>0</v>
      </c>
      <c r="CTY23" s="229">
        <v>0</v>
      </c>
      <c r="CTZ23" s="229">
        <v>0</v>
      </c>
      <c r="CUA23" s="229">
        <v>0</v>
      </c>
      <c r="CUB23" s="229">
        <v>0</v>
      </c>
      <c r="CUC23" s="229">
        <v>0</v>
      </c>
      <c r="CUD23" s="229">
        <v>0</v>
      </c>
      <c r="CUE23" s="229">
        <v>0</v>
      </c>
      <c r="CUF23" s="229">
        <v>0</v>
      </c>
      <c r="CUG23" s="229">
        <v>0</v>
      </c>
      <c r="CUH23" s="229">
        <v>0</v>
      </c>
      <c r="CUI23" s="229">
        <v>0</v>
      </c>
      <c r="CUJ23" s="229">
        <v>0</v>
      </c>
      <c r="CUK23" s="229">
        <v>0</v>
      </c>
      <c r="CUL23" s="229">
        <v>0</v>
      </c>
      <c r="CUM23" s="229">
        <v>0</v>
      </c>
      <c r="CUN23" s="229">
        <v>0</v>
      </c>
      <c r="CUO23" s="229">
        <v>0</v>
      </c>
      <c r="CUP23" s="229">
        <v>0</v>
      </c>
      <c r="CUQ23" s="229">
        <v>0</v>
      </c>
      <c r="CUR23" s="229">
        <v>0</v>
      </c>
      <c r="CUS23" s="229">
        <v>0</v>
      </c>
      <c r="CUT23" s="229">
        <v>0</v>
      </c>
      <c r="CUU23" s="229">
        <v>0</v>
      </c>
      <c r="CUV23" s="229">
        <v>0</v>
      </c>
      <c r="CUW23" s="229">
        <v>0</v>
      </c>
      <c r="CUX23" s="229">
        <v>0</v>
      </c>
      <c r="CUY23" s="229">
        <v>0</v>
      </c>
      <c r="CUZ23" s="229">
        <v>0</v>
      </c>
      <c r="CVA23" s="229">
        <v>0</v>
      </c>
      <c r="CVB23" s="229">
        <v>0</v>
      </c>
      <c r="CVC23" s="229">
        <v>0</v>
      </c>
      <c r="CVD23" s="229">
        <v>0</v>
      </c>
      <c r="CVE23" s="229">
        <v>0</v>
      </c>
      <c r="CVF23" s="229">
        <v>0</v>
      </c>
      <c r="CVG23" s="229">
        <v>0</v>
      </c>
      <c r="CVH23" s="229">
        <v>0</v>
      </c>
      <c r="CVI23" s="229">
        <v>0</v>
      </c>
      <c r="CVJ23" s="229">
        <v>0</v>
      </c>
      <c r="CVK23" s="229">
        <v>0</v>
      </c>
      <c r="CVL23" s="229">
        <v>0</v>
      </c>
      <c r="CVM23" s="229">
        <v>0</v>
      </c>
      <c r="CVN23" s="229">
        <v>0</v>
      </c>
      <c r="CVO23" s="229">
        <v>0</v>
      </c>
      <c r="CVP23" s="229">
        <v>0</v>
      </c>
      <c r="CVQ23" s="229">
        <v>0</v>
      </c>
      <c r="CVR23" s="229">
        <v>0</v>
      </c>
      <c r="CVS23" s="229">
        <v>0</v>
      </c>
      <c r="CVT23" s="229">
        <v>0</v>
      </c>
      <c r="CVU23" s="229">
        <v>0</v>
      </c>
      <c r="CVV23" s="229">
        <v>0</v>
      </c>
      <c r="CVW23" s="229">
        <v>0</v>
      </c>
      <c r="CVX23" s="229">
        <v>0</v>
      </c>
      <c r="CVY23" s="229">
        <v>0</v>
      </c>
      <c r="CVZ23" s="229">
        <v>0</v>
      </c>
      <c r="CWA23" s="229">
        <v>0</v>
      </c>
      <c r="CWB23" s="229">
        <v>0</v>
      </c>
      <c r="CWC23" s="229">
        <v>0</v>
      </c>
      <c r="CWD23" s="229">
        <v>0</v>
      </c>
      <c r="CWE23" s="229">
        <v>0</v>
      </c>
      <c r="CWF23" s="229">
        <v>0</v>
      </c>
      <c r="CWG23" s="229">
        <v>0</v>
      </c>
      <c r="CWH23" s="229">
        <v>0</v>
      </c>
      <c r="CWI23" s="229">
        <v>0</v>
      </c>
      <c r="CWJ23" s="229">
        <v>0</v>
      </c>
      <c r="CWK23" s="229">
        <v>0</v>
      </c>
      <c r="CWL23" s="229">
        <v>0</v>
      </c>
      <c r="CWM23" s="229">
        <v>0</v>
      </c>
      <c r="CWN23" s="229">
        <v>0</v>
      </c>
      <c r="CWO23" s="229">
        <v>0</v>
      </c>
      <c r="CWP23" s="229">
        <v>0</v>
      </c>
      <c r="CWQ23" s="229">
        <v>0</v>
      </c>
      <c r="CWR23" s="229">
        <v>0</v>
      </c>
      <c r="CWS23" s="229">
        <v>0</v>
      </c>
      <c r="CWT23" s="229">
        <v>0</v>
      </c>
      <c r="CWU23" s="229">
        <v>0</v>
      </c>
      <c r="CWV23" s="229">
        <v>0</v>
      </c>
      <c r="CWW23" s="229">
        <v>0</v>
      </c>
      <c r="CWX23" s="229">
        <v>0</v>
      </c>
      <c r="CWY23" s="229">
        <v>0</v>
      </c>
      <c r="CWZ23" s="229">
        <v>0</v>
      </c>
      <c r="CXA23" s="229">
        <v>0</v>
      </c>
      <c r="CXB23" s="229">
        <v>0</v>
      </c>
      <c r="CXC23" s="229">
        <v>0</v>
      </c>
      <c r="CXD23" s="229">
        <v>0</v>
      </c>
      <c r="CXE23" s="229">
        <v>0</v>
      </c>
      <c r="CXF23" s="229">
        <v>0</v>
      </c>
      <c r="CXG23" s="229">
        <v>0</v>
      </c>
      <c r="CXH23" s="229">
        <v>0</v>
      </c>
      <c r="CXI23" s="229">
        <v>0</v>
      </c>
      <c r="CXJ23" s="229">
        <v>0</v>
      </c>
      <c r="CXK23" s="229">
        <v>0</v>
      </c>
      <c r="CXL23" s="229">
        <v>0</v>
      </c>
      <c r="CXM23" s="229">
        <v>0</v>
      </c>
      <c r="CXN23" s="229">
        <v>0</v>
      </c>
      <c r="CXO23" s="229">
        <v>0</v>
      </c>
      <c r="CXP23" s="229">
        <v>0</v>
      </c>
      <c r="CXQ23" s="229">
        <v>0</v>
      </c>
      <c r="CXR23" s="229">
        <v>0</v>
      </c>
      <c r="CXS23" s="229">
        <v>0</v>
      </c>
      <c r="CXT23" s="229">
        <v>0</v>
      </c>
      <c r="CXU23" s="229">
        <v>0</v>
      </c>
      <c r="CXV23" s="229">
        <v>0</v>
      </c>
      <c r="CXW23" s="229">
        <v>0</v>
      </c>
      <c r="CXX23" s="229">
        <v>0</v>
      </c>
      <c r="CXY23" s="229">
        <v>0</v>
      </c>
      <c r="CXZ23" s="229">
        <v>0</v>
      </c>
      <c r="CYA23" s="229">
        <v>0</v>
      </c>
      <c r="CYB23" s="229">
        <v>0</v>
      </c>
      <c r="CYC23" s="229">
        <v>0</v>
      </c>
      <c r="CYD23" s="229">
        <v>0</v>
      </c>
      <c r="CYE23" s="229">
        <v>0</v>
      </c>
      <c r="CYF23" s="229">
        <v>0</v>
      </c>
      <c r="CYG23" s="229">
        <v>0</v>
      </c>
      <c r="CYH23" s="229">
        <v>0</v>
      </c>
      <c r="CYI23" s="229">
        <v>0</v>
      </c>
      <c r="CYJ23" s="229">
        <v>0</v>
      </c>
      <c r="CYK23" s="229">
        <v>0</v>
      </c>
      <c r="CYL23" s="229">
        <v>0</v>
      </c>
      <c r="CYM23" s="229">
        <v>0</v>
      </c>
      <c r="CYN23" s="229">
        <v>0</v>
      </c>
      <c r="CYO23" s="229">
        <v>0</v>
      </c>
      <c r="CYP23" s="229">
        <v>0</v>
      </c>
      <c r="CYQ23" s="229">
        <v>0</v>
      </c>
      <c r="CYR23" s="229">
        <v>0</v>
      </c>
      <c r="CYS23" s="229">
        <v>0</v>
      </c>
      <c r="CYT23" s="229">
        <v>0</v>
      </c>
      <c r="CYU23" s="229">
        <v>0</v>
      </c>
      <c r="CYV23" s="229">
        <v>0</v>
      </c>
      <c r="CYW23" s="229">
        <v>0</v>
      </c>
      <c r="CYX23" s="229">
        <v>0</v>
      </c>
      <c r="CYY23" s="229">
        <v>0</v>
      </c>
      <c r="CYZ23" s="229">
        <v>0</v>
      </c>
      <c r="CZA23" s="229">
        <v>0</v>
      </c>
      <c r="CZB23" s="229">
        <v>0</v>
      </c>
      <c r="CZC23" s="229">
        <v>0</v>
      </c>
      <c r="CZD23" s="229">
        <v>0</v>
      </c>
      <c r="CZE23" s="229">
        <v>0</v>
      </c>
      <c r="CZF23" s="229">
        <v>0</v>
      </c>
      <c r="CZG23" s="229">
        <v>0</v>
      </c>
      <c r="CZH23" s="229">
        <v>0</v>
      </c>
      <c r="CZI23" s="229">
        <v>0</v>
      </c>
      <c r="CZJ23" s="229">
        <v>0</v>
      </c>
      <c r="CZK23" s="229">
        <v>0</v>
      </c>
      <c r="CZL23" s="229">
        <v>0</v>
      </c>
      <c r="CZM23" s="229">
        <v>0</v>
      </c>
      <c r="CZN23" s="229">
        <v>0</v>
      </c>
      <c r="CZO23" s="229">
        <v>0</v>
      </c>
      <c r="CZP23" s="229">
        <v>0</v>
      </c>
      <c r="CZQ23" s="229">
        <v>0</v>
      </c>
      <c r="CZR23" s="229">
        <v>0</v>
      </c>
      <c r="CZS23" s="229">
        <v>0</v>
      </c>
      <c r="CZT23" s="229">
        <v>0</v>
      </c>
      <c r="CZU23" s="229">
        <v>0</v>
      </c>
      <c r="CZV23" s="229">
        <v>0</v>
      </c>
      <c r="CZW23" s="229">
        <v>0</v>
      </c>
      <c r="CZX23" s="229">
        <v>0</v>
      </c>
      <c r="CZY23" s="229">
        <v>0</v>
      </c>
      <c r="CZZ23" s="229">
        <v>0</v>
      </c>
      <c r="DAA23" s="229">
        <v>0</v>
      </c>
      <c r="DAB23" s="229">
        <v>0</v>
      </c>
      <c r="DAC23" s="229">
        <v>0</v>
      </c>
      <c r="DAD23" s="229">
        <v>0</v>
      </c>
      <c r="DAE23" s="229">
        <v>0</v>
      </c>
      <c r="DAF23" s="229">
        <v>0</v>
      </c>
      <c r="DAG23" s="229">
        <v>0</v>
      </c>
      <c r="DAH23" s="229">
        <v>0</v>
      </c>
      <c r="DAI23" s="229">
        <v>0</v>
      </c>
      <c r="DAJ23" s="229">
        <v>0</v>
      </c>
      <c r="DAK23" s="229">
        <v>0</v>
      </c>
      <c r="DAL23" s="229">
        <v>0</v>
      </c>
      <c r="DAM23" s="229">
        <v>0</v>
      </c>
      <c r="DAN23" s="229">
        <v>0</v>
      </c>
      <c r="DAO23" s="229">
        <v>0</v>
      </c>
      <c r="DAP23" s="229">
        <v>0</v>
      </c>
      <c r="DAQ23" s="229">
        <v>0</v>
      </c>
      <c r="DAR23" s="229">
        <v>0</v>
      </c>
      <c r="DAS23" s="229">
        <v>0</v>
      </c>
      <c r="DAT23" s="229">
        <v>0</v>
      </c>
      <c r="DAU23" s="229">
        <v>0</v>
      </c>
      <c r="DAV23" s="229">
        <v>0</v>
      </c>
      <c r="DAW23" s="229">
        <v>0</v>
      </c>
      <c r="DAX23" s="229">
        <v>0</v>
      </c>
      <c r="DAY23" s="229">
        <v>0</v>
      </c>
      <c r="DAZ23" s="229">
        <v>0</v>
      </c>
      <c r="DBA23" s="229">
        <v>0</v>
      </c>
      <c r="DBB23" s="229">
        <v>0</v>
      </c>
      <c r="DBC23" s="229">
        <v>0</v>
      </c>
      <c r="DBD23" s="229">
        <v>0</v>
      </c>
      <c r="DBE23" s="229">
        <v>0</v>
      </c>
      <c r="DBF23" s="229">
        <v>0</v>
      </c>
      <c r="DBG23" s="229">
        <v>0</v>
      </c>
      <c r="DBH23" s="229">
        <v>0</v>
      </c>
      <c r="DBI23" s="229">
        <v>0</v>
      </c>
      <c r="DBJ23" s="229">
        <v>0</v>
      </c>
      <c r="DBK23" s="229">
        <v>0</v>
      </c>
      <c r="DBL23" s="229">
        <v>0</v>
      </c>
      <c r="DBM23" s="229">
        <v>0</v>
      </c>
      <c r="DBN23" s="229">
        <v>0</v>
      </c>
      <c r="DBO23" s="229">
        <v>0</v>
      </c>
      <c r="DBP23" s="229">
        <v>0</v>
      </c>
      <c r="DBQ23" s="229">
        <v>0</v>
      </c>
      <c r="DBR23" s="229">
        <v>0</v>
      </c>
      <c r="DBS23" s="229">
        <v>0</v>
      </c>
      <c r="DBT23" s="229">
        <v>0</v>
      </c>
      <c r="DBU23" s="229">
        <v>0</v>
      </c>
      <c r="DBV23" s="229">
        <v>0</v>
      </c>
      <c r="DBW23" s="229">
        <v>0</v>
      </c>
      <c r="DBX23" s="229">
        <v>0</v>
      </c>
      <c r="DBY23" s="229">
        <v>0</v>
      </c>
      <c r="DBZ23" s="229">
        <v>0</v>
      </c>
      <c r="DCA23" s="229">
        <v>0</v>
      </c>
      <c r="DCB23" s="229">
        <v>0</v>
      </c>
      <c r="DCC23" s="229">
        <v>0</v>
      </c>
      <c r="DCD23" s="229">
        <v>0</v>
      </c>
      <c r="DCE23" s="229">
        <v>0</v>
      </c>
      <c r="DCF23" s="229">
        <v>0</v>
      </c>
      <c r="DCG23" s="229">
        <v>0</v>
      </c>
      <c r="DCH23" s="229">
        <v>0</v>
      </c>
      <c r="DCI23" s="229">
        <v>0</v>
      </c>
      <c r="DCJ23" s="229">
        <v>0</v>
      </c>
      <c r="DCK23" s="229">
        <v>0</v>
      </c>
      <c r="DCL23" s="229">
        <v>0</v>
      </c>
      <c r="DCM23" s="229">
        <v>0</v>
      </c>
      <c r="DCN23" s="229">
        <v>0</v>
      </c>
      <c r="DCO23" s="229">
        <v>0</v>
      </c>
      <c r="DCP23" s="229">
        <v>0</v>
      </c>
      <c r="DCQ23" s="229">
        <v>0</v>
      </c>
      <c r="DCR23" s="229">
        <v>0</v>
      </c>
      <c r="DCS23" s="229">
        <v>0</v>
      </c>
      <c r="DCT23" s="229">
        <v>0</v>
      </c>
      <c r="DCU23" s="229">
        <v>0</v>
      </c>
      <c r="DCV23" s="229">
        <v>0</v>
      </c>
      <c r="DCW23" s="229">
        <v>0</v>
      </c>
      <c r="DCX23" s="229">
        <v>0</v>
      </c>
      <c r="DCY23" s="229">
        <v>0</v>
      </c>
      <c r="DCZ23" s="229">
        <v>0</v>
      </c>
      <c r="DDA23" s="229">
        <v>0</v>
      </c>
      <c r="DDB23" s="229">
        <v>0</v>
      </c>
      <c r="DDC23" s="229">
        <v>0</v>
      </c>
      <c r="DDD23" s="229">
        <v>0</v>
      </c>
      <c r="DDE23" s="229">
        <v>0</v>
      </c>
      <c r="DDF23" s="229">
        <v>0</v>
      </c>
      <c r="DDG23" s="229">
        <v>0</v>
      </c>
      <c r="DDH23" s="229">
        <v>0</v>
      </c>
      <c r="DDI23" s="229">
        <v>0</v>
      </c>
      <c r="DDJ23" s="229">
        <v>0</v>
      </c>
      <c r="DDK23" s="229">
        <v>0</v>
      </c>
      <c r="DDL23" s="229">
        <v>0</v>
      </c>
      <c r="DDM23" s="229">
        <v>0</v>
      </c>
      <c r="DDN23" s="229">
        <v>0</v>
      </c>
      <c r="DDO23" s="229">
        <v>0</v>
      </c>
      <c r="DDP23" s="229">
        <v>0</v>
      </c>
      <c r="DDQ23" s="229">
        <v>0</v>
      </c>
      <c r="DDR23" s="229">
        <v>0</v>
      </c>
      <c r="DDS23" s="229">
        <v>0</v>
      </c>
      <c r="DDT23" s="229">
        <v>0</v>
      </c>
      <c r="DDU23" s="229">
        <v>0</v>
      </c>
      <c r="DDV23" s="229">
        <v>0</v>
      </c>
      <c r="DDW23" s="229">
        <v>0</v>
      </c>
      <c r="DDX23" s="229">
        <v>0</v>
      </c>
      <c r="DDY23" s="229">
        <v>0</v>
      </c>
      <c r="DDZ23" s="229">
        <v>0</v>
      </c>
      <c r="DEA23" s="229">
        <v>0</v>
      </c>
      <c r="DEB23" s="229">
        <v>0</v>
      </c>
      <c r="DEC23" s="229">
        <v>0</v>
      </c>
      <c r="DED23" s="229">
        <v>0</v>
      </c>
      <c r="DEE23" s="229">
        <v>0</v>
      </c>
      <c r="DEF23" s="229">
        <v>0</v>
      </c>
      <c r="DEG23" s="229">
        <v>0</v>
      </c>
      <c r="DEH23" s="229">
        <v>0</v>
      </c>
      <c r="DEI23" s="229">
        <v>0</v>
      </c>
      <c r="DEJ23" s="229">
        <v>0</v>
      </c>
      <c r="DEK23" s="229">
        <v>0</v>
      </c>
      <c r="DEL23" s="229">
        <v>0</v>
      </c>
      <c r="DEM23" s="229">
        <v>0</v>
      </c>
      <c r="DEN23" s="229">
        <v>0</v>
      </c>
      <c r="DEO23" s="229">
        <v>0</v>
      </c>
      <c r="DEP23" s="229">
        <v>0</v>
      </c>
      <c r="DEQ23" s="229">
        <v>0</v>
      </c>
      <c r="DER23" s="229">
        <v>0</v>
      </c>
      <c r="DES23" s="229">
        <v>0</v>
      </c>
      <c r="DET23" s="229">
        <v>0</v>
      </c>
      <c r="DEU23" s="229">
        <v>0</v>
      </c>
      <c r="DEV23" s="229">
        <v>0</v>
      </c>
      <c r="DEW23" s="229">
        <v>0</v>
      </c>
      <c r="DEX23" s="229">
        <v>0</v>
      </c>
      <c r="DEY23" s="229">
        <v>0</v>
      </c>
      <c r="DEZ23" s="229">
        <v>0</v>
      </c>
      <c r="DFA23" s="229">
        <v>0</v>
      </c>
      <c r="DFB23" s="229">
        <v>0</v>
      </c>
      <c r="DFC23" s="229">
        <v>0</v>
      </c>
      <c r="DFD23" s="229">
        <v>0</v>
      </c>
      <c r="DFE23" s="229">
        <v>0</v>
      </c>
      <c r="DFF23" s="229">
        <v>0</v>
      </c>
      <c r="DFG23" s="229">
        <v>0</v>
      </c>
      <c r="DFH23" s="229">
        <v>0</v>
      </c>
      <c r="DFI23" s="229">
        <v>0</v>
      </c>
      <c r="DFJ23" s="229">
        <v>0</v>
      </c>
      <c r="DFK23" s="229">
        <v>0</v>
      </c>
      <c r="DFL23" s="229">
        <v>0</v>
      </c>
      <c r="DFM23" s="229">
        <v>0</v>
      </c>
      <c r="DFN23" s="229">
        <v>0</v>
      </c>
      <c r="DFO23" s="229">
        <v>0</v>
      </c>
      <c r="DFP23" s="229">
        <v>0</v>
      </c>
      <c r="DFQ23" s="229">
        <v>0</v>
      </c>
      <c r="DFR23" s="229">
        <v>0</v>
      </c>
      <c r="DFS23" s="229">
        <v>0</v>
      </c>
      <c r="DFT23" s="229">
        <v>0</v>
      </c>
      <c r="DFU23" s="229">
        <v>0</v>
      </c>
      <c r="DFV23" s="229">
        <v>0</v>
      </c>
      <c r="DFW23" s="229">
        <v>0</v>
      </c>
      <c r="DFX23" s="229">
        <v>0</v>
      </c>
      <c r="DFY23" s="229">
        <v>0</v>
      </c>
      <c r="DFZ23" s="229">
        <v>0</v>
      </c>
      <c r="DGA23" s="229">
        <v>0</v>
      </c>
      <c r="DGB23" s="229">
        <v>0</v>
      </c>
      <c r="DGC23" s="229">
        <v>0</v>
      </c>
      <c r="DGD23" s="229">
        <v>0</v>
      </c>
      <c r="DGE23" s="229">
        <v>0</v>
      </c>
      <c r="DGF23" s="229">
        <v>0</v>
      </c>
      <c r="DGG23" s="229">
        <v>0</v>
      </c>
      <c r="DGH23" s="229">
        <v>0</v>
      </c>
      <c r="DGI23" s="229">
        <v>0</v>
      </c>
      <c r="DGJ23" s="229">
        <v>0</v>
      </c>
      <c r="DGK23" s="229">
        <v>0</v>
      </c>
      <c r="DGL23" s="229">
        <v>0</v>
      </c>
      <c r="DGM23" s="229">
        <v>0</v>
      </c>
      <c r="DGN23" s="229">
        <v>0</v>
      </c>
      <c r="DGO23" s="229">
        <v>0</v>
      </c>
      <c r="DGP23" s="229">
        <v>0</v>
      </c>
      <c r="DGQ23" s="229">
        <v>0</v>
      </c>
      <c r="DGR23" s="229">
        <v>0</v>
      </c>
      <c r="DGS23" s="229">
        <v>0</v>
      </c>
      <c r="DGT23" s="229">
        <v>0</v>
      </c>
      <c r="DGU23" s="229">
        <v>0</v>
      </c>
      <c r="DGV23" s="229">
        <v>0</v>
      </c>
      <c r="DGW23" s="229">
        <v>0</v>
      </c>
      <c r="DGX23" s="229">
        <v>0</v>
      </c>
      <c r="DGY23" s="229">
        <v>0</v>
      </c>
      <c r="DGZ23" s="229">
        <v>0</v>
      </c>
      <c r="DHA23" s="229">
        <v>0</v>
      </c>
      <c r="DHB23" s="229">
        <v>0</v>
      </c>
      <c r="DHC23" s="229">
        <v>0</v>
      </c>
      <c r="DHD23" s="229">
        <v>0</v>
      </c>
      <c r="DHE23" s="229">
        <v>0</v>
      </c>
      <c r="DHF23" s="229">
        <v>0</v>
      </c>
      <c r="DHG23" s="229">
        <v>0</v>
      </c>
      <c r="DHH23" s="229">
        <v>0</v>
      </c>
      <c r="DHI23" s="229">
        <v>0</v>
      </c>
      <c r="DHJ23" s="229">
        <v>0</v>
      </c>
      <c r="DHK23" s="229">
        <v>0</v>
      </c>
      <c r="DHL23" s="229">
        <v>0</v>
      </c>
      <c r="DHM23" s="229">
        <v>0</v>
      </c>
      <c r="DHN23" s="229">
        <v>0</v>
      </c>
      <c r="DHO23" s="229">
        <v>0</v>
      </c>
      <c r="DHP23" s="229">
        <v>0</v>
      </c>
      <c r="DHQ23" s="229">
        <v>0</v>
      </c>
      <c r="DHR23" s="229">
        <v>0</v>
      </c>
      <c r="DHS23" s="229">
        <v>0</v>
      </c>
      <c r="DHT23" s="229">
        <v>0</v>
      </c>
      <c r="DHU23" s="229">
        <v>0</v>
      </c>
      <c r="DHV23" s="229">
        <v>0</v>
      </c>
      <c r="DHW23" s="229">
        <v>0</v>
      </c>
      <c r="DHX23" s="229">
        <v>0</v>
      </c>
      <c r="DHY23" s="229">
        <v>0</v>
      </c>
      <c r="DHZ23" s="229">
        <v>0</v>
      </c>
      <c r="DIA23" s="229">
        <v>0</v>
      </c>
      <c r="DIB23" s="229">
        <v>0</v>
      </c>
      <c r="DIC23" s="229">
        <v>0</v>
      </c>
      <c r="DID23" s="229">
        <v>0</v>
      </c>
      <c r="DIE23" s="229">
        <v>0</v>
      </c>
      <c r="DIF23" s="229">
        <v>0</v>
      </c>
      <c r="DIG23" s="229">
        <v>0</v>
      </c>
      <c r="DIH23" s="229">
        <v>0</v>
      </c>
      <c r="DII23" s="229">
        <v>0</v>
      </c>
      <c r="DIJ23" s="229">
        <v>0</v>
      </c>
      <c r="DIK23" s="229">
        <v>0</v>
      </c>
      <c r="DIL23" s="229">
        <v>0</v>
      </c>
      <c r="DIM23" s="229">
        <v>0</v>
      </c>
      <c r="DIN23" s="229">
        <v>0</v>
      </c>
      <c r="DIO23" s="229">
        <v>0</v>
      </c>
      <c r="DIP23" s="229">
        <v>0</v>
      </c>
      <c r="DIQ23" s="229">
        <v>0</v>
      </c>
      <c r="DIR23" s="229">
        <v>0</v>
      </c>
      <c r="DIS23" s="229">
        <v>0</v>
      </c>
      <c r="DIT23" s="229">
        <v>0</v>
      </c>
      <c r="DIU23" s="229">
        <v>0</v>
      </c>
      <c r="DIV23" s="229">
        <v>0</v>
      </c>
      <c r="DIW23" s="229">
        <v>0</v>
      </c>
      <c r="DIX23" s="229">
        <v>0</v>
      </c>
      <c r="DIY23" s="229">
        <v>0</v>
      </c>
      <c r="DIZ23" s="229">
        <v>0</v>
      </c>
      <c r="DJA23" s="229">
        <v>0</v>
      </c>
      <c r="DJB23" s="229">
        <v>0</v>
      </c>
      <c r="DJC23" s="229">
        <v>0</v>
      </c>
      <c r="DJD23" s="229">
        <v>0</v>
      </c>
      <c r="DJE23" s="229">
        <v>0</v>
      </c>
      <c r="DJF23" s="229">
        <v>0</v>
      </c>
      <c r="DJG23" s="229">
        <v>0</v>
      </c>
      <c r="DJH23" s="229">
        <v>0</v>
      </c>
      <c r="DJI23" s="229">
        <v>0</v>
      </c>
      <c r="DJJ23" s="229">
        <v>0</v>
      </c>
      <c r="DJK23" s="229">
        <v>0</v>
      </c>
      <c r="DJL23" s="229">
        <v>0</v>
      </c>
      <c r="DJM23" s="229">
        <v>0</v>
      </c>
      <c r="DJN23" s="229">
        <v>0</v>
      </c>
      <c r="DJO23" s="229">
        <v>0</v>
      </c>
      <c r="DJP23" s="229">
        <v>0</v>
      </c>
      <c r="DJQ23" s="229">
        <v>0</v>
      </c>
      <c r="DJR23" s="229">
        <v>0</v>
      </c>
      <c r="DJS23" s="229">
        <v>0</v>
      </c>
      <c r="DJT23" s="229">
        <v>0</v>
      </c>
      <c r="DJU23" s="229">
        <v>0</v>
      </c>
      <c r="DJV23" s="229">
        <v>0</v>
      </c>
      <c r="DJW23" s="229">
        <v>0</v>
      </c>
      <c r="DJX23" s="229">
        <v>0</v>
      </c>
      <c r="DJY23" s="229">
        <v>0</v>
      </c>
      <c r="DJZ23" s="229">
        <v>0</v>
      </c>
      <c r="DKA23" s="229">
        <v>0</v>
      </c>
      <c r="DKB23" s="229">
        <v>0</v>
      </c>
      <c r="DKC23" s="229">
        <v>0</v>
      </c>
      <c r="DKD23" s="229">
        <v>0</v>
      </c>
      <c r="DKE23" s="229">
        <v>0</v>
      </c>
      <c r="DKF23" s="229">
        <v>0</v>
      </c>
      <c r="DKG23" s="229">
        <v>0</v>
      </c>
      <c r="DKH23" s="229">
        <v>0</v>
      </c>
      <c r="DKI23" s="229">
        <v>0</v>
      </c>
      <c r="DKJ23" s="229">
        <v>0</v>
      </c>
      <c r="DKK23" s="229">
        <v>0</v>
      </c>
      <c r="DKL23" s="229">
        <v>0</v>
      </c>
      <c r="DKM23" s="229">
        <v>0</v>
      </c>
      <c r="DKN23" s="229">
        <v>0</v>
      </c>
      <c r="DKO23" s="229">
        <v>0</v>
      </c>
      <c r="DKP23" s="229">
        <v>0</v>
      </c>
      <c r="DKQ23" s="229">
        <v>0</v>
      </c>
      <c r="DKR23" s="229">
        <v>0</v>
      </c>
      <c r="DKS23" s="229">
        <v>0</v>
      </c>
      <c r="DKT23" s="229">
        <v>0</v>
      </c>
      <c r="DKU23" s="229">
        <v>0</v>
      </c>
      <c r="DKV23" s="229">
        <v>0</v>
      </c>
      <c r="DKW23" s="229">
        <v>0</v>
      </c>
      <c r="DKX23" s="229">
        <v>0</v>
      </c>
      <c r="DKY23" s="229">
        <v>0</v>
      </c>
      <c r="DKZ23" s="229">
        <v>0</v>
      </c>
      <c r="DLA23" s="229">
        <v>0</v>
      </c>
      <c r="DLB23" s="229">
        <v>0</v>
      </c>
      <c r="DLC23" s="229">
        <v>0</v>
      </c>
      <c r="DLD23" s="229">
        <v>0</v>
      </c>
      <c r="DLE23" s="229">
        <v>0</v>
      </c>
      <c r="DLF23" s="229">
        <v>0</v>
      </c>
      <c r="DLG23" s="229">
        <v>0</v>
      </c>
      <c r="DLH23" s="229">
        <v>0</v>
      </c>
      <c r="DLI23" s="229">
        <v>0</v>
      </c>
      <c r="DLJ23" s="229">
        <v>0</v>
      </c>
      <c r="DLK23" s="229">
        <v>0</v>
      </c>
      <c r="DLL23" s="229">
        <v>0</v>
      </c>
      <c r="DLM23" s="229">
        <v>0</v>
      </c>
      <c r="DLN23" s="229">
        <v>0</v>
      </c>
      <c r="DLO23" s="229">
        <v>0</v>
      </c>
      <c r="DLP23" s="229">
        <v>0</v>
      </c>
      <c r="DLQ23" s="229">
        <v>0</v>
      </c>
      <c r="DLR23" s="229">
        <v>0</v>
      </c>
      <c r="DLS23" s="229">
        <v>0</v>
      </c>
      <c r="DLT23" s="229">
        <v>0</v>
      </c>
      <c r="DLU23" s="229">
        <v>0</v>
      </c>
      <c r="DLV23" s="229">
        <v>0</v>
      </c>
      <c r="DLW23" s="229">
        <v>0</v>
      </c>
      <c r="DLX23" s="229">
        <v>0</v>
      </c>
      <c r="DLY23" s="229">
        <v>0</v>
      </c>
      <c r="DLZ23" s="229">
        <v>0</v>
      </c>
      <c r="DMA23" s="229">
        <v>0</v>
      </c>
      <c r="DMB23" s="229">
        <v>0</v>
      </c>
      <c r="DMC23" s="229">
        <v>0</v>
      </c>
      <c r="DMD23" s="229">
        <v>0</v>
      </c>
      <c r="DME23" s="229">
        <v>0</v>
      </c>
      <c r="DMF23" s="229">
        <v>0</v>
      </c>
      <c r="DMG23" s="229">
        <v>0</v>
      </c>
      <c r="DMH23" s="229">
        <v>0</v>
      </c>
      <c r="DMI23" s="229">
        <v>0</v>
      </c>
      <c r="DMJ23" s="229">
        <v>0</v>
      </c>
      <c r="DMK23" s="229">
        <v>0</v>
      </c>
      <c r="DML23" s="229">
        <v>0</v>
      </c>
      <c r="DMM23" s="229">
        <v>0</v>
      </c>
      <c r="DMN23" s="229">
        <v>0</v>
      </c>
      <c r="DMO23" s="229">
        <v>0</v>
      </c>
      <c r="DMP23" s="229">
        <v>0</v>
      </c>
      <c r="DMQ23" s="229">
        <v>0</v>
      </c>
      <c r="DMR23" s="229">
        <v>0</v>
      </c>
      <c r="DMS23" s="229">
        <v>0</v>
      </c>
      <c r="DMT23" s="229">
        <v>0</v>
      </c>
      <c r="DMU23" s="229">
        <v>0</v>
      </c>
      <c r="DMV23" s="229">
        <v>0</v>
      </c>
      <c r="DMW23" s="229">
        <v>0</v>
      </c>
      <c r="DMX23" s="229">
        <v>0</v>
      </c>
      <c r="DMY23" s="229">
        <v>0</v>
      </c>
      <c r="DMZ23" s="229">
        <v>0</v>
      </c>
      <c r="DNA23" s="229">
        <v>0</v>
      </c>
      <c r="DNB23" s="229">
        <v>0</v>
      </c>
      <c r="DNC23" s="229">
        <v>0</v>
      </c>
      <c r="DND23" s="229">
        <v>0</v>
      </c>
      <c r="DNE23" s="229">
        <v>0</v>
      </c>
      <c r="DNF23" s="229">
        <v>0</v>
      </c>
      <c r="DNG23" s="229">
        <v>0</v>
      </c>
      <c r="DNH23" s="229">
        <v>0</v>
      </c>
      <c r="DNI23" s="229">
        <v>0</v>
      </c>
      <c r="DNJ23" s="229">
        <v>0</v>
      </c>
      <c r="DNK23" s="229">
        <v>0</v>
      </c>
      <c r="DNL23" s="229">
        <v>0</v>
      </c>
      <c r="DNM23" s="229">
        <v>0</v>
      </c>
      <c r="DNN23" s="229">
        <v>0</v>
      </c>
      <c r="DNO23" s="229">
        <v>0</v>
      </c>
      <c r="DNP23" s="229">
        <v>0</v>
      </c>
      <c r="DNQ23" s="229">
        <v>0</v>
      </c>
      <c r="DNR23" s="229">
        <v>0</v>
      </c>
      <c r="DNS23" s="229">
        <v>0</v>
      </c>
      <c r="DNT23" s="229">
        <v>0</v>
      </c>
      <c r="DNU23" s="229">
        <v>0</v>
      </c>
      <c r="DNV23" s="229">
        <v>0</v>
      </c>
      <c r="DNW23" s="229">
        <v>0</v>
      </c>
      <c r="DNX23" s="229">
        <v>0</v>
      </c>
      <c r="DNY23" s="229">
        <v>0</v>
      </c>
      <c r="DNZ23" s="229">
        <v>0</v>
      </c>
      <c r="DOA23" s="229">
        <v>0</v>
      </c>
      <c r="DOB23" s="229">
        <v>0</v>
      </c>
      <c r="DOC23" s="229">
        <v>0</v>
      </c>
      <c r="DOD23" s="229">
        <v>0</v>
      </c>
      <c r="DOE23" s="229">
        <v>0</v>
      </c>
      <c r="DOF23" s="229">
        <v>0</v>
      </c>
      <c r="DOG23" s="229">
        <v>0</v>
      </c>
      <c r="DOH23" s="229">
        <v>0</v>
      </c>
      <c r="DOI23" s="229">
        <v>0</v>
      </c>
      <c r="DOJ23" s="229">
        <v>0</v>
      </c>
      <c r="DOK23" s="229">
        <v>0</v>
      </c>
      <c r="DOL23" s="229">
        <v>0</v>
      </c>
      <c r="DOM23" s="229">
        <v>0</v>
      </c>
      <c r="DON23" s="229">
        <v>0</v>
      </c>
      <c r="DOO23" s="229">
        <v>0</v>
      </c>
      <c r="DOP23" s="229">
        <v>0</v>
      </c>
      <c r="DOQ23" s="229">
        <v>0</v>
      </c>
      <c r="DOR23" s="229">
        <v>0</v>
      </c>
      <c r="DOS23" s="229">
        <v>0</v>
      </c>
      <c r="DOT23" s="229">
        <v>0</v>
      </c>
      <c r="DOU23" s="229">
        <v>0</v>
      </c>
      <c r="DOV23" s="229">
        <v>0</v>
      </c>
      <c r="DOW23" s="229">
        <v>0</v>
      </c>
      <c r="DOX23" s="229">
        <v>0</v>
      </c>
      <c r="DOY23" s="229">
        <v>0</v>
      </c>
      <c r="DOZ23" s="229">
        <v>0</v>
      </c>
      <c r="DPA23" s="229">
        <v>0</v>
      </c>
      <c r="DPB23" s="229">
        <v>0</v>
      </c>
      <c r="DPC23" s="229">
        <v>0</v>
      </c>
      <c r="DPD23" s="229">
        <v>0</v>
      </c>
      <c r="DPE23" s="229">
        <v>0</v>
      </c>
      <c r="DPF23" s="229">
        <v>0</v>
      </c>
      <c r="DPG23" s="229">
        <v>0</v>
      </c>
      <c r="DPH23" s="229">
        <v>0</v>
      </c>
      <c r="DPI23" s="229">
        <v>0</v>
      </c>
      <c r="DPJ23" s="229">
        <v>0</v>
      </c>
      <c r="DPK23" s="229">
        <v>0</v>
      </c>
      <c r="DPL23" s="229">
        <v>0</v>
      </c>
      <c r="DPM23" s="229">
        <v>0</v>
      </c>
      <c r="DPN23" s="229">
        <v>0</v>
      </c>
      <c r="DPO23" s="229">
        <v>0</v>
      </c>
      <c r="DPP23" s="229">
        <v>0</v>
      </c>
      <c r="DPQ23" s="229">
        <v>0</v>
      </c>
      <c r="DPR23" s="229">
        <v>0</v>
      </c>
      <c r="DPS23" s="229">
        <v>0</v>
      </c>
      <c r="DPT23" s="229">
        <v>0</v>
      </c>
      <c r="DPU23" s="229">
        <v>0</v>
      </c>
      <c r="DPV23" s="229">
        <v>0</v>
      </c>
      <c r="DPW23" s="229">
        <v>0</v>
      </c>
      <c r="DPX23" s="229">
        <v>0</v>
      </c>
      <c r="DPY23" s="229">
        <v>0</v>
      </c>
      <c r="DPZ23" s="229">
        <v>0</v>
      </c>
      <c r="DQA23" s="229">
        <v>0</v>
      </c>
      <c r="DQB23" s="229">
        <v>0</v>
      </c>
      <c r="DQC23" s="229">
        <v>0</v>
      </c>
      <c r="DQD23" s="229">
        <v>0</v>
      </c>
      <c r="DQE23" s="229">
        <v>0</v>
      </c>
      <c r="DQF23" s="229">
        <v>0</v>
      </c>
      <c r="DQG23" s="229">
        <v>0</v>
      </c>
      <c r="DQH23" s="229">
        <v>0</v>
      </c>
      <c r="DQI23" s="229">
        <v>0</v>
      </c>
      <c r="DQJ23" s="229">
        <v>0</v>
      </c>
      <c r="DQK23" s="229">
        <v>0</v>
      </c>
      <c r="DQL23" s="229">
        <v>0</v>
      </c>
      <c r="DQM23" s="229">
        <v>0</v>
      </c>
      <c r="DQN23" s="229">
        <v>0</v>
      </c>
      <c r="DQO23" s="229">
        <v>0</v>
      </c>
      <c r="DQP23" s="229">
        <v>0</v>
      </c>
      <c r="DQQ23" s="229">
        <v>0</v>
      </c>
      <c r="DQR23" s="229">
        <v>0</v>
      </c>
      <c r="DQS23" s="229">
        <v>0</v>
      </c>
      <c r="DQT23" s="229">
        <v>0</v>
      </c>
      <c r="DQU23" s="229">
        <v>0</v>
      </c>
      <c r="DQV23" s="229">
        <v>0</v>
      </c>
      <c r="DQW23" s="229">
        <v>0</v>
      </c>
      <c r="DQX23" s="229">
        <v>0</v>
      </c>
      <c r="DQY23" s="229">
        <v>0</v>
      </c>
      <c r="DQZ23" s="229">
        <v>0</v>
      </c>
      <c r="DRA23" s="229">
        <v>0</v>
      </c>
      <c r="DRB23" s="229">
        <v>0</v>
      </c>
      <c r="DRC23" s="229">
        <v>0</v>
      </c>
      <c r="DRD23" s="229">
        <v>0</v>
      </c>
      <c r="DRE23" s="229">
        <v>0</v>
      </c>
      <c r="DRF23" s="229">
        <v>0</v>
      </c>
      <c r="DRG23" s="229">
        <v>0</v>
      </c>
      <c r="DRH23" s="229">
        <v>0</v>
      </c>
      <c r="DRI23" s="229">
        <v>0</v>
      </c>
      <c r="DRJ23" s="229">
        <v>0</v>
      </c>
      <c r="DRK23" s="229">
        <v>0</v>
      </c>
      <c r="DRL23" s="229">
        <v>0</v>
      </c>
      <c r="DRM23" s="229">
        <v>0</v>
      </c>
      <c r="DRN23" s="229">
        <v>0</v>
      </c>
      <c r="DRO23" s="229">
        <v>0</v>
      </c>
      <c r="DRP23" s="229">
        <v>0</v>
      </c>
      <c r="DRQ23" s="229">
        <v>0</v>
      </c>
      <c r="DRR23" s="229">
        <v>0</v>
      </c>
      <c r="DRS23" s="229">
        <v>0</v>
      </c>
      <c r="DRT23" s="229">
        <v>0</v>
      </c>
      <c r="DRU23" s="229">
        <v>0</v>
      </c>
      <c r="DRV23" s="229">
        <v>0</v>
      </c>
      <c r="DRW23" s="229">
        <v>0</v>
      </c>
      <c r="DRX23" s="229">
        <v>0</v>
      </c>
      <c r="DRY23" s="229">
        <v>0</v>
      </c>
      <c r="DRZ23" s="229">
        <v>0</v>
      </c>
      <c r="DSA23" s="229">
        <v>0</v>
      </c>
      <c r="DSB23" s="229">
        <v>0</v>
      </c>
      <c r="DSC23" s="229">
        <v>0</v>
      </c>
      <c r="DSD23" s="229">
        <v>0</v>
      </c>
      <c r="DSE23" s="229">
        <v>0</v>
      </c>
      <c r="DSF23" s="229">
        <v>0</v>
      </c>
      <c r="DSG23" s="229">
        <v>0</v>
      </c>
      <c r="DSH23" s="229">
        <v>0</v>
      </c>
      <c r="DSI23" s="229">
        <v>0</v>
      </c>
      <c r="DSJ23" s="229">
        <v>0</v>
      </c>
      <c r="DSK23" s="229">
        <v>0</v>
      </c>
      <c r="DSL23" s="229">
        <v>0</v>
      </c>
      <c r="DSM23" s="229">
        <v>0</v>
      </c>
      <c r="DSN23" s="229">
        <v>0</v>
      </c>
      <c r="DSO23" s="229">
        <v>0</v>
      </c>
      <c r="DSP23" s="229">
        <v>0</v>
      </c>
      <c r="DSQ23" s="229">
        <v>0</v>
      </c>
      <c r="DSR23" s="229">
        <v>0</v>
      </c>
      <c r="DSS23" s="229">
        <v>0</v>
      </c>
      <c r="DST23" s="229">
        <v>0</v>
      </c>
      <c r="DSU23" s="229">
        <v>0</v>
      </c>
      <c r="DSV23" s="229">
        <v>0</v>
      </c>
      <c r="DSW23" s="229">
        <v>0</v>
      </c>
      <c r="DSX23" s="229">
        <v>0</v>
      </c>
      <c r="DSY23" s="229">
        <v>0</v>
      </c>
      <c r="DSZ23" s="229">
        <v>0</v>
      </c>
      <c r="DTA23" s="229">
        <v>0</v>
      </c>
      <c r="DTB23" s="229">
        <v>0</v>
      </c>
      <c r="DTC23" s="229">
        <v>0</v>
      </c>
      <c r="DTD23" s="229">
        <v>0</v>
      </c>
      <c r="DTE23" s="229">
        <v>0</v>
      </c>
      <c r="DTF23" s="229">
        <v>0</v>
      </c>
      <c r="DTG23" s="229">
        <v>0</v>
      </c>
      <c r="DTH23" s="229">
        <v>0</v>
      </c>
      <c r="DTI23" s="229">
        <v>0</v>
      </c>
      <c r="DTJ23" s="229">
        <v>0</v>
      </c>
      <c r="DTK23" s="229">
        <v>0</v>
      </c>
      <c r="DTL23" s="229">
        <v>0</v>
      </c>
      <c r="DTM23" s="229">
        <v>0</v>
      </c>
      <c r="DTN23" s="229">
        <v>0</v>
      </c>
      <c r="DTO23" s="229">
        <v>0</v>
      </c>
      <c r="DTP23" s="229">
        <v>0</v>
      </c>
      <c r="DTQ23" s="229">
        <v>0</v>
      </c>
      <c r="DTR23" s="229">
        <v>0</v>
      </c>
      <c r="DTS23" s="229">
        <v>0</v>
      </c>
      <c r="DTT23" s="229">
        <v>0</v>
      </c>
      <c r="DTU23" s="229">
        <v>0</v>
      </c>
      <c r="DTV23" s="229">
        <v>0</v>
      </c>
      <c r="DTW23" s="229">
        <v>0</v>
      </c>
      <c r="DTX23" s="229">
        <v>0</v>
      </c>
      <c r="DTY23" s="229">
        <v>0</v>
      </c>
      <c r="DTZ23" s="229">
        <v>0</v>
      </c>
      <c r="DUA23" s="229">
        <v>0</v>
      </c>
      <c r="DUB23" s="229">
        <v>0</v>
      </c>
      <c r="DUC23" s="229">
        <v>0</v>
      </c>
      <c r="DUD23" s="229">
        <v>0</v>
      </c>
      <c r="DUE23" s="229">
        <v>0</v>
      </c>
      <c r="DUF23" s="229">
        <v>0</v>
      </c>
      <c r="DUG23" s="229">
        <v>0</v>
      </c>
      <c r="DUH23" s="229">
        <v>0</v>
      </c>
      <c r="DUI23" s="229">
        <v>0</v>
      </c>
      <c r="DUJ23" s="229">
        <v>0</v>
      </c>
      <c r="DUK23" s="229">
        <v>0</v>
      </c>
      <c r="DUL23" s="229">
        <v>0</v>
      </c>
      <c r="DUM23" s="229">
        <v>0</v>
      </c>
      <c r="DUN23" s="229">
        <v>0</v>
      </c>
      <c r="DUO23" s="229">
        <v>0</v>
      </c>
      <c r="DUP23" s="229">
        <v>0</v>
      </c>
      <c r="DUQ23" s="229">
        <v>0</v>
      </c>
      <c r="DUR23" s="229">
        <v>0</v>
      </c>
      <c r="DUS23" s="229">
        <v>0</v>
      </c>
      <c r="DUT23" s="229">
        <v>0</v>
      </c>
      <c r="DUU23" s="229">
        <v>0</v>
      </c>
      <c r="DUV23" s="229">
        <v>0</v>
      </c>
      <c r="DUW23" s="229">
        <v>0</v>
      </c>
      <c r="DUX23" s="229">
        <v>0</v>
      </c>
      <c r="DUY23" s="229">
        <v>0</v>
      </c>
      <c r="DUZ23" s="229">
        <v>0</v>
      </c>
      <c r="DVA23" s="229">
        <v>0</v>
      </c>
      <c r="DVB23" s="229">
        <v>0</v>
      </c>
      <c r="DVC23" s="229">
        <v>0</v>
      </c>
      <c r="DVD23" s="229">
        <v>0</v>
      </c>
      <c r="DVE23" s="229">
        <v>0</v>
      </c>
      <c r="DVF23" s="229">
        <v>0</v>
      </c>
      <c r="DVG23" s="229">
        <v>0</v>
      </c>
      <c r="DVH23" s="229">
        <v>0</v>
      </c>
      <c r="DVI23" s="229">
        <v>0</v>
      </c>
      <c r="DVJ23" s="229">
        <v>0</v>
      </c>
      <c r="DVK23" s="229">
        <v>0</v>
      </c>
      <c r="DVL23" s="229">
        <v>0</v>
      </c>
      <c r="DVM23" s="229">
        <v>0</v>
      </c>
      <c r="DVN23" s="229">
        <v>0</v>
      </c>
      <c r="DVO23" s="229">
        <v>0</v>
      </c>
      <c r="DVP23" s="229">
        <v>0</v>
      </c>
      <c r="DVQ23" s="229">
        <v>0</v>
      </c>
      <c r="DVR23" s="229">
        <v>0</v>
      </c>
      <c r="DVS23" s="229">
        <v>0</v>
      </c>
      <c r="DVT23" s="229">
        <v>0</v>
      </c>
      <c r="DVU23" s="229">
        <v>0</v>
      </c>
      <c r="DVV23" s="229">
        <v>0</v>
      </c>
      <c r="DVW23" s="229">
        <v>0</v>
      </c>
      <c r="DVX23" s="229">
        <v>0</v>
      </c>
      <c r="DVY23" s="229">
        <v>0</v>
      </c>
      <c r="DVZ23" s="229">
        <v>0</v>
      </c>
      <c r="DWA23" s="229">
        <v>0</v>
      </c>
      <c r="DWB23" s="229">
        <v>0</v>
      </c>
      <c r="DWC23" s="229">
        <v>0</v>
      </c>
      <c r="DWD23" s="229">
        <v>0</v>
      </c>
      <c r="DWE23" s="229">
        <v>0</v>
      </c>
      <c r="DWF23" s="229">
        <v>0</v>
      </c>
      <c r="DWG23" s="229">
        <v>0</v>
      </c>
      <c r="DWH23" s="229">
        <v>0</v>
      </c>
      <c r="DWI23" s="229">
        <v>0</v>
      </c>
      <c r="DWJ23" s="229">
        <v>0</v>
      </c>
      <c r="DWK23" s="229">
        <v>0</v>
      </c>
      <c r="DWL23" s="229">
        <v>0</v>
      </c>
      <c r="DWM23" s="229">
        <v>0</v>
      </c>
      <c r="DWN23" s="229">
        <v>0</v>
      </c>
      <c r="DWO23" s="229">
        <v>0</v>
      </c>
      <c r="DWP23" s="229">
        <v>0</v>
      </c>
      <c r="DWQ23" s="229">
        <v>0</v>
      </c>
      <c r="DWR23" s="229">
        <v>0</v>
      </c>
      <c r="DWS23" s="229">
        <v>0</v>
      </c>
      <c r="DWT23" s="229">
        <v>0</v>
      </c>
      <c r="DWU23" s="229">
        <v>0</v>
      </c>
      <c r="DWV23" s="229">
        <v>0</v>
      </c>
      <c r="DWW23" s="229">
        <v>0</v>
      </c>
      <c r="DWX23" s="229">
        <v>0</v>
      </c>
      <c r="DWY23" s="229">
        <v>0</v>
      </c>
      <c r="DWZ23" s="229">
        <v>0</v>
      </c>
      <c r="DXA23" s="229">
        <v>0</v>
      </c>
      <c r="DXB23" s="229">
        <v>0</v>
      </c>
      <c r="DXC23" s="229">
        <v>0</v>
      </c>
      <c r="DXD23" s="229">
        <v>0</v>
      </c>
      <c r="DXE23" s="229">
        <v>0</v>
      </c>
      <c r="DXF23" s="229">
        <v>0</v>
      </c>
      <c r="DXG23" s="229">
        <v>0</v>
      </c>
      <c r="DXH23" s="229">
        <v>0</v>
      </c>
      <c r="DXI23" s="229">
        <v>0</v>
      </c>
      <c r="DXJ23" s="229">
        <v>0</v>
      </c>
      <c r="DXK23" s="229">
        <v>0</v>
      </c>
      <c r="DXL23" s="229">
        <v>0</v>
      </c>
      <c r="DXM23" s="229">
        <v>0</v>
      </c>
      <c r="DXN23" s="229">
        <v>0</v>
      </c>
      <c r="DXO23" s="229">
        <v>0</v>
      </c>
      <c r="DXP23" s="229">
        <v>0</v>
      </c>
      <c r="DXQ23" s="229">
        <v>0</v>
      </c>
      <c r="DXR23" s="229">
        <v>0</v>
      </c>
      <c r="DXS23" s="229">
        <v>0</v>
      </c>
      <c r="DXT23" s="229">
        <v>0</v>
      </c>
      <c r="DXU23" s="229">
        <v>0</v>
      </c>
      <c r="DXV23" s="229">
        <v>0</v>
      </c>
      <c r="DXW23" s="229">
        <v>0</v>
      </c>
      <c r="DXX23" s="229">
        <v>0</v>
      </c>
      <c r="DXY23" s="229">
        <v>0</v>
      </c>
      <c r="DXZ23" s="229">
        <v>0</v>
      </c>
      <c r="DYA23" s="229">
        <v>0</v>
      </c>
      <c r="DYB23" s="229">
        <v>0</v>
      </c>
      <c r="DYC23" s="229">
        <v>0</v>
      </c>
      <c r="DYD23" s="229">
        <v>0</v>
      </c>
      <c r="DYE23" s="229">
        <v>0</v>
      </c>
      <c r="DYF23" s="229">
        <v>0</v>
      </c>
      <c r="DYG23" s="229">
        <v>0</v>
      </c>
      <c r="DYH23" s="229">
        <v>0</v>
      </c>
      <c r="DYI23" s="229">
        <v>0</v>
      </c>
      <c r="DYJ23" s="229">
        <v>0</v>
      </c>
      <c r="DYK23" s="229">
        <v>0</v>
      </c>
      <c r="DYL23" s="229">
        <v>0</v>
      </c>
      <c r="DYM23" s="229">
        <v>0</v>
      </c>
      <c r="DYN23" s="229">
        <v>0</v>
      </c>
      <c r="DYO23" s="229">
        <v>0</v>
      </c>
      <c r="DYP23" s="229">
        <v>0</v>
      </c>
      <c r="DYQ23" s="229">
        <v>0</v>
      </c>
      <c r="DYR23" s="229">
        <v>0</v>
      </c>
      <c r="DYS23" s="229">
        <v>0</v>
      </c>
      <c r="DYT23" s="229">
        <v>0</v>
      </c>
      <c r="DYU23" s="229">
        <v>0</v>
      </c>
      <c r="DYV23" s="229">
        <v>0</v>
      </c>
      <c r="DYW23" s="229">
        <v>0</v>
      </c>
      <c r="DYX23" s="229">
        <v>0</v>
      </c>
      <c r="DYY23" s="229">
        <v>0</v>
      </c>
      <c r="DYZ23" s="229">
        <v>0</v>
      </c>
      <c r="DZA23" s="229">
        <v>0</v>
      </c>
      <c r="DZB23" s="229">
        <v>0</v>
      </c>
      <c r="DZC23" s="229">
        <v>0</v>
      </c>
      <c r="DZD23" s="229">
        <v>0</v>
      </c>
      <c r="DZE23" s="229">
        <v>0</v>
      </c>
      <c r="DZF23" s="229">
        <v>0</v>
      </c>
      <c r="DZG23" s="229">
        <v>0</v>
      </c>
      <c r="DZH23" s="229">
        <v>0</v>
      </c>
      <c r="DZI23" s="229">
        <v>0</v>
      </c>
      <c r="DZJ23" s="229">
        <v>0</v>
      </c>
      <c r="DZK23" s="229">
        <v>0</v>
      </c>
      <c r="DZL23" s="229">
        <v>0</v>
      </c>
      <c r="DZM23" s="229">
        <v>0</v>
      </c>
      <c r="DZN23" s="229">
        <v>0</v>
      </c>
      <c r="DZO23" s="229">
        <v>0</v>
      </c>
      <c r="DZP23" s="229">
        <v>0</v>
      </c>
      <c r="DZQ23" s="229">
        <v>0</v>
      </c>
      <c r="DZR23" s="229">
        <v>0</v>
      </c>
      <c r="DZS23" s="229">
        <v>0</v>
      </c>
      <c r="DZT23" s="229">
        <v>0</v>
      </c>
      <c r="DZU23" s="229">
        <v>0</v>
      </c>
      <c r="DZV23" s="229">
        <v>0</v>
      </c>
      <c r="DZW23" s="229">
        <v>0</v>
      </c>
      <c r="DZX23" s="229">
        <v>0</v>
      </c>
      <c r="DZY23" s="229">
        <v>0</v>
      </c>
      <c r="DZZ23" s="229">
        <v>0</v>
      </c>
      <c r="EAA23" s="229">
        <v>0</v>
      </c>
      <c r="EAB23" s="229">
        <v>0</v>
      </c>
      <c r="EAC23" s="229">
        <v>0</v>
      </c>
      <c r="EAD23" s="229">
        <v>0</v>
      </c>
      <c r="EAE23" s="229">
        <v>0</v>
      </c>
      <c r="EAF23" s="229">
        <v>0</v>
      </c>
      <c r="EAG23" s="229">
        <v>0</v>
      </c>
      <c r="EAH23" s="229">
        <v>0</v>
      </c>
      <c r="EAI23" s="229">
        <v>0</v>
      </c>
      <c r="EAJ23" s="229">
        <v>0</v>
      </c>
      <c r="EAK23" s="229">
        <v>0</v>
      </c>
      <c r="EAL23" s="229">
        <v>0</v>
      </c>
      <c r="EAM23" s="229">
        <v>0</v>
      </c>
      <c r="EAN23" s="229">
        <v>0</v>
      </c>
      <c r="EAO23" s="229">
        <v>0</v>
      </c>
      <c r="EAP23" s="229">
        <v>0</v>
      </c>
      <c r="EAQ23" s="229">
        <v>0</v>
      </c>
      <c r="EAR23" s="229">
        <v>0</v>
      </c>
      <c r="EAS23" s="229">
        <v>0</v>
      </c>
      <c r="EAT23" s="229">
        <v>0</v>
      </c>
      <c r="EAU23" s="229">
        <v>0</v>
      </c>
      <c r="EAV23" s="229">
        <v>0</v>
      </c>
      <c r="EAW23" s="229">
        <v>0</v>
      </c>
      <c r="EAX23" s="229">
        <v>0</v>
      </c>
      <c r="EAY23" s="229">
        <v>0</v>
      </c>
      <c r="EAZ23" s="229">
        <v>0</v>
      </c>
      <c r="EBA23" s="229">
        <v>0</v>
      </c>
      <c r="EBB23" s="229">
        <v>0</v>
      </c>
      <c r="EBC23" s="229">
        <v>0</v>
      </c>
      <c r="EBD23" s="229">
        <v>0</v>
      </c>
      <c r="EBE23" s="229">
        <v>0</v>
      </c>
      <c r="EBF23" s="229">
        <v>0</v>
      </c>
      <c r="EBG23" s="229">
        <v>0</v>
      </c>
      <c r="EBH23" s="229">
        <v>0</v>
      </c>
      <c r="EBI23" s="229">
        <v>0</v>
      </c>
      <c r="EBJ23" s="229">
        <v>0</v>
      </c>
      <c r="EBK23" s="229">
        <v>0</v>
      </c>
      <c r="EBL23" s="229">
        <v>0</v>
      </c>
      <c r="EBM23" s="229">
        <v>0</v>
      </c>
      <c r="EBN23" s="229">
        <v>0</v>
      </c>
      <c r="EBO23" s="229">
        <v>0</v>
      </c>
      <c r="EBP23" s="229">
        <v>0</v>
      </c>
      <c r="EBQ23" s="229">
        <v>0</v>
      </c>
      <c r="EBR23" s="229">
        <v>0</v>
      </c>
      <c r="EBS23" s="229">
        <v>0</v>
      </c>
      <c r="EBT23" s="229">
        <v>0</v>
      </c>
      <c r="EBU23" s="229">
        <v>0</v>
      </c>
      <c r="EBV23" s="229">
        <v>0</v>
      </c>
      <c r="EBW23" s="229">
        <v>0</v>
      </c>
      <c r="EBX23" s="229">
        <v>0</v>
      </c>
      <c r="EBY23" s="229">
        <v>0</v>
      </c>
      <c r="EBZ23" s="229">
        <v>0</v>
      </c>
      <c r="ECA23" s="229">
        <v>0</v>
      </c>
      <c r="ECB23" s="229">
        <v>0</v>
      </c>
      <c r="ECC23" s="229">
        <v>0</v>
      </c>
      <c r="ECD23" s="229">
        <v>0</v>
      </c>
      <c r="ECE23" s="229">
        <v>0</v>
      </c>
      <c r="ECF23" s="229">
        <v>0</v>
      </c>
      <c r="ECG23" s="229">
        <v>0</v>
      </c>
      <c r="ECH23" s="229">
        <v>0</v>
      </c>
      <c r="ECI23" s="229">
        <v>0</v>
      </c>
      <c r="ECJ23" s="229">
        <v>0</v>
      </c>
      <c r="ECK23" s="229">
        <v>0</v>
      </c>
      <c r="ECL23" s="229">
        <v>0</v>
      </c>
      <c r="ECM23" s="229">
        <v>0</v>
      </c>
      <c r="ECN23" s="229">
        <v>0</v>
      </c>
      <c r="ECO23" s="229">
        <v>0</v>
      </c>
      <c r="ECP23" s="229">
        <v>0</v>
      </c>
      <c r="ECQ23" s="229">
        <v>0</v>
      </c>
      <c r="ECR23" s="229">
        <v>0</v>
      </c>
      <c r="ECS23" s="229">
        <v>0</v>
      </c>
      <c r="ECT23" s="229">
        <v>0</v>
      </c>
      <c r="ECU23" s="229">
        <v>0</v>
      </c>
      <c r="ECV23" s="229">
        <v>0</v>
      </c>
      <c r="ECW23" s="229">
        <v>0</v>
      </c>
      <c r="ECX23" s="229">
        <v>0</v>
      </c>
      <c r="ECY23" s="229">
        <v>0</v>
      </c>
      <c r="ECZ23" s="229">
        <v>0</v>
      </c>
      <c r="EDA23" s="229">
        <v>0</v>
      </c>
      <c r="EDB23" s="229">
        <v>0</v>
      </c>
      <c r="EDC23" s="229">
        <v>0</v>
      </c>
      <c r="EDD23" s="229">
        <v>0</v>
      </c>
      <c r="EDE23" s="229">
        <v>0</v>
      </c>
      <c r="EDF23" s="229">
        <v>0</v>
      </c>
      <c r="EDG23" s="229">
        <v>0</v>
      </c>
      <c r="EDH23" s="229">
        <v>0</v>
      </c>
      <c r="EDI23" s="229">
        <v>0</v>
      </c>
      <c r="EDJ23" s="229">
        <v>0</v>
      </c>
      <c r="EDK23" s="229">
        <v>0</v>
      </c>
      <c r="EDL23" s="229">
        <v>0</v>
      </c>
      <c r="EDM23" s="229">
        <v>0</v>
      </c>
      <c r="EDN23" s="229">
        <v>0</v>
      </c>
      <c r="EDO23" s="229">
        <v>0</v>
      </c>
      <c r="EDP23" s="229">
        <v>0</v>
      </c>
      <c r="EDQ23" s="229">
        <v>0</v>
      </c>
      <c r="EDR23" s="229">
        <v>0</v>
      </c>
      <c r="EDS23" s="229">
        <v>0</v>
      </c>
      <c r="EDT23" s="229">
        <v>0</v>
      </c>
      <c r="EDU23" s="229">
        <v>0</v>
      </c>
      <c r="EDV23" s="229">
        <v>0</v>
      </c>
      <c r="EDW23" s="229">
        <v>0</v>
      </c>
      <c r="EDX23" s="229">
        <v>0</v>
      </c>
      <c r="EDY23" s="229">
        <v>0</v>
      </c>
      <c r="EDZ23" s="229">
        <v>0</v>
      </c>
      <c r="EEA23" s="229">
        <v>0</v>
      </c>
      <c r="EEB23" s="229">
        <v>0</v>
      </c>
      <c r="EEC23" s="229">
        <v>0</v>
      </c>
      <c r="EED23" s="229">
        <v>0</v>
      </c>
      <c r="EEE23" s="229">
        <v>0</v>
      </c>
      <c r="EEF23" s="229">
        <v>0</v>
      </c>
      <c r="EEG23" s="229">
        <v>0</v>
      </c>
      <c r="EEH23" s="229">
        <v>0</v>
      </c>
      <c r="EEI23" s="229">
        <v>0</v>
      </c>
      <c r="EEJ23" s="229">
        <v>0</v>
      </c>
      <c r="EEK23" s="229">
        <v>0</v>
      </c>
      <c r="EEL23" s="229">
        <v>0</v>
      </c>
      <c r="EEM23" s="229">
        <v>0</v>
      </c>
      <c r="EEN23" s="229">
        <v>0</v>
      </c>
      <c r="EEO23" s="229">
        <v>0</v>
      </c>
      <c r="EEP23" s="229">
        <v>0</v>
      </c>
      <c r="EEQ23" s="229">
        <v>0</v>
      </c>
      <c r="EER23" s="229">
        <v>0</v>
      </c>
      <c r="EES23" s="229">
        <v>0</v>
      </c>
      <c r="EET23" s="229">
        <v>0</v>
      </c>
      <c r="EEU23" s="229">
        <v>0</v>
      </c>
      <c r="EEV23" s="229">
        <v>0</v>
      </c>
      <c r="EEW23" s="229">
        <v>0</v>
      </c>
      <c r="EEX23" s="229">
        <v>0</v>
      </c>
      <c r="EEY23" s="229">
        <v>0</v>
      </c>
      <c r="EEZ23" s="229">
        <v>0</v>
      </c>
      <c r="EFA23" s="229">
        <v>0</v>
      </c>
      <c r="EFB23" s="229">
        <v>0</v>
      </c>
      <c r="EFC23" s="229">
        <v>0</v>
      </c>
      <c r="EFD23" s="229">
        <v>0</v>
      </c>
      <c r="EFE23" s="229">
        <v>0</v>
      </c>
      <c r="EFF23" s="229">
        <v>0</v>
      </c>
      <c r="EFG23" s="229">
        <v>0</v>
      </c>
      <c r="EFH23" s="229">
        <v>0</v>
      </c>
      <c r="EFI23" s="229">
        <v>0</v>
      </c>
      <c r="EFJ23" s="229">
        <v>0</v>
      </c>
      <c r="EFK23" s="229">
        <v>0</v>
      </c>
      <c r="EFL23" s="229">
        <v>0</v>
      </c>
      <c r="EFM23" s="229">
        <v>0</v>
      </c>
      <c r="EFN23" s="229">
        <v>0</v>
      </c>
      <c r="EFO23" s="229">
        <v>0</v>
      </c>
      <c r="EFP23" s="229">
        <v>0</v>
      </c>
      <c r="EFQ23" s="229">
        <v>0</v>
      </c>
      <c r="EFR23" s="229">
        <v>0</v>
      </c>
      <c r="EFS23" s="229">
        <v>0</v>
      </c>
      <c r="EFT23" s="229">
        <v>0</v>
      </c>
      <c r="EFU23" s="229">
        <v>0</v>
      </c>
      <c r="EFV23" s="229">
        <v>0</v>
      </c>
      <c r="EFW23" s="229">
        <v>0</v>
      </c>
      <c r="EFX23" s="229">
        <v>0</v>
      </c>
      <c r="EFY23" s="229">
        <v>0</v>
      </c>
      <c r="EFZ23" s="229">
        <v>0</v>
      </c>
      <c r="EGA23" s="229">
        <v>0</v>
      </c>
      <c r="EGB23" s="229">
        <v>0</v>
      </c>
      <c r="EGC23" s="229">
        <v>0</v>
      </c>
      <c r="EGD23" s="229">
        <v>0</v>
      </c>
      <c r="EGE23" s="229">
        <v>0</v>
      </c>
      <c r="EGF23" s="229">
        <v>0</v>
      </c>
      <c r="EGG23" s="229">
        <v>0</v>
      </c>
      <c r="EGH23" s="229">
        <v>0</v>
      </c>
      <c r="EGI23" s="229">
        <v>0</v>
      </c>
      <c r="EGJ23" s="229">
        <v>0</v>
      </c>
      <c r="EGK23" s="229">
        <v>0</v>
      </c>
      <c r="EGL23" s="229">
        <v>0</v>
      </c>
      <c r="EGM23" s="229">
        <v>0</v>
      </c>
      <c r="EGN23" s="229">
        <v>0</v>
      </c>
      <c r="EGO23" s="229">
        <v>0</v>
      </c>
      <c r="EGP23" s="229">
        <v>0</v>
      </c>
      <c r="EGQ23" s="229">
        <v>0</v>
      </c>
      <c r="EGR23" s="229">
        <v>0</v>
      </c>
      <c r="EGS23" s="229">
        <v>0</v>
      </c>
      <c r="EGT23" s="229">
        <v>0</v>
      </c>
      <c r="EGU23" s="229">
        <v>0</v>
      </c>
      <c r="EGV23" s="229">
        <v>0</v>
      </c>
      <c r="EGW23" s="229">
        <v>0</v>
      </c>
      <c r="EGX23" s="229">
        <v>0</v>
      </c>
      <c r="EGY23" s="229">
        <v>0</v>
      </c>
      <c r="EGZ23" s="229">
        <v>0</v>
      </c>
      <c r="EHA23" s="229">
        <v>0</v>
      </c>
      <c r="EHB23" s="229">
        <v>0</v>
      </c>
      <c r="EHC23" s="229">
        <v>0</v>
      </c>
      <c r="EHD23" s="229">
        <v>0</v>
      </c>
      <c r="EHE23" s="229">
        <v>0</v>
      </c>
      <c r="EHF23" s="229">
        <v>0</v>
      </c>
      <c r="EHG23" s="229">
        <v>0</v>
      </c>
      <c r="EHH23" s="229">
        <v>0</v>
      </c>
      <c r="EHI23" s="229">
        <v>0</v>
      </c>
      <c r="EHJ23" s="229">
        <v>0</v>
      </c>
      <c r="EHK23" s="229">
        <v>0</v>
      </c>
      <c r="EHL23" s="229">
        <v>0</v>
      </c>
      <c r="EHM23" s="229">
        <v>0</v>
      </c>
      <c r="EHN23" s="229">
        <v>0</v>
      </c>
      <c r="EHO23" s="229">
        <v>0</v>
      </c>
      <c r="EHP23" s="229">
        <v>0</v>
      </c>
      <c r="EHQ23" s="229">
        <v>0</v>
      </c>
      <c r="EHR23" s="229">
        <v>0</v>
      </c>
      <c r="EHS23" s="229">
        <v>0</v>
      </c>
      <c r="EHT23" s="229">
        <v>0</v>
      </c>
      <c r="EHU23" s="229">
        <v>0</v>
      </c>
      <c r="EHV23" s="229">
        <v>0</v>
      </c>
      <c r="EHW23" s="229">
        <v>0</v>
      </c>
      <c r="EHX23" s="229">
        <v>0</v>
      </c>
      <c r="EHY23" s="229">
        <v>0</v>
      </c>
      <c r="EHZ23" s="229">
        <v>0</v>
      </c>
      <c r="EIA23" s="229">
        <v>0</v>
      </c>
      <c r="EIB23" s="229">
        <v>0</v>
      </c>
      <c r="EIC23" s="229">
        <v>0</v>
      </c>
      <c r="EID23" s="229">
        <v>0</v>
      </c>
      <c r="EIE23" s="229">
        <v>0</v>
      </c>
      <c r="EIF23" s="229">
        <v>0</v>
      </c>
      <c r="EIG23" s="229">
        <v>0</v>
      </c>
      <c r="EIH23" s="229">
        <v>0</v>
      </c>
      <c r="EII23" s="229">
        <v>0</v>
      </c>
      <c r="EIJ23" s="229">
        <v>0</v>
      </c>
      <c r="EIK23" s="229">
        <v>0</v>
      </c>
      <c r="EIL23" s="229">
        <v>0</v>
      </c>
      <c r="EIM23" s="229">
        <v>0</v>
      </c>
      <c r="EIN23" s="229">
        <v>0</v>
      </c>
      <c r="EIO23" s="229">
        <v>0</v>
      </c>
      <c r="EIP23" s="229">
        <v>0</v>
      </c>
      <c r="EIQ23" s="229">
        <v>0</v>
      </c>
      <c r="EIR23" s="229">
        <v>0</v>
      </c>
      <c r="EIS23" s="229">
        <v>0</v>
      </c>
      <c r="EIT23" s="229">
        <v>0</v>
      </c>
      <c r="EIU23" s="229">
        <v>0</v>
      </c>
      <c r="EIV23" s="229">
        <v>0</v>
      </c>
      <c r="EIW23" s="229">
        <v>0</v>
      </c>
      <c r="EIX23" s="229">
        <v>0</v>
      </c>
      <c r="EIY23" s="229">
        <v>0</v>
      </c>
      <c r="EIZ23" s="229">
        <v>0</v>
      </c>
      <c r="EJA23" s="229">
        <v>0</v>
      </c>
      <c r="EJB23" s="229">
        <v>0</v>
      </c>
      <c r="EJC23" s="229">
        <v>0</v>
      </c>
      <c r="EJD23" s="229">
        <v>0</v>
      </c>
      <c r="EJE23" s="229">
        <v>0</v>
      </c>
      <c r="EJF23" s="229">
        <v>0</v>
      </c>
      <c r="EJG23" s="229">
        <v>0</v>
      </c>
      <c r="EJH23" s="229">
        <v>0</v>
      </c>
      <c r="EJI23" s="229">
        <v>0</v>
      </c>
      <c r="EJJ23" s="229">
        <v>0</v>
      </c>
      <c r="EJK23" s="229">
        <v>0</v>
      </c>
      <c r="EJL23" s="229">
        <v>0</v>
      </c>
      <c r="EJM23" s="229">
        <v>0</v>
      </c>
      <c r="EJN23" s="229">
        <v>0</v>
      </c>
      <c r="EJO23" s="229">
        <v>0</v>
      </c>
      <c r="EJP23" s="229">
        <v>0</v>
      </c>
      <c r="EJQ23" s="229">
        <v>0</v>
      </c>
      <c r="EJR23" s="229">
        <v>0</v>
      </c>
      <c r="EJS23" s="229">
        <v>0</v>
      </c>
      <c r="EJT23" s="229">
        <v>0</v>
      </c>
      <c r="EJU23" s="229">
        <v>0</v>
      </c>
      <c r="EJV23" s="229">
        <v>0</v>
      </c>
      <c r="EJW23" s="229">
        <v>0</v>
      </c>
      <c r="EJX23" s="229">
        <v>0</v>
      </c>
      <c r="EJY23" s="229">
        <v>0</v>
      </c>
      <c r="EJZ23" s="229">
        <v>0</v>
      </c>
      <c r="EKA23" s="229">
        <v>0</v>
      </c>
      <c r="EKB23" s="229">
        <v>0</v>
      </c>
      <c r="EKC23" s="229">
        <v>0</v>
      </c>
      <c r="EKD23" s="229">
        <v>0</v>
      </c>
      <c r="EKE23" s="229">
        <v>0</v>
      </c>
      <c r="EKF23" s="229">
        <v>0</v>
      </c>
      <c r="EKG23" s="229">
        <v>0</v>
      </c>
      <c r="EKH23" s="229">
        <v>0</v>
      </c>
      <c r="EKI23" s="229">
        <v>0</v>
      </c>
      <c r="EKJ23" s="229">
        <v>0</v>
      </c>
      <c r="EKK23" s="229">
        <v>0</v>
      </c>
      <c r="EKL23" s="229">
        <v>0</v>
      </c>
      <c r="EKM23" s="229">
        <v>0</v>
      </c>
      <c r="EKN23" s="229">
        <v>0</v>
      </c>
      <c r="EKO23" s="229">
        <v>0</v>
      </c>
      <c r="EKP23" s="229">
        <v>0</v>
      </c>
      <c r="EKQ23" s="229">
        <v>0</v>
      </c>
      <c r="EKR23" s="229">
        <v>0</v>
      </c>
      <c r="EKS23" s="229">
        <v>0</v>
      </c>
      <c r="EKT23" s="229">
        <v>0</v>
      </c>
      <c r="EKU23" s="229">
        <v>0</v>
      </c>
      <c r="EKV23" s="229">
        <v>0</v>
      </c>
      <c r="EKW23" s="229">
        <v>0</v>
      </c>
      <c r="EKX23" s="229">
        <v>0</v>
      </c>
      <c r="EKY23" s="229">
        <v>0</v>
      </c>
      <c r="EKZ23" s="229">
        <v>0</v>
      </c>
      <c r="ELA23" s="229">
        <v>0</v>
      </c>
      <c r="ELB23" s="229">
        <v>0</v>
      </c>
      <c r="ELC23" s="229">
        <v>0</v>
      </c>
      <c r="ELD23" s="229">
        <v>0</v>
      </c>
      <c r="ELE23" s="229">
        <v>0</v>
      </c>
      <c r="ELF23" s="229">
        <v>0</v>
      </c>
      <c r="ELG23" s="229">
        <v>0</v>
      </c>
      <c r="ELH23" s="229">
        <v>0</v>
      </c>
      <c r="ELI23" s="229">
        <v>0</v>
      </c>
      <c r="ELJ23" s="229">
        <v>0</v>
      </c>
      <c r="ELK23" s="229">
        <v>0</v>
      </c>
      <c r="ELL23" s="229">
        <v>0</v>
      </c>
      <c r="ELM23" s="229">
        <v>0</v>
      </c>
      <c r="ELN23" s="229">
        <v>0</v>
      </c>
      <c r="ELO23" s="229">
        <v>0</v>
      </c>
      <c r="ELP23" s="229">
        <v>0</v>
      </c>
      <c r="ELQ23" s="229">
        <v>0</v>
      </c>
      <c r="ELR23" s="229">
        <v>0</v>
      </c>
      <c r="ELS23" s="229">
        <v>0</v>
      </c>
      <c r="ELT23" s="229">
        <v>0</v>
      </c>
      <c r="ELU23" s="229">
        <v>0</v>
      </c>
      <c r="ELV23" s="229">
        <v>0</v>
      </c>
      <c r="ELW23" s="229">
        <v>0</v>
      </c>
      <c r="ELX23" s="229">
        <v>0</v>
      </c>
      <c r="ELY23" s="229">
        <v>0</v>
      </c>
      <c r="ELZ23" s="229">
        <v>0</v>
      </c>
      <c r="EMA23" s="229">
        <v>0</v>
      </c>
      <c r="EMB23" s="229">
        <v>0</v>
      </c>
      <c r="EMC23" s="229">
        <v>0</v>
      </c>
      <c r="EMD23" s="229">
        <v>0</v>
      </c>
      <c r="EME23" s="229">
        <v>0</v>
      </c>
      <c r="EMF23" s="229">
        <v>0</v>
      </c>
      <c r="EMG23" s="229">
        <v>0</v>
      </c>
      <c r="EMH23" s="229">
        <v>0</v>
      </c>
      <c r="EMI23" s="229">
        <v>0</v>
      </c>
      <c r="EMJ23" s="229">
        <v>0</v>
      </c>
      <c r="EMK23" s="229">
        <v>0</v>
      </c>
      <c r="EML23" s="229">
        <v>0</v>
      </c>
      <c r="EMM23" s="229">
        <v>0</v>
      </c>
      <c r="EMN23" s="229">
        <v>0</v>
      </c>
      <c r="EMO23" s="229">
        <v>0</v>
      </c>
      <c r="EMP23" s="229">
        <v>0</v>
      </c>
      <c r="EMQ23" s="229">
        <v>0</v>
      </c>
      <c r="EMR23" s="229">
        <v>0</v>
      </c>
      <c r="EMS23" s="229">
        <v>0</v>
      </c>
      <c r="EMT23" s="229">
        <v>0</v>
      </c>
      <c r="EMU23" s="229">
        <v>0</v>
      </c>
      <c r="EMV23" s="229">
        <v>0</v>
      </c>
      <c r="EMW23" s="229">
        <v>0</v>
      </c>
      <c r="EMX23" s="229">
        <v>0</v>
      </c>
      <c r="EMY23" s="229">
        <v>0</v>
      </c>
      <c r="EMZ23" s="229">
        <v>0</v>
      </c>
      <c r="ENA23" s="229">
        <v>0</v>
      </c>
      <c r="ENB23" s="229">
        <v>0</v>
      </c>
      <c r="ENC23" s="229">
        <v>0</v>
      </c>
      <c r="END23" s="229">
        <v>0</v>
      </c>
      <c r="ENE23" s="229">
        <v>0</v>
      </c>
      <c r="ENF23" s="229">
        <v>0</v>
      </c>
      <c r="ENG23" s="229">
        <v>0</v>
      </c>
      <c r="ENH23" s="229">
        <v>0</v>
      </c>
      <c r="ENI23" s="229">
        <v>0</v>
      </c>
      <c r="ENJ23" s="229">
        <v>0</v>
      </c>
      <c r="ENK23" s="229">
        <v>0</v>
      </c>
      <c r="ENL23" s="229">
        <v>0</v>
      </c>
      <c r="ENM23" s="229">
        <v>0</v>
      </c>
      <c r="ENN23" s="229">
        <v>0</v>
      </c>
      <c r="ENO23" s="229">
        <v>0</v>
      </c>
      <c r="ENP23" s="229">
        <v>0</v>
      </c>
      <c r="ENQ23" s="229">
        <v>0</v>
      </c>
      <c r="ENR23" s="229">
        <v>0</v>
      </c>
      <c r="ENS23" s="229">
        <v>0</v>
      </c>
      <c r="ENT23" s="229">
        <v>0</v>
      </c>
      <c r="ENU23" s="229">
        <v>0</v>
      </c>
      <c r="ENV23" s="229">
        <v>0</v>
      </c>
      <c r="ENW23" s="229">
        <v>0</v>
      </c>
      <c r="ENX23" s="229">
        <v>0</v>
      </c>
      <c r="ENY23" s="229">
        <v>0</v>
      </c>
      <c r="ENZ23" s="229">
        <v>0</v>
      </c>
      <c r="EOA23" s="229">
        <v>0</v>
      </c>
      <c r="EOB23" s="229">
        <v>0</v>
      </c>
      <c r="EOC23" s="229">
        <v>0</v>
      </c>
      <c r="EOD23" s="229">
        <v>0</v>
      </c>
      <c r="EOE23" s="229">
        <v>0</v>
      </c>
      <c r="EOF23" s="229">
        <v>0</v>
      </c>
      <c r="EOG23" s="229">
        <v>0</v>
      </c>
      <c r="EOH23" s="229">
        <v>0</v>
      </c>
      <c r="EOI23" s="229">
        <v>0</v>
      </c>
      <c r="EOJ23" s="229">
        <v>0</v>
      </c>
      <c r="EOK23" s="229">
        <v>0</v>
      </c>
      <c r="EOL23" s="229">
        <v>0</v>
      </c>
      <c r="EOM23" s="229">
        <v>0</v>
      </c>
      <c r="EON23" s="229">
        <v>0</v>
      </c>
      <c r="EOO23" s="229">
        <v>0</v>
      </c>
      <c r="EOP23" s="229">
        <v>0</v>
      </c>
      <c r="EOQ23" s="229">
        <v>0</v>
      </c>
      <c r="EOR23" s="229">
        <v>0</v>
      </c>
      <c r="EOS23" s="229">
        <v>0</v>
      </c>
      <c r="EOT23" s="229">
        <v>0</v>
      </c>
      <c r="EOU23" s="229">
        <v>0</v>
      </c>
      <c r="EOV23" s="229">
        <v>0</v>
      </c>
      <c r="EOW23" s="229">
        <v>0</v>
      </c>
      <c r="EOX23" s="229">
        <v>0</v>
      </c>
      <c r="EOY23" s="229">
        <v>0</v>
      </c>
      <c r="EOZ23" s="229">
        <v>0</v>
      </c>
      <c r="EPA23" s="229">
        <v>0</v>
      </c>
      <c r="EPB23" s="229">
        <v>0</v>
      </c>
      <c r="EPC23" s="229">
        <v>0</v>
      </c>
      <c r="EPD23" s="229">
        <v>0</v>
      </c>
      <c r="EPE23" s="229">
        <v>0</v>
      </c>
      <c r="EPF23" s="229">
        <v>0</v>
      </c>
      <c r="EPG23" s="229">
        <v>0</v>
      </c>
      <c r="EPH23" s="229">
        <v>0</v>
      </c>
      <c r="EPI23" s="229">
        <v>0</v>
      </c>
      <c r="EPJ23" s="229">
        <v>0</v>
      </c>
      <c r="EPK23" s="229">
        <v>0</v>
      </c>
      <c r="EPL23" s="229">
        <v>0</v>
      </c>
      <c r="EPM23" s="229">
        <v>0</v>
      </c>
      <c r="EPN23" s="229">
        <v>0</v>
      </c>
      <c r="EPO23" s="229">
        <v>0</v>
      </c>
      <c r="EPP23" s="229">
        <v>0</v>
      </c>
      <c r="EPQ23" s="229">
        <v>0</v>
      </c>
      <c r="EPR23" s="229">
        <v>0</v>
      </c>
      <c r="EPS23" s="229">
        <v>0</v>
      </c>
      <c r="EPT23" s="229">
        <v>0</v>
      </c>
      <c r="EPU23" s="229">
        <v>0</v>
      </c>
      <c r="EPV23" s="229">
        <v>0</v>
      </c>
      <c r="EPW23" s="229">
        <v>0</v>
      </c>
      <c r="EPX23" s="229">
        <v>0</v>
      </c>
      <c r="EPY23" s="229">
        <v>0</v>
      </c>
      <c r="EPZ23" s="229">
        <v>0</v>
      </c>
      <c r="EQA23" s="229">
        <v>0</v>
      </c>
      <c r="EQB23" s="229">
        <v>0</v>
      </c>
      <c r="EQC23" s="229">
        <v>0</v>
      </c>
      <c r="EQD23" s="229">
        <v>0</v>
      </c>
      <c r="EQE23" s="229">
        <v>0</v>
      </c>
      <c r="EQF23" s="229">
        <v>0</v>
      </c>
      <c r="EQG23" s="229">
        <v>0</v>
      </c>
      <c r="EQH23" s="229">
        <v>0</v>
      </c>
      <c r="EQI23" s="229">
        <v>0</v>
      </c>
      <c r="EQJ23" s="229">
        <v>0</v>
      </c>
      <c r="EQK23" s="229">
        <v>0</v>
      </c>
      <c r="EQL23" s="229">
        <v>0</v>
      </c>
      <c r="EQM23" s="229">
        <v>0</v>
      </c>
      <c r="EQN23" s="229">
        <v>0</v>
      </c>
      <c r="EQO23" s="229">
        <v>0</v>
      </c>
      <c r="EQP23" s="229">
        <v>0</v>
      </c>
      <c r="EQQ23" s="229">
        <v>0</v>
      </c>
      <c r="EQR23" s="229">
        <v>0</v>
      </c>
      <c r="EQS23" s="229">
        <v>0</v>
      </c>
      <c r="EQT23" s="229">
        <v>0</v>
      </c>
      <c r="EQU23" s="229">
        <v>0</v>
      </c>
      <c r="EQV23" s="229">
        <v>0</v>
      </c>
      <c r="EQW23" s="229">
        <v>0</v>
      </c>
      <c r="EQX23" s="229">
        <v>0</v>
      </c>
      <c r="EQY23" s="229">
        <v>0</v>
      </c>
      <c r="EQZ23" s="229">
        <v>0</v>
      </c>
      <c r="ERA23" s="229">
        <v>0</v>
      </c>
      <c r="ERB23" s="229">
        <v>0</v>
      </c>
      <c r="ERC23" s="229">
        <v>0</v>
      </c>
      <c r="ERD23" s="229">
        <v>0</v>
      </c>
      <c r="ERE23" s="229">
        <v>0</v>
      </c>
      <c r="ERF23" s="229">
        <v>0</v>
      </c>
      <c r="ERG23" s="229">
        <v>0</v>
      </c>
      <c r="ERH23" s="229">
        <v>0</v>
      </c>
      <c r="ERI23" s="229">
        <v>0</v>
      </c>
      <c r="ERJ23" s="229">
        <v>0</v>
      </c>
      <c r="ERK23" s="229">
        <v>0</v>
      </c>
      <c r="ERL23" s="229">
        <v>0</v>
      </c>
      <c r="ERM23" s="229">
        <v>0</v>
      </c>
      <c r="ERN23" s="229">
        <v>0</v>
      </c>
      <c r="ERO23" s="229">
        <v>0</v>
      </c>
      <c r="ERP23" s="229">
        <v>0</v>
      </c>
      <c r="ERQ23" s="229">
        <v>0</v>
      </c>
      <c r="ERR23" s="229">
        <v>0</v>
      </c>
      <c r="ERS23" s="229">
        <v>0</v>
      </c>
      <c r="ERT23" s="229">
        <v>0</v>
      </c>
      <c r="ERU23" s="229">
        <v>0</v>
      </c>
      <c r="ERV23" s="229">
        <v>0</v>
      </c>
      <c r="ERW23" s="229">
        <v>0</v>
      </c>
      <c r="ERX23" s="229">
        <v>0</v>
      </c>
      <c r="ERY23" s="229">
        <v>0</v>
      </c>
      <c r="ERZ23" s="229">
        <v>0</v>
      </c>
      <c r="ESA23" s="229">
        <v>0</v>
      </c>
      <c r="ESB23" s="229">
        <v>0</v>
      </c>
      <c r="ESC23" s="229">
        <v>0</v>
      </c>
      <c r="ESD23" s="229">
        <v>0</v>
      </c>
      <c r="ESE23" s="229">
        <v>0</v>
      </c>
      <c r="ESF23" s="229">
        <v>0</v>
      </c>
      <c r="ESG23" s="229">
        <v>0</v>
      </c>
      <c r="ESH23" s="229">
        <v>0</v>
      </c>
      <c r="ESI23" s="229">
        <v>0</v>
      </c>
      <c r="ESJ23" s="229">
        <v>0</v>
      </c>
      <c r="ESK23" s="229">
        <v>0</v>
      </c>
      <c r="ESL23" s="229">
        <v>0</v>
      </c>
      <c r="ESM23" s="229">
        <v>0</v>
      </c>
      <c r="ESN23" s="229">
        <v>0</v>
      </c>
      <c r="ESO23" s="229">
        <v>0</v>
      </c>
      <c r="ESP23" s="229">
        <v>0</v>
      </c>
      <c r="ESQ23" s="229">
        <v>0</v>
      </c>
      <c r="ESR23" s="229">
        <v>0</v>
      </c>
      <c r="ESS23" s="229">
        <v>0</v>
      </c>
      <c r="EST23" s="229">
        <v>0</v>
      </c>
      <c r="ESU23" s="229">
        <v>0</v>
      </c>
      <c r="ESV23" s="229">
        <v>0</v>
      </c>
      <c r="ESW23" s="229">
        <v>0</v>
      </c>
      <c r="ESX23" s="229">
        <v>0</v>
      </c>
      <c r="ESY23" s="229">
        <v>0</v>
      </c>
      <c r="ESZ23" s="229">
        <v>0</v>
      </c>
      <c r="ETA23" s="229">
        <v>0</v>
      </c>
      <c r="ETB23" s="229">
        <v>0</v>
      </c>
      <c r="ETC23" s="229">
        <v>0</v>
      </c>
      <c r="ETD23" s="229">
        <v>0</v>
      </c>
      <c r="ETE23" s="229">
        <v>0</v>
      </c>
      <c r="ETF23" s="229">
        <v>0</v>
      </c>
      <c r="ETG23" s="229">
        <v>0</v>
      </c>
      <c r="ETH23" s="229">
        <v>0</v>
      </c>
      <c r="ETI23" s="229">
        <v>0</v>
      </c>
      <c r="ETJ23" s="229">
        <v>0</v>
      </c>
      <c r="ETK23" s="229">
        <v>0</v>
      </c>
      <c r="ETL23" s="229">
        <v>0</v>
      </c>
      <c r="ETM23" s="229">
        <v>0</v>
      </c>
      <c r="ETN23" s="229">
        <v>0</v>
      </c>
      <c r="ETO23" s="229">
        <v>0</v>
      </c>
      <c r="ETP23" s="229">
        <v>0</v>
      </c>
      <c r="ETQ23" s="229">
        <v>0</v>
      </c>
      <c r="ETR23" s="229">
        <v>0</v>
      </c>
      <c r="ETS23" s="229">
        <v>0</v>
      </c>
      <c r="ETT23" s="229">
        <v>0</v>
      </c>
      <c r="ETU23" s="229">
        <v>0</v>
      </c>
      <c r="ETV23" s="229">
        <v>0</v>
      </c>
      <c r="ETW23" s="229">
        <v>0</v>
      </c>
      <c r="ETX23" s="229">
        <v>0</v>
      </c>
      <c r="ETY23" s="229">
        <v>0</v>
      </c>
      <c r="ETZ23" s="229">
        <v>0</v>
      </c>
      <c r="EUA23" s="229">
        <v>0</v>
      </c>
      <c r="EUB23" s="229">
        <v>0</v>
      </c>
      <c r="EUC23" s="229">
        <v>0</v>
      </c>
      <c r="EUD23" s="229">
        <v>0</v>
      </c>
      <c r="EUE23" s="229">
        <v>0</v>
      </c>
      <c r="EUF23" s="229">
        <v>0</v>
      </c>
      <c r="EUG23" s="229">
        <v>0</v>
      </c>
      <c r="EUH23" s="229">
        <v>0</v>
      </c>
      <c r="EUI23" s="229">
        <v>0</v>
      </c>
      <c r="EUJ23" s="229">
        <v>0</v>
      </c>
      <c r="EUK23" s="229">
        <v>0</v>
      </c>
      <c r="EUL23" s="229">
        <v>0</v>
      </c>
      <c r="EUM23" s="229">
        <v>0</v>
      </c>
      <c r="EUN23" s="229">
        <v>0</v>
      </c>
      <c r="EUO23" s="229">
        <v>0</v>
      </c>
      <c r="EUP23" s="229">
        <v>0</v>
      </c>
      <c r="EUQ23" s="229">
        <v>0</v>
      </c>
      <c r="EUR23" s="229">
        <v>0</v>
      </c>
      <c r="EUS23" s="229">
        <v>0</v>
      </c>
      <c r="EUT23" s="229">
        <v>0</v>
      </c>
      <c r="EUU23" s="229">
        <v>0</v>
      </c>
      <c r="EUV23" s="229">
        <v>0</v>
      </c>
      <c r="EUW23" s="229">
        <v>0</v>
      </c>
      <c r="EUX23" s="229">
        <v>0</v>
      </c>
      <c r="EUY23" s="229">
        <v>0</v>
      </c>
      <c r="EUZ23" s="229">
        <v>0</v>
      </c>
      <c r="EVA23" s="229">
        <v>0</v>
      </c>
      <c r="EVB23" s="229">
        <v>0</v>
      </c>
      <c r="EVC23" s="229">
        <v>0</v>
      </c>
      <c r="EVD23" s="229">
        <v>0</v>
      </c>
      <c r="EVE23" s="229">
        <v>0</v>
      </c>
      <c r="EVF23" s="229">
        <v>0</v>
      </c>
      <c r="EVG23" s="229">
        <v>0</v>
      </c>
      <c r="EVH23" s="229">
        <v>0</v>
      </c>
      <c r="EVI23" s="229">
        <v>0</v>
      </c>
      <c r="EVJ23" s="229">
        <v>0</v>
      </c>
      <c r="EVK23" s="229">
        <v>0</v>
      </c>
      <c r="EVL23" s="229">
        <v>0</v>
      </c>
      <c r="EVM23" s="229">
        <v>0</v>
      </c>
      <c r="EVN23" s="229">
        <v>0</v>
      </c>
      <c r="EVO23" s="229">
        <v>0</v>
      </c>
      <c r="EVP23" s="229">
        <v>0</v>
      </c>
      <c r="EVQ23" s="229">
        <v>0</v>
      </c>
      <c r="EVR23" s="229">
        <v>0</v>
      </c>
      <c r="EVS23" s="229">
        <v>0</v>
      </c>
      <c r="EVT23" s="229">
        <v>0</v>
      </c>
      <c r="EVU23" s="229">
        <v>0</v>
      </c>
      <c r="EVV23" s="229">
        <v>0</v>
      </c>
      <c r="EVW23" s="229">
        <v>0</v>
      </c>
      <c r="EVX23" s="229">
        <v>0</v>
      </c>
      <c r="EVY23" s="229">
        <v>0</v>
      </c>
      <c r="EVZ23" s="229">
        <v>0</v>
      </c>
      <c r="EWA23" s="229">
        <v>0</v>
      </c>
      <c r="EWB23" s="229">
        <v>0</v>
      </c>
      <c r="EWC23" s="229">
        <v>0</v>
      </c>
      <c r="EWD23" s="229">
        <v>0</v>
      </c>
      <c r="EWE23" s="229">
        <v>0</v>
      </c>
      <c r="EWF23" s="229">
        <v>0</v>
      </c>
      <c r="EWG23" s="229">
        <v>0</v>
      </c>
      <c r="EWH23" s="229">
        <v>0</v>
      </c>
      <c r="EWI23" s="229">
        <v>0</v>
      </c>
      <c r="EWJ23" s="229">
        <v>0</v>
      </c>
      <c r="EWK23" s="229">
        <v>0</v>
      </c>
      <c r="EWL23" s="229">
        <v>0</v>
      </c>
      <c r="EWM23" s="229">
        <v>0</v>
      </c>
      <c r="EWN23" s="229">
        <v>0</v>
      </c>
      <c r="EWO23" s="229">
        <v>0</v>
      </c>
      <c r="EWP23" s="229">
        <v>0</v>
      </c>
      <c r="EWQ23" s="229">
        <v>0</v>
      </c>
      <c r="EWR23" s="229">
        <v>0</v>
      </c>
      <c r="EWS23" s="229">
        <v>0</v>
      </c>
      <c r="EWT23" s="229">
        <v>0</v>
      </c>
      <c r="EWU23" s="229">
        <v>0</v>
      </c>
      <c r="EWV23" s="229">
        <v>0</v>
      </c>
      <c r="EWW23" s="229">
        <v>0</v>
      </c>
      <c r="EWX23" s="229">
        <v>0</v>
      </c>
      <c r="EWY23" s="229">
        <v>0</v>
      </c>
      <c r="EWZ23" s="229">
        <v>0</v>
      </c>
      <c r="EXA23" s="229">
        <v>0</v>
      </c>
      <c r="EXB23" s="229">
        <v>0</v>
      </c>
      <c r="EXC23" s="229">
        <v>0</v>
      </c>
      <c r="EXD23" s="229">
        <v>0</v>
      </c>
      <c r="EXE23" s="229">
        <v>0</v>
      </c>
      <c r="EXF23" s="229">
        <v>0</v>
      </c>
      <c r="EXG23" s="229">
        <v>0</v>
      </c>
      <c r="EXH23" s="229">
        <v>0</v>
      </c>
      <c r="EXI23" s="229">
        <v>0</v>
      </c>
      <c r="EXJ23" s="229">
        <v>0</v>
      </c>
      <c r="EXK23" s="229">
        <v>0</v>
      </c>
      <c r="EXL23" s="229">
        <v>0</v>
      </c>
      <c r="EXM23" s="229">
        <v>0</v>
      </c>
      <c r="EXN23" s="229">
        <v>0</v>
      </c>
      <c r="EXO23" s="229">
        <v>0</v>
      </c>
      <c r="EXP23" s="229">
        <v>0</v>
      </c>
      <c r="EXQ23" s="229">
        <v>0</v>
      </c>
      <c r="EXR23" s="229">
        <v>0</v>
      </c>
      <c r="EXS23" s="229">
        <v>0</v>
      </c>
      <c r="EXT23" s="229">
        <v>0</v>
      </c>
      <c r="EXU23" s="229">
        <v>0</v>
      </c>
      <c r="EXV23" s="229">
        <v>0</v>
      </c>
      <c r="EXW23" s="229">
        <v>0</v>
      </c>
      <c r="EXX23" s="229">
        <v>0</v>
      </c>
      <c r="EXY23" s="229">
        <v>0</v>
      </c>
      <c r="EXZ23" s="229">
        <v>0</v>
      </c>
      <c r="EYA23" s="229">
        <v>0</v>
      </c>
      <c r="EYB23" s="229">
        <v>0</v>
      </c>
      <c r="EYC23" s="229">
        <v>0</v>
      </c>
      <c r="EYD23" s="229">
        <v>0</v>
      </c>
      <c r="EYE23" s="229">
        <v>0</v>
      </c>
      <c r="EYF23" s="229">
        <v>0</v>
      </c>
      <c r="EYG23" s="229">
        <v>0</v>
      </c>
      <c r="EYH23" s="229">
        <v>0</v>
      </c>
      <c r="EYI23" s="229">
        <v>0</v>
      </c>
      <c r="EYJ23" s="229">
        <v>0</v>
      </c>
      <c r="EYK23" s="229">
        <v>0</v>
      </c>
      <c r="EYL23" s="229">
        <v>0</v>
      </c>
      <c r="EYM23" s="229">
        <v>0</v>
      </c>
      <c r="EYN23" s="229">
        <v>0</v>
      </c>
      <c r="EYO23" s="229">
        <v>0</v>
      </c>
      <c r="EYP23" s="229">
        <v>0</v>
      </c>
      <c r="EYQ23" s="229">
        <v>0</v>
      </c>
      <c r="EYR23" s="229">
        <v>0</v>
      </c>
      <c r="EYS23" s="229">
        <v>0</v>
      </c>
      <c r="EYT23" s="229">
        <v>0</v>
      </c>
      <c r="EYU23" s="229">
        <v>0</v>
      </c>
      <c r="EYV23" s="229">
        <v>0</v>
      </c>
      <c r="EYW23" s="229">
        <v>0</v>
      </c>
      <c r="EYX23" s="229">
        <v>0</v>
      </c>
      <c r="EYY23" s="229">
        <v>0</v>
      </c>
      <c r="EYZ23" s="229">
        <v>0</v>
      </c>
      <c r="EZA23" s="229">
        <v>0</v>
      </c>
      <c r="EZB23" s="229">
        <v>0</v>
      </c>
      <c r="EZC23" s="229">
        <v>0</v>
      </c>
      <c r="EZD23" s="229">
        <v>0</v>
      </c>
      <c r="EZE23" s="229">
        <v>0</v>
      </c>
      <c r="EZF23" s="229">
        <v>0</v>
      </c>
      <c r="EZG23" s="229">
        <v>0</v>
      </c>
      <c r="EZH23" s="229">
        <v>0</v>
      </c>
      <c r="EZI23" s="229">
        <v>0</v>
      </c>
      <c r="EZJ23" s="229">
        <v>0</v>
      </c>
      <c r="EZK23" s="229">
        <v>0</v>
      </c>
      <c r="EZL23" s="229">
        <v>0</v>
      </c>
      <c r="EZM23" s="229">
        <v>0</v>
      </c>
      <c r="EZN23" s="229">
        <v>0</v>
      </c>
      <c r="EZO23" s="229">
        <v>0</v>
      </c>
      <c r="EZP23" s="229">
        <v>0</v>
      </c>
      <c r="EZQ23" s="229">
        <v>0</v>
      </c>
      <c r="EZR23" s="229">
        <v>0</v>
      </c>
      <c r="EZS23" s="229">
        <v>0</v>
      </c>
      <c r="EZT23" s="229">
        <v>0</v>
      </c>
      <c r="EZU23" s="229">
        <v>0</v>
      </c>
      <c r="EZV23" s="229">
        <v>0</v>
      </c>
      <c r="EZW23" s="229">
        <v>0</v>
      </c>
      <c r="EZX23" s="229">
        <v>0</v>
      </c>
      <c r="EZY23" s="229">
        <v>0</v>
      </c>
      <c r="EZZ23" s="229">
        <v>0</v>
      </c>
      <c r="FAA23" s="229">
        <v>0</v>
      </c>
      <c r="FAB23" s="229">
        <v>0</v>
      </c>
      <c r="FAC23" s="229">
        <v>0</v>
      </c>
      <c r="FAD23" s="229">
        <v>0</v>
      </c>
      <c r="FAE23" s="229">
        <v>0</v>
      </c>
      <c r="FAF23" s="229">
        <v>0</v>
      </c>
      <c r="FAG23" s="229">
        <v>0</v>
      </c>
      <c r="FAH23" s="229">
        <v>0</v>
      </c>
      <c r="FAI23" s="229">
        <v>0</v>
      </c>
      <c r="FAJ23" s="229">
        <v>0</v>
      </c>
      <c r="FAK23" s="229">
        <v>0</v>
      </c>
      <c r="FAL23" s="229">
        <v>0</v>
      </c>
      <c r="FAM23" s="229">
        <v>0</v>
      </c>
      <c r="FAN23" s="229">
        <v>0</v>
      </c>
      <c r="FAO23" s="229">
        <v>0</v>
      </c>
      <c r="FAP23" s="229">
        <v>0</v>
      </c>
      <c r="FAQ23" s="229">
        <v>0</v>
      </c>
      <c r="FAR23" s="229">
        <v>0</v>
      </c>
      <c r="FAS23" s="229">
        <v>0</v>
      </c>
      <c r="FAT23" s="229">
        <v>0</v>
      </c>
      <c r="FAU23" s="229">
        <v>0</v>
      </c>
      <c r="FAV23" s="229">
        <v>0</v>
      </c>
      <c r="FAW23" s="229">
        <v>0</v>
      </c>
      <c r="FAX23" s="229">
        <v>0</v>
      </c>
      <c r="FAY23" s="229">
        <v>0</v>
      </c>
      <c r="FAZ23" s="229">
        <v>0</v>
      </c>
      <c r="FBA23" s="229">
        <v>0</v>
      </c>
      <c r="FBB23" s="229">
        <v>0</v>
      </c>
      <c r="FBC23" s="229">
        <v>0</v>
      </c>
      <c r="FBD23" s="229">
        <v>0</v>
      </c>
      <c r="FBE23" s="229">
        <v>0</v>
      </c>
      <c r="FBF23" s="229">
        <v>0</v>
      </c>
      <c r="FBG23" s="229">
        <v>0</v>
      </c>
      <c r="FBH23" s="229">
        <v>0</v>
      </c>
      <c r="FBI23" s="229">
        <v>0</v>
      </c>
      <c r="FBJ23" s="229">
        <v>0</v>
      </c>
      <c r="FBK23" s="229">
        <v>0</v>
      </c>
      <c r="FBL23" s="229">
        <v>0</v>
      </c>
      <c r="FBM23" s="229">
        <v>0</v>
      </c>
      <c r="FBN23" s="229">
        <v>0</v>
      </c>
      <c r="FBO23" s="229">
        <v>0</v>
      </c>
      <c r="FBP23" s="229">
        <v>0</v>
      </c>
      <c r="FBQ23" s="229">
        <v>0</v>
      </c>
      <c r="FBR23" s="229">
        <v>0</v>
      </c>
      <c r="FBS23" s="229">
        <v>0</v>
      </c>
      <c r="FBT23" s="229">
        <v>0</v>
      </c>
      <c r="FBU23" s="229">
        <v>0</v>
      </c>
      <c r="FBV23" s="229">
        <v>0</v>
      </c>
      <c r="FBW23" s="229">
        <v>0</v>
      </c>
      <c r="FBX23" s="229">
        <v>0</v>
      </c>
      <c r="FBY23" s="229">
        <v>0</v>
      </c>
      <c r="FBZ23" s="229">
        <v>0</v>
      </c>
      <c r="FCA23" s="229">
        <v>0</v>
      </c>
      <c r="FCB23" s="229">
        <v>0</v>
      </c>
      <c r="FCC23" s="229">
        <v>0</v>
      </c>
      <c r="FCD23" s="229">
        <v>0</v>
      </c>
      <c r="FCE23" s="229">
        <v>0</v>
      </c>
      <c r="FCF23" s="229">
        <v>0</v>
      </c>
      <c r="FCG23" s="229">
        <v>0</v>
      </c>
      <c r="FCH23" s="229">
        <v>0</v>
      </c>
      <c r="FCI23" s="229">
        <v>0</v>
      </c>
      <c r="FCJ23" s="229">
        <v>0</v>
      </c>
      <c r="FCK23" s="229">
        <v>0</v>
      </c>
      <c r="FCL23" s="229">
        <v>0</v>
      </c>
      <c r="FCM23" s="229">
        <v>0</v>
      </c>
      <c r="FCN23" s="229">
        <v>0</v>
      </c>
      <c r="FCO23" s="229">
        <v>0</v>
      </c>
      <c r="FCP23" s="229">
        <v>0</v>
      </c>
      <c r="FCQ23" s="229">
        <v>0</v>
      </c>
      <c r="FCR23" s="229">
        <v>0</v>
      </c>
      <c r="FCS23" s="229">
        <v>0</v>
      </c>
      <c r="FCT23" s="229">
        <v>0</v>
      </c>
      <c r="FCU23" s="229">
        <v>0</v>
      </c>
      <c r="FCV23" s="229">
        <v>0</v>
      </c>
      <c r="FCW23" s="229">
        <v>0</v>
      </c>
      <c r="FCX23" s="229">
        <v>0</v>
      </c>
      <c r="FCY23" s="229">
        <v>0</v>
      </c>
      <c r="FCZ23" s="229">
        <v>0</v>
      </c>
      <c r="FDA23" s="229">
        <v>0</v>
      </c>
      <c r="FDB23" s="229">
        <v>0</v>
      </c>
      <c r="FDC23" s="229">
        <v>0</v>
      </c>
      <c r="FDD23" s="229">
        <v>0</v>
      </c>
      <c r="FDE23" s="229">
        <v>0</v>
      </c>
      <c r="FDF23" s="229">
        <v>0</v>
      </c>
      <c r="FDG23" s="229">
        <v>0</v>
      </c>
      <c r="FDH23" s="229">
        <v>0</v>
      </c>
      <c r="FDI23" s="229">
        <v>0</v>
      </c>
      <c r="FDJ23" s="229">
        <v>0</v>
      </c>
      <c r="FDK23" s="229">
        <v>0</v>
      </c>
      <c r="FDL23" s="229">
        <v>0</v>
      </c>
      <c r="FDM23" s="229">
        <v>0</v>
      </c>
      <c r="FDN23" s="229">
        <v>0</v>
      </c>
      <c r="FDO23" s="229">
        <v>0</v>
      </c>
      <c r="FDP23" s="229">
        <v>0</v>
      </c>
      <c r="FDQ23" s="229">
        <v>0</v>
      </c>
      <c r="FDR23" s="229">
        <v>0</v>
      </c>
      <c r="FDS23" s="229">
        <v>0</v>
      </c>
      <c r="FDT23" s="229">
        <v>0</v>
      </c>
      <c r="FDU23" s="229">
        <v>0</v>
      </c>
      <c r="FDV23" s="229">
        <v>0</v>
      </c>
      <c r="FDW23" s="229">
        <v>0</v>
      </c>
      <c r="FDX23" s="229">
        <v>0</v>
      </c>
      <c r="FDY23" s="229">
        <v>0</v>
      </c>
      <c r="FDZ23" s="229">
        <v>0</v>
      </c>
      <c r="FEA23" s="229">
        <v>0</v>
      </c>
      <c r="FEB23" s="229">
        <v>0</v>
      </c>
      <c r="FEC23" s="229">
        <v>0</v>
      </c>
      <c r="FED23" s="229">
        <v>0</v>
      </c>
      <c r="FEE23" s="229">
        <v>0</v>
      </c>
      <c r="FEF23" s="229">
        <v>0</v>
      </c>
      <c r="FEG23" s="229">
        <v>0</v>
      </c>
      <c r="FEH23" s="229">
        <v>0</v>
      </c>
      <c r="FEI23" s="229">
        <v>0</v>
      </c>
      <c r="FEJ23" s="229">
        <v>0</v>
      </c>
      <c r="FEK23" s="229">
        <v>0</v>
      </c>
      <c r="FEL23" s="229">
        <v>0</v>
      </c>
      <c r="FEM23" s="229">
        <v>0</v>
      </c>
      <c r="FEN23" s="229">
        <v>0</v>
      </c>
      <c r="FEO23" s="229">
        <v>0</v>
      </c>
      <c r="FEP23" s="229">
        <v>0</v>
      </c>
      <c r="FEQ23" s="229">
        <v>0</v>
      </c>
      <c r="FER23" s="229">
        <v>0</v>
      </c>
      <c r="FES23" s="229">
        <v>0</v>
      </c>
      <c r="FET23" s="229">
        <v>0</v>
      </c>
      <c r="FEU23" s="229">
        <v>0</v>
      </c>
      <c r="FEV23" s="229">
        <v>0</v>
      </c>
      <c r="FEW23" s="229">
        <v>0</v>
      </c>
      <c r="FEX23" s="229">
        <v>0</v>
      </c>
      <c r="FEY23" s="229">
        <v>0</v>
      </c>
      <c r="FEZ23" s="229">
        <v>0</v>
      </c>
      <c r="FFA23" s="229">
        <v>0</v>
      </c>
      <c r="FFB23" s="229">
        <v>0</v>
      </c>
      <c r="FFC23" s="229">
        <v>0</v>
      </c>
      <c r="FFD23" s="229">
        <v>0</v>
      </c>
      <c r="FFE23" s="229">
        <v>0</v>
      </c>
      <c r="FFF23" s="229">
        <v>0</v>
      </c>
      <c r="FFG23" s="229">
        <v>0</v>
      </c>
      <c r="FFH23" s="229">
        <v>0</v>
      </c>
      <c r="FFI23" s="229">
        <v>0</v>
      </c>
      <c r="FFJ23" s="229">
        <v>0</v>
      </c>
      <c r="FFK23" s="229">
        <v>0</v>
      </c>
      <c r="FFL23" s="229">
        <v>0</v>
      </c>
      <c r="FFM23" s="229">
        <v>0</v>
      </c>
      <c r="FFN23" s="229">
        <v>0</v>
      </c>
      <c r="FFO23" s="229">
        <v>0</v>
      </c>
      <c r="FFP23" s="229">
        <v>0</v>
      </c>
      <c r="FFQ23" s="229">
        <v>0</v>
      </c>
      <c r="FFR23" s="229">
        <v>0</v>
      </c>
      <c r="FFS23" s="229">
        <v>0</v>
      </c>
      <c r="FFT23" s="229">
        <v>0</v>
      </c>
      <c r="FFU23" s="229">
        <v>0</v>
      </c>
      <c r="FFV23" s="229">
        <v>0</v>
      </c>
      <c r="FFW23" s="229">
        <v>0</v>
      </c>
      <c r="FFX23" s="229">
        <v>0</v>
      </c>
      <c r="FFY23" s="229">
        <v>0</v>
      </c>
      <c r="FFZ23" s="229">
        <v>0</v>
      </c>
      <c r="FGA23" s="229">
        <v>0</v>
      </c>
      <c r="FGB23" s="229">
        <v>0</v>
      </c>
      <c r="FGC23" s="229">
        <v>0</v>
      </c>
      <c r="FGD23" s="229">
        <v>0</v>
      </c>
      <c r="FGE23" s="229">
        <v>0</v>
      </c>
      <c r="FGF23" s="229">
        <v>0</v>
      </c>
      <c r="FGG23" s="229">
        <v>0</v>
      </c>
      <c r="FGH23" s="229">
        <v>0</v>
      </c>
      <c r="FGI23" s="229">
        <v>0</v>
      </c>
      <c r="FGJ23" s="229">
        <v>0</v>
      </c>
      <c r="FGK23" s="229">
        <v>0</v>
      </c>
      <c r="FGL23" s="229">
        <v>0</v>
      </c>
      <c r="FGM23" s="229">
        <v>0</v>
      </c>
      <c r="FGN23" s="229">
        <v>0</v>
      </c>
      <c r="FGO23" s="229">
        <v>0</v>
      </c>
      <c r="FGP23" s="229">
        <v>0</v>
      </c>
      <c r="FGQ23" s="229">
        <v>0</v>
      </c>
      <c r="FGR23" s="229">
        <v>0</v>
      </c>
      <c r="FGS23" s="229">
        <v>0</v>
      </c>
      <c r="FGT23" s="229">
        <v>0</v>
      </c>
      <c r="FGU23" s="229">
        <v>0</v>
      </c>
      <c r="FGV23" s="229">
        <v>0</v>
      </c>
      <c r="FGW23" s="229">
        <v>0</v>
      </c>
      <c r="FGX23" s="229">
        <v>0</v>
      </c>
      <c r="FGY23" s="229">
        <v>0</v>
      </c>
      <c r="FGZ23" s="229">
        <v>0</v>
      </c>
      <c r="FHA23" s="229">
        <v>0</v>
      </c>
      <c r="FHB23" s="229">
        <v>0</v>
      </c>
      <c r="FHC23" s="229">
        <v>0</v>
      </c>
      <c r="FHD23" s="229">
        <v>0</v>
      </c>
      <c r="FHE23" s="229">
        <v>0</v>
      </c>
      <c r="FHF23" s="229">
        <v>0</v>
      </c>
      <c r="FHG23" s="229">
        <v>0</v>
      </c>
      <c r="FHH23" s="229">
        <v>0</v>
      </c>
      <c r="FHI23" s="229">
        <v>0</v>
      </c>
      <c r="FHJ23" s="229">
        <v>0</v>
      </c>
      <c r="FHK23" s="229">
        <v>0</v>
      </c>
      <c r="FHL23" s="229">
        <v>0</v>
      </c>
      <c r="FHM23" s="229">
        <v>0</v>
      </c>
      <c r="FHN23" s="229">
        <v>0</v>
      </c>
      <c r="FHO23" s="229">
        <v>0</v>
      </c>
      <c r="FHP23" s="229">
        <v>0</v>
      </c>
      <c r="FHQ23" s="229">
        <v>0</v>
      </c>
      <c r="FHR23" s="229">
        <v>0</v>
      </c>
      <c r="FHS23" s="229">
        <v>0</v>
      </c>
      <c r="FHT23" s="229">
        <v>0</v>
      </c>
      <c r="FHU23" s="229">
        <v>0</v>
      </c>
      <c r="FHV23" s="229">
        <v>0</v>
      </c>
      <c r="FHW23" s="229">
        <v>0</v>
      </c>
      <c r="FHX23" s="229">
        <v>0</v>
      </c>
      <c r="FHY23" s="229">
        <v>0</v>
      </c>
      <c r="FHZ23" s="229">
        <v>0</v>
      </c>
      <c r="FIA23" s="229">
        <v>0</v>
      </c>
      <c r="FIB23" s="229">
        <v>0</v>
      </c>
      <c r="FIC23" s="229">
        <v>0</v>
      </c>
      <c r="FID23" s="229">
        <v>0</v>
      </c>
      <c r="FIE23" s="229">
        <v>0</v>
      </c>
      <c r="FIF23" s="229">
        <v>0</v>
      </c>
      <c r="FIG23" s="229">
        <v>0</v>
      </c>
      <c r="FIH23" s="229">
        <v>0</v>
      </c>
      <c r="FII23" s="229">
        <v>0</v>
      </c>
      <c r="FIJ23" s="229">
        <v>0</v>
      </c>
      <c r="FIK23" s="229">
        <v>0</v>
      </c>
      <c r="FIL23" s="229">
        <v>0</v>
      </c>
      <c r="FIM23" s="229">
        <v>0</v>
      </c>
      <c r="FIN23" s="229">
        <v>0</v>
      </c>
      <c r="FIO23" s="229">
        <v>0</v>
      </c>
      <c r="FIP23" s="229">
        <v>0</v>
      </c>
      <c r="FIQ23" s="229">
        <v>0</v>
      </c>
      <c r="FIR23" s="229">
        <v>0</v>
      </c>
      <c r="FIS23" s="229">
        <v>0</v>
      </c>
      <c r="FIT23" s="229">
        <v>0</v>
      </c>
      <c r="FIU23" s="229">
        <v>0</v>
      </c>
      <c r="FIV23" s="229">
        <v>0</v>
      </c>
      <c r="FIW23" s="229">
        <v>0</v>
      </c>
      <c r="FIX23" s="229">
        <v>0</v>
      </c>
      <c r="FIY23" s="229">
        <v>0</v>
      </c>
      <c r="FIZ23" s="229">
        <v>0</v>
      </c>
      <c r="FJA23" s="229">
        <v>0</v>
      </c>
      <c r="FJB23" s="229">
        <v>0</v>
      </c>
      <c r="FJC23" s="229">
        <v>0</v>
      </c>
      <c r="FJD23" s="229">
        <v>0</v>
      </c>
      <c r="FJE23" s="229">
        <v>0</v>
      </c>
      <c r="FJF23" s="229">
        <v>0</v>
      </c>
      <c r="FJG23" s="229">
        <v>0</v>
      </c>
      <c r="FJH23" s="229">
        <v>0</v>
      </c>
      <c r="FJI23" s="229">
        <v>0</v>
      </c>
      <c r="FJJ23" s="229">
        <v>0</v>
      </c>
      <c r="FJK23" s="229">
        <v>0</v>
      </c>
      <c r="FJL23" s="229">
        <v>0</v>
      </c>
      <c r="FJM23" s="229">
        <v>0</v>
      </c>
      <c r="FJN23" s="229">
        <v>0</v>
      </c>
      <c r="FJO23" s="229">
        <v>0</v>
      </c>
      <c r="FJP23" s="229">
        <v>0</v>
      </c>
      <c r="FJQ23" s="229">
        <v>0</v>
      </c>
      <c r="FJR23" s="229">
        <v>0</v>
      </c>
      <c r="FJS23" s="229">
        <v>0</v>
      </c>
      <c r="FJT23" s="229">
        <v>0</v>
      </c>
      <c r="FJU23" s="229">
        <v>0</v>
      </c>
      <c r="FJV23" s="229">
        <v>0</v>
      </c>
      <c r="FJW23" s="229">
        <v>0</v>
      </c>
      <c r="FJX23" s="229">
        <v>0</v>
      </c>
      <c r="FJY23" s="229">
        <v>0</v>
      </c>
      <c r="FJZ23" s="229">
        <v>0</v>
      </c>
      <c r="FKA23" s="229">
        <v>0</v>
      </c>
      <c r="FKB23" s="229">
        <v>0</v>
      </c>
      <c r="FKC23" s="229">
        <v>0</v>
      </c>
      <c r="FKD23" s="229">
        <v>0</v>
      </c>
      <c r="FKE23" s="229">
        <v>0</v>
      </c>
      <c r="FKF23" s="229">
        <v>0</v>
      </c>
      <c r="FKG23" s="229">
        <v>0</v>
      </c>
      <c r="FKH23" s="229">
        <v>0</v>
      </c>
      <c r="FKI23" s="229">
        <v>0</v>
      </c>
      <c r="FKJ23" s="229">
        <v>0</v>
      </c>
      <c r="FKK23" s="229">
        <v>0</v>
      </c>
      <c r="FKL23" s="229">
        <v>0</v>
      </c>
      <c r="FKM23" s="229">
        <v>0</v>
      </c>
      <c r="FKN23" s="229">
        <v>0</v>
      </c>
      <c r="FKO23" s="229">
        <v>0</v>
      </c>
      <c r="FKP23" s="229">
        <v>0</v>
      </c>
      <c r="FKQ23" s="229">
        <v>0</v>
      </c>
      <c r="FKR23" s="229">
        <v>0</v>
      </c>
      <c r="FKS23" s="229">
        <v>0</v>
      </c>
      <c r="FKT23" s="229">
        <v>0</v>
      </c>
      <c r="FKU23" s="229">
        <v>0</v>
      </c>
      <c r="FKV23" s="229">
        <v>0</v>
      </c>
      <c r="FKW23" s="229">
        <v>0</v>
      </c>
      <c r="FKX23" s="229">
        <v>0</v>
      </c>
      <c r="FKY23" s="229">
        <v>0</v>
      </c>
      <c r="FKZ23" s="229">
        <v>0</v>
      </c>
      <c r="FLA23" s="229">
        <v>0</v>
      </c>
      <c r="FLB23" s="229">
        <v>0</v>
      </c>
      <c r="FLC23" s="229">
        <v>0</v>
      </c>
      <c r="FLD23" s="229">
        <v>0</v>
      </c>
      <c r="FLE23" s="229">
        <v>0</v>
      </c>
      <c r="FLF23" s="229">
        <v>0</v>
      </c>
      <c r="FLG23" s="229">
        <v>0</v>
      </c>
      <c r="FLH23" s="229">
        <v>0</v>
      </c>
      <c r="FLI23" s="229">
        <v>0</v>
      </c>
      <c r="FLJ23" s="229">
        <v>0</v>
      </c>
      <c r="FLK23" s="229">
        <v>0</v>
      </c>
      <c r="FLL23" s="229">
        <v>0</v>
      </c>
      <c r="FLM23" s="229">
        <v>0</v>
      </c>
      <c r="FLN23" s="229">
        <v>0</v>
      </c>
      <c r="FLO23" s="229">
        <v>0</v>
      </c>
      <c r="FLP23" s="229">
        <v>0</v>
      </c>
      <c r="FLQ23" s="229">
        <v>0</v>
      </c>
      <c r="FLR23" s="229">
        <v>0</v>
      </c>
      <c r="FLS23" s="229">
        <v>0</v>
      </c>
      <c r="FLT23" s="229">
        <v>0</v>
      </c>
      <c r="FLU23" s="229">
        <v>0</v>
      </c>
      <c r="FLV23" s="229">
        <v>0</v>
      </c>
      <c r="FLW23" s="229">
        <v>0</v>
      </c>
      <c r="FLX23" s="229">
        <v>0</v>
      </c>
      <c r="FLY23" s="229">
        <v>0</v>
      </c>
      <c r="FLZ23" s="229">
        <v>0</v>
      </c>
      <c r="FMA23" s="229">
        <v>0</v>
      </c>
      <c r="FMB23" s="229">
        <v>0</v>
      </c>
      <c r="FMC23" s="229">
        <v>0</v>
      </c>
      <c r="FMD23" s="229">
        <v>0</v>
      </c>
      <c r="FME23" s="229">
        <v>0</v>
      </c>
      <c r="FMF23" s="229">
        <v>0</v>
      </c>
      <c r="FMG23" s="229">
        <v>0</v>
      </c>
      <c r="FMH23" s="229">
        <v>0</v>
      </c>
      <c r="FMI23" s="229">
        <v>0</v>
      </c>
      <c r="FMJ23" s="229">
        <v>0</v>
      </c>
      <c r="FMK23" s="229">
        <v>0</v>
      </c>
      <c r="FML23" s="229">
        <v>0</v>
      </c>
      <c r="FMM23" s="229">
        <v>0</v>
      </c>
      <c r="FMN23" s="229">
        <v>0</v>
      </c>
      <c r="FMO23" s="229">
        <v>0</v>
      </c>
      <c r="FMP23" s="229">
        <v>0</v>
      </c>
      <c r="FMQ23" s="229">
        <v>0</v>
      </c>
      <c r="FMR23" s="229">
        <v>0</v>
      </c>
      <c r="FMS23" s="229">
        <v>0</v>
      </c>
      <c r="FMT23" s="229">
        <v>0</v>
      </c>
      <c r="FMU23" s="229">
        <v>0</v>
      </c>
      <c r="FMV23" s="229">
        <v>0</v>
      </c>
      <c r="FMW23" s="229">
        <v>0</v>
      </c>
      <c r="FMX23" s="229">
        <v>0</v>
      </c>
      <c r="FMY23" s="229">
        <v>0</v>
      </c>
      <c r="FMZ23" s="229">
        <v>0</v>
      </c>
      <c r="FNA23" s="229">
        <v>0</v>
      </c>
      <c r="FNB23" s="229">
        <v>0</v>
      </c>
      <c r="FNC23" s="229">
        <v>0</v>
      </c>
      <c r="FND23" s="229">
        <v>0</v>
      </c>
      <c r="FNE23" s="229">
        <v>0</v>
      </c>
      <c r="FNF23" s="229">
        <v>0</v>
      </c>
      <c r="FNG23" s="229">
        <v>0</v>
      </c>
      <c r="FNH23" s="229">
        <v>0</v>
      </c>
      <c r="FNI23" s="229">
        <v>0</v>
      </c>
      <c r="FNJ23" s="229">
        <v>0</v>
      </c>
      <c r="FNK23" s="229">
        <v>0</v>
      </c>
      <c r="FNL23" s="229">
        <v>0</v>
      </c>
      <c r="FNM23" s="229">
        <v>0</v>
      </c>
      <c r="FNN23" s="229">
        <v>0</v>
      </c>
      <c r="FNO23" s="229">
        <v>0</v>
      </c>
      <c r="FNP23" s="229">
        <v>0</v>
      </c>
      <c r="FNQ23" s="229">
        <v>0</v>
      </c>
      <c r="FNR23" s="229">
        <v>0</v>
      </c>
      <c r="FNS23" s="229">
        <v>0</v>
      </c>
      <c r="FNT23" s="229">
        <v>0</v>
      </c>
      <c r="FNU23" s="229">
        <v>0</v>
      </c>
      <c r="FNV23" s="229">
        <v>0</v>
      </c>
      <c r="FNW23" s="229">
        <v>0</v>
      </c>
      <c r="FNX23" s="229">
        <v>0</v>
      </c>
      <c r="FNY23" s="229">
        <v>0</v>
      </c>
      <c r="FNZ23" s="229">
        <v>0</v>
      </c>
      <c r="FOA23" s="229">
        <v>0</v>
      </c>
      <c r="FOB23" s="229">
        <v>0</v>
      </c>
      <c r="FOC23" s="229">
        <v>0</v>
      </c>
      <c r="FOD23" s="229">
        <v>0</v>
      </c>
      <c r="FOE23" s="229">
        <v>0</v>
      </c>
      <c r="FOF23" s="229">
        <v>0</v>
      </c>
      <c r="FOG23" s="229">
        <v>0</v>
      </c>
      <c r="FOH23" s="229">
        <v>0</v>
      </c>
      <c r="FOI23" s="229">
        <v>0</v>
      </c>
      <c r="FOJ23" s="229">
        <v>0</v>
      </c>
      <c r="FOK23" s="229">
        <v>0</v>
      </c>
      <c r="FOL23" s="229">
        <v>0</v>
      </c>
      <c r="FOM23" s="229">
        <v>0</v>
      </c>
      <c r="FON23" s="229">
        <v>0</v>
      </c>
      <c r="FOO23" s="229">
        <v>0</v>
      </c>
      <c r="FOP23" s="229">
        <v>0</v>
      </c>
      <c r="FOQ23" s="229">
        <v>0</v>
      </c>
      <c r="FOR23" s="229">
        <v>0</v>
      </c>
      <c r="FOS23" s="229">
        <v>0</v>
      </c>
      <c r="FOT23" s="229">
        <v>0</v>
      </c>
      <c r="FOU23" s="229">
        <v>0</v>
      </c>
      <c r="FOV23" s="229">
        <v>0</v>
      </c>
      <c r="FOW23" s="229">
        <v>0</v>
      </c>
      <c r="FOX23" s="229">
        <v>0</v>
      </c>
      <c r="FOY23" s="229">
        <v>0</v>
      </c>
      <c r="FOZ23" s="229">
        <v>0</v>
      </c>
      <c r="FPA23" s="229">
        <v>0</v>
      </c>
      <c r="FPB23" s="229">
        <v>0</v>
      </c>
      <c r="FPC23" s="229">
        <v>0</v>
      </c>
      <c r="FPD23" s="229">
        <v>0</v>
      </c>
      <c r="FPE23" s="229">
        <v>0</v>
      </c>
      <c r="FPF23" s="229">
        <v>0</v>
      </c>
      <c r="FPG23" s="229">
        <v>0</v>
      </c>
      <c r="FPH23" s="229">
        <v>0</v>
      </c>
      <c r="FPI23" s="229">
        <v>0</v>
      </c>
      <c r="FPJ23" s="229">
        <v>0</v>
      </c>
      <c r="FPK23" s="229">
        <v>0</v>
      </c>
      <c r="FPL23" s="229">
        <v>0</v>
      </c>
      <c r="FPM23" s="229">
        <v>0</v>
      </c>
      <c r="FPN23" s="229">
        <v>0</v>
      </c>
      <c r="FPO23" s="229">
        <v>0</v>
      </c>
      <c r="FPP23" s="229">
        <v>0</v>
      </c>
      <c r="FPQ23" s="229">
        <v>0</v>
      </c>
      <c r="FPR23" s="229">
        <v>0</v>
      </c>
      <c r="FPS23" s="229">
        <v>0</v>
      </c>
      <c r="FPT23" s="229">
        <v>0</v>
      </c>
      <c r="FPU23" s="229">
        <v>0</v>
      </c>
      <c r="FPV23" s="229">
        <v>0</v>
      </c>
      <c r="FPW23" s="229">
        <v>0</v>
      </c>
      <c r="FPX23" s="229">
        <v>0</v>
      </c>
      <c r="FPY23" s="229">
        <v>0</v>
      </c>
      <c r="FPZ23" s="229">
        <v>0</v>
      </c>
      <c r="FQA23" s="229">
        <v>0</v>
      </c>
      <c r="FQB23" s="229">
        <v>0</v>
      </c>
      <c r="FQC23" s="229">
        <v>0</v>
      </c>
      <c r="FQD23" s="229">
        <v>0</v>
      </c>
      <c r="FQE23" s="229">
        <v>0</v>
      </c>
      <c r="FQF23" s="229">
        <v>0</v>
      </c>
      <c r="FQG23" s="229">
        <v>0</v>
      </c>
      <c r="FQH23" s="229">
        <v>0</v>
      </c>
      <c r="FQI23" s="229">
        <v>0</v>
      </c>
      <c r="FQJ23" s="229">
        <v>0</v>
      </c>
      <c r="FQK23" s="229">
        <v>0</v>
      </c>
      <c r="FQL23" s="229">
        <v>0</v>
      </c>
      <c r="FQM23" s="229">
        <v>0</v>
      </c>
      <c r="FQN23" s="229">
        <v>0</v>
      </c>
      <c r="FQO23" s="229">
        <v>0</v>
      </c>
      <c r="FQP23" s="229">
        <v>0</v>
      </c>
      <c r="FQQ23" s="229">
        <v>0</v>
      </c>
      <c r="FQR23" s="229">
        <v>0</v>
      </c>
      <c r="FQS23" s="229">
        <v>0</v>
      </c>
      <c r="FQT23" s="229">
        <v>0</v>
      </c>
      <c r="FQU23" s="229">
        <v>0</v>
      </c>
      <c r="FQV23" s="229">
        <v>0</v>
      </c>
      <c r="FQW23" s="229">
        <v>0</v>
      </c>
      <c r="FQX23" s="229">
        <v>0</v>
      </c>
      <c r="FQY23" s="229">
        <v>0</v>
      </c>
      <c r="FQZ23" s="229">
        <v>0</v>
      </c>
      <c r="FRA23" s="229">
        <v>0</v>
      </c>
      <c r="FRB23" s="229">
        <v>0</v>
      </c>
      <c r="FRC23" s="229">
        <v>0</v>
      </c>
      <c r="FRD23" s="229">
        <v>0</v>
      </c>
      <c r="FRE23" s="229">
        <v>0</v>
      </c>
      <c r="FRF23" s="229">
        <v>0</v>
      </c>
      <c r="FRG23" s="229">
        <v>0</v>
      </c>
      <c r="FRH23" s="229">
        <v>0</v>
      </c>
      <c r="FRI23" s="229">
        <v>0</v>
      </c>
      <c r="FRJ23" s="229">
        <v>0</v>
      </c>
      <c r="FRK23" s="229">
        <v>0</v>
      </c>
      <c r="FRL23" s="229">
        <v>0</v>
      </c>
      <c r="FRM23" s="229">
        <v>0</v>
      </c>
      <c r="FRN23" s="229">
        <v>0</v>
      </c>
      <c r="FRO23" s="229">
        <v>0</v>
      </c>
      <c r="FRP23" s="229">
        <v>0</v>
      </c>
      <c r="FRQ23" s="229">
        <v>0</v>
      </c>
      <c r="FRR23" s="229">
        <v>0</v>
      </c>
      <c r="FRS23" s="229">
        <v>0</v>
      </c>
      <c r="FRT23" s="229">
        <v>0</v>
      </c>
      <c r="FRU23" s="229">
        <v>0</v>
      </c>
      <c r="FRV23" s="229">
        <v>0</v>
      </c>
      <c r="FRW23" s="229">
        <v>0</v>
      </c>
      <c r="FRX23" s="229">
        <v>0</v>
      </c>
      <c r="FRY23" s="229">
        <v>0</v>
      </c>
      <c r="FRZ23" s="229">
        <v>0</v>
      </c>
      <c r="FSA23" s="229">
        <v>0</v>
      </c>
      <c r="FSB23" s="229">
        <v>0</v>
      </c>
      <c r="FSC23" s="229">
        <v>0</v>
      </c>
      <c r="FSD23" s="229">
        <v>0</v>
      </c>
      <c r="FSE23" s="229">
        <v>0</v>
      </c>
      <c r="FSF23" s="229">
        <v>0</v>
      </c>
      <c r="FSG23" s="229">
        <v>0</v>
      </c>
      <c r="FSH23" s="229">
        <v>0</v>
      </c>
      <c r="FSI23" s="229">
        <v>0</v>
      </c>
      <c r="FSJ23" s="229">
        <v>0</v>
      </c>
      <c r="FSK23" s="229">
        <v>0</v>
      </c>
      <c r="FSL23" s="229">
        <v>0</v>
      </c>
      <c r="FSM23" s="229">
        <v>0</v>
      </c>
      <c r="FSN23" s="229">
        <v>0</v>
      </c>
      <c r="FSO23" s="229">
        <v>0</v>
      </c>
      <c r="FSP23" s="229">
        <v>0</v>
      </c>
      <c r="FSQ23" s="229">
        <v>0</v>
      </c>
      <c r="FSR23" s="229">
        <v>0</v>
      </c>
      <c r="FSS23" s="229">
        <v>0</v>
      </c>
      <c r="FST23" s="229">
        <v>0</v>
      </c>
      <c r="FSU23" s="229">
        <v>0</v>
      </c>
      <c r="FSV23" s="229">
        <v>0</v>
      </c>
      <c r="FSW23" s="229">
        <v>0</v>
      </c>
      <c r="FSX23" s="229">
        <v>0</v>
      </c>
      <c r="FSY23" s="229">
        <v>0</v>
      </c>
      <c r="FSZ23" s="229">
        <v>0</v>
      </c>
      <c r="FTA23" s="229">
        <v>0</v>
      </c>
      <c r="FTB23" s="229">
        <v>0</v>
      </c>
      <c r="FTC23" s="229">
        <v>0</v>
      </c>
      <c r="FTD23" s="229">
        <v>0</v>
      </c>
      <c r="FTE23" s="229">
        <v>0</v>
      </c>
      <c r="FTF23" s="229">
        <v>0</v>
      </c>
      <c r="FTG23" s="229">
        <v>0</v>
      </c>
      <c r="FTH23" s="229">
        <v>0</v>
      </c>
      <c r="FTI23" s="229">
        <v>0</v>
      </c>
      <c r="FTJ23" s="229">
        <v>0</v>
      </c>
      <c r="FTK23" s="229">
        <v>0</v>
      </c>
      <c r="FTL23" s="229">
        <v>0</v>
      </c>
      <c r="FTM23" s="229">
        <v>0</v>
      </c>
      <c r="FTN23" s="229">
        <v>0</v>
      </c>
      <c r="FTO23" s="229">
        <v>0</v>
      </c>
      <c r="FTP23" s="229">
        <v>0</v>
      </c>
      <c r="FTQ23" s="229">
        <v>0</v>
      </c>
      <c r="FTR23" s="229">
        <v>0</v>
      </c>
      <c r="FTS23" s="229">
        <v>0</v>
      </c>
      <c r="FTT23" s="229">
        <v>0</v>
      </c>
      <c r="FTU23" s="229">
        <v>0</v>
      </c>
      <c r="FTV23" s="229">
        <v>0</v>
      </c>
      <c r="FTW23" s="229">
        <v>0</v>
      </c>
      <c r="FTX23" s="229">
        <v>0</v>
      </c>
      <c r="FTY23" s="229">
        <v>0</v>
      </c>
      <c r="FTZ23" s="229">
        <v>0</v>
      </c>
      <c r="FUA23" s="229">
        <v>0</v>
      </c>
      <c r="FUB23" s="229">
        <v>0</v>
      </c>
      <c r="FUC23" s="229">
        <v>0</v>
      </c>
      <c r="FUD23" s="229">
        <v>0</v>
      </c>
      <c r="FUE23" s="229">
        <v>0</v>
      </c>
      <c r="FUF23" s="229">
        <v>0</v>
      </c>
      <c r="FUG23" s="229">
        <v>0</v>
      </c>
      <c r="FUH23" s="229">
        <v>0</v>
      </c>
      <c r="FUI23" s="229">
        <v>0</v>
      </c>
      <c r="FUJ23" s="229">
        <v>0</v>
      </c>
      <c r="FUK23" s="229">
        <v>0</v>
      </c>
      <c r="FUL23" s="229">
        <v>0</v>
      </c>
      <c r="FUM23" s="229">
        <v>0</v>
      </c>
      <c r="FUN23" s="229">
        <v>0</v>
      </c>
      <c r="FUO23" s="229">
        <v>0</v>
      </c>
      <c r="FUP23" s="229">
        <v>0</v>
      </c>
      <c r="FUQ23" s="229">
        <v>0</v>
      </c>
      <c r="FUR23" s="229">
        <v>0</v>
      </c>
      <c r="FUS23" s="229">
        <v>0</v>
      </c>
      <c r="FUT23" s="229">
        <v>0</v>
      </c>
      <c r="FUU23" s="229">
        <v>0</v>
      </c>
      <c r="FUV23" s="229">
        <v>0</v>
      </c>
      <c r="FUW23" s="229">
        <v>0</v>
      </c>
      <c r="FUX23" s="229">
        <v>0</v>
      </c>
      <c r="FUY23" s="229">
        <v>0</v>
      </c>
      <c r="FUZ23" s="229">
        <v>0</v>
      </c>
      <c r="FVA23" s="229">
        <v>0</v>
      </c>
      <c r="FVB23" s="229">
        <v>0</v>
      </c>
      <c r="FVC23" s="229">
        <v>0</v>
      </c>
      <c r="FVD23" s="229">
        <v>0</v>
      </c>
      <c r="FVE23" s="229">
        <v>0</v>
      </c>
      <c r="FVF23" s="229">
        <v>0</v>
      </c>
      <c r="FVG23" s="229">
        <v>0</v>
      </c>
      <c r="FVH23" s="229">
        <v>0</v>
      </c>
      <c r="FVI23" s="229">
        <v>0</v>
      </c>
      <c r="FVJ23" s="229">
        <v>0</v>
      </c>
      <c r="FVK23" s="229">
        <v>0</v>
      </c>
      <c r="FVL23" s="229">
        <v>0</v>
      </c>
      <c r="FVM23" s="229">
        <v>0</v>
      </c>
      <c r="FVN23" s="229">
        <v>0</v>
      </c>
      <c r="FVO23" s="229">
        <v>0</v>
      </c>
      <c r="FVP23" s="229">
        <v>0</v>
      </c>
      <c r="FVQ23" s="229">
        <v>0</v>
      </c>
      <c r="FVR23" s="229">
        <v>0</v>
      </c>
      <c r="FVS23" s="229">
        <v>0</v>
      </c>
      <c r="FVT23" s="229">
        <v>0</v>
      </c>
      <c r="FVU23" s="229">
        <v>0</v>
      </c>
      <c r="FVV23" s="229">
        <v>0</v>
      </c>
      <c r="FVW23" s="229">
        <v>0</v>
      </c>
      <c r="FVX23" s="229">
        <v>0</v>
      </c>
      <c r="FVY23" s="229">
        <v>0</v>
      </c>
      <c r="FVZ23" s="229">
        <v>0</v>
      </c>
      <c r="FWA23" s="229">
        <v>0</v>
      </c>
      <c r="FWB23" s="229">
        <v>0</v>
      </c>
      <c r="FWC23" s="229">
        <v>0</v>
      </c>
      <c r="FWD23" s="229">
        <v>0</v>
      </c>
      <c r="FWE23" s="229">
        <v>0</v>
      </c>
      <c r="FWF23" s="229">
        <v>0</v>
      </c>
      <c r="FWG23" s="229">
        <v>0</v>
      </c>
      <c r="FWH23" s="229">
        <v>0</v>
      </c>
      <c r="FWI23" s="229">
        <v>0</v>
      </c>
      <c r="FWJ23" s="229">
        <v>0</v>
      </c>
      <c r="FWK23" s="229">
        <v>0</v>
      </c>
      <c r="FWL23" s="229">
        <v>0</v>
      </c>
      <c r="FWM23" s="229">
        <v>0</v>
      </c>
      <c r="FWN23" s="229">
        <v>0</v>
      </c>
      <c r="FWO23" s="229">
        <v>0</v>
      </c>
      <c r="FWP23" s="229">
        <v>0</v>
      </c>
      <c r="FWQ23" s="229">
        <v>0</v>
      </c>
      <c r="FWR23" s="229">
        <v>0</v>
      </c>
      <c r="FWS23" s="229">
        <v>0</v>
      </c>
      <c r="FWT23" s="229">
        <v>0</v>
      </c>
      <c r="FWU23" s="229">
        <v>0</v>
      </c>
      <c r="FWV23" s="229">
        <v>0</v>
      </c>
      <c r="FWW23" s="229">
        <v>0</v>
      </c>
      <c r="FWX23" s="229">
        <v>0</v>
      </c>
      <c r="FWY23" s="229">
        <v>0</v>
      </c>
      <c r="FWZ23" s="229">
        <v>0</v>
      </c>
      <c r="FXA23" s="229">
        <v>0</v>
      </c>
      <c r="FXB23" s="229">
        <v>0</v>
      </c>
      <c r="FXC23" s="229">
        <v>0</v>
      </c>
      <c r="FXD23" s="229">
        <v>0</v>
      </c>
      <c r="FXE23" s="229">
        <v>0</v>
      </c>
      <c r="FXF23" s="229">
        <v>0</v>
      </c>
      <c r="FXG23" s="229">
        <v>0</v>
      </c>
      <c r="FXH23" s="229">
        <v>0</v>
      </c>
      <c r="FXI23" s="229">
        <v>0</v>
      </c>
      <c r="FXJ23" s="229">
        <v>0</v>
      </c>
      <c r="FXK23" s="229">
        <v>0</v>
      </c>
      <c r="FXL23" s="229">
        <v>0</v>
      </c>
      <c r="FXM23" s="229">
        <v>0</v>
      </c>
      <c r="FXN23" s="229">
        <v>0</v>
      </c>
      <c r="FXO23" s="229">
        <v>0</v>
      </c>
      <c r="FXP23" s="229">
        <v>0</v>
      </c>
      <c r="FXQ23" s="229">
        <v>0</v>
      </c>
      <c r="FXR23" s="229">
        <v>0</v>
      </c>
      <c r="FXS23" s="229">
        <v>0</v>
      </c>
      <c r="FXT23" s="229">
        <v>0</v>
      </c>
      <c r="FXU23" s="229">
        <v>0</v>
      </c>
      <c r="FXV23" s="229">
        <v>0</v>
      </c>
      <c r="FXW23" s="229">
        <v>0</v>
      </c>
      <c r="FXX23" s="229">
        <v>0</v>
      </c>
      <c r="FXY23" s="229">
        <v>0</v>
      </c>
      <c r="FXZ23" s="229">
        <v>0</v>
      </c>
      <c r="FYA23" s="229">
        <v>0</v>
      </c>
      <c r="FYB23" s="229">
        <v>0</v>
      </c>
      <c r="FYC23" s="229">
        <v>0</v>
      </c>
      <c r="FYD23" s="229">
        <v>0</v>
      </c>
      <c r="FYE23" s="229">
        <v>0</v>
      </c>
      <c r="FYF23" s="229">
        <v>0</v>
      </c>
      <c r="FYG23" s="229">
        <v>0</v>
      </c>
      <c r="FYH23" s="229">
        <v>0</v>
      </c>
      <c r="FYI23" s="229">
        <v>0</v>
      </c>
      <c r="FYJ23" s="229">
        <v>0</v>
      </c>
      <c r="FYK23" s="229">
        <v>0</v>
      </c>
      <c r="FYL23" s="229">
        <v>0</v>
      </c>
      <c r="FYM23" s="229">
        <v>0</v>
      </c>
      <c r="FYN23" s="229">
        <v>0</v>
      </c>
      <c r="FYO23" s="229">
        <v>0</v>
      </c>
      <c r="FYP23" s="229">
        <v>0</v>
      </c>
      <c r="FYQ23" s="229">
        <v>0</v>
      </c>
      <c r="FYR23" s="229">
        <v>0</v>
      </c>
      <c r="FYS23" s="229">
        <v>0</v>
      </c>
      <c r="FYT23" s="229">
        <v>0</v>
      </c>
      <c r="FYU23" s="229">
        <v>0</v>
      </c>
      <c r="FYV23" s="229">
        <v>0</v>
      </c>
      <c r="FYW23" s="229">
        <v>0</v>
      </c>
      <c r="FYX23" s="229">
        <v>0</v>
      </c>
      <c r="FYY23" s="229">
        <v>0</v>
      </c>
      <c r="FYZ23" s="229">
        <v>0</v>
      </c>
      <c r="FZA23" s="229">
        <v>0</v>
      </c>
      <c r="FZB23" s="229">
        <v>0</v>
      </c>
      <c r="FZC23" s="229">
        <v>0</v>
      </c>
      <c r="FZD23" s="229">
        <v>0</v>
      </c>
      <c r="FZE23" s="229">
        <v>0</v>
      </c>
      <c r="FZF23" s="229">
        <v>0</v>
      </c>
      <c r="FZG23" s="229">
        <v>0</v>
      </c>
      <c r="FZH23" s="229">
        <v>0</v>
      </c>
      <c r="FZI23" s="229">
        <v>0</v>
      </c>
      <c r="FZJ23" s="229">
        <v>0</v>
      </c>
      <c r="FZK23" s="229">
        <v>0</v>
      </c>
      <c r="FZL23" s="229">
        <v>0</v>
      </c>
      <c r="FZM23" s="229">
        <v>0</v>
      </c>
      <c r="FZN23" s="229">
        <v>0</v>
      </c>
      <c r="FZO23" s="229">
        <v>0</v>
      </c>
      <c r="FZP23" s="229">
        <v>0</v>
      </c>
      <c r="FZQ23" s="229">
        <v>0</v>
      </c>
      <c r="FZR23" s="229">
        <v>0</v>
      </c>
      <c r="FZS23" s="229">
        <v>0</v>
      </c>
      <c r="FZT23" s="229">
        <v>0</v>
      </c>
      <c r="FZU23" s="229">
        <v>0</v>
      </c>
      <c r="FZV23" s="229">
        <v>0</v>
      </c>
      <c r="FZW23" s="229">
        <v>0</v>
      </c>
      <c r="FZX23" s="229">
        <v>0</v>
      </c>
      <c r="FZY23" s="229">
        <v>0</v>
      </c>
      <c r="FZZ23" s="229">
        <v>0</v>
      </c>
      <c r="GAA23" s="229">
        <v>0</v>
      </c>
      <c r="GAB23" s="229">
        <v>0</v>
      </c>
      <c r="GAC23" s="229">
        <v>0</v>
      </c>
      <c r="GAD23" s="229">
        <v>0</v>
      </c>
      <c r="GAE23" s="229">
        <v>0</v>
      </c>
      <c r="GAF23" s="229">
        <v>0</v>
      </c>
      <c r="GAG23" s="229">
        <v>0</v>
      </c>
      <c r="GAH23" s="229">
        <v>0</v>
      </c>
      <c r="GAI23" s="229">
        <v>0</v>
      </c>
      <c r="GAJ23" s="229">
        <v>0</v>
      </c>
      <c r="GAK23" s="229">
        <v>0</v>
      </c>
      <c r="GAL23" s="229">
        <v>0</v>
      </c>
      <c r="GAM23" s="229">
        <v>0</v>
      </c>
      <c r="GAN23" s="229">
        <v>0</v>
      </c>
      <c r="GAO23" s="229">
        <v>0</v>
      </c>
      <c r="GAP23" s="229">
        <v>0</v>
      </c>
      <c r="GAQ23" s="229">
        <v>0</v>
      </c>
      <c r="GAR23" s="229">
        <v>0</v>
      </c>
      <c r="GAS23" s="229">
        <v>0</v>
      </c>
      <c r="GAT23" s="229">
        <v>0</v>
      </c>
      <c r="GAU23" s="229">
        <v>0</v>
      </c>
      <c r="GAV23" s="229">
        <v>0</v>
      </c>
      <c r="GAW23" s="229">
        <v>0</v>
      </c>
      <c r="GAX23" s="229">
        <v>0</v>
      </c>
      <c r="GAY23" s="229">
        <v>0</v>
      </c>
      <c r="GAZ23" s="229">
        <v>0</v>
      </c>
      <c r="GBA23" s="229">
        <v>0</v>
      </c>
      <c r="GBB23" s="229">
        <v>0</v>
      </c>
      <c r="GBC23" s="229">
        <v>0</v>
      </c>
      <c r="GBD23" s="229">
        <v>0</v>
      </c>
      <c r="GBE23" s="229">
        <v>0</v>
      </c>
      <c r="GBF23" s="229">
        <v>0</v>
      </c>
      <c r="GBG23" s="229">
        <v>0</v>
      </c>
      <c r="GBH23" s="229">
        <v>0</v>
      </c>
      <c r="GBI23" s="229">
        <v>0</v>
      </c>
      <c r="GBJ23" s="229">
        <v>0</v>
      </c>
      <c r="GBK23" s="229">
        <v>0</v>
      </c>
      <c r="GBL23" s="229">
        <v>0</v>
      </c>
      <c r="GBM23" s="229">
        <v>0</v>
      </c>
      <c r="GBN23" s="229">
        <v>0</v>
      </c>
      <c r="GBO23" s="229">
        <v>0</v>
      </c>
      <c r="GBP23" s="229">
        <v>0</v>
      </c>
      <c r="GBQ23" s="229">
        <v>0</v>
      </c>
      <c r="GBR23" s="229">
        <v>0</v>
      </c>
      <c r="GBS23" s="229">
        <v>0</v>
      </c>
      <c r="GBT23" s="229">
        <v>0</v>
      </c>
      <c r="GBU23" s="229">
        <v>0</v>
      </c>
      <c r="GBV23" s="229">
        <v>0</v>
      </c>
      <c r="GBW23" s="229">
        <v>0</v>
      </c>
      <c r="GBX23" s="229">
        <v>0</v>
      </c>
      <c r="GBY23" s="229">
        <v>0</v>
      </c>
      <c r="GBZ23" s="229">
        <v>0</v>
      </c>
      <c r="GCA23" s="229">
        <v>0</v>
      </c>
      <c r="GCB23" s="229">
        <v>0</v>
      </c>
      <c r="GCC23" s="229">
        <v>0</v>
      </c>
      <c r="GCD23" s="229">
        <v>0</v>
      </c>
      <c r="GCE23" s="229">
        <v>0</v>
      </c>
      <c r="GCF23" s="229">
        <v>0</v>
      </c>
      <c r="GCG23" s="229">
        <v>0</v>
      </c>
      <c r="GCH23" s="229">
        <v>0</v>
      </c>
      <c r="GCI23" s="229">
        <v>0</v>
      </c>
      <c r="GCJ23" s="229">
        <v>0</v>
      </c>
      <c r="GCK23" s="229">
        <v>0</v>
      </c>
      <c r="GCL23" s="229">
        <v>0</v>
      </c>
      <c r="GCM23" s="229">
        <v>0</v>
      </c>
      <c r="GCN23" s="229">
        <v>0</v>
      </c>
      <c r="GCO23" s="229">
        <v>0</v>
      </c>
      <c r="GCP23" s="229">
        <v>0</v>
      </c>
      <c r="GCQ23" s="229">
        <v>0</v>
      </c>
      <c r="GCR23" s="229">
        <v>0</v>
      </c>
      <c r="GCS23" s="229">
        <v>0</v>
      </c>
      <c r="GCT23" s="229">
        <v>0</v>
      </c>
      <c r="GCU23" s="229">
        <v>0</v>
      </c>
      <c r="GCV23" s="229">
        <v>0</v>
      </c>
      <c r="GCW23" s="229">
        <v>0</v>
      </c>
      <c r="GCX23" s="229">
        <v>0</v>
      </c>
      <c r="GCY23" s="229">
        <v>0</v>
      </c>
      <c r="GCZ23" s="229">
        <v>0</v>
      </c>
      <c r="GDA23" s="229">
        <v>0</v>
      </c>
      <c r="GDB23" s="229">
        <v>0</v>
      </c>
      <c r="GDC23" s="229">
        <v>0</v>
      </c>
      <c r="GDD23" s="229">
        <v>0</v>
      </c>
      <c r="GDE23" s="229">
        <v>0</v>
      </c>
      <c r="GDF23" s="229">
        <v>0</v>
      </c>
      <c r="GDG23" s="229">
        <v>0</v>
      </c>
      <c r="GDH23" s="229">
        <v>0</v>
      </c>
      <c r="GDI23" s="229">
        <v>0</v>
      </c>
      <c r="GDJ23" s="229">
        <v>0</v>
      </c>
      <c r="GDK23" s="229">
        <v>0</v>
      </c>
      <c r="GDL23" s="229">
        <v>0</v>
      </c>
      <c r="GDM23" s="229">
        <v>0</v>
      </c>
      <c r="GDN23" s="229">
        <v>0</v>
      </c>
      <c r="GDO23" s="229">
        <v>0</v>
      </c>
      <c r="GDP23" s="229">
        <v>0</v>
      </c>
      <c r="GDQ23" s="229">
        <v>0</v>
      </c>
      <c r="GDR23" s="229">
        <v>0</v>
      </c>
      <c r="GDS23" s="229">
        <v>0</v>
      </c>
      <c r="GDT23" s="229">
        <v>0</v>
      </c>
      <c r="GDU23" s="229">
        <v>0</v>
      </c>
      <c r="GDV23" s="229">
        <v>0</v>
      </c>
      <c r="GDW23" s="229">
        <v>0</v>
      </c>
      <c r="GDX23" s="229">
        <v>0</v>
      </c>
      <c r="GDY23" s="229">
        <v>0</v>
      </c>
      <c r="GDZ23" s="229">
        <v>0</v>
      </c>
      <c r="GEA23" s="229">
        <v>0</v>
      </c>
      <c r="GEB23" s="229">
        <v>0</v>
      </c>
      <c r="GEC23" s="229">
        <v>0</v>
      </c>
      <c r="GED23" s="229">
        <v>0</v>
      </c>
      <c r="GEE23" s="229">
        <v>0</v>
      </c>
      <c r="GEF23" s="229">
        <v>0</v>
      </c>
      <c r="GEG23" s="229">
        <v>0</v>
      </c>
      <c r="GEH23" s="229">
        <v>0</v>
      </c>
      <c r="GEI23" s="229">
        <v>0</v>
      </c>
      <c r="GEJ23" s="229">
        <v>0</v>
      </c>
      <c r="GEK23" s="229">
        <v>0</v>
      </c>
      <c r="GEL23" s="229">
        <v>0</v>
      </c>
      <c r="GEM23" s="229">
        <v>0</v>
      </c>
      <c r="GEN23" s="229">
        <v>0</v>
      </c>
      <c r="GEO23" s="229">
        <v>0</v>
      </c>
      <c r="GEP23" s="229">
        <v>0</v>
      </c>
      <c r="GEQ23" s="229">
        <v>0</v>
      </c>
      <c r="GER23" s="229">
        <v>0</v>
      </c>
      <c r="GES23" s="229">
        <v>0</v>
      </c>
      <c r="GET23" s="229">
        <v>0</v>
      </c>
      <c r="GEU23" s="229">
        <v>0</v>
      </c>
      <c r="GEV23" s="229">
        <v>0</v>
      </c>
      <c r="GEW23" s="229">
        <v>0</v>
      </c>
      <c r="GEX23" s="229">
        <v>0</v>
      </c>
      <c r="GEY23" s="229">
        <v>0</v>
      </c>
      <c r="GEZ23" s="229">
        <v>0</v>
      </c>
      <c r="GFA23" s="229">
        <v>0</v>
      </c>
      <c r="GFB23" s="229">
        <v>0</v>
      </c>
      <c r="GFC23" s="229">
        <v>0</v>
      </c>
      <c r="GFD23" s="229">
        <v>0</v>
      </c>
      <c r="GFE23" s="229">
        <v>0</v>
      </c>
      <c r="GFF23" s="229">
        <v>0</v>
      </c>
      <c r="GFG23" s="229">
        <v>0</v>
      </c>
      <c r="GFH23" s="229">
        <v>0</v>
      </c>
      <c r="GFI23" s="229">
        <v>0</v>
      </c>
      <c r="GFJ23" s="229">
        <v>0</v>
      </c>
      <c r="GFK23" s="229">
        <v>0</v>
      </c>
      <c r="GFL23" s="229">
        <v>0</v>
      </c>
      <c r="GFM23" s="229">
        <v>0</v>
      </c>
      <c r="GFN23" s="229">
        <v>0</v>
      </c>
      <c r="GFO23" s="229">
        <v>0</v>
      </c>
      <c r="GFP23" s="229">
        <v>0</v>
      </c>
      <c r="GFQ23" s="229">
        <v>0</v>
      </c>
      <c r="GFR23" s="229">
        <v>0</v>
      </c>
      <c r="GFS23" s="229">
        <v>0</v>
      </c>
      <c r="GFT23" s="229">
        <v>0</v>
      </c>
      <c r="GFU23" s="229">
        <v>0</v>
      </c>
      <c r="GFV23" s="229">
        <v>0</v>
      </c>
      <c r="GFW23" s="229">
        <v>0</v>
      </c>
      <c r="GFX23" s="229">
        <v>0</v>
      </c>
      <c r="GFY23" s="229">
        <v>0</v>
      </c>
      <c r="GFZ23" s="229">
        <v>0</v>
      </c>
      <c r="GGA23" s="229">
        <v>0</v>
      </c>
      <c r="GGB23" s="229">
        <v>0</v>
      </c>
      <c r="GGC23" s="229">
        <v>0</v>
      </c>
      <c r="GGD23" s="229">
        <v>0</v>
      </c>
      <c r="GGE23" s="229">
        <v>0</v>
      </c>
      <c r="GGF23" s="229">
        <v>0</v>
      </c>
      <c r="GGG23" s="229">
        <v>0</v>
      </c>
      <c r="GGH23" s="229">
        <v>0</v>
      </c>
      <c r="GGI23" s="229">
        <v>0</v>
      </c>
      <c r="GGJ23" s="229">
        <v>0</v>
      </c>
      <c r="GGK23" s="229">
        <v>0</v>
      </c>
      <c r="GGL23" s="229">
        <v>0</v>
      </c>
      <c r="GGM23" s="229">
        <v>0</v>
      </c>
      <c r="GGN23" s="229">
        <v>0</v>
      </c>
      <c r="GGO23" s="229">
        <v>0</v>
      </c>
      <c r="GGP23" s="229">
        <v>0</v>
      </c>
      <c r="GGQ23" s="229">
        <v>0</v>
      </c>
      <c r="GGR23" s="229">
        <v>0</v>
      </c>
      <c r="GGS23" s="229">
        <v>0</v>
      </c>
      <c r="GGT23" s="229">
        <v>0</v>
      </c>
      <c r="GGU23" s="229">
        <v>0</v>
      </c>
      <c r="GGV23" s="229">
        <v>0</v>
      </c>
      <c r="GGW23" s="229">
        <v>0</v>
      </c>
      <c r="GGX23" s="229">
        <v>0</v>
      </c>
      <c r="GGY23" s="229">
        <v>0</v>
      </c>
      <c r="GGZ23" s="229">
        <v>0</v>
      </c>
      <c r="GHA23" s="229">
        <v>0</v>
      </c>
      <c r="GHB23" s="229">
        <v>0</v>
      </c>
      <c r="GHC23" s="229">
        <v>0</v>
      </c>
      <c r="GHD23" s="229">
        <v>0</v>
      </c>
      <c r="GHE23" s="229">
        <v>0</v>
      </c>
      <c r="GHF23" s="229">
        <v>0</v>
      </c>
      <c r="GHG23" s="229">
        <v>0</v>
      </c>
      <c r="GHH23" s="229">
        <v>0</v>
      </c>
      <c r="GHI23" s="229">
        <v>0</v>
      </c>
      <c r="GHJ23" s="229">
        <v>0</v>
      </c>
      <c r="GHK23" s="229">
        <v>0</v>
      </c>
      <c r="GHL23" s="229">
        <v>0</v>
      </c>
      <c r="GHM23" s="229">
        <v>0</v>
      </c>
      <c r="GHN23" s="229">
        <v>0</v>
      </c>
      <c r="GHO23" s="229">
        <v>0</v>
      </c>
      <c r="GHP23" s="229">
        <v>0</v>
      </c>
      <c r="GHQ23" s="229">
        <v>0</v>
      </c>
      <c r="GHR23" s="229">
        <v>0</v>
      </c>
      <c r="GHS23" s="229">
        <v>0</v>
      </c>
      <c r="GHT23" s="229">
        <v>0</v>
      </c>
      <c r="GHU23" s="229">
        <v>0</v>
      </c>
      <c r="GHV23" s="229">
        <v>0</v>
      </c>
      <c r="GHW23" s="229">
        <v>0</v>
      </c>
      <c r="GHX23" s="229">
        <v>0</v>
      </c>
      <c r="GHY23" s="229">
        <v>0</v>
      </c>
      <c r="GHZ23" s="229">
        <v>0</v>
      </c>
      <c r="GIA23" s="229">
        <v>0</v>
      </c>
      <c r="GIB23" s="229">
        <v>0</v>
      </c>
      <c r="GIC23" s="229">
        <v>0</v>
      </c>
      <c r="GID23" s="229">
        <v>0</v>
      </c>
      <c r="GIE23" s="229">
        <v>0</v>
      </c>
      <c r="GIF23" s="229">
        <v>0</v>
      </c>
      <c r="GIG23" s="229">
        <v>0</v>
      </c>
      <c r="GIH23" s="229">
        <v>0</v>
      </c>
      <c r="GII23" s="229">
        <v>0</v>
      </c>
      <c r="GIJ23" s="229">
        <v>0</v>
      </c>
      <c r="GIK23" s="229">
        <v>0</v>
      </c>
      <c r="GIL23" s="229">
        <v>0</v>
      </c>
      <c r="GIM23" s="229">
        <v>0</v>
      </c>
      <c r="GIN23" s="229">
        <v>0</v>
      </c>
      <c r="GIO23" s="229">
        <v>0</v>
      </c>
      <c r="GIP23" s="229">
        <v>0</v>
      </c>
      <c r="GIQ23" s="229">
        <v>0</v>
      </c>
      <c r="GIR23" s="229">
        <v>0</v>
      </c>
      <c r="GIS23" s="229">
        <v>0</v>
      </c>
      <c r="GIT23" s="229">
        <v>0</v>
      </c>
      <c r="GIU23" s="229">
        <v>0</v>
      </c>
      <c r="GIV23" s="229">
        <v>0</v>
      </c>
      <c r="GIW23" s="229">
        <v>0</v>
      </c>
      <c r="GIX23" s="229">
        <v>0</v>
      </c>
      <c r="GIY23" s="229">
        <v>0</v>
      </c>
      <c r="GIZ23" s="229">
        <v>0</v>
      </c>
      <c r="GJA23" s="229">
        <v>0</v>
      </c>
      <c r="GJB23" s="229">
        <v>0</v>
      </c>
      <c r="GJC23" s="229">
        <v>0</v>
      </c>
      <c r="GJD23" s="229">
        <v>0</v>
      </c>
      <c r="GJE23" s="229">
        <v>0</v>
      </c>
      <c r="GJF23" s="229">
        <v>0</v>
      </c>
      <c r="GJG23" s="229">
        <v>0</v>
      </c>
      <c r="GJH23" s="229">
        <v>0</v>
      </c>
      <c r="GJI23" s="229">
        <v>0</v>
      </c>
      <c r="GJJ23" s="229">
        <v>0</v>
      </c>
      <c r="GJK23" s="229">
        <v>0</v>
      </c>
      <c r="GJL23" s="229">
        <v>0</v>
      </c>
      <c r="GJM23" s="229">
        <v>0</v>
      </c>
      <c r="GJN23" s="229">
        <v>0</v>
      </c>
      <c r="GJO23" s="229">
        <v>0</v>
      </c>
      <c r="GJP23" s="229">
        <v>0</v>
      </c>
      <c r="GJQ23" s="229">
        <v>0</v>
      </c>
      <c r="GJR23" s="229">
        <v>0</v>
      </c>
      <c r="GJS23" s="229">
        <v>0</v>
      </c>
      <c r="GJT23" s="229">
        <v>0</v>
      </c>
      <c r="GJU23" s="229">
        <v>0</v>
      </c>
      <c r="GJV23" s="229">
        <v>0</v>
      </c>
      <c r="GJW23" s="229">
        <v>0</v>
      </c>
      <c r="GJX23" s="229">
        <v>0</v>
      </c>
      <c r="GJY23" s="229">
        <v>0</v>
      </c>
      <c r="GJZ23" s="229">
        <v>0</v>
      </c>
      <c r="GKA23" s="229">
        <v>0</v>
      </c>
      <c r="GKB23" s="229">
        <v>0</v>
      </c>
      <c r="GKC23" s="229">
        <v>0</v>
      </c>
      <c r="GKD23" s="229">
        <v>0</v>
      </c>
      <c r="GKE23" s="229">
        <v>0</v>
      </c>
      <c r="GKF23" s="229">
        <v>0</v>
      </c>
      <c r="GKG23" s="229">
        <v>0</v>
      </c>
      <c r="GKH23" s="229">
        <v>0</v>
      </c>
      <c r="GKI23" s="229">
        <v>0</v>
      </c>
      <c r="GKJ23" s="229">
        <v>0</v>
      </c>
      <c r="GKK23" s="229">
        <v>0</v>
      </c>
      <c r="GKL23" s="229">
        <v>0</v>
      </c>
      <c r="GKM23" s="229">
        <v>0</v>
      </c>
      <c r="GKN23" s="229">
        <v>0</v>
      </c>
      <c r="GKO23" s="229">
        <v>0</v>
      </c>
      <c r="GKP23" s="229">
        <v>0</v>
      </c>
      <c r="GKQ23" s="229">
        <v>0</v>
      </c>
      <c r="GKR23" s="229">
        <v>0</v>
      </c>
      <c r="GKS23" s="229">
        <v>0</v>
      </c>
      <c r="GKT23" s="229">
        <v>0</v>
      </c>
      <c r="GKU23" s="229">
        <v>0</v>
      </c>
      <c r="GKV23" s="229">
        <v>0</v>
      </c>
      <c r="GKW23" s="229">
        <v>0</v>
      </c>
      <c r="GKX23" s="229">
        <v>0</v>
      </c>
      <c r="GKY23" s="229">
        <v>0</v>
      </c>
      <c r="GKZ23" s="229">
        <v>0</v>
      </c>
      <c r="GLA23" s="229">
        <v>0</v>
      </c>
      <c r="GLB23" s="229">
        <v>0</v>
      </c>
      <c r="GLC23" s="229">
        <v>0</v>
      </c>
      <c r="GLD23" s="229">
        <v>0</v>
      </c>
      <c r="GLE23" s="229">
        <v>0</v>
      </c>
      <c r="GLF23" s="229">
        <v>0</v>
      </c>
      <c r="GLG23" s="229">
        <v>0</v>
      </c>
      <c r="GLH23" s="229">
        <v>0</v>
      </c>
      <c r="GLI23" s="229">
        <v>0</v>
      </c>
      <c r="GLJ23" s="229">
        <v>0</v>
      </c>
      <c r="GLK23" s="229">
        <v>0</v>
      </c>
      <c r="GLL23" s="229">
        <v>0</v>
      </c>
      <c r="GLM23" s="229">
        <v>0</v>
      </c>
      <c r="GLN23" s="229">
        <v>0</v>
      </c>
      <c r="GLO23" s="229">
        <v>0</v>
      </c>
      <c r="GLP23" s="229">
        <v>0</v>
      </c>
      <c r="GLQ23" s="229">
        <v>0</v>
      </c>
      <c r="GLR23" s="229">
        <v>0</v>
      </c>
      <c r="GLS23" s="229">
        <v>0</v>
      </c>
      <c r="GLT23" s="229">
        <v>0</v>
      </c>
      <c r="GLU23" s="229">
        <v>0</v>
      </c>
      <c r="GLV23" s="229">
        <v>0</v>
      </c>
      <c r="GLW23" s="229">
        <v>0</v>
      </c>
      <c r="GLX23" s="229">
        <v>0</v>
      </c>
      <c r="GLY23" s="229">
        <v>0</v>
      </c>
      <c r="GLZ23" s="229">
        <v>0</v>
      </c>
      <c r="GMA23" s="229">
        <v>0</v>
      </c>
      <c r="GMB23" s="229">
        <v>0</v>
      </c>
      <c r="GMC23" s="229">
        <v>0</v>
      </c>
      <c r="GMD23" s="229">
        <v>0</v>
      </c>
      <c r="GME23" s="229">
        <v>0</v>
      </c>
      <c r="GMF23" s="229">
        <v>0</v>
      </c>
      <c r="GMG23" s="229">
        <v>0</v>
      </c>
      <c r="GMH23" s="229">
        <v>0</v>
      </c>
      <c r="GMI23" s="229">
        <v>0</v>
      </c>
      <c r="GMJ23" s="229">
        <v>0</v>
      </c>
      <c r="GMK23" s="229">
        <v>0</v>
      </c>
      <c r="GML23" s="229">
        <v>0</v>
      </c>
      <c r="GMM23" s="229">
        <v>0</v>
      </c>
      <c r="GMN23" s="229">
        <v>0</v>
      </c>
      <c r="GMO23" s="229">
        <v>0</v>
      </c>
      <c r="GMP23" s="229">
        <v>0</v>
      </c>
      <c r="GMQ23" s="229">
        <v>0</v>
      </c>
      <c r="GMR23" s="229">
        <v>0</v>
      </c>
      <c r="GMS23" s="229">
        <v>0</v>
      </c>
      <c r="GMT23" s="229">
        <v>0</v>
      </c>
      <c r="GMU23" s="229">
        <v>0</v>
      </c>
      <c r="GMV23" s="229">
        <v>0</v>
      </c>
      <c r="GMW23" s="229">
        <v>0</v>
      </c>
      <c r="GMX23" s="229">
        <v>0</v>
      </c>
      <c r="GMY23" s="229">
        <v>0</v>
      </c>
      <c r="GMZ23" s="229">
        <v>0</v>
      </c>
      <c r="GNA23" s="229">
        <v>0</v>
      </c>
      <c r="GNB23" s="229">
        <v>0</v>
      </c>
      <c r="GNC23" s="229">
        <v>0</v>
      </c>
      <c r="GND23" s="229">
        <v>0</v>
      </c>
      <c r="GNE23" s="229">
        <v>0</v>
      </c>
      <c r="GNF23" s="229">
        <v>0</v>
      </c>
      <c r="GNG23" s="229">
        <v>0</v>
      </c>
      <c r="GNH23" s="229">
        <v>0</v>
      </c>
      <c r="GNI23" s="229">
        <v>0</v>
      </c>
      <c r="GNJ23" s="229">
        <v>0</v>
      </c>
      <c r="GNK23" s="229">
        <v>0</v>
      </c>
      <c r="GNL23" s="229">
        <v>0</v>
      </c>
      <c r="GNM23" s="229">
        <v>0</v>
      </c>
      <c r="GNN23" s="229">
        <v>0</v>
      </c>
      <c r="GNO23" s="229">
        <v>0</v>
      </c>
      <c r="GNP23" s="229">
        <v>0</v>
      </c>
      <c r="GNQ23" s="229">
        <v>0</v>
      </c>
      <c r="GNR23" s="229">
        <v>0</v>
      </c>
      <c r="GNS23" s="229">
        <v>0</v>
      </c>
      <c r="GNT23" s="229">
        <v>0</v>
      </c>
      <c r="GNU23" s="229">
        <v>0</v>
      </c>
      <c r="GNV23" s="229">
        <v>0</v>
      </c>
      <c r="GNW23" s="229">
        <v>0</v>
      </c>
      <c r="GNX23" s="229">
        <v>0</v>
      </c>
      <c r="GNY23" s="229">
        <v>0</v>
      </c>
      <c r="GNZ23" s="229">
        <v>0</v>
      </c>
      <c r="GOA23" s="229">
        <v>0</v>
      </c>
      <c r="GOB23" s="229">
        <v>0</v>
      </c>
      <c r="GOC23" s="229">
        <v>0</v>
      </c>
      <c r="GOD23" s="229">
        <v>0</v>
      </c>
      <c r="GOE23" s="229">
        <v>0</v>
      </c>
      <c r="GOF23" s="229">
        <v>0</v>
      </c>
      <c r="GOG23" s="229">
        <v>0</v>
      </c>
      <c r="GOH23" s="229">
        <v>0</v>
      </c>
      <c r="GOI23" s="229">
        <v>0</v>
      </c>
      <c r="GOJ23" s="229">
        <v>0</v>
      </c>
      <c r="GOK23" s="229">
        <v>0</v>
      </c>
      <c r="GOL23" s="229">
        <v>0</v>
      </c>
      <c r="GOM23" s="229">
        <v>0</v>
      </c>
      <c r="GON23" s="229">
        <v>0</v>
      </c>
      <c r="GOO23" s="229">
        <v>0</v>
      </c>
      <c r="GOP23" s="229">
        <v>0</v>
      </c>
      <c r="GOQ23" s="229">
        <v>0</v>
      </c>
      <c r="GOR23" s="229">
        <v>0</v>
      </c>
      <c r="GOS23" s="229">
        <v>0</v>
      </c>
      <c r="GOT23" s="229">
        <v>0</v>
      </c>
      <c r="GOU23" s="229">
        <v>0</v>
      </c>
      <c r="GOV23" s="229">
        <v>0</v>
      </c>
      <c r="GOW23" s="229">
        <v>0</v>
      </c>
      <c r="GOX23" s="229">
        <v>0</v>
      </c>
      <c r="GOY23" s="229">
        <v>0</v>
      </c>
      <c r="GOZ23" s="229">
        <v>0</v>
      </c>
      <c r="GPA23" s="229">
        <v>0</v>
      </c>
      <c r="GPB23" s="229">
        <v>0</v>
      </c>
      <c r="GPC23" s="229">
        <v>0</v>
      </c>
      <c r="GPD23" s="229">
        <v>0</v>
      </c>
      <c r="GPE23" s="229">
        <v>0</v>
      </c>
      <c r="GPF23" s="229">
        <v>0</v>
      </c>
      <c r="GPG23" s="229">
        <v>0</v>
      </c>
      <c r="GPH23" s="229">
        <v>0</v>
      </c>
      <c r="GPI23" s="229">
        <v>0</v>
      </c>
      <c r="GPJ23" s="229">
        <v>0</v>
      </c>
      <c r="GPK23" s="229">
        <v>0</v>
      </c>
      <c r="GPL23" s="229">
        <v>0</v>
      </c>
      <c r="GPM23" s="229">
        <v>0</v>
      </c>
      <c r="GPN23" s="229">
        <v>0</v>
      </c>
      <c r="GPO23" s="229">
        <v>0</v>
      </c>
      <c r="GPP23" s="229">
        <v>0</v>
      </c>
      <c r="GPQ23" s="229">
        <v>0</v>
      </c>
      <c r="GPR23" s="229">
        <v>0</v>
      </c>
      <c r="GPS23" s="229">
        <v>0</v>
      </c>
      <c r="GPT23" s="229">
        <v>0</v>
      </c>
      <c r="GPU23" s="229">
        <v>0</v>
      </c>
      <c r="GPV23" s="229">
        <v>0</v>
      </c>
      <c r="GPW23" s="229">
        <v>0</v>
      </c>
      <c r="GPX23" s="229">
        <v>0</v>
      </c>
      <c r="GPY23" s="229">
        <v>0</v>
      </c>
      <c r="GPZ23" s="229">
        <v>0</v>
      </c>
      <c r="GQA23" s="229">
        <v>0</v>
      </c>
      <c r="GQB23" s="229">
        <v>0</v>
      </c>
      <c r="GQC23" s="229">
        <v>0</v>
      </c>
      <c r="GQD23" s="229">
        <v>0</v>
      </c>
      <c r="GQE23" s="229">
        <v>0</v>
      </c>
      <c r="GQF23" s="229">
        <v>0</v>
      </c>
      <c r="GQG23" s="229">
        <v>0</v>
      </c>
      <c r="GQH23" s="229">
        <v>0</v>
      </c>
      <c r="GQI23" s="229">
        <v>0</v>
      </c>
      <c r="GQJ23" s="229">
        <v>0</v>
      </c>
      <c r="GQK23" s="229">
        <v>0</v>
      </c>
      <c r="GQL23" s="229">
        <v>0</v>
      </c>
      <c r="GQM23" s="229">
        <v>0</v>
      </c>
      <c r="GQN23" s="229">
        <v>0</v>
      </c>
      <c r="GQO23" s="229">
        <v>0</v>
      </c>
      <c r="GQP23" s="229">
        <v>0</v>
      </c>
      <c r="GQQ23" s="229">
        <v>0</v>
      </c>
      <c r="GQR23" s="229">
        <v>0</v>
      </c>
      <c r="GQS23" s="229">
        <v>0</v>
      </c>
      <c r="GQT23" s="229">
        <v>0</v>
      </c>
      <c r="GQU23" s="229">
        <v>0</v>
      </c>
      <c r="GQV23" s="229">
        <v>0</v>
      </c>
      <c r="GQW23" s="229">
        <v>0</v>
      </c>
      <c r="GQX23" s="229">
        <v>0</v>
      </c>
      <c r="GQY23" s="229">
        <v>0</v>
      </c>
      <c r="GQZ23" s="229">
        <v>0</v>
      </c>
      <c r="GRA23" s="229">
        <v>0</v>
      </c>
      <c r="GRB23" s="229">
        <v>0</v>
      </c>
      <c r="GRC23" s="229">
        <v>0</v>
      </c>
      <c r="GRD23" s="229">
        <v>0</v>
      </c>
      <c r="GRE23" s="229">
        <v>0</v>
      </c>
      <c r="GRF23" s="229">
        <v>0</v>
      </c>
      <c r="GRG23" s="229">
        <v>0</v>
      </c>
      <c r="GRH23" s="229">
        <v>0</v>
      </c>
      <c r="GRI23" s="229">
        <v>0</v>
      </c>
      <c r="GRJ23" s="229">
        <v>0</v>
      </c>
      <c r="GRK23" s="229">
        <v>0</v>
      </c>
      <c r="GRL23" s="229">
        <v>0</v>
      </c>
      <c r="GRM23" s="229">
        <v>0</v>
      </c>
      <c r="GRN23" s="229">
        <v>0</v>
      </c>
      <c r="GRO23" s="229">
        <v>0</v>
      </c>
      <c r="GRP23" s="229">
        <v>0</v>
      </c>
      <c r="GRQ23" s="229">
        <v>0</v>
      </c>
      <c r="GRR23" s="229">
        <v>0</v>
      </c>
      <c r="GRS23" s="229">
        <v>0</v>
      </c>
      <c r="GRT23" s="229">
        <v>0</v>
      </c>
      <c r="GRU23" s="229">
        <v>0</v>
      </c>
      <c r="GRV23" s="229">
        <v>0</v>
      </c>
      <c r="GRW23" s="229">
        <v>0</v>
      </c>
      <c r="GRX23" s="229">
        <v>0</v>
      </c>
      <c r="GRY23" s="229">
        <v>0</v>
      </c>
      <c r="GRZ23" s="229">
        <v>0</v>
      </c>
      <c r="GSA23" s="229">
        <v>0</v>
      </c>
      <c r="GSB23" s="229">
        <v>0</v>
      </c>
      <c r="GSC23" s="229">
        <v>0</v>
      </c>
      <c r="GSD23" s="229">
        <v>0</v>
      </c>
      <c r="GSE23" s="229">
        <v>0</v>
      </c>
      <c r="GSF23" s="229">
        <v>0</v>
      </c>
      <c r="GSG23" s="229">
        <v>0</v>
      </c>
      <c r="GSH23" s="229">
        <v>0</v>
      </c>
      <c r="GSI23" s="229">
        <v>0</v>
      </c>
      <c r="GSJ23" s="229">
        <v>0</v>
      </c>
      <c r="GSK23" s="229">
        <v>0</v>
      </c>
      <c r="GSL23" s="229">
        <v>0</v>
      </c>
      <c r="GSM23" s="229">
        <v>0</v>
      </c>
      <c r="GSN23" s="229">
        <v>0</v>
      </c>
      <c r="GSO23" s="229">
        <v>0</v>
      </c>
      <c r="GSP23" s="229">
        <v>0</v>
      </c>
      <c r="GSQ23" s="229">
        <v>0</v>
      </c>
      <c r="GSR23" s="229">
        <v>0</v>
      </c>
      <c r="GSS23" s="229">
        <v>0</v>
      </c>
      <c r="GST23" s="229">
        <v>0</v>
      </c>
      <c r="GSU23" s="229">
        <v>0</v>
      </c>
      <c r="GSV23" s="229">
        <v>0</v>
      </c>
      <c r="GSW23" s="229">
        <v>0</v>
      </c>
      <c r="GSX23" s="229">
        <v>0</v>
      </c>
      <c r="GSY23" s="229">
        <v>0</v>
      </c>
      <c r="GSZ23" s="229">
        <v>0</v>
      </c>
      <c r="GTA23" s="229">
        <v>0</v>
      </c>
      <c r="GTB23" s="229">
        <v>0</v>
      </c>
      <c r="GTC23" s="229">
        <v>0</v>
      </c>
      <c r="GTD23" s="229">
        <v>0</v>
      </c>
      <c r="GTE23" s="229">
        <v>0</v>
      </c>
      <c r="GTF23" s="229">
        <v>0</v>
      </c>
      <c r="GTG23" s="229">
        <v>0</v>
      </c>
      <c r="GTH23" s="229">
        <v>0</v>
      </c>
      <c r="GTI23" s="229">
        <v>0</v>
      </c>
      <c r="GTJ23" s="229">
        <v>0</v>
      </c>
      <c r="GTK23" s="229">
        <v>0</v>
      </c>
      <c r="GTL23" s="229">
        <v>0</v>
      </c>
      <c r="GTM23" s="229">
        <v>0</v>
      </c>
      <c r="GTN23" s="229">
        <v>0</v>
      </c>
      <c r="GTO23" s="229">
        <v>0</v>
      </c>
      <c r="GTP23" s="229">
        <v>0</v>
      </c>
      <c r="GTQ23" s="229">
        <v>0</v>
      </c>
      <c r="GTR23" s="229">
        <v>0</v>
      </c>
      <c r="GTS23" s="229">
        <v>0</v>
      </c>
      <c r="GTT23" s="229">
        <v>0</v>
      </c>
      <c r="GTU23" s="229">
        <v>0</v>
      </c>
      <c r="GTV23" s="229">
        <v>0</v>
      </c>
      <c r="GTW23" s="229">
        <v>0</v>
      </c>
      <c r="GTX23" s="229">
        <v>0</v>
      </c>
      <c r="GTY23" s="229">
        <v>0</v>
      </c>
      <c r="GTZ23" s="229">
        <v>0</v>
      </c>
      <c r="GUA23" s="229">
        <v>0</v>
      </c>
      <c r="GUB23" s="229">
        <v>0</v>
      </c>
      <c r="GUC23" s="229">
        <v>0</v>
      </c>
      <c r="GUD23" s="229">
        <v>0</v>
      </c>
      <c r="GUE23" s="229">
        <v>0</v>
      </c>
      <c r="GUF23" s="229">
        <v>0</v>
      </c>
      <c r="GUG23" s="229">
        <v>0</v>
      </c>
      <c r="GUH23" s="229">
        <v>0</v>
      </c>
      <c r="GUI23" s="229">
        <v>0</v>
      </c>
      <c r="GUJ23" s="229">
        <v>0</v>
      </c>
      <c r="GUK23" s="229">
        <v>0</v>
      </c>
      <c r="GUL23" s="229">
        <v>0</v>
      </c>
      <c r="GUM23" s="229">
        <v>0</v>
      </c>
      <c r="GUN23" s="229">
        <v>0</v>
      </c>
      <c r="GUO23" s="229">
        <v>0</v>
      </c>
      <c r="GUP23" s="229">
        <v>0</v>
      </c>
      <c r="GUQ23" s="229">
        <v>0</v>
      </c>
      <c r="GUR23" s="229">
        <v>0</v>
      </c>
      <c r="GUS23" s="229">
        <v>0</v>
      </c>
      <c r="GUT23" s="229">
        <v>0</v>
      </c>
      <c r="GUU23" s="229">
        <v>0</v>
      </c>
      <c r="GUV23" s="229">
        <v>0</v>
      </c>
      <c r="GUW23" s="229">
        <v>0</v>
      </c>
      <c r="GUX23" s="229">
        <v>0</v>
      </c>
      <c r="GUY23" s="229">
        <v>0</v>
      </c>
      <c r="GUZ23" s="229">
        <v>0</v>
      </c>
      <c r="GVA23" s="229">
        <v>0</v>
      </c>
      <c r="GVB23" s="229">
        <v>0</v>
      </c>
      <c r="GVC23" s="229">
        <v>0</v>
      </c>
      <c r="GVD23" s="229">
        <v>0</v>
      </c>
      <c r="GVE23" s="229">
        <v>0</v>
      </c>
      <c r="GVF23" s="229">
        <v>0</v>
      </c>
      <c r="GVG23" s="229">
        <v>0</v>
      </c>
      <c r="GVH23" s="229">
        <v>0</v>
      </c>
      <c r="GVI23" s="229">
        <v>0</v>
      </c>
      <c r="GVJ23" s="229">
        <v>0</v>
      </c>
      <c r="GVK23" s="229">
        <v>0</v>
      </c>
      <c r="GVL23" s="229">
        <v>0</v>
      </c>
      <c r="GVM23" s="229">
        <v>0</v>
      </c>
      <c r="GVN23" s="229">
        <v>0</v>
      </c>
      <c r="GVO23" s="229">
        <v>0</v>
      </c>
      <c r="GVP23" s="229">
        <v>0</v>
      </c>
      <c r="GVQ23" s="229">
        <v>0</v>
      </c>
      <c r="GVR23" s="229">
        <v>0</v>
      </c>
      <c r="GVS23" s="229">
        <v>0</v>
      </c>
      <c r="GVT23" s="229">
        <v>0</v>
      </c>
      <c r="GVU23" s="229">
        <v>0</v>
      </c>
      <c r="GVV23" s="229">
        <v>0</v>
      </c>
      <c r="GVW23" s="229">
        <v>0</v>
      </c>
      <c r="GVX23" s="229">
        <v>0</v>
      </c>
      <c r="GVY23" s="229">
        <v>0</v>
      </c>
      <c r="GVZ23" s="229">
        <v>0</v>
      </c>
      <c r="GWA23" s="229">
        <v>0</v>
      </c>
      <c r="GWB23" s="229">
        <v>0</v>
      </c>
      <c r="GWC23" s="229">
        <v>0</v>
      </c>
      <c r="GWD23" s="229">
        <v>0</v>
      </c>
      <c r="GWE23" s="229">
        <v>0</v>
      </c>
      <c r="GWF23" s="229">
        <v>0</v>
      </c>
      <c r="GWG23" s="229">
        <v>0</v>
      </c>
      <c r="GWH23" s="229">
        <v>0</v>
      </c>
      <c r="GWI23" s="229">
        <v>0</v>
      </c>
      <c r="GWJ23" s="229">
        <v>0</v>
      </c>
      <c r="GWK23" s="229">
        <v>0</v>
      </c>
      <c r="GWL23" s="229">
        <v>0</v>
      </c>
      <c r="GWM23" s="229">
        <v>0</v>
      </c>
      <c r="GWN23" s="229">
        <v>0</v>
      </c>
      <c r="GWO23" s="229">
        <v>0</v>
      </c>
      <c r="GWP23" s="229">
        <v>0</v>
      </c>
      <c r="GWQ23" s="229">
        <v>0</v>
      </c>
      <c r="GWR23" s="229">
        <v>0</v>
      </c>
      <c r="GWS23" s="229">
        <v>0</v>
      </c>
      <c r="GWT23" s="229">
        <v>0</v>
      </c>
      <c r="GWU23" s="229">
        <v>0</v>
      </c>
      <c r="GWV23" s="229">
        <v>0</v>
      </c>
      <c r="GWW23" s="229">
        <v>0</v>
      </c>
      <c r="GWX23" s="229">
        <v>0</v>
      </c>
      <c r="GWY23" s="229">
        <v>0</v>
      </c>
      <c r="GWZ23" s="229">
        <v>0</v>
      </c>
      <c r="GXA23" s="229">
        <v>0</v>
      </c>
      <c r="GXB23" s="229">
        <v>0</v>
      </c>
      <c r="GXC23" s="229">
        <v>0</v>
      </c>
      <c r="GXD23" s="229">
        <v>0</v>
      </c>
      <c r="GXE23" s="229">
        <v>0</v>
      </c>
      <c r="GXF23" s="229">
        <v>0</v>
      </c>
      <c r="GXG23" s="229">
        <v>0</v>
      </c>
      <c r="GXH23" s="229">
        <v>0</v>
      </c>
      <c r="GXI23" s="229">
        <v>0</v>
      </c>
      <c r="GXJ23" s="229">
        <v>0</v>
      </c>
      <c r="GXK23" s="229">
        <v>0</v>
      </c>
      <c r="GXL23" s="229">
        <v>0</v>
      </c>
      <c r="GXM23" s="229">
        <v>0</v>
      </c>
      <c r="GXN23" s="229">
        <v>0</v>
      </c>
      <c r="GXO23" s="229">
        <v>0</v>
      </c>
      <c r="GXP23" s="229">
        <v>0</v>
      </c>
      <c r="GXQ23" s="229">
        <v>0</v>
      </c>
      <c r="GXR23" s="229">
        <v>0</v>
      </c>
      <c r="GXS23" s="229">
        <v>0</v>
      </c>
      <c r="GXT23" s="229">
        <v>0</v>
      </c>
      <c r="GXU23" s="229">
        <v>0</v>
      </c>
      <c r="GXV23" s="229">
        <v>0</v>
      </c>
      <c r="GXW23" s="229">
        <v>0</v>
      </c>
      <c r="GXX23" s="229">
        <v>0</v>
      </c>
      <c r="GXY23" s="229">
        <v>0</v>
      </c>
      <c r="GXZ23" s="229">
        <v>0</v>
      </c>
      <c r="GYA23" s="229">
        <v>0</v>
      </c>
      <c r="GYB23" s="229">
        <v>0</v>
      </c>
      <c r="GYC23" s="229">
        <v>0</v>
      </c>
      <c r="GYD23" s="229">
        <v>0</v>
      </c>
      <c r="GYE23" s="229">
        <v>0</v>
      </c>
      <c r="GYF23" s="229">
        <v>0</v>
      </c>
      <c r="GYG23" s="229">
        <v>0</v>
      </c>
      <c r="GYH23" s="229">
        <v>0</v>
      </c>
      <c r="GYI23" s="229">
        <v>0</v>
      </c>
      <c r="GYJ23" s="229">
        <v>0</v>
      </c>
      <c r="GYK23" s="229">
        <v>0</v>
      </c>
      <c r="GYL23" s="229">
        <v>0</v>
      </c>
      <c r="GYM23" s="229">
        <v>0</v>
      </c>
      <c r="GYN23" s="229">
        <v>0</v>
      </c>
      <c r="GYO23" s="229">
        <v>0</v>
      </c>
      <c r="GYP23" s="229">
        <v>0</v>
      </c>
      <c r="GYQ23" s="229">
        <v>0</v>
      </c>
      <c r="GYR23" s="229">
        <v>0</v>
      </c>
      <c r="GYS23" s="229">
        <v>0</v>
      </c>
      <c r="GYT23" s="229">
        <v>0</v>
      </c>
      <c r="GYU23" s="229">
        <v>0</v>
      </c>
      <c r="GYV23" s="229">
        <v>0</v>
      </c>
      <c r="GYW23" s="229">
        <v>0</v>
      </c>
      <c r="GYX23" s="229">
        <v>0</v>
      </c>
      <c r="GYY23" s="229">
        <v>0</v>
      </c>
      <c r="GYZ23" s="229">
        <v>0</v>
      </c>
      <c r="GZA23" s="229">
        <v>0</v>
      </c>
      <c r="GZB23" s="229">
        <v>0</v>
      </c>
      <c r="GZC23" s="229">
        <v>0</v>
      </c>
      <c r="GZD23" s="229">
        <v>0</v>
      </c>
      <c r="GZE23" s="229">
        <v>0</v>
      </c>
      <c r="GZF23" s="229">
        <v>0</v>
      </c>
      <c r="GZG23" s="229">
        <v>0</v>
      </c>
      <c r="GZH23" s="229">
        <v>0</v>
      </c>
      <c r="GZI23" s="229">
        <v>0</v>
      </c>
      <c r="GZJ23" s="229">
        <v>0</v>
      </c>
      <c r="GZK23" s="229">
        <v>0</v>
      </c>
      <c r="GZL23" s="229">
        <v>0</v>
      </c>
      <c r="GZM23" s="229">
        <v>0</v>
      </c>
      <c r="GZN23" s="229">
        <v>0</v>
      </c>
      <c r="GZO23" s="229">
        <v>0</v>
      </c>
      <c r="GZP23" s="229">
        <v>0</v>
      </c>
      <c r="GZQ23" s="229">
        <v>0</v>
      </c>
      <c r="GZR23" s="229">
        <v>0</v>
      </c>
      <c r="GZS23" s="229">
        <v>0</v>
      </c>
      <c r="GZT23" s="229">
        <v>0</v>
      </c>
      <c r="GZU23" s="229">
        <v>0</v>
      </c>
      <c r="GZV23" s="229">
        <v>0</v>
      </c>
      <c r="GZW23" s="229">
        <v>0</v>
      </c>
      <c r="GZX23" s="229">
        <v>0</v>
      </c>
      <c r="GZY23" s="229">
        <v>0</v>
      </c>
      <c r="GZZ23" s="229">
        <v>0</v>
      </c>
      <c r="HAA23" s="229">
        <v>0</v>
      </c>
      <c r="HAB23" s="229">
        <v>0</v>
      </c>
      <c r="HAC23" s="229">
        <v>0</v>
      </c>
      <c r="HAD23" s="229">
        <v>0</v>
      </c>
      <c r="HAE23" s="229">
        <v>0</v>
      </c>
      <c r="HAF23" s="229">
        <v>0</v>
      </c>
      <c r="HAG23" s="229">
        <v>0</v>
      </c>
      <c r="HAH23" s="229">
        <v>0</v>
      </c>
      <c r="HAI23" s="229">
        <v>0</v>
      </c>
      <c r="HAJ23" s="229">
        <v>0</v>
      </c>
      <c r="HAK23" s="229">
        <v>0</v>
      </c>
      <c r="HAL23" s="229">
        <v>0</v>
      </c>
      <c r="HAM23" s="229">
        <v>0</v>
      </c>
      <c r="HAN23" s="229">
        <v>0</v>
      </c>
      <c r="HAO23" s="229">
        <v>0</v>
      </c>
      <c r="HAP23" s="229">
        <v>0</v>
      </c>
      <c r="HAQ23" s="229">
        <v>0</v>
      </c>
      <c r="HAR23" s="229">
        <v>0</v>
      </c>
      <c r="HAS23" s="229">
        <v>0</v>
      </c>
      <c r="HAT23" s="229">
        <v>0</v>
      </c>
      <c r="HAU23" s="229">
        <v>0</v>
      </c>
      <c r="HAV23" s="229">
        <v>0</v>
      </c>
      <c r="HAW23" s="229">
        <v>0</v>
      </c>
      <c r="HAX23" s="229">
        <v>0</v>
      </c>
      <c r="HAY23" s="229">
        <v>0</v>
      </c>
      <c r="HAZ23" s="229">
        <v>0</v>
      </c>
      <c r="HBA23" s="229">
        <v>0</v>
      </c>
      <c r="HBB23" s="229">
        <v>0</v>
      </c>
      <c r="HBC23" s="229">
        <v>0</v>
      </c>
      <c r="HBD23" s="229">
        <v>0</v>
      </c>
      <c r="HBE23" s="229">
        <v>0</v>
      </c>
      <c r="HBF23" s="229">
        <v>0</v>
      </c>
      <c r="HBG23" s="229">
        <v>0</v>
      </c>
      <c r="HBH23" s="229">
        <v>0</v>
      </c>
      <c r="HBI23" s="229">
        <v>0</v>
      </c>
      <c r="HBJ23" s="229">
        <v>0</v>
      </c>
      <c r="HBK23" s="229">
        <v>0</v>
      </c>
      <c r="HBL23" s="229">
        <v>0</v>
      </c>
      <c r="HBM23" s="229">
        <v>0</v>
      </c>
      <c r="HBN23" s="229">
        <v>0</v>
      </c>
      <c r="HBO23" s="229">
        <v>0</v>
      </c>
      <c r="HBP23" s="229">
        <v>0</v>
      </c>
      <c r="HBQ23" s="229">
        <v>0</v>
      </c>
      <c r="HBR23" s="229">
        <v>0</v>
      </c>
      <c r="HBS23" s="229">
        <v>0</v>
      </c>
      <c r="HBT23" s="229">
        <v>0</v>
      </c>
      <c r="HBU23" s="229">
        <v>0</v>
      </c>
      <c r="HBV23" s="229">
        <v>0</v>
      </c>
      <c r="HBW23" s="229">
        <v>0</v>
      </c>
      <c r="HBX23" s="229">
        <v>0</v>
      </c>
      <c r="HBY23" s="229">
        <v>0</v>
      </c>
      <c r="HBZ23" s="229">
        <v>0</v>
      </c>
      <c r="HCA23" s="229">
        <v>0</v>
      </c>
      <c r="HCB23" s="229">
        <v>0</v>
      </c>
      <c r="HCC23" s="229">
        <v>0</v>
      </c>
      <c r="HCD23" s="229">
        <v>0</v>
      </c>
      <c r="HCE23" s="229">
        <v>0</v>
      </c>
      <c r="HCF23" s="229">
        <v>0</v>
      </c>
      <c r="HCG23" s="229">
        <v>0</v>
      </c>
      <c r="HCH23" s="229">
        <v>0</v>
      </c>
      <c r="HCI23" s="229">
        <v>0</v>
      </c>
      <c r="HCJ23" s="229">
        <v>0</v>
      </c>
      <c r="HCK23" s="229">
        <v>0</v>
      </c>
      <c r="HCL23" s="229">
        <v>0</v>
      </c>
      <c r="HCM23" s="229">
        <v>0</v>
      </c>
      <c r="HCN23" s="229">
        <v>0</v>
      </c>
      <c r="HCO23" s="229">
        <v>0</v>
      </c>
      <c r="HCP23" s="229">
        <v>0</v>
      </c>
      <c r="HCQ23" s="229">
        <v>0</v>
      </c>
      <c r="HCR23" s="229">
        <v>0</v>
      </c>
      <c r="HCS23" s="229">
        <v>0</v>
      </c>
      <c r="HCT23" s="229">
        <v>0</v>
      </c>
      <c r="HCU23" s="229">
        <v>0</v>
      </c>
      <c r="HCV23" s="229">
        <v>0</v>
      </c>
      <c r="HCW23" s="229">
        <v>0</v>
      </c>
      <c r="HCX23" s="229">
        <v>0</v>
      </c>
      <c r="HCY23" s="229">
        <v>0</v>
      </c>
      <c r="HCZ23" s="229">
        <v>0</v>
      </c>
      <c r="HDA23" s="229">
        <v>0</v>
      </c>
      <c r="HDB23" s="229">
        <v>0</v>
      </c>
      <c r="HDC23" s="229">
        <v>0</v>
      </c>
      <c r="HDD23" s="229">
        <v>0</v>
      </c>
      <c r="HDE23" s="229">
        <v>0</v>
      </c>
      <c r="HDF23" s="229">
        <v>0</v>
      </c>
      <c r="HDG23" s="229">
        <v>0</v>
      </c>
      <c r="HDH23" s="229">
        <v>0</v>
      </c>
      <c r="HDI23" s="229">
        <v>0</v>
      </c>
      <c r="HDJ23" s="229">
        <v>0</v>
      </c>
      <c r="HDK23" s="229">
        <v>0</v>
      </c>
      <c r="HDL23" s="229">
        <v>0</v>
      </c>
      <c r="HDM23" s="229">
        <v>0</v>
      </c>
      <c r="HDN23" s="229">
        <v>0</v>
      </c>
      <c r="HDO23" s="229">
        <v>0</v>
      </c>
      <c r="HDP23" s="229">
        <v>0</v>
      </c>
      <c r="HDQ23" s="229">
        <v>0</v>
      </c>
      <c r="HDR23" s="229">
        <v>0</v>
      </c>
      <c r="HDS23" s="229">
        <v>0</v>
      </c>
      <c r="HDT23" s="229">
        <v>0</v>
      </c>
      <c r="HDU23" s="229">
        <v>0</v>
      </c>
      <c r="HDV23" s="229">
        <v>0</v>
      </c>
      <c r="HDW23" s="229">
        <v>0</v>
      </c>
      <c r="HDX23" s="229">
        <v>0</v>
      </c>
      <c r="HDY23" s="229">
        <v>0</v>
      </c>
      <c r="HDZ23" s="229">
        <v>0</v>
      </c>
      <c r="HEA23" s="229">
        <v>0</v>
      </c>
      <c r="HEB23" s="229">
        <v>0</v>
      </c>
      <c r="HEC23" s="229">
        <v>0</v>
      </c>
      <c r="HED23" s="229">
        <v>0</v>
      </c>
      <c r="HEE23" s="229">
        <v>0</v>
      </c>
      <c r="HEF23" s="229">
        <v>0</v>
      </c>
      <c r="HEG23" s="229">
        <v>0</v>
      </c>
      <c r="HEH23" s="229">
        <v>0</v>
      </c>
      <c r="HEI23" s="229">
        <v>0</v>
      </c>
      <c r="HEJ23" s="229">
        <v>0</v>
      </c>
      <c r="HEK23" s="229">
        <v>0</v>
      </c>
      <c r="HEL23" s="229">
        <v>0</v>
      </c>
      <c r="HEM23" s="229">
        <v>0</v>
      </c>
      <c r="HEN23" s="229">
        <v>0</v>
      </c>
      <c r="HEO23" s="229">
        <v>0</v>
      </c>
      <c r="HEP23" s="229">
        <v>0</v>
      </c>
      <c r="HEQ23" s="229">
        <v>0</v>
      </c>
      <c r="HER23" s="229">
        <v>0</v>
      </c>
      <c r="HES23" s="229">
        <v>0</v>
      </c>
      <c r="HET23" s="229">
        <v>0</v>
      </c>
      <c r="HEU23" s="229">
        <v>0</v>
      </c>
      <c r="HEV23" s="229">
        <v>0</v>
      </c>
      <c r="HEW23" s="229">
        <v>0</v>
      </c>
      <c r="HEX23" s="229">
        <v>0</v>
      </c>
      <c r="HEY23" s="229">
        <v>0</v>
      </c>
      <c r="HEZ23" s="229">
        <v>0</v>
      </c>
      <c r="HFA23" s="229">
        <v>0</v>
      </c>
      <c r="HFB23" s="229">
        <v>0</v>
      </c>
      <c r="HFC23" s="229">
        <v>0</v>
      </c>
      <c r="HFD23" s="229">
        <v>0</v>
      </c>
      <c r="HFE23" s="229">
        <v>0</v>
      </c>
      <c r="HFF23" s="229">
        <v>0</v>
      </c>
      <c r="HFG23" s="229">
        <v>0</v>
      </c>
      <c r="HFH23" s="229">
        <v>0</v>
      </c>
      <c r="HFI23" s="229">
        <v>0</v>
      </c>
      <c r="HFJ23" s="229">
        <v>0</v>
      </c>
      <c r="HFK23" s="229">
        <v>0</v>
      </c>
      <c r="HFL23" s="229">
        <v>0</v>
      </c>
      <c r="HFM23" s="229">
        <v>0</v>
      </c>
      <c r="HFN23" s="229">
        <v>0</v>
      </c>
      <c r="HFO23" s="229">
        <v>0</v>
      </c>
      <c r="HFP23" s="229">
        <v>0</v>
      </c>
      <c r="HFQ23" s="229">
        <v>0</v>
      </c>
      <c r="HFR23" s="229">
        <v>0</v>
      </c>
      <c r="HFS23" s="229">
        <v>0</v>
      </c>
      <c r="HFT23" s="229">
        <v>0</v>
      </c>
      <c r="HFU23" s="229">
        <v>0</v>
      </c>
      <c r="HFV23" s="229">
        <v>0</v>
      </c>
      <c r="HFW23" s="229">
        <v>0</v>
      </c>
      <c r="HFX23" s="229">
        <v>0</v>
      </c>
      <c r="HFY23" s="229">
        <v>0</v>
      </c>
      <c r="HFZ23" s="229">
        <v>0</v>
      </c>
      <c r="HGA23" s="229">
        <v>0</v>
      </c>
      <c r="HGB23" s="229">
        <v>0</v>
      </c>
      <c r="HGC23" s="229">
        <v>0</v>
      </c>
      <c r="HGD23" s="229">
        <v>0</v>
      </c>
      <c r="HGE23" s="229">
        <v>0</v>
      </c>
      <c r="HGF23" s="229">
        <v>0</v>
      </c>
      <c r="HGG23" s="229">
        <v>0</v>
      </c>
      <c r="HGH23" s="229">
        <v>0</v>
      </c>
      <c r="HGI23" s="229">
        <v>0</v>
      </c>
      <c r="HGJ23" s="229">
        <v>0</v>
      </c>
      <c r="HGK23" s="229">
        <v>0</v>
      </c>
      <c r="HGL23" s="229">
        <v>0</v>
      </c>
      <c r="HGM23" s="229">
        <v>0</v>
      </c>
      <c r="HGN23" s="229">
        <v>0</v>
      </c>
      <c r="HGO23" s="229">
        <v>0</v>
      </c>
      <c r="HGP23" s="229">
        <v>0</v>
      </c>
      <c r="HGQ23" s="229">
        <v>0</v>
      </c>
      <c r="HGR23" s="229">
        <v>0</v>
      </c>
      <c r="HGS23" s="229">
        <v>0</v>
      </c>
      <c r="HGT23" s="229">
        <v>0</v>
      </c>
      <c r="HGU23" s="229">
        <v>0</v>
      </c>
      <c r="HGV23" s="229">
        <v>0</v>
      </c>
      <c r="HGW23" s="229">
        <v>0</v>
      </c>
      <c r="HGX23" s="229">
        <v>0</v>
      </c>
      <c r="HGY23" s="229">
        <v>0</v>
      </c>
      <c r="HGZ23" s="229">
        <v>0</v>
      </c>
      <c r="HHA23" s="229">
        <v>0</v>
      </c>
      <c r="HHB23" s="229">
        <v>0</v>
      </c>
      <c r="HHC23" s="229">
        <v>0</v>
      </c>
      <c r="HHD23" s="229">
        <v>0</v>
      </c>
      <c r="HHE23" s="229">
        <v>0</v>
      </c>
      <c r="HHF23" s="229">
        <v>0</v>
      </c>
      <c r="HHG23" s="229">
        <v>0</v>
      </c>
      <c r="HHH23" s="229">
        <v>0</v>
      </c>
      <c r="HHI23" s="229">
        <v>0</v>
      </c>
      <c r="HHJ23" s="229">
        <v>0</v>
      </c>
      <c r="HHK23" s="229">
        <v>0</v>
      </c>
      <c r="HHL23" s="229">
        <v>0</v>
      </c>
      <c r="HHM23" s="229">
        <v>0</v>
      </c>
      <c r="HHN23" s="229">
        <v>0</v>
      </c>
      <c r="HHO23" s="229">
        <v>0</v>
      </c>
      <c r="HHP23" s="229">
        <v>0</v>
      </c>
      <c r="HHQ23" s="229">
        <v>0</v>
      </c>
      <c r="HHR23" s="229">
        <v>0</v>
      </c>
      <c r="HHS23" s="229">
        <v>0</v>
      </c>
      <c r="HHT23" s="229">
        <v>0</v>
      </c>
      <c r="HHU23" s="229">
        <v>0</v>
      </c>
      <c r="HHV23" s="229">
        <v>0</v>
      </c>
      <c r="HHW23" s="229">
        <v>0</v>
      </c>
      <c r="HHX23" s="229">
        <v>0</v>
      </c>
      <c r="HHY23" s="229">
        <v>0</v>
      </c>
      <c r="HHZ23" s="229">
        <v>0</v>
      </c>
      <c r="HIA23" s="229">
        <v>0</v>
      </c>
      <c r="HIB23" s="229">
        <v>0</v>
      </c>
      <c r="HIC23" s="229">
        <v>0</v>
      </c>
      <c r="HID23" s="229">
        <v>0</v>
      </c>
      <c r="HIE23" s="229">
        <v>0</v>
      </c>
      <c r="HIF23" s="229">
        <v>0</v>
      </c>
      <c r="HIG23" s="229">
        <v>0</v>
      </c>
      <c r="HIH23" s="229">
        <v>0</v>
      </c>
      <c r="HII23" s="229">
        <v>0</v>
      </c>
      <c r="HIJ23" s="229">
        <v>0</v>
      </c>
      <c r="HIK23" s="229">
        <v>0</v>
      </c>
      <c r="HIL23" s="229">
        <v>0</v>
      </c>
      <c r="HIM23" s="229">
        <v>0</v>
      </c>
      <c r="HIN23" s="229">
        <v>0</v>
      </c>
      <c r="HIO23" s="229">
        <v>0</v>
      </c>
      <c r="HIP23" s="229">
        <v>0</v>
      </c>
      <c r="HIQ23" s="229">
        <v>0</v>
      </c>
      <c r="HIR23" s="229">
        <v>0</v>
      </c>
      <c r="HIS23" s="229">
        <v>0</v>
      </c>
      <c r="HIT23" s="229">
        <v>0</v>
      </c>
      <c r="HIU23" s="229">
        <v>0</v>
      </c>
      <c r="HIV23" s="229">
        <v>0</v>
      </c>
      <c r="HIW23" s="229">
        <v>0</v>
      </c>
      <c r="HIX23" s="229">
        <v>0</v>
      </c>
      <c r="HIY23" s="229">
        <v>0</v>
      </c>
      <c r="HIZ23" s="229">
        <v>0</v>
      </c>
      <c r="HJA23" s="229">
        <v>0</v>
      </c>
      <c r="HJB23" s="229">
        <v>0</v>
      </c>
      <c r="HJC23" s="229">
        <v>0</v>
      </c>
      <c r="HJD23" s="229">
        <v>0</v>
      </c>
      <c r="HJE23" s="229">
        <v>0</v>
      </c>
      <c r="HJF23" s="229">
        <v>0</v>
      </c>
      <c r="HJG23" s="229">
        <v>0</v>
      </c>
      <c r="HJH23" s="229">
        <v>0</v>
      </c>
      <c r="HJI23" s="229">
        <v>0</v>
      </c>
      <c r="HJJ23" s="229">
        <v>0</v>
      </c>
      <c r="HJK23" s="229">
        <v>0</v>
      </c>
      <c r="HJL23" s="229">
        <v>0</v>
      </c>
      <c r="HJM23" s="229">
        <v>0</v>
      </c>
      <c r="HJN23" s="229">
        <v>0</v>
      </c>
      <c r="HJO23" s="229">
        <v>0</v>
      </c>
      <c r="HJP23" s="229">
        <v>0</v>
      </c>
      <c r="HJQ23" s="229">
        <v>0</v>
      </c>
      <c r="HJR23" s="229">
        <v>0</v>
      </c>
      <c r="HJS23" s="229">
        <v>0</v>
      </c>
      <c r="HJT23" s="229">
        <v>0</v>
      </c>
      <c r="HJU23" s="229">
        <v>0</v>
      </c>
      <c r="HJV23" s="229">
        <v>0</v>
      </c>
      <c r="HJW23" s="229">
        <v>0</v>
      </c>
      <c r="HJX23" s="229">
        <v>0</v>
      </c>
      <c r="HJY23" s="229">
        <v>0</v>
      </c>
      <c r="HJZ23" s="229">
        <v>0</v>
      </c>
      <c r="HKA23" s="229">
        <v>0</v>
      </c>
      <c r="HKB23" s="229">
        <v>0</v>
      </c>
      <c r="HKC23" s="229">
        <v>0</v>
      </c>
      <c r="HKD23" s="229">
        <v>0</v>
      </c>
      <c r="HKE23" s="229">
        <v>0</v>
      </c>
      <c r="HKF23" s="229">
        <v>0</v>
      </c>
      <c r="HKG23" s="229">
        <v>0</v>
      </c>
      <c r="HKH23" s="229">
        <v>0</v>
      </c>
      <c r="HKI23" s="229">
        <v>0</v>
      </c>
      <c r="HKJ23" s="229">
        <v>0</v>
      </c>
      <c r="HKK23" s="229">
        <v>0</v>
      </c>
      <c r="HKL23" s="229">
        <v>0</v>
      </c>
      <c r="HKM23" s="229">
        <v>0</v>
      </c>
      <c r="HKN23" s="229">
        <v>0</v>
      </c>
      <c r="HKO23" s="229">
        <v>0</v>
      </c>
      <c r="HKP23" s="229">
        <v>0</v>
      </c>
      <c r="HKQ23" s="229">
        <v>0</v>
      </c>
      <c r="HKR23" s="229">
        <v>0</v>
      </c>
      <c r="HKS23" s="229">
        <v>0</v>
      </c>
      <c r="HKT23" s="229">
        <v>0</v>
      </c>
      <c r="HKU23" s="229">
        <v>0</v>
      </c>
      <c r="HKV23" s="229">
        <v>0</v>
      </c>
      <c r="HKW23" s="229">
        <v>0</v>
      </c>
      <c r="HKX23" s="229">
        <v>0</v>
      </c>
      <c r="HKY23" s="229">
        <v>0</v>
      </c>
      <c r="HKZ23" s="229">
        <v>0</v>
      </c>
      <c r="HLA23" s="229">
        <v>0</v>
      </c>
      <c r="HLB23" s="229">
        <v>0</v>
      </c>
      <c r="HLC23" s="229">
        <v>0</v>
      </c>
      <c r="HLD23" s="229">
        <v>0</v>
      </c>
      <c r="HLE23" s="229">
        <v>0</v>
      </c>
      <c r="HLF23" s="229">
        <v>0</v>
      </c>
      <c r="HLG23" s="229">
        <v>0</v>
      </c>
      <c r="HLH23" s="229">
        <v>0</v>
      </c>
      <c r="HLI23" s="229">
        <v>0</v>
      </c>
      <c r="HLJ23" s="229">
        <v>0</v>
      </c>
      <c r="HLK23" s="229">
        <v>0</v>
      </c>
      <c r="HLL23" s="229">
        <v>0</v>
      </c>
      <c r="HLM23" s="229">
        <v>0</v>
      </c>
      <c r="HLN23" s="229">
        <v>0</v>
      </c>
      <c r="HLO23" s="229">
        <v>0</v>
      </c>
      <c r="HLP23" s="229">
        <v>0</v>
      </c>
      <c r="HLQ23" s="229">
        <v>0</v>
      </c>
      <c r="HLR23" s="229">
        <v>0</v>
      </c>
      <c r="HLS23" s="229">
        <v>0</v>
      </c>
      <c r="HLT23" s="229">
        <v>0</v>
      </c>
      <c r="HLU23" s="229">
        <v>0</v>
      </c>
      <c r="HLV23" s="229">
        <v>0</v>
      </c>
      <c r="HLW23" s="229">
        <v>0</v>
      </c>
      <c r="HLX23" s="229">
        <v>0</v>
      </c>
      <c r="HLY23" s="229">
        <v>0</v>
      </c>
      <c r="HLZ23" s="229">
        <v>0</v>
      </c>
      <c r="HMA23" s="229">
        <v>0</v>
      </c>
      <c r="HMB23" s="229">
        <v>0</v>
      </c>
      <c r="HMC23" s="229">
        <v>0</v>
      </c>
      <c r="HMD23" s="229">
        <v>0</v>
      </c>
      <c r="HME23" s="229">
        <v>0</v>
      </c>
      <c r="HMF23" s="229">
        <v>0</v>
      </c>
      <c r="HMG23" s="229">
        <v>0</v>
      </c>
      <c r="HMH23" s="229">
        <v>0</v>
      </c>
      <c r="HMI23" s="229">
        <v>0</v>
      </c>
      <c r="HMJ23" s="229">
        <v>0</v>
      </c>
      <c r="HMK23" s="229">
        <v>0</v>
      </c>
      <c r="HML23" s="229">
        <v>0</v>
      </c>
      <c r="HMM23" s="229">
        <v>0</v>
      </c>
      <c r="HMN23" s="229">
        <v>0</v>
      </c>
      <c r="HMO23" s="229">
        <v>0</v>
      </c>
      <c r="HMP23" s="229">
        <v>0</v>
      </c>
      <c r="HMQ23" s="229">
        <v>0</v>
      </c>
      <c r="HMR23" s="229">
        <v>0</v>
      </c>
      <c r="HMS23" s="229">
        <v>0</v>
      </c>
      <c r="HMT23" s="229">
        <v>0</v>
      </c>
      <c r="HMU23" s="229">
        <v>0</v>
      </c>
      <c r="HMV23" s="229">
        <v>0</v>
      </c>
      <c r="HMW23" s="229">
        <v>0</v>
      </c>
      <c r="HMX23" s="229">
        <v>0</v>
      </c>
      <c r="HMY23" s="229">
        <v>0</v>
      </c>
      <c r="HMZ23" s="229">
        <v>0</v>
      </c>
      <c r="HNA23" s="229">
        <v>0</v>
      </c>
      <c r="HNB23" s="229">
        <v>0</v>
      </c>
      <c r="HNC23" s="229">
        <v>0</v>
      </c>
      <c r="HND23" s="229">
        <v>0</v>
      </c>
      <c r="HNE23" s="229">
        <v>0</v>
      </c>
      <c r="HNF23" s="229">
        <v>0</v>
      </c>
      <c r="HNG23" s="229">
        <v>0</v>
      </c>
      <c r="HNH23" s="229">
        <v>0</v>
      </c>
      <c r="HNI23" s="229">
        <v>0</v>
      </c>
      <c r="HNJ23" s="229">
        <v>0</v>
      </c>
      <c r="HNK23" s="229">
        <v>0</v>
      </c>
      <c r="HNL23" s="229">
        <v>0</v>
      </c>
      <c r="HNM23" s="229">
        <v>0</v>
      </c>
      <c r="HNN23" s="229">
        <v>0</v>
      </c>
      <c r="HNO23" s="229">
        <v>0</v>
      </c>
      <c r="HNP23" s="229">
        <v>0</v>
      </c>
      <c r="HNQ23" s="229">
        <v>0</v>
      </c>
      <c r="HNR23" s="229">
        <v>0</v>
      </c>
      <c r="HNS23" s="229">
        <v>0</v>
      </c>
      <c r="HNT23" s="229">
        <v>0</v>
      </c>
      <c r="HNU23" s="229">
        <v>0</v>
      </c>
      <c r="HNV23" s="229">
        <v>0</v>
      </c>
      <c r="HNW23" s="229">
        <v>0</v>
      </c>
      <c r="HNX23" s="229">
        <v>0</v>
      </c>
      <c r="HNY23" s="229">
        <v>0</v>
      </c>
      <c r="HNZ23" s="229">
        <v>0</v>
      </c>
      <c r="HOA23" s="229">
        <v>0</v>
      </c>
      <c r="HOB23" s="229">
        <v>0</v>
      </c>
      <c r="HOC23" s="229">
        <v>0</v>
      </c>
      <c r="HOD23" s="229">
        <v>0</v>
      </c>
      <c r="HOE23" s="229">
        <v>0</v>
      </c>
      <c r="HOF23" s="229">
        <v>0</v>
      </c>
      <c r="HOG23" s="229">
        <v>0</v>
      </c>
      <c r="HOH23" s="229">
        <v>0</v>
      </c>
      <c r="HOI23" s="229">
        <v>0</v>
      </c>
      <c r="HOJ23" s="229">
        <v>0</v>
      </c>
      <c r="HOK23" s="229">
        <v>0</v>
      </c>
      <c r="HOL23" s="229">
        <v>0</v>
      </c>
      <c r="HOM23" s="229">
        <v>0</v>
      </c>
      <c r="HON23" s="229">
        <v>0</v>
      </c>
      <c r="HOO23" s="229">
        <v>0</v>
      </c>
      <c r="HOP23" s="229">
        <v>0</v>
      </c>
      <c r="HOQ23" s="229">
        <v>0</v>
      </c>
      <c r="HOR23" s="229">
        <v>0</v>
      </c>
      <c r="HOS23" s="229">
        <v>0</v>
      </c>
      <c r="HOT23" s="229">
        <v>0</v>
      </c>
      <c r="HOU23" s="229">
        <v>0</v>
      </c>
      <c r="HOV23" s="229">
        <v>0</v>
      </c>
      <c r="HOW23" s="229">
        <v>0</v>
      </c>
      <c r="HOX23" s="229">
        <v>0</v>
      </c>
      <c r="HOY23" s="229">
        <v>0</v>
      </c>
      <c r="HOZ23" s="229">
        <v>0</v>
      </c>
      <c r="HPA23" s="229">
        <v>0</v>
      </c>
      <c r="HPB23" s="229">
        <v>0</v>
      </c>
      <c r="HPC23" s="229">
        <v>0</v>
      </c>
      <c r="HPD23" s="229">
        <v>0</v>
      </c>
      <c r="HPE23" s="229">
        <v>0</v>
      </c>
      <c r="HPF23" s="229">
        <v>0</v>
      </c>
      <c r="HPG23" s="229">
        <v>0</v>
      </c>
      <c r="HPH23" s="229">
        <v>0</v>
      </c>
      <c r="HPI23" s="229">
        <v>0</v>
      </c>
      <c r="HPJ23" s="229">
        <v>0</v>
      </c>
      <c r="HPK23" s="229">
        <v>0</v>
      </c>
      <c r="HPL23" s="229">
        <v>0</v>
      </c>
      <c r="HPM23" s="229">
        <v>0</v>
      </c>
      <c r="HPN23" s="229">
        <v>0</v>
      </c>
      <c r="HPO23" s="229">
        <v>0</v>
      </c>
      <c r="HPP23" s="229">
        <v>0</v>
      </c>
      <c r="HPQ23" s="229">
        <v>0</v>
      </c>
      <c r="HPR23" s="229">
        <v>0</v>
      </c>
      <c r="HPS23" s="229">
        <v>0</v>
      </c>
      <c r="HPT23" s="229">
        <v>0</v>
      </c>
      <c r="HPU23" s="229">
        <v>0</v>
      </c>
      <c r="HPV23" s="229">
        <v>0</v>
      </c>
      <c r="HPW23" s="229">
        <v>0</v>
      </c>
      <c r="HPX23" s="229">
        <v>0</v>
      </c>
      <c r="HPY23" s="229">
        <v>0</v>
      </c>
      <c r="HPZ23" s="229">
        <v>0</v>
      </c>
      <c r="HQA23" s="229">
        <v>0</v>
      </c>
      <c r="HQB23" s="229">
        <v>0</v>
      </c>
      <c r="HQC23" s="229">
        <v>0</v>
      </c>
      <c r="HQD23" s="229">
        <v>0</v>
      </c>
      <c r="HQE23" s="229">
        <v>0</v>
      </c>
      <c r="HQF23" s="229">
        <v>0</v>
      </c>
      <c r="HQG23" s="229">
        <v>0</v>
      </c>
      <c r="HQH23" s="229">
        <v>0</v>
      </c>
      <c r="HQI23" s="229">
        <v>0</v>
      </c>
      <c r="HQJ23" s="229">
        <v>0</v>
      </c>
      <c r="HQK23" s="229">
        <v>0</v>
      </c>
      <c r="HQL23" s="229">
        <v>0</v>
      </c>
      <c r="HQM23" s="229">
        <v>0</v>
      </c>
      <c r="HQN23" s="229">
        <v>0</v>
      </c>
      <c r="HQO23" s="229">
        <v>0</v>
      </c>
      <c r="HQP23" s="229">
        <v>0</v>
      </c>
      <c r="HQQ23" s="229">
        <v>0</v>
      </c>
      <c r="HQR23" s="229">
        <v>0</v>
      </c>
      <c r="HQS23" s="229">
        <v>0</v>
      </c>
      <c r="HQT23" s="229">
        <v>0</v>
      </c>
      <c r="HQU23" s="229">
        <v>0</v>
      </c>
      <c r="HQV23" s="229">
        <v>0</v>
      </c>
      <c r="HQW23" s="229">
        <v>0</v>
      </c>
      <c r="HQX23" s="229">
        <v>0</v>
      </c>
      <c r="HQY23" s="229">
        <v>0</v>
      </c>
      <c r="HQZ23" s="229">
        <v>0</v>
      </c>
      <c r="HRA23" s="229">
        <v>0</v>
      </c>
      <c r="HRB23" s="229">
        <v>0</v>
      </c>
      <c r="HRC23" s="229">
        <v>0</v>
      </c>
      <c r="HRD23" s="229">
        <v>0</v>
      </c>
      <c r="HRE23" s="229">
        <v>0</v>
      </c>
      <c r="HRF23" s="229">
        <v>0</v>
      </c>
      <c r="HRG23" s="229">
        <v>0</v>
      </c>
      <c r="HRH23" s="229">
        <v>0</v>
      </c>
      <c r="HRI23" s="229">
        <v>0</v>
      </c>
      <c r="HRJ23" s="229">
        <v>0</v>
      </c>
      <c r="HRK23" s="229">
        <v>0</v>
      </c>
      <c r="HRL23" s="229">
        <v>0</v>
      </c>
      <c r="HRM23" s="229">
        <v>0</v>
      </c>
      <c r="HRN23" s="229">
        <v>0</v>
      </c>
      <c r="HRO23" s="229">
        <v>0</v>
      </c>
      <c r="HRP23" s="229">
        <v>0</v>
      </c>
      <c r="HRQ23" s="229">
        <v>0</v>
      </c>
      <c r="HRR23" s="229">
        <v>0</v>
      </c>
      <c r="HRS23" s="229">
        <v>0</v>
      </c>
      <c r="HRT23" s="229">
        <v>0</v>
      </c>
      <c r="HRU23" s="229">
        <v>0</v>
      </c>
      <c r="HRV23" s="229">
        <v>0</v>
      </c>
      <c r="HRW23" s="229">
        <v>0</v>
      </c>
      <c r="HRX23" s="229">
        <v>0</v>
      </c>
      <c r="HRY23" s="229">
        <v>0</v>
      </c>
      <c r="HRZ23" s="229">
        <v>0</v>
      </c>
      <c r="HSA23" s="229">
        <v>0</v>
      </c>
      <c r="HSB23" s="229">
        <v>0</v>
      </c>
      <c r="HSC23" s="229">
        <v>0</v>
      </c>
      <c r="HSD23" s="229">
        <v>0</v>
      </c>
      <c r="HSE23" s="229">
        <v>0</v>
      </c>
      <c r="HSF23" s="229">
        <v>0</v>
      </c>
      <c r="HSG23" s="229">
        <v>0</v>
      </c>
      <c r="HSH23" s="229">
        <v>0</v>
      </c>
      <c r="HSI23" s="229">
        <v>0</v>
      </c>
      <c r="HSJ23" s="229">
        <v>0</v>
      </c>
      <c r="HSK23" s="229">
        <v>0</v>
      </c>
      <c r="HSL23" s="229">
        <v>0</v>
      </c>
      <c r="HSM23" s="229">
        <v>0</v>
      </c>
      <c r="HSN23" s="229">
        <v>0</v>
      </c>
      <c r="HSO23" s="229">
        <v>0</v>
      </c>
      <c r="HSP23" s="229">
        <v>0</v>
      </c>
      <c r="HSQ23" s="229">
        <v>0</v>
      </c>
      <c r="HSR23" s="229">
        <v>0</v>
      </c>
      <c r="HSS23" s="229">
        <v>0</v>
      </c>
      <c r="HST23" s="229">
        <v>0</v>
      </c>
      <c r="HSU23" s="229">
        <v>0</v>
      </c>
      <c r="HSV23" s="229">
        <v>0</v>
      </c>
      <c r="HSW23" s="229">
        <v>0</v>
      </c>
      <c r="HSX23" s="229">
        <v>0</v>
      </c>
      <c r="HSY23" s="229">
        <v>0</v>
      </c>
      <c r="HSZ23" s="229">
        <v>0</v>
      </c>
      <c r="HTA23" s="229">
        <v>0</v>
      </c>
      <c r="HTB23" s="229">
        <v>0</v>
      </c>
      <c r="HTC23" s="229">
        <v>0</v>
      </c>
      <c r="HTD23" s="229">
        <v>0</v>
      </c>
      <c r="HTE23" s="229">
        <v>0</v>
      </c>
      <c r="HTF23" s="229">
        <v>0</v>
      </c>
      <c r="HTG23" s="229">
        <v>0</v>
      </c>
      <c r="HTH23" s="229">
        <v>0</v>
      </c>
      <c r="HTI23" s="229">
        <v>0</v>
      </c>
      <c r="HTJ23" s="229">
        <v>0</v>
      </c>
      <c r="HTK23" s="229">
        <v>0</v>
      </c>
      <c r="HTL23" s="229">
        <v>0</v>
      </c>
      <c r="HTM23" s="229">
        <v>0</v>
      </c>
      <c r="HTN23" s="229">
        <v>0</v>
      </c>
      <c r="HTO23" s="229">
        <v>0</v>
      </c>
      <c r="HTP23" s="229">
        <v>0</v>
      </c>
      <c r="HTQ23" s="229">
        <v>0</v>
      </c>
      <c r="HTR23" s="229">
        <v>0</v>
      </c>
      <c r="HTS23" s="229">
        <v>0</v>
      </c>
      <c r="HTT23" s="229">
        <v>0</v>
      </c>
      <c r="HTU23" s="229">
        <v>0</v>
      </c>
      <c r="HTV23" s="229">
        <v>0</v>
      </c>
      <c r="HTW23" s="229">
        <v>0</v>
      </c>
      <c r="HTX23" s="229">
        <v>0</v>
      </c>
      <c r="HTY23" s="229">
        <v>0</v>
      </c>
      <c r="HTZ23" s="229">
        <v>0</v>
      </c>
      <c r="HUA23" s="229">
        <v>0</v>
      </c>
      <c r="HUB23" s="229">
        <v>0</v>
      </c>
      <c r="HUC23" s="229">
        <v>0</v>
      </c>
      <c r="HUD23" s="229">
        <v>0</v>
      </c>
      <c r="HUE23" s="229">
        <v>0</v>
      </c>
      <c r="HUF23" s="229">
        <v>0</v>
      </c>
      <c r="HUG23" s="229">
        <v>0</v>
      </c>
      <c r="HUH23" s="229">
        <v>0</v>
      </c>
      <c r="HUI23" s="229">
        <v>0</v>
      </c>
      <c r="HUJ23" s="229">
        <v>0</v>
      </c>
      <c r="HUK23" s="229">
        <v>0</v>
      </c>
      <c r="HUL23" s="229">
        <v>0</v>
      </c>
      <c r="HUM23" s="229">
        <v>0</v>
      </c>
      <c r="HUN23" s="229">
        <v>0</v>
      </c>
      <c r="HUO23" s="229">
        <v>0</v>
      </c>
      <c r="HUP23" s="229">
        <v>0</v>
      </c>
      <c r="HUQ23" s="229">
        <v>0</v>
      </c>
      <c r="HUR23" s="229">
        <v>0</v>
      </c>
      <c r="HUS23" s="229">
        <v>0</v>
      </c>
      <c r="HUT23" s="229">
        <v>0</v>
      </c>
      <c r="HUU23" s="229">
        <v>0</v>
      </c>
      <c r="HUV23" s="229">
        <v>0</v>
      </c>
      <c r="HUW23" s="229">
        <v>0</v>
      </c>
      <c r="HUX23" s="229">
        <v>0</v>
      </c>
      <c r="HUY23" s="229">
        <v>0</v>
      </c>
      <c r="HUZ23" s="229">
        <v>0</v>
      </c>
      <c r="HVA23" s="229">
        <v>0</v>
      </c>
      <c r="HVB23" s="229">
        <v>0</v>
      </c>
      <c r="HVC23" s="229">
        <v>0</v>
      </c>
      <c r="HVD23" s="229">
        <v>0</v>
      </c>
      <c r="HVE23" s="229">
        <v>0</v>
      </c>
      <c r="HVF23" s="229">
        <v>0</v>
      </c>
      <c r="HVG23" s="229">
        <v>0</v>
      </c>
      <c r="HVH23" s="229">
        <v>0</v>
      </c>
      <c r="HVI23" s="229">
        <v>0</v>
      </c>
      <c r="HVJ23" s="229">
        <v>0</v>
      </c>
      <c r="HVK23" s="229">
        <v>0</v>
      </c>
      <c r="HVL23" s="229">
        <v>0</v>
      </c>
      <c r="HVM23" s="229">
        <v>0</v>
      </c>
      <c r="HVN23" s="229">
        <v>0</v>
      </c>
      <c r="HVO23" s="229">
        <v>0</v>
      </c>
      <c r="HVP23" s="229">
        <v>0</v>
      </c>
      <c r="HVQ23" s="229">
        <v>0</v>
      </c>
      <c r="HVR23" s="229">
        <v>0</v>
      </c>
      <c r="HVS23" s="229">
        <v>0</v>
      </c>
      <c r="HVT23" s="229">
        <v>0</v>
      </c>
      <c r="HVU23" s="229">
        <v>0</v>
      </c>
      <c r="HVV23" s="229">
        <v>0</v>
      </c>
      <c r="HVW23" s="229">
        <v>0</v>
      </c>
      <c r="HVX23" s="229">
        <v>0</v>
      </c>
      <c r="HVY23" s="229">
        <v>0</v>
      </c>
      <c r="HVZ23" s="229">
        <v>0</v>
      </c>
      <c r="HWA23" s="229">
        <v>0</v>
      </c>
      <c r="HWB23" s="229">
        <v>0</v>
      </c>
      <c r="HWC23" s="229">
        <v>0</v>
      </c>
      <c r="HWD23" s="229">
        <v>0</v>
      </c>
      <c r="HWE23" s="229">
        <v>0</v>
      </c>
      <c r="HWF23" s="229">
        <v>0</v>
      </c>
      <c r="HWG23" s="229">
        <v>0</v>
      </c>
      <c r="HWH23" s="229">
        <v>0</v>
      </c>
      <c r="HWI23" s="229">
        <v>0</v>
      </c>
      <c r="HWJ23" s="229">
        <v>0</v>
      </c>
      <c r="HWK23" s="229">
        <v>0</v>
      </c>
      <c r="HWL23" s="229">
        <v>0</v>
      </c>
      <c r="HWM23" s="229">
        <v>0</v>
      </c>
      <c r="HWN23" s="229">
        <v>0</v>
      </c>
      <c r="HWO23" s="229">
        <v>0</v>
      </c>
      <c r="HWP23" s="229">
        <v>0</v>
      </c>
      <c r="HWQ23" s="229">
        <v>0</v>
      </c>
      <c r="HWR23" s="229">
        <v>0</v>
      </c>
      <c r="HWS23" s="229">
        <v>0</v>
      </c>
      <c r="HWT23" s="229">
        <v>0</v>
      </c>
      <c r="HWU23" s="229">
        <v>0</v>
      </c>
      <c r="HWV23" s="229">
        <v>0</v>
      </c>
      <c r="HWW23" s="229">
        <v>0</v>
      </c>
      <c r="HWX23" s="229">
        <v>0</v>
      </c>
      <c r="HWY23" s="229">
        <v>0</v>
      </c>
      <c r="HWZ23" s="229">
        <v>0</v>
      </c>
      <c r="HXA23" s="229">
        <v>0</v>
      </c>
      <c r="HXB23" s="229">
        <v>0</v>
      </c>
      <c r="HXC23" s="229">
        <v>0</v>
      </c>
      <c r="HXD23" s="229">
        <v>0</v>
      </c>
      <c r="HXE23" s="229">
        <v>0</v>
      </c>
      <c r="HXF23" s="229">
        <v>0</v>
      </c>
      <c r="HXG23" s="229">
        <v>0</v>
      </c>
      <c r="HXH23" s="229">
        <v>0</v>
      </c>
      <c r="HXI23" s="229">
        <v>0</v>
      </c>
      <c r="HXJ23" s="229">
        <v>0</v>
      </c>
      <c r="HXK23" s="229">
        <v>0</v>
      </c>
      <c r="HXL23" s="229">
        <v>0</v>
      </c>
      <c r="HXM23" s="229">
        <v>0</v>
      </c>
      <c r="HXN23" s="229">
        <v>0</v>
      </c>
      <c r="HXO23" s="229">
        <v>0</v>
      </c>
      <c r="HXP23" s="229">
        <v>0</v>
      </c>
      <c r="HXQ23" s="229">
        <v>0</v>
      </c>
      <c r="HXR23" s="229">
        <v>0</v>
      </c>
      <c r="HXS23" s="229">
        <v>0</v>
      </c>
      <c r="HXT23" s="229">
        <v>0</v>
      </c>
      <c r="HXU23" s="229">
        <v>0</v>
      </c>
      <c r="HXV23" s="229">
        <v>0</v>
      </c>
      <c r="HXW23" s="229">
        <v>0</v>
      </c>
      <c r="HXX23" s="229">
        <v>0</v>
      </c>
      <c r="HXY23" s="229">
        <v>0</v>
      </c>
      <c r="HXZ23" s="229">
        <v>0</v>
      </c>
      <c r="HYA23" s="229">
        <v>0</v>
      </c>
      <c r="HYB23" s="229">
        <v>0</v>
      </c>
      <c r="HYC23" s="229">
        <v>0</v>
      </c>
      <c r="HYD23" s="229">
        <v>0</v>
      </c>
      <c r="HYE23" s="229">
        <v>0</v>
      </c>
      <c r="HYF23" s="229">
        <v>0</v>
      </c>
      <c r="HYG23" s="229">
        <v>0</v>
      </c>
      <c r="HYH23" s="229">
        <v>0</v>
      </c>
      <c r="HYI23" s="229">
        <v>0</v>
      </c>
      <c r="HYJ23" s="229">
        <v>0</v>
      </c>
      <c r="HYK23" s="229">
        <v>0</v>
      </c>
      <c r="HYL23" s="229">
        <v>0</v>
      </c>
      <c r="HYM23" s="229">
        <v>0</v>
      </c>
      <c r="HYN23" s="229">
        <v>0</v>
      </c>
      <c r="HYO23" s="229">
        <v>0</v>
      </c>
      <c r="HYP23" s="229">
        <v>0</v>
      </c>
      <c r="HYQ23" s="229">
        <v>0</v>
      </c>
      <c r="HYR23" s="229">
        <v>0</v>
      </c>
      <c r="HYS23" s="229">
        <v>0</v>
      </c>
      <c r="HYT23" s="229">
        <v>0</v>
      </c>
      <c r="HYU23" s="229">
        <v>0</v>
      </c>
      <c r="HYV23" s="229">
        <v>0</v>
      </c>
      <c r="HYW23" s="229">
        <v>0</v>
      </c>
      <c r="HYX23" s="229">
        <v>0</v>
      </c>
      <c r="HYY23" s="229">
        <v>0</v>
      </c>
      <c r="HYZ23" s="229">
        <v>0</v>
      </c>
      <c r="HZA23" s="229">
        <v>0</v>
      </c>
      <c r="HZB23" s="229">
        <v>0</v>
      </c>
      <c r="HZC23" s="229">
        <v>0</v>
      </c>
      <c r="HZD23" s="229">
        <v>0</v>
      </c>
      <c r="HZE23" s="229">
        <v>0</v>
      </c>
      <c r="HZF23" s="229">
        <v>0</v>
      </c>
      <c r="HZG23" s="229">
        <v>0</v>
      </c>
      <c r="HZH23" s="229">
        <v>0</v>
      </c>
      <c r="HZI23" s="229">
        <v>0</v>
      </c>
      <c r="HZJ23" s="229">
        <v>0</v>
      </c>
      <c r="HZK23" s="229">
        <v>0</v>
      </c>
      <c r="HZL23" s="229">
        <v>0</v>
      </c>
      <c r="HZM23" s="229">
        <v>0</v>
      </c>
      <c r="HZN23" s="229">
        <v>0</v>
      </c>
      <c r="HZO23" s="229">
        <v>0</v>
      </c>
      <c r="HZP23" s="229">
        <v>0</v>
      </c>
      <c r="HZQ23" s="229">
        <v>0</v>
      </c>
      <c r="HZR23" s="229">
        <v>0</v>
      </c>
      <c r="HZS23" s="229">
        <v>0</v>
      </c>
      <c r="HZT23" s="229">
        <v>0</v>
      </c>
      <c r="HZU23" s="229">
        <v>0</v>
      </c>
      <c r="HZV23" s="229">
        <v>0</v>
      </c>
      <c r="HZW23" s="229">
        <v>0</v>
      </c>
      <c r="HZX23" s="229">
        <v>0</v>
      </c>
      <c r="HZY23" s="229">
        <v>0</v>
      </c>
      <c r="HZZ23" s="229">
        <v>0</v>
      </c>
      <c r="IAA23" s="229">
        <v>0</v>
      </c>
      <c r="IAB23" s="229">
        <v>0</v>
      </c>
      <c r="IAC23" s="229">
        <v>0</v>
      </c>
      <c r="IAD23" s="229">
        <v>0</v>
      </c>
      <c r="IAE23" s="229">
        <v>0</v>
      </c>
      <c r="IAF23" s="229">
        <v>0</v>
      </c>
      <c r="IAG23" s="229">
        <v>0</v>
      </c>
      <c r="IAH23" s="229">
        <v>0</v>
      </c>
      <c r="IAI23" s="229">
        <v>0</v>
      </c>
      <c r="IAJ23" s="229">
        <v>0</v>
      </c>
      <c r="IAK23" s="229">
        <v>0</v>
      </c>
      <c r="IAL23" s="229">
        <v>0</v>
      </c>
      <c r="IAM23" s="229">
        <v>0</v>
      </c>
      <c r="IAN23" s="229">
        <v>0</v>
      </c>
      <c r="IAO23" s="229">
        <v>0</v>
      </c>
      <c r="IAP23" s="229">
        <v>0</v>
      </c>
      <c r="IAQ23" s="229">
        <v>0</v>
      </c>
      <c r="IAR23" s="229">
        <v>0</v>
      </c>
      <c r="IAS23" s="229">
        <v>0</v>
      </c>
      <c r="IAT23" s="229">
        <v>0</v>
      </c>
      <c r="IAU23" s="229">
        <v>0</v>
      </c>
      <c r="IAV23" s="229">
        <v>0</v>
      </c>
      <c r="IAW23" s="229">
        <v>0</v>
      </c>
      <c r="IAX23" s="229">
        <v>0</v>
      </c>
      <c r="IAY23" s="229">
        <v>0</v>
      </c>
      <c r="IAZ23" s="229">
        <v>0</v>
      </c>
      <c r="IBA23" s="229">
        <v>0</v>
      </c>
      <c r="IBB23" s="229">
        <v>0</v>
      </c>
      <c r="IBC23" s="229">
        <v>0</v>
      </c>
      <c r="IBD23" s="229">
        <v>0</v>
      </c>
      <c r="IBE23" s="229">
        <v>0</v>
      </c>
      <c r="IBF23" s="229">
        <v>0</v>
      </c>
      <c r="IBG23" s="229">
        <v>0</v>
      </c>
      <c r="IBH23" s="229">
        <v>0</v>
      </c>
      <c r="IBI23" s="229">
        <v>0</v>
      </c>
      <c r="IBJ23" s="229">
        <v>0</v>
      </c>
      <c r="IBK23" s="229">
        <v>0</v>
      </c>
      <c r="IBL23" s="229">
        <v>0</v>
      </c>
      <c r="IBM23" s="229">
        <v>0</v>
      </c>
      <c r="IBN23" s="229">
        <v>0</v>
      </c>
      <c r="IBO23" s="229">
        <v>0</v>
      </c>
      <c r="IBP23" s="229">
        <v>0</v>
      </c>
      <c r="IBQ23" s="229">
        <v>0</v>
      </c>
      <c r="IBR23" s="229">
        <v>0</v>
      </c>
      <c r="IBS23" s="229">
        <v>0</v>
      </c>
      <c r="IBT23" s="229">
        <v>0</v>
      </c>
      <c r="IBU23" s="229">
        <v>0</v>
      </c>
      <c r="IBV23" s="229">
        <v>0</v>
      </c>
      <c r="IBW23" s="229">
        <v>0</v>
      </c>
      <c r="IBX23" s="229">
        <v>0</v>
      </c>
      <c r="IBY23" s="229">
        <v>0</v>
      </c>
      <c r="IBZ23" s="229">
        <v>0</v>
      </c>
      <c r="ICA23" s="229">
        <v>0</v>
      </c>
      <c r="ICB23" s="229">
        <v>0</v>
      </c>
      <c r="ICC23" s="229">
        <v>0</v>
      </c>
      <c r="ICD23" s="229">
        <v>0</v>
      </c>
      <c r="ICE23" s="229">
        <v>0</v>
      </c>
      <c r="ICF23" s="229">
        <v>0</v>
      </c>
      <c r="ICG23" s="229">
        <v>0</v>
      </c>
      <c r="ICH23" s="229">
        <v>0</v>
      </c>
      <c r="ICI23" s="229">
        <v>0</v>
      </c>
      <c r="ICJ23" s="229">
        <v>0</v>
      </c>
      <c r="ICK23" s="229">
        <v>0</v>
      </c>
      <c r="ICL23" s="229">
        <v>0</v>
      </c>
      <c r="ICM23" s="229">
        <v>0</v>
      </c>
      <c r="ICN23" s="229">
        <v>0</v>
      </c>
      <c r="ICO23" s="229">
        <v>0</v>
      </c>
      <c r="ICP23" s="229">
        <v>0</v>
      </c>
      <c r="ICQ23" s="229">
        <v>0</v>
      </c>
      <c r="ICR23" s="229">
        <v>0</v>
      </c>
      <c r="ICS23" s="229">
        <v>0</v>
      </c>
      <c r="ICT23" s="229">
        <v>0</v>
      </c>
      <c r="ICU23" s="229">
        <v>0</v>
      </c>
      <c r="ICV23" s="229">
        <v>0</v>
      </c>
      <c r="ICW23" s="229">
        <v>0</v>
      </c>
      <c r="ICX23" s="229">
        <v>0</v>
      </c>
      <c r="ICY23" s="229">
        <v>0</v>
      </c>
      <c r="ICZ23" s="229">
        <v>0</v>
      </c>
      <c r="IDA23" s="229">
        <v>0</v>
      </c>
      <c r="IDB23" s="229">
        <v>0</v>
      </c>
      <c r="IDC23" s="229">
        <v>0</v>
      </c>
      <c r="IDD23" s="229">
        <v>0</v>
      </c>
      <c r="IDE23" s="229">
        <v>0</v>
      </c>
      <c r="IDF23" s="229">
        <v>0</v>
      </c>
      <c r="IDG23" s="229">
        <v>0</v>
      </c>
      <c r="IDH23" s="229">
        <v>0</v>
      </c>
      <c r="IDI23" s="229">
        <v>0</v>
      </c>
      <c r="IDJ23" s="229">
        <v>0</v>
      </c>
      <c r="IDK23" s="229">
        <v>0</v>
      </c>
      <c r="IDL23" s="229">
        <v>0</v>
      </c>
      <c r="IDM23" s="229">
        <v>0</v>
      </c>
      <c r="IDN23" s="229">
        <v>0</v>
      </c>
      <c r="IDO23" s="229">
        <v>0</v>
      </c>
      <c r="IDP23" s="229">
        <v>0</v>
      </c>
      <c r="IDQ23" s="229">
        <v>0</v>
      </c>
      <c r="IDR23" s="229">
        <v>0</v>
      </c>
      <c r="IDS23" s="229">
        <v>0</v>
      </c>
      <c r="IDT23" s="229">
        <v>0</v>
      </c>
      <c r="IDU23" s="229">
        <v>0</v>
      </c>
      <c r="IDV23" s="229">
        <v>0</v>
      </c>
      <c r="IDW23" s="229">
        <v>0</v>
      </c>
      <c r="IDX23" s="229">
        <v>0</v>
      </c>
      <c r="IDY23" s="229">
        <v>0</v>
      </c>
      <c r="IDZ23" s="229">
        <v>0</v>
      </c>
      <c r="IEA23" s="229">
        <v>0</v>
      </c>
      <c r="IEB23" s="229">
        <v>0</v>
      </c>
      <c r="IEC23" s="229">
        <v>0</v>
      </c>
      <c r="IED23" s="229">
        <v>0</v>
      </c>
      <c r="IEE23" s="229">
        <v>0</v>
      </c>
      <c r="IEF23" s="229">
        <v>0</v>
      </c>
      <c r="IEG23" s="229">
        <v>0</v>
      </c>
      <c r="IEH23" s="229">
        <v>0</v>
      </c>
      <c r="IEI23" s="229">
        <v>0</v>
      </c>
      <c r="IEJ23" s="229">
        <v>0</v>
      </c>
      <c r="IEK23" s="229">
        <v>0</v>
      </c>
      <c r="IEL23" s="229">
        <v>0</v>
      </c>
      <c r="IEM23" s="229">
        <v>0</v>
      </c>
      <c r="IEN23" s="229">
        <v>0</v>
      </c>
      <c r="IEO23" s="229">
        <v>0</v>
      </c>
      <c r="IEP23" s="229">
        <v>0</v>
      </c>
      <c r="IEQ23" s="229">
        <v>0</v>
      </c>
      <c r="IER23" s="229">
        <v>0</v>
      </c>
      <c r="IES23" s="229">
        <v>0</v>
      </c>
      <c r="IET23" s="229">
        <v>0</v>
      </c>
      <c r="IEU23" s="229">
        <v>0</v>
      </c>
      <c r="IEV23" s="229">
        <v>0</v>
      </c>
      <c r="IEW23" s="229">
        <v>0</v>
      </c>
      <c r="IEX23" s="229">
        <v>0</v>
      </c>
      <c r="IEY23" s="229">
        <v>0</v>
      </c>
      <c r="IEZ23" s="229">
        <v>0</v>
      </c>
      <c r="IFA23" s="229">
        <v>0</v>
      </c>
      <c r="IFB23" s="229">
        <v>0</v>
      </c>
      <c r="IFC23" s="229">
        <v>0</v>
      </c>
      <c r="IFD23" s="229">
        <v>0</v>
      </c>
      <c r="IFE23" s="229">
        <v>0</v>
      </c>
      <c r="IFF23" s="229">
        <v>0</v>
      </c>
      <c r="IFG23" s="229">
        <v>0</v>
      </c>
      <c r="IFH23" s="229">
        <v>0</v>
      </c>
      <c r="IFI23" s="229">
        <v>0</v>
      </c>
      <c r="IFJ23" s="229">
        <v>0</v>
      </c>
      <c r="IFK23" s="229">
        <v>0</v>
      </c>
      <c r="IFL23" s="229">
        <v>0</v>
      </c>
      <c r="IFM23" s="229">
        <v>0</v>
      </c>
      <c r="IFN23" s="229">
        <v>0</v>
      </c>
      <c r="IFO23" s="229">
        <v>0</v>
      </c>
      <c r="IFP23" s="229">
        <v>0</v>
      </c>
      <c r="IFQ23" s="229">
        <v>0</v>
      </c>
      <c r="IFR23" s="229">
        <v>0</v>
      </c>
      <c r="IFS23" s="229">
        <v>0</v>
      </c>
      <c r="IFT23" s="229">
        <v>0</v>
      </c>
      <c r="IFU23" s="229">
        <v>0</v>
      </c>
      <c r="IFV23" s="229">
        <v>0</v>
      </c>
      <c r="IFW23" s="229">
        <v>0</v>
      </c>
      <c r="IFX23" s="229">
        <v>0</v>
      </c>
      <c r="IFY23" s="229">
        <v>0</v>
      </c>
      <c r="IFZ23" s="229">
        <v>0</v>
      </c>
      <c r="IGA23" s="229">
        <v>0</v>
      </c>
      <c r="IGB23" s="229">
        <v>0</v>
      </c>
      <c r="IGC23" s="229">
        <v>0</v>
      </c>
      <c r="IGD23" s="229">
        <v>0</v>
      </c>
      <c r="IGE23" s="229">
        <v>0</v>
      </c>
      <c r="IGF23" s="229">
        <v>0</v>
      </c>
      <c r="IGG23" s="229">
        <v>0</v>
      </c>
      <c r="IGH23" s="229">
        <v>0</v>
      </c>
      <c r="IGI23" s="229">
        <v>0</v>
      </c>
      <c r="IGJ23" s="229">
        <v>0</v>
      </c>
      <c r="IGK23" s="229">
        <v>0</v>
      </c>
      <c r="IGL23" s="229">
        <v>0</v>
      </c>
      <c r="IGM23" s="229">
        <v>0</v>
      </c>
      <c r="IGN23" s="229">
        <v>0</v>
      </c>
      <c r="IGO23" s="229">
        <v>0</v>
      </c>
      <c r="IGP23" s="229">
        <v>0</v>
      </c>
      <c r="IGQ23" s="229">
        <v>0</v>
      </c>
      <c r="IGR23" s="229">
        <v>0</v>
      </c>
      <c r="IGS23" s="229">
        <v>0</v>
      </c>
      <c r="IGT23" s="229">
        <v>0</v>
      </c>
      <c r="IGU23" s="229">
        <v>0</v>
      </c>
      <c r="IGV23" s="229">
        <v>0</v>
      </c>
      <c r="IGW23" s="229">
        <v>0</v>
      </c>
      <c r="IGX23" s="229">
        <v>0</v>
      </c>
      <c r="IGY23" s="229">
        <v>0</v>
      </c>
      <c r="IGZ23" s="229">
        <v>0</v>
      </c>
      <c r="IHA23" s="229">
        <v>0</v>
      </c>
      <c r="IHB23" s="229">
        <v>0</v>
      </c>
      <c r="IHC23" s="229">
        <v>0</v>
      </c>
      <c r="IHD23" s="229">
        <v>0</v>
      </c>
      <c r="IHE23" s="229">
        <v>0</v>
      </c>
      <c r="IHF23" s="229">
        <v>0</v>
      </c>
      <c r="IHG23" s="229">
        <v>0</v>
      </c>
      <c r="IHH23" s="229">
        <v>0</v>
      </c>
      <c r="IHI23" s="229">
        <v>0</v>
      </c>
      <c r="IHJ23" s="229">
        <v>0</v>
      </c>
      <c r="IHK23" s="229">
        <v>0</v>
      </c>
      <c r="IHL23" s="229">
        <v>0</v>
      </c>
      <c r="IHM23" s="229">
        <v>0</v>
      </c>
      <c r="IHN23" s="229">
        <v>0</v>
      </c>
      <c r="IHO23" s="229">
        <v>0</v>
      </c>
      <c r="IHP23" s="229">
        <v>0</v>
      </c>
      <c r="IHQ23" s="229">
        <v>0</v>
      </c>
      <c r="IHR23" s="229">
        <v>0</v>
      </c>
      <c r="IHS23" s="229">
        <v>0</v>
      </c>
      <c r="IHT23" s="229">
        <v>0</v>
      </c>
      <c r="IHU23" s="229">
        <v>0</v>
      </c>
      <c r="IHV23" s="229">
        <v>0</v>
      </c>
      <c r="IHW23" s="229">
        <v>0</v>
      </c>
      <c r="IHX23" s="229">
        <v>0</v>
      </c>
      <c r="IHY23" s="229">
        <v>0</v>
      </c>
      <c r="IHZ23" s="229">
        <v>0</v>
      </c>
      <c r="IIA23" s="229">
        <v>0</v>
      </c>
      <c r="IIB23" s="229">
        <v>0</v>
      </c>
      <c r="IIC23" s="229">
        <v>0</v>
      </c>
      <c r="IID23" s="229">
        <v>0</v>
      </c>
      <c r="IIE23" s="229">
        <v>0</v>
      </c>
      <c r="IIF23" s="229">
        <v>0</v>
      </c>
      <c r="IIG23" s="229">
        <v>0</v>
      </c>
      <c r="IIH23" s="229">
        <v>0</v>
      </c>
      <c r="III23" s="229">
        <v>0</v>
      </c>
      <c r="IIJ23" s="229">
        <v>0</v>
      </c>
      <c r="IIK23" s="229">
        <v>0</v>
      </c>
      <c r="IIL23" s="229">
        <v>0</v>
      </c>
      <c r="IIM23" s="229">
        <v>0</v>
      </c>
      <c r="IIN23" s="229">
        <v>0</v>
      </c>
      <c r="IIO23" s="229">
        <v>0</v>
      </c>
      <c r="IIP23" s="229">
        <v>0</v>
      </c>
      <c r="IIQ23" s="229">
        <v>0</v>
      </c>
      <c r="IIR23" s="229">
        <v>0</v>
      </c>
      <c r="IIS23" s="229">
        <v>0</v>
      </c>
      <c r="IIT23" s="229">
        <v>0</v>
      </c>
      <c r="IIU23" s="229">
        <v>0</v>
      </c>
      <c r="IIV23" s="229">
        <v>0</v>
      </c>
      <c r="IIW23" s="229">
        <v>0</v>
      </c>
      <c r="IIX23" s="229">
        <v>0</v>
      </c>
      <c r="IIY23" s="229">
        <v>0</v>
      </c>
      <c r="IIZ23" s="229">
        <v>0</v>
      </c>
      <c r="IJA23" s="229">
        <v>0</v>
      </c>
      <c r="IJB23" s="229">
        <v>0</v>
      </c>
      <c r="IJC23" s="229">
        <v>0</v>
      </c>
      <c r="IJD23" s="229">
        <v>0</v>
      </c>
      <c r="IJE23" s="229">
        <v>0</v>
      </c>
      <c r="IJF23" s="229">
        <v>0</v>
      </c>
      <c r="IJG23" s="229">
        <v>0</v>
      </c>
      <c r="IJH23" s="229">
        <v>0</v>
      </c>
      <c r="IJI23" s="229">
        <v>0</v>
      </c>
      <c r="IJJ23" s="229">
        <v>0</v>
      </c>
      <c r="IJK23" s="229">
        <v>0</v>
      </c>
      <c r="IJL23" s="229">
        <v>0</v>
      </c>
      <c r="IJM23" s="229">
        <v>0</v>
      </c>
      <c r="IJN23" s="229">
        <v>0</v>
      </c>
      <c r="IJO23" s="229">
        <v>0</v>
      </c>
      <c r="IJP23" s="229">
        <v>0</v>
      </c>
      <c r="IJQ23" s="229">
        <v>0</v>
      </c>
      <c r="IJR23" s="229">
        <v>0</v>
      </c>
      <c r="IJS23" s="229">
        <v>0</v>
      </c>
      <c r="IJT23" s="229">
        <v>0</v>
      </c>
      <c r="IJU23" s="229">
        <v>0</v>
      </c>
      <c r="IJV23" s="229">
        <v>0</v>
      </c>
      <c r="IJW23" s="229">
        <v>0</v>
      </c>
      <c r="IJX23" s="229">
        <v>0</v>
      </c>
      <c r="IJY23" s="229">
        <v>0</v>
      </c>
      <c r="IJZ23" s="229">
        <v>0</v>
      </c>
      <c r="IKA23" s="229">
        <v>0</v>
      </c>
      <c r="IKB23" s="229">
        <v>0</v>
      </c>
      <c r="IKC23" s="229">
        <v>0</v>
      </c>
      <c r="IKD23" s="229">
        <v>0</v>
      </c>
      <c r="IKE23" s="229">
        <v>0</v>
      </c>
      <c r="IKF23" s="229">
        <v>0</v>
      </c>
      <c r="IKG23" s="229">
        <v>0</v>
      </c>
      <c r="IKH23" s="229">
        <v>0</v>
      </c>
      <c r="IKI23" s="229">
        <v>0</v>
      </c>
      <c r="IKJ23" s="229">
        <v>0</v>
      </c>
      <c r="IKK23" s="229">
        <v>0</v>
      </c>
      <c r="IKL23" s="229">
        <v>0</v>
      </c>
      <c r="IKM23" s="229">
        <v>0</v>
      </c>
      <c r="IKN23" s="229">
        <v>0</v>
      </c>
      <c r="IKO23" s="229">
        <v>0</v>
      </c>
      <c r="IKP23" s="229">
        <v>0</v>
      </c>
      <c r="IKQ23" s="229">
        <v>0</v>
      </c>
      <c r="IKR23" s="229">
        <v>0</v>
      </c>
      <c r="IKS23" s="229">
        <v>0</v>
      </c>
      <c r="IKT23" s="229">
        <v>0</v>
      </c>
      <c r="IKU23" s="229">
        <v>0</v>
      </c>
      <c r="IKV23" s="229">
        <v>0</v>
      </c>
      <c r="IKW23" s="229">
        <v>0</v>
      </c>
      <c r="IKX23" s="229">
        <v>0</v>
      </c>
      <c r="IKY23" s="229">
        <v>0</v>
      </c>
      <c r="IKZ23" s="229">
        <v>0</v>
      </c>
      <c r="ILA23" s="229">
        <v>0</v>
      </c>
      <c r="ILB23" s="229">
        <v>0</v>
      </c>
      <c r="ILC23" s="229">
        <v>0</v>
      </c>
      <c r="ILD23" s="229">
        <v>0</v>
      </c>
      <c r="ILE23" s="229">
        <v>0</v>
      </c>
      <c r="ILF23" s="229">
        <v>0</v>
      </c>
      <c r="ILG23" s="229">
        <v>0</v>
      </c>
      <c r="ILH23" s="229">
        <v>0</v>
      </c>
      <c r="ILI23" s="229">
        <v>0</v>
      </c>
      <c r="ILJ23" s="229">
        <v>0</v>
      </c>
      <c r="ILK23" s="229">
        <v>0</v>
      </c>
      <c r="ILL23" s="229">
        <v>0</v>
      </c>
      <c r="ILM23" s="229">
        <v>0</v>
      </c>
      <c r="ILN23" s="229">
        <v>0</v>
      </c>
      <c r="ILO23" s="229">
        <v>0</v>
      </c>
      <c r="ILP23" s="229">
        <v>0</v>
      </c>
      <c r="ILQ23" s="229">
        <v>0</v>
      </c>
      <c r="ILR23" s="229">
        <v>0</v>
      </c>
      <c r="ILS23" s="229">
        <v>0</v>
      </c>
      <c r="ILT23" s="229">
        <v>0</v>
      </c>
      <c r="ILU23" s="229">
        <v>0</v>
      </c>
      <c r="ILV23" s="229">
        <v>0</v>
      </c>
      <c r="ILW23" s="229">
        <v>0</v>
      </c>
      <c r="ILX23" s="229">
        <v>0</v>
      </c>
      <c r="ILY23" s="229">
        <v>0</v>
      </c>
      <c r="ILZ23" s="229">
        <v>0</v>
      </c>
      <c r="IMA23" s="229">
        <v>0</v>
      </c>
      <c r="IMB23" s="229">
        <v>0</v>
      </c>
      <c r="IMC23" s="229">
        <v>0</v>
      </c>
      <c r="IMD23" s="229">
        <v>0</v>
      </c>
      <c r="IME23" s="229">
        <v>0</v>
      </c>
      <c r="IMF23" s="229">
        <v>0</v>
      </c>
      <c r="IMG23" s="229">
        <v>0</v>
      </c>
      <c r="IMH23" s="229">
        <v>0</v>
      </c>
      <c r="IMI23" s="229">
        <v>0</v>
      </c>
      <c r="IMJ23" s="229">
        <v>0</v>
      </c>
      <c r="IMK23" s="229">
        <v>0</v>
      </c>
      <c r="IML23" s="229">
        <v>0</v>
      </c>
      <c r="IMM23" s="229">
        <v>0</v>
      </c>
      <c r="IMN23" s="229">
        <v>0</v>
      </c>
      <c r="IMO23" s="229">
        <v>0</v>
      </c>
      <c r="IMP23" s="229">
        <v>0</v>
      </c>
      <c r="IMQ23" s="229">
        <v>0</v>
      </c>
      <c r="IMR23" s="229">
        <v>0</v>
      </c>
      <c r="IMS23" s="229">
        <v>0</v>
      </c>
      <c r="IMT23" s="229">
        <v>0</v>
      </c>
      <c r="IMU23" s="229">
        <v>0</v>
      </c>
      <c r="IMV23" s="229">
        <v>0</v>
      </c>
      <c r="IMW23" s="229">
        <v>0</v>
      </c>
      <c r="IMX23" s="229">
        <v>0</v>
      </c>
      <c r="IMY23" s="229">
        <v>0</v>
      </c>
      <c r="IMZ23" s="229">
        <v>0</v>
      </c>
      <c r="INA23" s="229">
        <v>0</v>
      </c>
      <c r="INB23" s="229">
        <v>0</v>
      </c>
      <c r="INC23" s="229">
        <v>0</v>
      </c>
      <c r="IND23" s="229">
        <v>0</v>
      </c>
      <c r="INE23" s="229">
        <v>0</v>
      </c>
      <c r="INF23" s="229">
        <v>0</v>
      </c>
      <c r="ING23" s="229">
        <v>0</v>
      </c>
      <c r="INH23" s="229">
        <v>0</v>
      </c>
      <c r="INI23" s="229">
        <v>0</v>
      </c>
      <c r="INJ23" s="229">
        <v>0</v>
      </c>
      <c r="INK23" s="229">
        <v>0</v>
      </c>
      <c r="INL23" s="229">
        <v>0</v>
      </c>
      <c r="INM23" s="229">
        <v>0</v>
      </c>
      <c r="INN23" s="229">
        <v>0</v>
      </c>
      <c r="INO23" s="229">
        <v>0</v>
      </c>
      <c r="INP23" s="229">
        <v>0</v>
      </c>
      <c r="INQ23" s="229">
        <v>0</v>
      </c>
      <c r="INR23" s="229">
        <v>0</v>
      </c>
      <c r="INS23" s="229">
        <v>0</v>
      </c>
      <c r="INT23" s="229">
        <v>0</v>
      </c>
      <c r="INU23" s="229">
        <v>0</v>
      </c>
      <c r="INV23" s="229">
        <v>0</v>
      </c>
      <c r="INW23" s="229">
        <v>0</v>
      </c>
      <c r="INX23" s="229">
        <v>0</v>
      </c>
      <c r="INY23" s="229">
        <v>0</v>
      </c>
      <c r="INZ23" s="229">
        <v>0</v>
      </c>
      <c r="IOA23" s="229">
        <v>0</v>
      </c>
      <c r="IOB23" s="229">
        <v>0</v>
      </c>
      <c r="IOC23" s="229">
        <v>0</v>
      </c>
      <c r="IOD23" s="229">
        <v>0</v>
      </c>
      <c r="IOE23" s="229">
        <v>0</v>
      </c>
      <c r="IOF23" s="229">
        <v>0</v>
      </c>
      <c r="IOG23" s="229">
        <v>0</v>
      </c>
      <c r="IOH23" s="229">
        <v>0</v>
      </c>
      <c r="IOI23" s="229">
        <v>0</v>
      </c>
      <c r="IOJ23" s="229">
        <v>0</v>
      </c>
      <c r="IOK23" s="229">
        <v>0</v>
      </c>
      <c r="IOL23" s="229">
        <v>0</v>
      </c>
      <c r="IOM23" s="229">
        <v>0</v>
      </c>
      <c r="ION23" s="229">
        <v>0</v>
      </c>
      <c r="IOO23" s="229">
        <v>0</v>
      </c>
      <c r="IOP23" s="229">
        <v>0</v>
      </c>
      <c r="IOQ23" s="229">
        <v>0</v>
      </c>
      <c r="IOR23" s="229">
        <v>0</v>
      </c>
      <c r="IOS23" s="229">
        <v>0</v>
      </c>
      <c r="IOT23" s="229">
        <v>0</v>
      </c>
      <c r="IOU23" s="229">
        <v>0</v>
      </c>
      <c r="IOV23" s="229">
        <v>0</v>
      </c>
      <c r="IOW23" s="229">
        <v>0</v>
      </c>
      <c r="IOX23" s="229">
        <v>0</v>
      </c>
      <c r="IOY23" s="229">
        <v>0</v>
      </c>
      <c r="IOZ23" s="229">
        <v>0</v>
      </c>
      <c r="IPA23" s="229">
        <v>0</v>
      </c>
      <c r="IPB23" s="229">
        <v>0</v>
      </c>
      <c r="IPC23" s="229">
        <v>0</v>
      </c>
      <c r="IPD23" s="229">
        <v>0</v>
      </c>
      <c r="IPE23" s="229">
        <v>0</v>
      </c>
      <c r="IPF23" s="229">
        <v>0</v>
      </c>
      <c r="IPG23" s="229">
        <v>0</v>
      </c>
      <c r="IPH23" s="229">
        <v>0</v>
      </c>
      <c r="IPI23" s="229">
        <v>0</v>
      </c>
      <c r="IPJ23" s="229">
        <v>0</v>
      </c>
      <c r="IPK23" s="229">
        <v>0</v>
      </c>
      <c r="IPL23" s="229">
        <v>0</v>
      </c>
      <c r="IPM23" s="229">
        <v>0</v>
      </c>
      <c r="IPN23" s="229">
        <v>0</v>
      </c>
      <c r="IPO23" s="229">
        <v>0</v>
      </c>
      <c r="IPP23" s="229">
        <v>0</v>
      </c>
      <c r="IPQ23" s="229">
        <v>0</v>
      </c>
      <c r="IPR23" s="229">
        <v>0</v>
      </c>
      <c r="IPS23" s="229">
        <v>0</v>
      </c>
      <c r="IPT23" s="229">
        <v>0</v>
      </c>
      <c r="IPU23" s="229">
        <v>0</v>
      </c>
      <c r="IPV23" s="229">
        <v>0</v>
      </c>
      <c r="IPW23" s="229">
        <v>0</v>
      </c>
      <c r="IPX23" s="229">
        <v>0</v>
      </c>
      <c r="IPY23" s="229">
        <v>0</v>
      </c>
      <c r="IPZ23" s="229">
        <v>0</v>
      </c>
      <c r="IQA23" s="229">
        <v>0</v>
      </c>
      <c r="IQB23" s="229">
        <v>0</v>
      </c>
      <c r="IQC23" s="229">
        <v>0</v>
      </c>
      <c r="IQD23" s="229">
        <v>0</v>
      </c>
      <c r="IQE23" s="229">
        <v>0</v>
      </c>
      <c r="IQF23" s="229">
        <v>0</v>
      </c>
      <c r="IQG23" s="229">
        <v>0</v>
      </c>
      <c r="IQH23" s="229">
        <v>0</v>
      </c>
      <c r="IQI23" s="229">
        <v>0</v>
      </c>
      <c r="IQJ23" s="229">
        <v>0</v>
      </c>
      <c r="IQK23" s="229">
        <v>0</v>
      </c>
      <c r="IQL23" s="229">
        <v>0</v>
      </c>
      <c r="IQM23" s="229">
        <v>0</v>
      </c>
      <c r="IQN23" s="229">
        <v>0</v>
      </c>
      <c r="IQO23" s="229">
        <v>0</v>
      </c>
      <c r="IQP23" s="229">
        <v>0</v>
      </c>
      <c r="IQQ23" s="229">
        <v>0</v>
      </c>
      <c r="IQR23" s="229">
        <v>0</v>
      </c>
      <c r="IQS23" s="229">
        <v>0</v>
      </c>
      <c r="IQT23" s="229">
        <v>0</v>
      </c>
      <c r="IQU23" s="229">
        <v>0</v>
      </c>
      <c r="IQV23" s="229">
        <v>0</v>
      </c>
      <c r="IQW23" s="229">
        <v>0</v>
      </c>
      <c r="IQX23" s="229">
        <v>0</v>
      </c>
      <c r="IQY23" s="229">
        <v>0</v>
      </c>
      <c r="IQZ23" s="229">
        <v>0</v>
      </c>
      <c r="IRA23" s="229">
        <v>0</v>
      </c>
      <c r="IRB23" s="229">
        <v>0</v>
      </c>
      <c r="IRC23" s="229">
        <v>0</v>
      </c>
      <c r="IRD23" s="229">
        <v>0</v>
      </c>
      <c r="IRE23" s="229">
        <v>0</v>
      </c>
      <c r="IRF23" s="229">
        <v>0</v>
      </c>
      <c r="IRG23" s="229">
        <v>0</v>
      </c>
      <c r="IRH23" s="229">
        <v>0</v>
      </c>
      <c r="IRI23" s="229">
        <v>0</v>
      </c>
      <c r="IRJ23" s="229">
        <v>0</v>
      </c>
      <c r="IRK23" s="229">
        <v>0</v>
      </c>
      <c r="IRL23" s="229">
        <v>0</v>
      </c>
      <c r="IRM23" s="229">
        <v>0</v>
      </c>
      <c r="IRN23" s="229">
        <v>0</v>
      </c>
      <c r="IRO23" s="229">
        <v>0</v>
      </c>
      <c r="IRP23" s="229">
        <v>0</v>
      </c>
      <c r="IRQ23" s="229">
        <v>0</v>
      </c>
      <c r="IRR23" s="229">
        <v>0</v>
      </c>
      <c r="IRS23" s="229">
        <v>0</v>
      </c>
      <c r="IRT23" s="229">
        <v>0</v>
      </c>
      <c r="IRU23" s="229">
        <v>0</v>
      </c>
      <c r="IRV23" s="229">
        <v>0</v>
      </c>
      <c r="IRW23" s="229">
        <v>0</v>
      </c>
      <c r="IRX23" s="229">
        <v>0</v>
      </c>
      <c r="IRY23" s="229">
        <v>0</v>
      </c>
      <c r="IRZ23" s="229">
        <v>0</v>
      </c>
      <c r="ISA23" s="229">
        <v>0</v>
      </c>
      <c r="ISB23" s="229">
        <v>0</v>
      </c>
      <c r="ISC23" s="229">
        <v>0</v>
      </c>
      <c r="ISD23" s="229">
        <v>0</v>
      </c>
      <c r="ISE23" s="229">
        <v>0</v>
      </c>
      <c r="ISF23" s="229">
        <v>0</v>
      </c>
      <c r="ISG23" s="229">
        <v>0</v>
      </c>
      <c r="ISH23" s="229">
        <v>0</v>
      </c>
      <c r="ISI23" s="229">
        <v>0</v>
      </c>
      <c r="ISJ23" s="229">
        <v>0</v>
      </c>
      <c r="ISK23" s="229">
        <v>0</v>
      </c>
      <c r="ISL23" s="229">
        <v>0</v>
      </c>
      <c r="ISM23" s="229">
        <v>0</v>
      </c>
      <c r="ISN23" s="229">
        <v>0</v>
      </c>
      <c r="ISO23" s="229">
        <v>0</v>
      </c>
      <c r="ISP23" s="229">
        <v>0</v>
      </c>
      <c r="ISQ23" s="229">
        <v>0</v>
      </c>
      <c r="ISR23" s="229">
        <v>0</v>
      </c>
      <c r="ISS23" s="229">
        <v>0</v>
      </c>
      <c r="IST23" s="229">
        <v>0</v>
      </c>
      <c r="ISU23" s="229">
        <v>0</v>
      </c>
      <c r="ISV23" s="229">
        <v>0</v>
      </c>
      <c r="ISW23" s="229">
        <v>0</v>
      </c>
      <c r="ISX23" s="229">
        <v>0</v>
      </c>
      <c r="ISY23" s="229">
        <v>0</v>
      </c>
      <c r="ISZ23" s="229">
        <v>0</v>
      </c>
      <c r="ITA23" s="229">
        <v>0</v>
      </c>
      <c r="ITB23" s="229">
        <v>0</v>
      </c>
      <c r="ITC23" s="229">
        <v>0</v>
      </c>
      <c r="ITD23" s="229">
        <v>0</v>
      </c>
      <c r="ITE23" s="229">
        <v>0</v>
      </c>
      <c r="ITF23" s="229">
        <v>0</v>
      </c>
      <c r="ITG23" s="229">
        <v>0</v>
      </c>
      <c r="ITH23" s="229">
        <v>0</v>
      </c>
      <c r="ITI23" s="229">
        <v>0</v>
      </c>
      <c r="ITJ23" s="229">
        <v>0</v>
      </c>
      <c r="ITK23" s="229">
        <v>0</v>
      </c>
      <c r="ITL23" s="229">
        <v>0</v>
      </c>
      <c r="ITM23" s="229">
        <v>0</v>
      </c>
      <c r="ITN23" s="229">
        <v>0</v>
      </c>
      <c r="ITO23" s="229">
        <v>0</v>
      </c>
      <c r="ITP23" s="229">
        <v>0</v>
      </c>
      <c r="ITQ23" s="229">
        <v>0</v>
      </c>
      <c r="ITR23" s="229">
        <v>0</v>
      </c>
      <c r="ITS23" s="229">
        <v>0</v>
      </c>
      <c r="ITT23" s="229">
        <v>0</v>
      </c>
      <c r="ITU23" s="229">
        <v>0</v>
      </c>
      <c r="ITV23" s="229">
        <v>0</v>
      </c>
      <c r="ITW23" s="229">
        <v>0</v>
      </c>
      <c r="ITX23" s="229">
        <v>0</v>
      </c>
      <c r="ITY23" s="229">
        <v>0</v>
      </c>
      <c r="ITZ23" s="229">
        <v>0</v>
      </c>
      <c r="IUA23" s="229">
        <v>0</v>
      </c>
      <c r="IUB23" s="229">
        <v>0</v>
      </c>
      <c r="IUC23" s="229">
        <v>0</v>
      </c>
      <c r="IUD23" s="229">
        <v>0</v>
      </c>
      <c r="IUE23" s="229">
        <v>0</v>
      </c>
      <c r="IUF23" s="229">
        <v>0</v>
      </c>
      <c r="IUG23" s="229">
        <v>0</v>
      </c>
      <c r="IUH23" s="229">
        <v>0</v>
      </c>
      <c r="IUI23" s="229">
        <v>0</v>
      </c>
      <c r="IUJ23" s="229">
        <v>0</v>
      </c>
      <c r="IUK23" s="229">
        <v>0</v>
      </c>
      <c r="IUL23" s="229">
        <v>0</v>
      </c>
      <c r="IUM23" s="229">
        <v>0</v>
      </c>
      <c r="IUN23" s="229">
        <v>0</v>
      </c>
      <c r="IUO23" s="229">
        <v>0</v>
      </c>
      <c r="IUP23" s="229">
        <v>0</v>
      </c>
      <c r="IUQ23" s="229">
        <v>0</v>
      </c>
      <c r="IUR23" s="229">
        <v>0</v>
      </c>
      <c r="IUS23" s="229">
        <v>0</v>
      </c>
      <c r="IUT23" s="229">
        <v>0</v>
      </c>
      <c r="IUU23" s="229">
        <v>0</v>
      </c>
      <c r="IUV23" s="229">
        <v>0</v>
      </c>
      <c r="IUW23" s="229">
        <v>0</v>
      </c>
      <c r="IUX23" s="229">
        <v>0</v>
      </c>
      <c r="IUY23" s="229">
        <v>0</v>
      </c>
      <c r="IUZ23" s="229">
        <v>0</v>
      </c>
      <c r="IVA23" s="229">
        <v>0</v>
      </c>
      <c r="IVB23" s="229">
        <v>0</v>
      </c>
      <c r="IVC23" s="229">
        <v>0</v>
      </c>
      <c r="IVD23" s="229">
        <v>0</v>
      </c>
      <c r="IVE23" s="229">
        <v>0</v>
      </c>
      <c r="IVF23" s="229">
        <v>0</v>
      </c>
      <c r="IVG23" s="229">
        <v>0</v>
      </c>
      <c r="IVH23" s="229">
        <v>0</v>
      </c>
      <c r="IVI23" s="229">
        <v>0</v>
      </c>
      <c r="IVJ23" s="229">
        <v>0</v>
      </c>
      <c r="IVK23" s="229">
        <v>0</v>
      </c>
      <c r="IVL23" s="229">
        <v>0</v>
      </c>
      <c r="IVM23" s="229">
        <v>0</v>
      </c>
      <c r="IVN23" s="229">
        <v>0</v>
      </c>
      <c r="IVO23" s="229">
        <v>0</v>
      </c>
      <c r="IVP23" s="229">
        <v>0</v>
      </c>
      <c r="IVQ23" s="229">
        <v>0</v>
      </c>
      <c r="IVR23" s="229">
        <v>0</v>
      </c>
      <c r="IVS23" s="229">
        <v>0</v>
      </c>
      <c r="IVT23" s="229">
        <v>0</v>
      </c>
      <c r="IVU23" s="229">
        <v>0</v>
      </c>
      <c r="IVV23" s="229">
        <v>0</v>
      </c>
      <c r="IVW23" s="229">
        <v>0</v>
      </c>
      <c r="IVX23" s="229">
        <v>0</v>
      </c>
      <c r="IVY23" s="229">
        <v>0</v>
      </c>
      <c r="IVZ23" s="229">
        <v>0</v>
      </c>
      <c r="IWA23" s="229">
        <v>0</v>
      </c>
      <c r="IWB23" s="229">
        <v>0</v>
      </c>
      <c r="IWC23" s="229">
        <v>0</v>
      </c>
      <c r="IWD23" s="229">
        <v>0</v>
      </c>
      <c r="IWE23" s="229">
        <v>0</v>
      </c>
      <c r="IWF23" s="229">
        <v>0</v>
      </c>
      <c r="IWG23" s="229">
        <v>0</v>
      </c>
      <c r="IWH23" s="229">
        <v>0</v>
      </c>
      <c r="IWI23" s="229">
        <v>0</v>
      </c>
      <c r="IWJ23" s="229">
        <v>0</v>
      </c>
      <c r="IWK23" s="229">
        <v>0</v>
      </c>
      <c r="IWL23" s="229">
        <v>0</v>
      </c>
      <c r="IWM23" s="229">
        <v>0</v>
      </c>
      <c r="IWN23" s="229">
        <v>0</v>
      </c>
      <c r="IWO23" s="229">
        <v>0</v>
      </c>
      <c r="IWP23" s="229">
        <v>0</v>
      </c>
      <c r="IWQ23" s="229">
        <v>0</v>
      </c>
      <c r="IWR23" s="229">
        <v>0</v>
      </c>
      <c r="IWS23" s="229">
        <v>0</v>
      </c>
      <c r="IWT23" s="229">
        <v>0</v>
      </c>
      <c r="IWU23" s="229">
        <v>0</v>
      </c>
      <c r="IWV23" s="229">
        <v>0</v>
      </c>
      <c r="IWW23" s="229">
        <v>0</v>
      </c>
      <c r="IWX23" s="229">
        <v>0</v>
      </c>
      <c r="IWY23" s="229">
        <v>0</v>
      </c>
      <c r="IWZ23" s="229">
        <v>0</v>
      </c>
      <c r="IXA23" s="229">
        <v>0</v>
      </c>
      <c r="IXB23" s="229">
        <v>0</v>
      </c>
      <c r="IXC23" s="229">
        <v>0</v>
      </c>
      <c r="IXD23" s="229">
        <v>0</v>
      </c>
      <c r="IXE23" s="229">
        <v>0</v>
      </c>
      <c r="IXF23" s="229">
        <v>0</v>
      </c>
      <c r="IXG23" s="229">
        <v>0</v>
      </c>
      <c r="IXH23" s="229">
        <v>0</v>
      </c>
      <c r="IXI23" s="229">
        <v>0</v>
      </c>
      <c r="IXJ23" s="229">
        <v>0</v>
      </c>
      <c r="IXK23" s="229">
        <v>0</v>
      </c>
      <c r="IXL23" s="229">
        <v>0</v>
      </c>
      <c r="IXM23" s="229">
        <v>0</v>
      </c>
      <c r="IXN23" s="229">
        <v>0</v>
      </c>
      <c r="IXO23" s="229">
        <v>0</v>
      </c>
      <c r="IXP23" s="229">
        <v>0</v>
      </c>
      <c r="IXQ23" s="229">
        <v>0</v>
      </c>
      <c r="IXR23" s="229">
        <v>0</v>
      </c>
      <c r="IXS23" s="229">
        <v>0</v>
      </c>
      <c r="IXT23" s="229">
        <v>0</v>
      </c>
      <c r="IXU23" s="229">
        <v>0</v>
      </c>
      <c r="IXV23" s="229">
        <v>0</v>
      </c>
      <c r="IXW23" s="229">
        <v>0</v>
      </c>
      <c r="IXX23" s="229">
        <v>0</v>
      </c>
      <c r="IXY23" s="229">
        <v>0</v>
      </c>
      <c r="IXZ23" s="229">
        <v>0</v>
      </c>
      <c r="IYA23" s="229">
        <v>0</v>
      </c>
      <c r="IYB23" s="229">
        <v>0</v>
      </c>
      <c r="IYC23" s="229">
        <v>0</v>
      </c>
      <c r="IYD23" s="229">
        <v>0</v>
      </c>
      <c r="IYE23" s="229">
        <v>0</v>
      </c>
      <c r="IYF23" s="229">
        <v>0</v>
      </c>
      <c r="IYG23" s="229">
        <v>0</v>
      </c>
      <c r="IYH23" s="229">
        <v>0</v>
      </c>
      <c r="IYI23" s="229">
        <v>0</v>
      </c>
      <c r="IYJ23" s="229">
        <v>0</v>
      </c>
      <c r="IYK23" s="229">
        <v>0</v>
      </c>
      <c r="IYL23" s="229">
        <v>0</v>
      </c>
      <c r="IYM23" s="229">
        <v>0</v>
      </c>
      <c r="IYN23" s="229">
        <v>0</v>
      </c>
      <c r="IYO23" s="229">
        <v>0</v>
      </c>
      <c r="IYP23" s="229">
        <v>0</v>
      </c>
      <c r="IYQ23" s="229">
        <v>0</v>
      </c>
      <c r="IYR23" s="229">
        <v>0</v>
      </c>
      <c r="IYS23" s="229">
        <v>0</v>
      </c>
      <c r="IYT23" s="229">
        <v>0</v>
      </c>
      <c r="IYU23" s="229">
        <v>0</v>
      </c>
      <c r="IYV23" s="229">
        <v>0</v>
      </c>
      <c r="IYW23" s="229">
        <v>0</v>
      </c>
      <c r="IYX23" s="229">
        <v>0</v>
      </c>
      <c r="IYY23" s="229">
        <v>0</v>
      </c>
      <c r="IYZ23" s="229">
        <v>0</v>
      </c>
      <c r="IZA23" s="229">
        <v>0</v>
      </c>
      <c r="IZB23" s="229">
        <v>0</v>
      </c>
      <c r="IZC23" s="229">
        <v>0</v>
      </c>
      <c r="IZD23" s="229">
        <v>0</v>
      </c>
      <c r="IZE23" s="229">
        <v>0</v>
      </c>
      <c r="IZF23" s="229">
        <v>0</v>
      </c>
      <c r="IZG23" s="229">
        <v>0</v>
      </c>
      <c r="IZH23" s="229">
        <v>0</v>
      </c>
      <c r="IZI23" s="229">
        <v>0</v>
      </c>
      <c r="IZJ23" s="229">
        <v>0</v>
      </c>
      <c r="IZK23" s="229">
        <v>0</v>
      </c>
      <c r="IZL23" s="229">
        <v>0</v>
      </c>
      <c r="IZM23" s="229">
        <v>0</v>
      </c>
      <c r="IZN23" s="229">
        <v>0</v>
      </c>
      <c r="IZO23" s="229">
        <v>0</v>
      </c>
      <c r="IZP23" s="229">
        <v>0</v>
      </c>
      <c r="IZQ23" s="229">
        <v>0</v>
      </c>
      <c r="IZR23" s="229">
        <v>0</v>
      </c>
      <c r="IZS23" s="229">
        <v>0</v>
      </c>
      <c r="IZT23" s="229">
        <v>0</v>
      </c>
      <c r="IZU23" s="229">
        <v>0</v>
      </c>
      <c r="IZV23" s="229">
        <v>0</v>
      </c>
      <c r="IZW23" s="229">
        <v>0</v>
      </c>
      <c r="IZX23" s="229">
        <v>0</v>
      </c>
      <c r="IZY23" s="229">
        <v>0</v>
      </c>
      <c r="IZZ23" s="229">
        <v>0</v>
      </c>
      <c r="JAA23" s="229">
        <v>0</v>
      </c>
      <c r="JAB23" s="229">
        <v>0</v>
      </c>
      <c r="JAC23" s="229">
        <v>0</v>
      </c>
      <c r="JAD23" s="229">
        <v>0</v>
      </c>
      <c r="JAE23" s="229">
        <v>0</v>
      </c>
      <c r="JAF23" s="229">
        <v>0</v>
      </c>
      <c r="JAG23" s="229">
        <v>0</v>
      </c>
      <c r="JAH23" s="229">
        <v>0</v>
      </c>
      <c r="JAI23" s="229">
        <v>0</v>
      </c>
      <c r="JAJ23" s="229">
        <v>0</v>
      </c>
      <c r="JAK23" s="229">
        <v>0</v>
      </c>
      <c r="JAL23" s="229">
        <v>0</v>
      </c>
      <c r="JAM23" s="229">
        <v>0</v>
      </c>
      <c r="JAN23" s="229">
        <v>0</v>
      </c>
      <c r="JAO23" s="229">
        <v>0</v>
      </c>
      <c r="JAP23" s="229">
        <v>0</v>
      </c>
      <c r="JAQ23" s="229">
        <v>0</v>
      </c>
      <c r="JAR23" s="229">
        <v>0</v>
      </c>
      <c r="JAS23" s="229">
        <v>0</v>
      </c>
      <c r="JAT23" s="229">
        <v>0</v>
      </c>
      <c r="JAU23" s="229">
        <v>0</v>
      </c>
      <c r="JAV23" s="229">
        <v>0</v>
      </c>
      <c r="JAW23" s="229">
        <v>0</v>
      </c>
      <c r="JAX23" s="229">
        <v>0</v>
      </c>
      <c r="JAY23" s="229">
        <v>0</v>
      </c>
      <c r="JAZ23" s="229">
        <v>0</v>
      </c>
      <c r="JBA23" s="229">
        <v>0</v>
      </c>
      <c r="JBB23" s="229">
        <v>0</v>
      </c>
      <c r="JBC23" s="229">
        <v>0</v>
      </c>
      <c r="JBD23" s="229">
        <v>0</v>
      </c>
      <c r="JBE23" s="229">
        <v>0</v>
      </c>
      <c r="JBF23" s="229">
        <v>0</v>
      </c>
      <c r="JBG23" s="229">
        <v>0</v>
      </c>
      <c r="JBH23" s="229">
        <v>0</v>
      </c>
      <c r="JBI23" s="229">
        <v>0</v>
      </c>
      <c r="JBJ23" s="229">
        <v>0</v>
      </c>
      <c r="JBK23" s="229">
        <v>0</v>
      </c>
      <c r="JBL23" s="229">
        <v>0</v>
      </c>
      <c r="JBM23" s="229">
        <v>0</v>
      </c>
      <c r="JBN23" s="229">
        <v>0</v>
      </c>
      <c r="JBO23" s="229">
        <v>0</v>
      </c>
      <c r="JBP23" s="229">
        <v>0</v>
      </c>
      <c r="JBQ23" s="229">
        <v>0</v>
      </c>
      <c r="JBR23" s="229">
        <v>0</v>
      </c>
      <c r="JBS23" s="229">
        <v>0</v>
      </c>
      <c r="JBT23" s="229">
        <v>0</v>
      </c>
      <c r="JBU23" s="229">
        <v>0</v>
      </c>
      <c r="JBV23" s="229">
        <v>0</v>
      </c>
      <c r="JBW23" s="229">
        <v>0</v>
      </c>
      <c r="JBX23" s="229">
        <v>0</v>
      </c>
      <c r="JBY23" s="229">
        <v>0</v>
      </c>
      <c r="JBZ23" s="229">
        <v>0</v>
      </c>
      <c r="JCA23" s="229">
        <v>0</v>
      </c>
      <c r="JCB23" s="229">
        <v>0</v>
      </c>
      <c r="JCC23" s="229">
        <v>0</v>
      </c>
      <c r="JCD23" s="229">
        <v>0</v>
      </c>
      <c r="JCE23" s="229">
        <v>0</v>
      </c>
      <c r="JCF23" s="229">
        <v>0</v>
      </c>
      <c r="JCG23" s="229">
        <v>0</v>
      </c>
      <c r="JCH23" s="229">
        <v>0</v>
      </c>
      <c r="JCI23" s="229">
        <v>0</v>
      </c>
      <c r="JCJ23" s="229">
        <v>0</v>
      </c>
      <c r="JCK23" s="229">
        <v>0</v>
      </c>
      <c r="JCL23" s="229">
        <v>0</v>
      </c>
      <c r="JCM23" s="229">
        <v>0</v>
      </c>
      <c r="JCN23" s="229">
        <v>0</v>
      </c>
      <c r="JCO23" s="229">
        <v>0</v>
      </c>
      <c r="JCP23" s="229">
        <v>0</v>
      </c>
      <c r="JCQ23" s="229">
        <v>0</v>
      </c>
      <c r="JCR23" s="229">
        <v>0</v>
      </c>
      <c r="JCS23" s="229">
        <v>0</v>
      </c>
      <c r="JCT23" s="229">
        <v>0</v>
      </c>
      <c r="JCU23" s="229">
        <v>0</v>
      </c>
      <c r="JCV23" s="229">
        <v>0</v>
      </c>
      <c r="JCW23" s="229">
        <v>0</v>
      </c>
      <c r="JCX23" s="229">
        <v>0</v>
      </c>
      <c r="JCY23" s="229">
        <v>0</v>
      </c>
      <c r="JCZ23" s="229">
        <v>0</v>
      </c>
      <c r="JDA23" s="229">
        <v>0</v>
      </c>
      <c r="JDB23" s="229">
        <v>0</v>
      </c>
      <c r="JDC23" s="229">
        <v>0</v>
      </c>
      <c r="JDD23" s="229">
        <v>0</v>
      </c>
      <c r="JDE23" s="229">
        <v>0</v>
      </c>
      <c r="JDF23" s="229">
        <v>0</v>
      </c>
      <c r="JDG23" s="229">
        <v>0</v>
      </c>
      <c r="JDH23" s="229">
        <v>0</v>
      </c>
      <c r="JDI23" s="229">
        <v>0</v>
      </c>
      <c r="JDJ23" s="229">
        <v>0</v>
      </c>
      <c r="JDK23" s="229">
        <v>0</v>
      </c>
      <c r="JDL23" s="229">
        <v>0</v>
      </c>
      <c r="JDM23" s="229">
        <v>0</v>
      </c>
      <c r="JDN23" s="229">
        <v>0</v>
      </c>
      <c r="JDO23" s="229">
        <v>0</v>
      </c>
      <c r="JDP23" s="229">
        <v>0</v>
      </c>
      <c r="JDQ23" s="229">
        <v>0</v>
      </c>
      <c r="JDR23" s="229">
        <v>0</v>
      </c>
      <c r="JDS23" s="229">
        <v>0</v>
      </c>
      <c r="JDT23" s="229">
        <v>0</v>
      </c>
      <c r="JDU23" s="229">
        <v>0</v>
      </c>
      <c r="JDV23" s="229">
        <v>0</v>
      </c>
      <c r="JDW23" s="229">
        <v>0</v>
      </c>
      <c r="JDX23" s="229">
        <v>0</v>
      </c>
      <c r="JDY23" s="229">
        <v>0</v>
      </c>
      <c r="JDZ23" s="229">
        <v>0</v>
      </c>
      <c r="JEA23" s="229">
        <v>0</v>
      </c>
      <c r="JEB23" s="229">
        <v>0</v>
      </c>
      <c r="JEC23" s="229">
        <v>0</v>
      </c>
      <c r="JED23" s="229">
        <v>0</v>
      </c>
      <c r="JEE23" s="229">
        <v>0</v>
      </c>
      <c r="JEF23" s="229">
        <v>0</v>
      </c>
      <c r="JEG23" s="229">
        <v>0</v>
      </c>
      <c r="JEH23" s="229">
        <v>0</v>
      </c>
      <c r="JEI23" s="229">
        <v>0</v>
      </c>
      <c r="JEJ23" s="229">
        <v>0</v>
      </c>
      <c r="JEK23" s="229">
        <v>0</v>
      </c>
      <c r="JEL23" s="229">
        <v>0</v>
      </c>
      <c r="JEM23" s="229">
        <v>0</v>
      </c>
      <c r="JEN23" s="229">
        <v>0</v>
      </c>
      <c r="JEO23" s="229">
        <v>0</v>
      </c>
      <c r="JEP23" s="229">
        <v>0</v>
      </c>
      <c r="JEQ23" s="229">
        <v>0</v>
      </c>
      <c r="JER23" s="229">
        <v>0</v>
      </c>
      <c r="JES23" s="229">
        <v>0</v>
      </c>
      <c r="JET23" s="229">
        <v>0</v>
      </c>
      <c r="JEU23" s="229">
        <v>0</v>
      </c>
      <c r="JEV23" s="229">
        <v>0</v>
      </c>
      <c r="JEW23" s="229">
        <v>0</v>
      </c>
      <c r="JEX23" s="229">
        <v>0</v>
      </c>
      <c r="JEY23" s="229">
        <v>0</v>
      </c>
      <c r="JEZ23" s="229">
        <v>0</v>
      </c>
      <c r="JFA23" s="229">
        <v>0</v>
      </c>
      <c r="JFB23" s="229">
        <v>0</v>
      </c>
      <c r="JFC23" s="229">
        <v>0</v>
      </c>
      <c r="JFD23" s="229">
        <v>0</v>
      </c>
      <c r="JFE23" s="229">
        <v>0</v>
      </c>
      <c r="JFF23" s="229">
        <v>0</v>
      </c>
      <c r="JFG23" s="229">
        <v>0</v>
      </c>
      <c r="JFH23" s="229">
        <v>0</v>
      </c>
      <c r="JFI23" s="229">
        <v>0</v>
      </c>
      <c r="JFJ23" s="229">
        <v>0</v>
      </c>
      <c r="JFK23" s="229">
        <v>0</v>
      </c>
      <c r="JFL23" s="229">
        <v>0</v>
      </c>
      <c r="JFM23" s="229">
        <v>0</v>
      </c>
      <c r="JFN23" s="229">
        <v>0</v>
      </c>
      <c r="JFO23" s="229">
        <v>0</v>
      </c>
      <c r="JFP23" s="229">
        <v>0</v>
      </c>
      <c r="JFQ23" s="229">
        <v>0</v>
      </c>
      <c r="JFR23" s="229">
        <v>0</v>
      </c>
      <c r="JFS23" s="229">
        <v>0</v>
      </c>
      <c r="JFT23" s="229">
        <v>0</v>
      </c>
      <c r="JFU23" s="229">
        <v>0</v>
      </c>
      <c r="JFV23" s="229">
        <v>0</v>
      </c>
      <c r="JFW23" s="229">
        <v>0</v>
      </c>
      <c r="JFX23" s="229">
        <v>0</v>
      </c>
      <c r="JFY23" s="229">
        <v>0</v>
      </c>
      <c r="JFZ23" s="229">
        <v>0</v>
      </c>
      <c r="JGA23" s="229">
        <v>0</v>
      </c>
      <c r="JGB23" s="229">
        <v>0</v>
      </c>
      <c r="JGC23" s="229">
        <v>0</v>
      </c>
      <c r="JGD23" s="229">
        <v>0</v>
      </c>
      <c r="JGE23" s="229">
        <v>0</v>
      </c>
      <c r="JGF23" s="229">
        <v>0</v>
      </c>
      <c r="JGG23" s="229">
        <v>0</v>
      </c>
      <c r="JGH23" s="229">
        <v>0</v>
      </c>
      <c r="JGI23" s="229">
        <v>0</v>
      </c>
      <c r="JGJ23" s="229">
        <v>0</v>
      </c>
      <c r="JGK23" s="229">
        <v>0</v>
      </c>
      <c r="JGL23" s="229">
        <v>0</v>
      </c>
      <c r="JGM23" s="229">
        <v>0</v>
      </c>
      <c r="JGN23" s="229">
        <v>0</v>
      </c>
      <c r="JGO23" s="229">
        <v>0</v>
      </c>
      <c r="JGP23" s="229">
        <v>0</v>
      </c>
      <c r="JGQ23" s="229">
        <v>0</v>
      </c>
      <c r="JGR23" s="229">
        <v>0</v>
      </c>
      <c r="JGS23" s="229">
        <v>0</v>
      </c>
      <c r="JGT23" s="229">
        <v>0</v>
      </c>
      <c r="JGU23" s="229">
        <v>0</v>
      </c>
      <c r="JGV23" s="229">
        <v>0</v>
      </c>
      <c r="JGW23" s="229">
        <v>0</v>
      </c>
      <c r="JGX23" s="229">
        <v>0</v>
      </c>
      <c r="JGY23" s="229">
        <v>0</v>
      </c>
      <c r="JGZ23" s="229">
        <v>0</v>
      </c>
      <c r="JHA23" s="229">
        <v>0</v>
      </c>
      <c r="JHB23" s="229">
        <v>0</v>
      </c>
      <c r="JHC23" s="229">
        <v>0</v>
      </c>
      <c r="JHD23" s="229">
        <v>0</v>
      </c>
      <c r="JHE23" s="229">
        <v>0</v>
      </c>
      <c r="JHF23" s="229">
        <v>0</v>
      </c>
      <c r="JHG23" s="229">
        <v>0</v>
      </c>
      <c r="JHH23" s="229">
        <v>0</v>
      </c>
      <c r="JHI23" s="229">
        <v>0</v>
      </c>
      <c r="JHJ23" s="229">
        <v>0</v>
      </c>
      <c r="JHK23" s="229">
        <v>0</v>
      </c>
      <c r="JHL23" s="229">
        <v>0</v>
      </c>
      <c r="JHM23" s="229">
        <v>0</v>
      </c>
      <c r="JHN23" s="229">
        <v>0</v>
      </c>
      <c r="JHO23" s="229">
        <v>0</v>
      </c>
      <c r="JHP23" s="229">
        <v>0</v>
      </c>
      <c r="JHQ23" s="229">
        <v>0</v>
      </c>
      <c r="JHR23" s="229">
        <v>0</v>
      </c>
      <c r="JHS23" s="229">
        <v>0</v>
      </c>
      <c r="JHT23" s="229">
        <v>0</v>
      </c>
      <c r="JHU23" s="229">
        <v>0</v>
      </c>
      <c r="JHV23" s="229">
        <v>0</v>
      </c>
      <c r="JHW23" s="229">
        <v>0</v>
      </c>
      <c r="JHX23" s="229">
        <v>0</v>
      </c>
      <c r="JHY23" s="229">
        <v>0</v>
      </c>
      <c r="JHZ23" s="229">
        <v>0</v>
      </c>
      <c r="JIA23" s="229">
        <v>0</v>
      </c>
      <c r="JIB23" s="229">
        <v>0</v>
      </c>
      <c r="JIC23" s="229">
        <v>0</v>
      </c>
      <c r="JID23" s="229">
        <v>0</v>
      </c>
      <c r="JIE23" s="229">
        <v>0</v>
      </c>
      <c r="JIF23" s="229">
        <v>0</v>
      </c>
      <c r="JIG23" s="229">
        <v>0</v>
      </c>
      <c r="JIH23" s="229">
        <v>0</v>
      </c>
      <c r="JII23" s="229">
        <v>0</v>
      </c>
      <c r="JIJ23" s="229">
        <v>0</v>
      </c>
      <c r="JIK23" s="229">
        <v>0</v>
      </c>
      <c r="JIL23" s="229">
        <v>0</v>
      </c>
      <c r="JIM23" s="229">
        <v>0</v>
      </c>
      <c r="JIN23" s="229">
        <v>0</v>
      </c>
      <c r="JIO23" s="229">
        <v>0</v>
      </c>
      <c r="JIP23" s="229">
        <v>0</v>
      </c>
      <c r="JIQ23" s="229">
        <v>0</v>
      </c>
      <c r="JIR23" s="229">
        <v>0</v>
      </c>
      <c r="JIS23" s="229">
        <v>0</v>
      </c>
      <c r="JIT23" s="229">
        <v>0</v>
      </c>
      <c r="JIU23" s="229">
        <v>0</v>
      </c>
      <c r="JIV23" s="229">
        <v>0</v>
      </c>
      <c r="JIW23" s="229">
        <v>0</v>
      </c>
      <c r="JIX23" s="229">
        <v>0</v>
      </c>
      <c r="JIY23" s="229">
        <v>0</v>
      </c>
      <c r="JIZ23" s="229">
        <v>0</v>
      </c>
      <c r="JJA23" s="229">
        <v>0</v>
      </c>
      <c r="JJB23" s="229">
        <v>0</v>
      </c>
      <c r="JJC23" s="229">
        <v>0</v>
      </c>
      <c r="JJD23" s="229">
        <v>0</v>
      </c>
      <c r="JJE23" s="229">
        <v>0</v>
      </c>
      <c r="JJF23" s="229">
        <v>0</v>
      </c>
      <c r="JJG23" s="229">
        <v>0</v>
      </c>
      <c r="JJH23" s="229">
        <v>0</v>
      </c>
      <c r="JJI23" s="229">
        <v>0</v>
      </c>
      <c r="JJJ23" s="229">
        <v>0</v>
      </c>
      <c r="JJK23" s="229">
        <v>0</v>
      </c>
      <c r="JJL23" s="229">
        <v>0</v>
      </c>
      <c r="JJM23" s="229">
        <v>0</v>
      </c>
      <c r="JJN23" s="229">
        <v>0</v>
      </c>
      <c r="JJO23" s="229">
        <v>0</v>
      </c>
      <c r="JJP23" s="229">
        <v>0</v>
      </c>
      <c r="JJQ23" s="229">
        <v>0</v>
      </c>
      <c r="JJR23" s="229">
        <v>0</v>
      </c>
      <c r="JJS23" s="229">
        <v>0</v>
      </c>
      <c r="JJT23" s="229">
        <v>0</v>
      </c>
      <c r="JJU23" s="229">
        <v>0</v>
      </c>
      <c r="JJV23" s="229">
        <v>0</v>
      </c>
      <c r="JJW23" s="229">
        <v>0</v>
      </c>
      <c r="JJX23" s="229">
        <v>0</v>
      </c>
      <c r="JJY23" s="229">
        <v>0</v>
      </c>
      <c r="JJZ23" s="229">
        <v>0</v>
      </c>
      <c r="JKA23" s="229">
        <v>0</v>
      </c>
      <c r="JKB23" s="229">
        <v>0</v>
      </c>
      <c r="JKC23" s="229">
        <v>0</v>
      </c>
      <c r="JKD23" s="229">
        <v>0</v>
      </c>
      <c r="JKE23" s="229">
        <v>0</v>
      </c>
      <c r="JKF23" s="229">
        <v>0</v>
      </c>
      <c r="JKG23" s="229">
        <v>0</v>
      </c>
      <c r="JKH23" s="229">
        <v>0</v>
      </c>
      <c r="JKI23" s="229">
        <v>0</v>
      </c>
      <c r="JKJ23" s="229">
        <v>0</v>
      </c>
      <c r="JKK23" s="229">
        <v>0</v>
      </c>
      <c r="JKL23" s="229">
        <v>0</v>
      </c>
      <c r="JKM23" s="229">
        <v>0</v>
      </c>
      <c r="JKN23" s="229">
        <v>0</v>
      </c>
      <c r="JKO23" s="229">
        <v>0</v>
      </c>
      <c r="JKP23" s="229">
        <v>0</v>
      </c>
      <c r="JKQ23" s="229">
        <v>0</v>
      </c>
      <c r="JKR23" s="229">
        <v>0</v>
      </c>
      <c r="JKS23" s="229">
        <v>0</v>
      </c>
      <c r="JKT23" s="229">
        <v>0</v>
      </c>
      <c r="JKU23" s="229">
        <v>0</v>
      </c>
      <c r="JKV23" s="229">
        <v>0</v>
      </c>
      <c r="JKW23" s="229">
        <v>0</v>
      </c>
      <c r="JKX23" s="229">
        <v>0</v>
      </c>
      <c r="JKY23" s="229">
        <v>0</v>
      </c>
      <c r="JKZ23" s="229">
        <v>0</v>
      </c>
      <c r="JLA23" s="229">
        <v>0</v>
      </c>
      <c r="JLB23" s="229">
        <v>0</v>
      </c>
      <c r="JLC23" s="229">
        <v>0</v>
      </c>
      <c r="JLD23" s="229">
        <v>0</v>
      </c>
      <c r="JLE23" s="229">
        <v>0</v>
      </c>
      <c r="JLF23" s="229">
        <v>0</v>
      </c>
      <c r="JLG23" s="229">
        <v>0</v>
      </c>
      <c r="JLH23" s="229">
        <v>0</v>
      </c>
      <c r="JLI23" s="229">
        <v>0</v>
      </c>
      <c r="JLJ23" s="229">
        <v>0</v>
      </c>
      <c r="JLK23" s="229">
        <v>0</v>
      </c>
      <c r="JLL23" s="229">
        <v>0</v>
      </c>
      <c r="JLM23" s="229">
        <v>0</v>
      </c>
      <c r="JLN23" s="229">
        <v>0</v>
      </c>
      <c r="JLO23" s="229">
        <v>0</v>
      </c>
      <c r="JLP23" s="229">
        <v>0</v>
      </c>
      <c r="JLQ23" s="229">
        <v>0</v>
      </c>
      <c r="JLR23" s="229">
        <v>0</v>
      </c>
      <c r="JLS23" s="229">
        <v>0</v>
      </c>
      <c r="JLT23" s="229">
        <v>0</v>
      </c>
      <c r="JLU23" s="229">
        <v>0</v>
      </c>
      <c r="JLV23" s="229">
        <v>0</v>
      </c>
      <c r="JLW23" s="229">
        <v>0</v>
      </c>
      <c r="JLX23" s="229">
        <v>0</v>
      </c>
      <c r="JLY23" s="229">
        <v>0</v>
      </c>
      <c r="JLZ23" s="229">
        <v>0</v>
      </c>
      <c r="JMA23" s="229">
        <v>0</v>
      </c>
      <c r="JMB23" s="229">
        <v>0</v>
      </c>
      <c r="JMC23" s="229">
        <v>0</v>
      </c>
      <c r="JMD23" s="229">
        <v>0</v>
      </c>
      <c r="JME23" s="229">
        <v>0</v>
      </c>
      <c r="JMF23" s="229">
        <v>0</v>
      </c>
      <c r="JMG23" s="229">
        <v>0</v>
      </c>
      <c r="JMH23" s="229">
        <v>0</v>
      </c>
      <c r="JMI23" s="229">
        <v>0</v>
      </c>
      <c r="JMJ23" s="229">
        <v>0</v>
      </c>
      <c r="JMK23" s="229">
        <v>0</v>
      </c>
      <c r="JML23" s="229">
        <v>0</v>
      </c>
      <c r="JMM23" s="229">
        <v>0</v>
      </c>
      <c r="JMN23" s="229">
        <v>0</v>
      </c>
      <c r="JMO23" s="229">
        <v>0</v>
      </c>
      <c r="JMP23" s="229">
        <v>0</v>
      </c>
      <c r="JMQ23" s="229">
        <v>0</v>
      </c>
      <c r="JMR23" s="229">
        <v>0</v>
      </c>
      <c r="JMS23" s="229">
        <v>0</v>
      </c>
      <c r="JMT23" s="229">
        <v>0</v>
      </c>
      <c r="JMU23" s="229">
        <v>0</v>
      </c>
      <c r="JMV23" s="229">
        <v>0</v>
      </c>
      <c r="JMW23" s="229">
        <v>0</v>
      </c>
      <c r="JMX23" s="229">
        <v>0</v>
      </c>
      <c r="JMY23" s="229">
        <v>0</v>
      </c>
      <c r="JMZ23" s="229">
        <v>0</v>
      </c>
      <c r="JNA23" s="229">
        <v>0</v>
      </c>
      <c r="JNB23" s="229">
        <v>0</v>
      </c>
      <c r="JNC23" s="229">
        <v>0</v>
      </c>
      <c r="JND23" s="229">
        <v>0</v>
      </c>
      <c r="JNE23" s="229">
        <v>0</v>
      </c>
      <c r="JNF23" s="229">
        <v>0</v>
      </c>
      <c r="JNG23" s="229">
        <v>0</v>
      </c>
      <c r="JNH23" s="229">
        <v>0</v>
      </c>
      <c r="JNI23" s="229">
        <v>0</v>
      </c>
      <c r="JNJ23" s="229">
        <v>0</v>
      </c>
      <c r="JNK23" s="229">
        <v>0</v>
      </c>
      <c r="JNL23" s="229">
        <v>0</v>
      </c>
      <c r="JNM23" s="229">
        <v>0</v>
      </c>
      <c r="JNN23" s="229">
        <v>0</v>
      </c>
      <c r="JNO23" s="229">
        <v>0</v>
      </c>
      <c r="JNP23" s="229">
        <v>0</v>
      </c>
      <c r="JNQ23" s="229">
        <v>0</v>
      </c>
      <c r="JNR23" s="229">
        <v>0</v>
      </c>
      <c r="JNS23" s="229">
        <v>0</v>
      </c>
      <c r="JNT23" s="229">
        <v>0</v>
      </c>
      <c r="JNU23" s="229">
        <v>0</v>
      </c>
      <c r="JNV23" s="229">
        <v>0</v>
      </c>
      <c r="JNW23" s="229">
        <v>0</v>
      </c>
      <c r="JNX23" s="229">
        <v>0</v>
      </c>
      <c r="JNY23" s="229">
        <v>0</v>
      </c>
      <c r="JNZ23" s="229">
        <v>0</v>
      </c>
      <c r="JOA23" s="229">
        <v>0</v>
      </c>
      <c r="JOB23" s="229">
        <v>0</v>
      </c>
      <c r="JOC23" s="229">
        <v>0</v>
      </c>
      <c r="JOD23" s="229">
        <v>0</v>
      </c>
      <c r="JOE23" s="229">
        <v>0</v>
      </c>
      <c r="JOF23" s="229">
        <v>0</v>
      </c>
      <c r="JOG23" s="229">
        <v>0</v>
      </c>
      <c r="JOH23" s="229">
        <v>0</v>
      </c>
      <c r="JOI23" s="229">
        <v>0</v>
      </c>
      <c r="JOJ23" s="229">
        <v>0</v>
      </c>
      <c r="JOK23" s="229">
        <v>0</v>
      </c>
      <c r="JOL23" s="229">
        <v>0</v>
      </c>
      <c r="JOM23" s="229">
        <v>0</v>
      </c>
      <c r="JON23" s="229">
        <v>0</v>
      </c>
      <c r="JOO23" s="229">
        <v>0</v>
      </c>
      <c r="JOP23" s="229">
        <v>0</v>
      </c>
      <c r="JOQ23" s="229">
        <v>0</v>
      </c>
      <c r="JOR23" s="229">
        <v>0</v>
      </c>
      <c r="JOS23" s="229">
        <v>0</v>
      </c>
      <c r="JOT23" s="229">
        <v>0</v>
      </c>
      <c r="JOU23" s="229">
        <v>0</v>
      </c>
      <c r="JOV23" s="229">
        <v>0</v>
      </c>
      <c r="JOW23" s="229">
        <v>0</v>
      </c>
      <c r="JOX23" s="229">
        <v>0</v>
      </c>
      <c r="JOY23" s="229">
        <v>0</v>
      </c>
      <c r="JOZ23" s="229">
        <v>0</v>
      </c>
      <c r="JPA23" s="229">
        <v>0</v>
      </c>
      <c r="JPB23" s="229">
        <v>0</v>
      </c>
      <c r="JPC23" s="229">
        <v>0</v>
      </c>
      <c r="JPD23" s="229">
        <v>0</v>
      </c>
      <c r="JPE23" s="229">
        <v>0</v>
      </c>
      <c r="JPF23" s="229">
        <v>0</v>
      </c>
      <c r="JPG23" s="229">
        <v>0</v>
      </c>
      <c r="JPH23" s="229">
        <v>0</v>
      </c>
      <c r="JPI23" s="229">
        <v>0</v>
      </c>
      <c r="JPJ23" s="229">
        <v>0</v>
      </c>
      <c r="JPK23" s="229">
        <v>0</v>
      </c>
      <c r="JPL23" s="229">
        <v>0</v>
      </c>
      <c r="JPM23" s="229">
        <v>0</v>
      </c>
      <c r="JPN23" s="229">
        <v>0</v>
      </c>
      <c r="JPO23" s="229">
        <v>0</v>
      </c>
      <c r="JPP23" s="229">
        <v>0</v>
      </c>
      <c r="JPQ23" s="229">
        <v>0</v>
      </c>
      <c r="JPR23" s="229">
        <v>0</v>
      </c>
      <c r="JPS23" s="229">
        <v>0</v>
      </c>
      <c r="JPT23" s="229">
        <v>0</v>
      </c>
      <c r="JPU23" s="229">
        <v>0</v>
      </c>
      <c r="JPV23" s="229">
        <v>0</v>
      </c>
      <c r="JPW23" s="229">
        <v>0</v>
      </c>
      <c r="JPX23" s="229">
        <v>0</v>
      </c>
      <c r="JPY23" s="229">
        <v>0</v>
      </c>
      <c r="JPZ23" s="229">
        <v>0</v>
      </c>
      <c r="JQA23" s="229">
        <v>0</v>
      </c>
      <c r="JQB23" s="229">
        <v>0</v>
      </c>
      <c r="JQC23" s="229">
        <v>0</v>
      </c>
      <c r="JQD23" s="229">
        <v>0</v>
      </c>
      <c r="JQE23" s="229">
        <v>0</v>
      </c>
      <c r="JQF23" s="229">
        <v>0</v>
      </c>
      <c r="JQG23" s="229">
        <v>0</v>
      </c>
      <c r="JQH23" s="229">
        <v>0</v>
      </c>
      <c r="JQI23" s="229">
        <v>0</v>
      </c>
      <c r="JQJ23" s="229">
        <v>0</v>
      </c>
      <c r="JQK23" s="229">
        <v>0</v>
      </c>
      <c r="JQL23" s="229">
        <v>0</v>
      </c>
      <c r="JQM23" s="229">
        <v>0</v>
      </c>
      <c r="JQN23" s="229">
        <v>0</v>
      </c>
      <c r="JQO23" s="229">
        <v>0</v>
      </c>
      <c r="JQP23" s="229">
        <v>0</v>
      </c>
      <c r="JQQ23" s="229">
        <v>0</v>
      </c>
      <c r="JQR23" s="229">
        <v>0</v>
      </c>
      <c r="JQS23" s="229">
        <v>0</v>
      </c>
      <c r="JQT23" s="229">
        <v>0</v>
      </c>
      <c r="JQU23" s="229">
        <v>0</v>
      </c>
      <c r="JQV23" s="229">
        <v>0</v>
      </c>
      <c r="JQW23" s="229">
        <v>0</v>
      </c>
      <c r="JQX23" s="229">
        <v>0</v>
      </c>
      <c r="JQY23" s="229">
        <v>0</v>
      </c>
      <c r="JQZ23" s="229">
        <v>0</v>
      </c>
      <c r="JRA23" s="229">
        <v>0</v>
      </c>
      <c r="JRB23" s="229">
        <v>0</v>
      </c>
      <c r="JRC23" s="229">
        <v>0</v>
      </c>
      <c r="JRD23" s="229">
        <v>0</v>
      </c>
      <c r="JRE23" s="229">
        <v>0</v>
      </c>
      <c r="JRF23" s="229">
        <v>0</v>
      </c>
      <c r="JRG23" s="229">
        <v>0</v>
      </c>
      <c r="JRH23" s="229">
        <v>0</v>
      </c>
      <c r="JRI23" s="229">
        <v>0</v>
      </c>
      <c r="JRJ23" s="229">
        <v>0</v>
      </c>
      <c r="JRK23" s="229">
        <v>0</v>
      </c>
      <c r="JRL23" s="229">
        <v>0</v>
      </c>
      <c r="JRM23" s="229">
        <v>0</v>
      </c>
      <c r="JRN23" s="229">
        <v>0</v>
      </c>
      <c r="JRO23" s="229">
        <v>0</v>
      </c>
      <c r="JRP23" s="229">
        <v>0</v>
      </c>
      <c r="JRQ23" s="229">
        <v>0</v>
      </c>
      <c r="JRR23" s="229">
        <v>0</v>
      </c>
      <c r="JRS23" s="229">
        <v>0</v>
      </c>
      <c r="JRT23" s="229">
        <v>0</v>
      </c>
      <c r="JRU23" s="229">
        <v>0</v>
      </c>
      <c r="JRV23" s="229">
        <v>0</v>
      </c>
      <c r="JRW23" s="229">
        <v>0</v>
      </c>
      <c r="JRX23" s="229">
        <v>0</v>
      </c>
      <c r="JRY23" s="229">
        <v>0</v>
      </c>
      <c r="JRZ23" s="229">
        <v>0</v>
      </c>
      <c r="JSA23" s="229">
        <v>0</v>
      </c>
      <c r="JSB23" s="229">
        <v>0</v>
      </c>
      <c r="JSC23" s="229">
        <v>0</v>
      </c>
      <c r="JSD23" s="229">
        <v>0</v>
      </c>
      <c r="JSE23" s="229">
        <v>0</v>
      </c>
      <c r="JSF23" s="229">
        <v>0</v>
      </c>
      <c r="JSG23" s="229">
        <v>0</v>
      </c>
      <c r="JSH23" s="229">
        <v>0</v>
      </c>
      <c r="JSI23" s="229">
        <v>0</v>
      </c>
      <c r="JSJ23" s="229">
        <v>0</v>
      </c>
      <c r="JSK23" s="229">
        <v>0</v>
      </c>
      <c r="JSL23" s="229">
        <v>0</v>
      </c>
      <c r="JSM23" s="229">
        <v>0</v>
      </c>
      <c r="JSN23" s="229">
        <v>0</v>
      </c>
      <c r="JSO23" s="229">
        <v>0</v>
      </c>
      <c r="JSP23" s="229">
        <v>0</v>
      </c>
      <c r="JSQ23" s="229">
        <v>0</v>
      </c>
      <c r="JSR23" s="229">
        <v>0</v>
      </c>
      <c r="JSS23" s="229">
        <v>0</v>
      </c>
      <c r="JST23" s="229">
        <v>0</v>
      </c>
      <c r="JSU23" s="229">
        <v>0</v>
      </c>
      <c r="JSV23" s="229">
        <v>0</v>
      </c>
      <c r="JSW23" s="229">
        <v>0</v>
      </c>
      <c r="JSX23" s="229">
        <v>0</v>
      </c>
      <c r="JSY23" s="229">
        <v>0</v>
      </c>
      <c r="JSZ23" s="229">
        <v>0</v>
      </c>
      <c r="JTA23" s="229">
        <v>0</v>
      </c>
      <c r="JTB23" s="229">
        <v>0</v>
      </c>
      <c r="JTC23" s="229">
        <v>0</v>
      </c>
      <c r="JTD23" s="229">
        <v>0</v>
      </c>
      <c r="JTE23" s="229">
        <v>0</v>
      </c>
      <c r="JTF23" s="229">
        <v>0</v>
      </c>
      <c r="JTG23" s="229">
        <v>0</v>
      </c>
      <c r="JTH23" s="229">
        <v>0</v>
      </c>
      <c r="JTI23" s="229">
        <v>0</v>
      </c>
      <c r="JTJ23" s="229">
        <v>0</v>
      </c>
      <c r="JTK23" s="229">
        <v>0</v>
      </c>
      <c r="JTL23" s="229">
        <v>0</v>
      </c>
      <c r="JTM23" s="229">
        <v>0</v>
      </c>
      <c r="JTN23" s="229">
        <v>0</v>
      </c>
      <c r="JTO23" s="229">
        <v>0</v>
      </c>
      <c r="JTP23" s="229">
        <v>0</v>
      </c>
      <c r="JTQ23" s="229">
        <v>0</v>
      </c>
      <c r="JTR23" s="229">
        <v>0</v>
      </c>
      <c r="JTS23" s="229">
        <v>0</v>
      </c>
      <c r="JTT23" s="229">
        <v>0</v>
      </c>
      <c r="JTU23" s="229">
        <v>0</v>
      </c>
      <c r="JTV23" s="229">
        <v>0</v>
      </c>
      <c r="JTW23" s="229">
        <v>0</v>
      </c>
      <c r="JTX23" s="229">
        <v>0</v>
      </c>
      <c r="JTY23" s="229">
        <v>0</v>
      </c>
      <c r="JTZ23" s="229">
        <v>0</v>
      </c>
      <c r="JUA23" s="229">
        <v>0</v>
      </c>
      <c r="JUB23" s="229">
        <v>0</v>
      </c>
      <c r="JUC23" s="229">
        <v>0</v>
      </c>
      <c r="JUD23" s="229">
        <v>0</v>
      </c>
      <c r="JUE23" s="229">
        <v>0</v>
      </c>
      <c r="JUF23" s="229">
        <v>0</v>
      </c>
      <c r="JUG23" s="229">
        <v>0</v>
      </c>
      <c r="JUH23" s="229">
        <v>0</v>
      </c>
      <c r="JUI23" s="229">
        <v>0</v>
      </c>
      <c r="JUJ23" s="229">
        <v>0</v>
      </c>
      <c r="JUK23" s="229">
        <v>0</v>
      </c>
      <c r="JUL23" s="229">
        <v>0</v>
      </c>
      <c r="JUM23" s="229">
        <v>0</v>
      </c>
      <c r="JUN23" s="229">
        <v>0</v>
      </c>
      <c r="JUO23" s="229">
        <v>0</v>
      </c>
      <c r="JUP23" s="229">
        <v>0</v>
      </c>
      <c r="JUQ23" s="229">
        <v>0</v>
      </c>
      <c r="JUR23" s="229">
        <v>0</v>
      </c>
      <c r="JUS23" s="229">
        <v>0</v>
      </c>
      <c r="JUT23" s="229">
        <v>0</v>
      </c>
      <c r="JUU23" s="229">
        <v>0</v>
      </c>
      <c r="JUV23" s="229">
        <v>0</v>
      </c>
      <c r="JUW23" s="229">
        <v>0</v>
      </c>
      <c r="JUX23" s="229">
        <v>0</v>
      </c>
      <c r="JUY23" s="229">
        <v>0</v>
      </c>
      <c r="JUZ23" s="229">
        <v>0</v>
      </c>
      <c r="JVA23" s="229">
        <v>0</v>
      </c>
      <c r="JVB23" s="229">
        <v>0</v>
      </c>
      <c r="JVC23" s="229">
        <v>0</v>
      </c>
      <c r="JVD23" s="229">
        <v>0</v>
      </c>
      <c r="JVE23" s="229">
        <v>0</v>
      </c>
      <c r="JVF23" s="229">
        <v>0</v>
      </c>
      <c r="JVG23" s="229">
        <v>0</v>
      </c>
      <c r="JVH23" s="229">
        <v>0</v>
      </c>
      <c r="JVI23" s="229">
        <v>0</v>
      </c>
      <c r="JVJ23" s="229">
        <v>0</v>
      </c>
      <c r="JVK23" s="229">
        <v>0</v>
      </c>
      <c r="JVL23" s="229">
        <v>0</v>
      </c>
      <c r="JVM23" s="229">
        <v>0</v>
      </c>
      <c r="JVN23" s="229">
        <v>0</v>
      </c>
      <c r="JVO23" s="229">
        <v>0</v>
      </c>
      <c r="JVP23" s="229">
        <v>0</v>
      </c>
      <c r="JVQ23" s="229">
        <v>0</v>
      </c>
      <c r="JVR23" s="229">
        <v>0</v>
      </c>
      <c r="JVS23" s="229">
        <v>0</v>
      </c>
      <c r="JVT23" s="229">
        <v>0</v>
      </c>
      <c r="JVU23" s="229">
        <v>0</v>
      </c>
      <c r="JVV23" s="229">
        <v>0</v>
      </c>
      <c r="JVW23" s="229">
        <v>0</v>
      </c>
      <c r="JVX23" s="229">
        <v>0</v>
      </c>
      <c r="JVY23" s="229">
        <v>0</v>
      </c>
      <c r="JVZ23" s="229">
        <v>0</v>
      </c>
      <c r="JWA23" s="229">
        <v>0</v>
      </c>
      <c r="JWB23" s="229">
        <v>0</v>
      </c>
      <c r="JWC23" s="229">
        <v>0</v>
      </c>
      <c r="JWD23" s="229">
        <v>0</v>
      </c>
      <c r="JWE23" s="229">
        <v>0</v>
      </c>
      <c r="JWF23" s="229">
        <v>0</v>
      </c>
      <c r="JWG23" s="229">
        <v>0</v>
      </c>
      <c r="JWH23" s="229">
        <v>0</v>
      </c>
      <c r="JWI23" s="229">
        <v>0</v>
      </c>
      <c r="JWJ23" s="229">
        <v>0</v>
      </c>
      <c r="JWK23" s="229">
        <v>0</v>
      </c>
      <c r="JWL23" s="229">
        <v>0</v>
      </c>
      <c r="JWM23" s="229">
        <v>0</v>
      </c>
      <c r="JWN23" s="229">
        <v>0</v>
      </c>
      <c r="JWO23" s="229">
        <v>0</v>
      </c>
      <c r="JWP23" s="229">
        <v>0</v>
      </c>
      <c r="JWQ23" s="229">
        <v>0</v>
      </c>
      <c r="JWR23" s="229">
        <v>0</v>
      </c>
      <c r="JWS23" s="229">
        <v>0</v>
      </c>
      <c r="JWT23" s="229">
        <v>0</v>
      </c>
      <c r="JWU23" s="229">
        <v>0</v>
      </c>
      <c r="JWV23" s="229">
        <v>0</v>
      </c>
      <c r="JWW23" s="229">
        <v>0</v>
      </c>
      <c r="JWX23" s="229">
        <v>0</v>
      </c>
      <c r="JWY23" s="229">
        <v>0</v>
      </c>
      <c r="JWZ23" s="229">
        <v>0</v>
      </c>
      <c r="JXA23" s="229">
        <v>0</v>
      </c>
      <c r="JXB23" s="229">
        <v>0</v>
      </c>
      <c r="JXC23" s="229">
        <v>0</v>
      </c>
      <c r="JXD23" s="229">
        <v>0</v>
      </c>
      <c r="JXE23" s="229">
        <v>0</v>
      </c>
      <c r="JXF23" s="229">
        <v>0</v>
      </c>
      <c r="JXG23" s="229">
        <v>0</v>
      </c>
      <c r="JXH23" s="229">
        <v>0</v>
      </c>
      <c r="JXI23" s="229">
        <v>0</v>
      </c>
      <c r="JXJ23" s="229">
        <v>0</v>
      </c>
      <c r="JXK23" s="229">
        <v>0</v>
      </c>
      <c r="JXL23" s="229">
        <v>0</v>
      </c>
      <c r="JXM23" s="229">
        <v>0</v>
      </c>
      <c r="JXN23" s="229">
        <v>0</v>
      </c>
      <c r="JXO23" s="229">
        <v>0</v>
      </c>
      <c r="JXP23" s="229">
        <v>0</v>
      </c>
      <c r="JXQ23" s="229">
        <v>0</v>
      </c>
      <c r="JXR23" s="229">
        <v>0</v>
      </c>
      <c r="JXS23" s="229">
        <v>0</v>
      </c>
      <c r="JXT23" s="229">
        <v>0</v>
      </c>
      <c r="JXU23" s="229">
        <v>0</v>
      </c>
      <c r="JXV23" s="229">
        <v>0</v>
      </c>
      <c r="JXW23" s="229">
        <v>0</v>
      </c>
      <c r="JXX23" s="229">
        <v>0</v>
      </c>
      <c r="JXY23" s="229">
        <v>0</v>
      </c>
      <c r="JXZ23" s="229">
        <v>0</v>
      </c>
      <c r="JYA23" s="229">
        <v>0</v>
      </c>
      <c r="JYB23" s="229">
        <v>0</v>
      </c>
      <c r="JYC23" s="229">
        <v>0</v>
      </c>
      <c r="JYD23" s="229">
        <v>0</v>
      </c>
      <c r="JYE23" s="229">
        <v>0</v>
      </c>
      <c r="JYF23" s="229">
        <v>0</v>
      </c>
      <c r="JYG23" s="229">
        <v>0</v>
      </c>
      <c r="JYH23" s="229">
        <v>0</v>
      </c>
      <c r="JYI23" s="229">
        <v>0</v>
      </c>
      <c r="JYJ23" s="229">
        <v>0</v>
      </c>
      <c r="JYK23" s="229">
        <v>0</v>
      </c>
      <c r="JYL23" s="229">
        <v>0</v>
      </c>
      <c r="JYM23" s="229">
        <v>0</v>
      </c>
      <c r="JYN23" s="229">
        <v>0</v>
      </c>
      <c r="JYO23" s="229">
        <v>0</v>
      </c>
      <c r="JYP23" s="229">
        <v>0</v>
      </c>
      <c r="JYQ23" s="229">
        <v>0</v>
      </c>
      <c r="JYR23" s="229">
        <v>0</v>
      </c>
      <c r="JYS23" s="229">
        <v>0</v>
      </c>
      <c r="JYT23" s="229">
        <v>0</v>
      </c>
      <c r="JYU23" s="229">
        <v>0</v>
      </c>
      <c r="JYV23" s="229">
        <v>0</v>
      </c>
      <c r="JYW23" s="229">
        <v>0</v>
      </c>
      <c r="JYX23" s="229">
        <v>0</v>
      </c>
      <c r="JYY23" s="229">
        <v>0</v>
      </c>
      <c r="JYZ23" s="229">
        <v>0</v>
      </c>
      <c r="JZA23" s="229">
        <v>0</v>
      </c>
      <c r="JZB23" s="229">
        <v>0</v>
      </c>
      <c r="JZC23" s="229">
        <v>0</v>
      </c>
      <c r="JZD23" s="229">
        <v>0</v>
      </c>
      <c r="JZE23" s="229">
        <v>0</v>
      </c>
      <c r="JZF23" s="229">
        <v>0</v>
      </c>
      <c r="JZG23" s="229">
        <v>0</v>
      </c>
      <c r="JZH23" s="229">
        <v>0</v>
      </c>
      <c r="JZI23" s="229">
        <v>0</v>
      </c>
      <c r="JZJ23" s="229">
        <v>0</v>
      </c>
      <c r="JZK23" s="229">
        <v>0</v>
      </c>
      <c r="JZL23" s="229">
        <v>0</v>
      </c>
      <c r="JZM23" s="229">
        <v>0</v>
      </c>
      <c r="JZN23" s="229">
        <v>0</v>
      </c>
      <c r="JZO23" s="229">
        <v>0</v>
      </c>
      <c r="JZP23" s="229">
        <v>0</v>
      </c>
      <c r="JZQ23" s="229">
        <v>0</v>
      </c>
      <c r="JZR23" s="229">
        <v>0</v>
      </c>
      <c r="JZS23" s="229">
        <v>0</v>
      </c>
      <c r="JZT23" s="229">
        <v>0</v>
      </c>
      <c r="JZU23" s="229">
        <v>0</v>
      </c>
      <c r="JZV23" s="229">
        <v>0</v>
      </c>
      <c r="JZW23" s="229">
        <v>0</v>
      </c>
      <c r="JZX23" s="229">
        <v>0</v>
      </c>
      <c r="JZY23" s="229">
        <v>0</v>
      </c>
      <c r="JZZ23" s="229">
        <v>0</v>
      </c>
      <c r="KAA23" s="229">
        <v>0</v>
      </c>
      <c r="KAB23" s="229">
        <v>0</v>
      </c>
      <c r="KAC23" s="229">
        <v>0</v>
      </c>
      <c r="KAD23" s="229">
        <v>0</v>
      </c>
      <c r="KAE23" s="229">
        <v>0</v>
      </c>
      <c r="KAF23" s="229">
        <v>0</v>
      </c>
      <c r="KAG23" s="229">
        <v>0</v>
      </c>
      <c r="KAH23" s="229">
        <v>0</v>
      </c>
      <c r="KAI23" s="229">
        <v>0</v>
      </c>
      <c r="KAJ23" s="229">
        <v>0</v>
      </c>
      <c r="KAK23" s="229">
        <v>0</v>
      </c>
      <c r="KAL23" s="229">
        <v>0</v>
      </c>
      <c r="KAM23" s="229">
        <v>0</v>
      </c>
      <c r="KAN23" s="229">
        <v>0</v>
      </c>
      <c r="KAO23" s="229">
        <v>0</v>
      </c>
      <c r="KAP23" s="229">
        <v>0</v>
      </c>
      <c r="KAQ23" s="229">
        <v>0</v>
      </c>
      <c r="KAR23" s="229">
        <v>0</v>
      </c>
      <c r="KAS23" s="229">
        <v>0</v>
      </c>
      <c r="KAT23" s="229">
        <v>0</v>
      </c>
      <c r="KAU23" s="229">
        <v>0</v>
      </c>
      <c r="KAV23" s="229">
        <v>0</v>
      </c>
      <c r="KAW23" s="229">
        <v>0</v>
      </c>
      <c r="KAX23" s="229">
        <v>0</v>
      </c>
      <c r="KAY23" s="229">
        <v>0</v>
      </c>
      <c r="KAZ23" s="229">
        <v>0</v>
      </c>
      <c r="KBA23" s="229">
        <v>0</v>
      </c>
      <c r="KBB23" s="229">
        <v>0</v>
      </c>
      <c r="KBC23" s="229">
        <v>0</v>
      </c>
      <c r="KBD23" s="229">
        <v>0</v>
      </c>
      <c r="KBE23" s="229">
        <v>0</v>
      </c>
      <c r="KBF23" s="229">
        <v>0</v>
      </c>
      <c r="KBG23" s="229">
        <v>0</v>
      </c>
      <c r="KBH23" s="229">
        <v>0</v>
      </c>
      <c r="KBI23" s="229">
        <v>0</v>
      </c>
      <c r="KBJ23" s="229">
        <v>0</v>
      </c>
      <c r="KBK23" s="229">
        <v>0</v>
      </c>
      <c r="KBL23" s="229">
        <v>0</v>
      </c>
      <c r="KBM23" s="229">
        <v>0</v>
      </c>
      <c r="KBN23" s="229">
        <v>0</v>
      </c>
      <c r="KBO23" s="229">
        <v>0</v>
      </c>
      <c r="KBP23" s="229">
        <v>0</v>
      </c>
      <c r="KBQ23" s="229">
        <v>0</v>
      </c>
      <c r="KBR23" s="229">
        <v>0</v>
      </c>
      <c r="KBS23" s="229">
        <v>0</v>
      </c>
      <c r="KBT23" s="229">
        <v>0</v>
      </c>
      <c r="KBU23" s="229">
        <v>0</v>
      </c>
      <c r="KBV23" s="229">
        <v>0</v>
      </c>
      <c r="KBW23" s="229">
        <v>0</v>
      </c>
      <c r="KBX23" s="229">
        <v>0</v>
      </c>
      <c r="KBY23" s="229">
        <v>0</v>
      </c>
      <c r="KBZ23" s="229">
        <v>0</v>
      </c>
      <c r="KCA23" s="229">
        <v>0</v>
      </c>
      <c r="KCB23" s="229">
        <v>0</v>
      </c>
      <c r="KCC23" s="229">
        <v>0</v>
      </c>
      <c r="KCD23" s="229">
        <v>0</v>
      </c>
      <c r="KCE23" s="229">
        <v>0</v>
      </c>
      <c r="KCF23" s="229">
        <v>0</v>
      </c>
      <c r="KCG23" s="229">
        <v>0</v>
      </c>
      <c r="KCH23" s="229">
        <v>0</v>
      </c>
      <c r="KCI23" s="229">
        <v>0</v>
      </c>
      <c r="KCJ23" s="229">
        <v>0</v>
      </c>
      <c r="KCK23" s="229">
        <v>0</v>
      </c>
      <c r="KCL23" s="229">
        <v>0</v>
      </c>
      <c r="KCM23" s="229">
        <v>0</v>
      </c>
      <c r="KCN23" s="229">
        <v>0</v>
      </c>
      <c r="KCO23" s="229">
        <v>0</v>
      </c>
      <c r="KCP23" s="229">
        <v>0</v>
      </c>
      <c r="KCQ23" s="229">
        <v>0</v>
      </c>
      <c r="KCR23" s="229">
        <v>0</v>
      </c>
      <c r="KCS23" s="229">
        <v>0</v>
      </c>
      <c r="KCT23" s="229">
        <v>0</v>
      </c>
      <c r="KCU23" s="229">
        <v>0</v>
      </c>
      <c r="KCV23" s="229">
        <v>0</v>
      </c>
      <c r="KCW23" s="229">
        <v>0</v>
      </c>
      <c r="KCX23" s="229">
        <v>0</v>
      </c>
      <c r="KCY23" s="229">
        <v>0</v>
      </c>
      <c r="KCZ23" s="229">
        <v>0</v>
      </c>
      <c r="KDA23" s="229">
        <v>0</v>
      </c>
      <c r="KDB23" s="229">
        <v>0</v>
      </c>
      <c r="KDC23" s="229">
        <v>0</v>
      </c>
      <c r="KDD23" s="229">
        <v>0</v>
      </c>
      <c r="KDE23" s="229">
        <v>0</v>
      </c>
      <c r="KDF23" s="229">
        <v>0</v>
      </c>
      <c r="KDG23" s="229">
        <v>0</v>
      </c>
      <c r="KDH23" s="229">
        <v>0</v>
      </c>
      <c r="KDI23" s="229">
        <v>0</v>
      </c>
      <c r="KDJ23" s="229">
        <v>0</v>
      </c>
      <c r="KDK23" s="229">
        <v>0</v>
      </c>
      <c r="KDL23" s="229">
        <v>0</v>
      </c>
      <c r="KDM23" s="229">
        <v>0</v>
      </c>
      <c r="KDN23" s="229">
        <v>0</v>
      </c>
      <c r="KDO23" s="229">
        <v>0</v>
      </c>
      <c r="KDP23" s="229">
        <v>0</v>
      </c>
      <c r="KDQ23" s="229">
        <v>0</v>
      </c>
      <c r="KDR23" s="229">
        <v>0</v>
      </c>
      <c r="KDS23" s="229">
        <v>0</v>
      </c>
      <c r="KDT23" s="229">
        <v>0</v>
      </c>
      <c r="KDU23" s="229">
        <v>0</v>
      </c>
      <c r="KDV23" s="229">
        <v>0</v>
      </c>
      <c r="KDW23" s="229">
        <v>0</v>
      </c>
      <c r="KDX23" s="229">
        <v>0</v>
      </c>
      <c r="KDY23" s="229">
        <v>0</v>
      </c>
      <c r="KDZ23" s="229">
        <v>0</v>
      </c>
      <c r="KEA23" s="229">
        <v>0</v>
      </c>
      <c r="KEB23" s="229">
        <v>0</v>
      </c>
      <c r="KEC23" s="229">
        <v>0</v>
      </c>
      <c r="KED23" s="229">
        <v>0</v>
      </c>
      <c r="KEE23" s="229">
        <v>0</v>
      </c>
      <c r="KEF23" s="229">
        <v>0</v>
      </c>
      <c r="KEG23" s="229">
        <v>0</v>
      </c>
      <c r="KEH23" s="229">
        <v>0</v>
      </c>
      <c r="KEI23" s="229">
        <v>0</v>
      </c>
      <c r="KEJ23" s="229">
        <v>0</v>
      </c>
      <c r="KEK23" s="229">
        <v>0</v>
      </c>
      <c r="KEL23" s="229">
        <v>0</v>
      </c>
      <c r="KEM23" s="229">
        <v>0</v>
      </c>
      <c r="KEN23" s="229">
        <v>0</v>
      </c>
      <c r="KEO23" s="229">
        <v>0</v>
      </c>
      <c r="KEP23" s="229">
        <v>0</v>
      </c>
      <c r="KEQ23" s="229">
        <v>0</v>
      </c>
      <c r="KER23" s="229">
        <v>0</v>
      </c>
      <c r="KES23" s="229">
        <v>0</v>
      </c>
      <c r="KET23" s="229">
        <v>0</v>
      </c>
      <c r="KEU23" s="229">
        <v>0</v>
      </c>
      <c r="KEV23" s="229">
        <v>0</v>
      </c>
      <c r="KEW23" s="229">
        <v>0</v>
      </c>
      <c r="KEX23" s="229">
        <v>0</v>
      </c>
      <c r="KEY23" s="229">
        <v>0</v>
      </c>
      <c r="KEZ23" s="229">
        <v>0</v>
      </c>
      <c r="KFA23" s="229">
        <v>0</v>
      </c>
      <c r="KFB23" s="229">
        <v>0</v>
      </c>
      <c r="KFC23" s="229">
        <v>0</v>
      </c>
      <c r="KFD23" s="229">
        <v>0</v>
      </c>
      <c r="KFE23" s="229">
        <v>0</v>
      </c>
      <c r="KFF23" s="229">
        <v>0</v>
      </c>
      <c r="KFG23" s="229">
        <v>0</v>
      </c>
      <c r="KFH23" s="229">
        <v>0</v>
      </c>
      <c r="KFI23" s="229">
        <v>0</v>
      </c>
      <c r="KFJ23" s="229">
        <v>0</v>
      </c>
      <c r="KFK23" s="229">
        <v>0</v>
      </c>
      <c r="KFL23" s="229">
        <v>0</v>
      </c>
      <c r="KFM23" s="229">
        <v>0</v>
      </c>
      <c r="KFN23" s="229">
        <v>0</v>
      </c>
      <c r="KFO23" s="229">
        <v>0</v>
      </c>
      <c r="KFP23" s="229">
        <v>0</v>
      </c>
      <c r="KFQ23" s="229">
        <v>0</v>
      </c>
      <c r="KFR23" s="229">
        <v>0</v>
      </c>
      <c r="KFS23" s="229">
        <v>0</v>
      </c>
      <c r="KFT23" s="229">
        <v>0</v>
      </c>
      <c r="KFU23" s="229">
        <v>0</v>
      </c>
      <c r="KFV23" s="229">
        <v>0</v>
      </c>
      <c r="KFW23" s="229">
        <v>0</v>
      </c>
      <c r="KFX23" s="229">
        <v>0</v>
      </c>
      <c r="KFY23" s="229">
        <v>0</v>
      </c>
      <c r="KFZ23" s="229">
        <v>0</v>
      </c>
      <c r="KGA23" s="229">
        <v>0</v>
      </c>
      <c r="KGB23" s="229">
        <v>0</v>
      </c>
      <c r="KGC23" s="229">
        <v>0</v>
      </c>
      <c r="KGD23" s="229">
        <v>0</v>
      </c>
      <c r="KGE23" s="229">
        <v>0</v>
      </c>
      <c r="KGF23" s="229">
        <v>0</v>
      </c>
      <c r="KGG23" s="229">
        <v>0</v>
      </c>
      <c r="KGH23" s="229">
        <v>0</v>
      </c>
      <c r="KGI23" s="229">
        <v>0</v>
      </c>
      <c r="KGJ23" s="229">
        <v>0</v>
      </c>
      <c r="KGK23" s="229">
        <v>0</v>
      </c>
      <c r="KGL23" s="229">
        <v>0</v>
      </c>
      <c r="KGM23" s="229">
        <v>0</v>
      </c>
      <c r="KGN23" s="229">
        <v>0</v>
      </c>
      <c r="KGO23" s="229">
        <v>0</v>
      </c>
      <c r="KGP23" s="229">
        <v>0</v>
      </c>
      <c r="KGQ23" s="229">
        <v>0</v>
      </c>
      <c r="KGR23" s="229">
        <v>0</v>
      </c>
      <c r="KGS23" s="229">
        <v>0</v>
      </c>
      <c r="KGT23" s="229">
        <v>0</v>
      </c>
      <c r="KGU23" s="229">
        <v>0</v>
      </c>
      <c r="KGV23" s="229">
        <v>0</v>
      </c>
      <c r="KGW23" s="229">
        <v>0</v>
      </c>
      <c r="KGX23" s="229">
        <v>0</v>
      </c>
      <c r="KGY23" s="229">
        <v>0</v>
      </c>
      <c r="KGZ23" s="229">
        <v>0</v>
      </c>
      <c r="KHA23" s="229">
        <v>0</v>
      </c>
      <c r="KHB23" s="229">
        <v>0</v>
      </c>
      <c r="KHC23" s="229">
        <v>0</v>
      </c>
      <c r="KHD23" s="229">
        <v>0</v>
      </c>
      <c r="KHE23" s="229">
        <v>0</v>
      </c>
      <c r="KHF23" s="229">
        <v>0</v>
      </c>
      <c r="KHG23" s="229">
        <v>0</v>
      </c>
      <c r="KHH23" s="229">
        <v>0</v>
      </c>
      <c r="KHI23" s="229">
        <v>0</v>
      </c>
      <c r="KHJ23" s="229">
        <v>0</v>
      </c>
      <c r="KHK23" s="229">
        <v>0</v>
      </c>
      <c r="KHL23" s="229">
        <v>0</v>
      </c>
      <c r="KHM23" s="229">
        <v>0</v>
      </c>
      <c r="KHN23" s="229">
        <v>0</v>
      </c>
      <c r="KHO23" s="229">
        <v>0</v>
      </c>
      <c r="KHP23" s="229">
        <v>0</v>
      </c>
      <c r="KHQ23" s="229">
        <v>0</v>
      </c>
      <c r="KHR23" s="229">
        <v>0</v>
      </c>
      <c r="KHS23" s="229">
        <v>0</v>
      </c>
      <c r="KHT23" s="229">
        <v>0</v>
      </c>
      <c r="KHU23" s="229">
        <v>0</v>
      </c>
      <c r="KHV23" s="229">
        <v>0</v>
      </c>
      <c r="KHW23" s="229">
        <v>0</v>
      </c>
      <c r="KHX23" s="229">
        <v>0</v>
      </c>
      <c r="KHY23" s="229">
        <v>0</v>
      </c>
      <c r="KHZ23" s="229">
        <v>0</v>
      </c>
      <c r="KIA23" s="229">
        <v>0</v>
      </c>
      <c r="KIB23" s="229">
        <v>0</v>
      </c>
      <c r="KIC23" s="229">
        <v>0</v>
      </c>
      <c r="KID23" s="229">
        <v>0</v>
      </c>
      <c r="KIE23" s="229">
        <v>0</v>
      </c>
      <c r="KIF23" s="229">
        <v>0</v>
      </c>
      <c r="KIG23" s="229">
        <v>0</v>
      </c>
      <c r="KIH23" s="229">
        <v>0</v>
      </c>
      <c r="KII23" s="229">
        <v>0</v>
      </c>
      <c r="KIJ23" s="229">
        <v>0</v>
      </c>
      <c r="KIK23" s="229">
        <v>0</v>
      </c>
      <c r="KIL23" s="229">
        <v>0</v>
      </c>
      <c r="KIM23" s="229">
        <v>0</v>
      </c>
      <c r="KIN23" s="229">
        <v>0</v>
      </c>
      <c r="KIO23" s="229">
        <v>0</v>
      </c>
      <c r="KIP23" s="229">
        <v>0</v>
      </c>
      <c r="KIQ23" s="229">
        <v>0</v>
      </c>
      <c r="KIR23" s="229">
        <v>0</v>
      </c>
      <c r="KIS23" s="229">
        <v>0</v>
      </c>
      <c r="KIT23" s="229">
        <v>0</v>
      </c>
      <c r="KIU23" s="229">
        <v>0</v>
      </c>
      <c r="KIV23" s="229">
        <v>0</v>
      </c>
      <c r="KIW23" s="229">
        <v>0</v>
      </c>
      <c r="KIX23" s="229">
        <v>0</v>
      </c>
      <c r="KIY23" s="229">
        <v>0</v>
      </c>
      <c r="KIZ23" s="229">
        <v>0</v>
      </c>
      <c r="KJA23" s="229">
        <v>0</v>
      </c>
      <c r="KJB23" s="229">
        <v>0</v>
      </c>
      <c r="KJC23" s="229">
        <v>0</v>
      </c>
      <c r="KJD23" s="229">
        <v>0</v>
      </c>
      <c r="KJE23" s="229">
        <v>0</v>
      </c>
      <c r="KJF23" s="229">
        <v>0</v>
      </c>
      <c r="KJG23" s="229">
        <v>0</v>
      </c>
      <c r="KJH23" s="229">
        <v>0</v>
      </c>
      <c r="KJI23" s="229">
        <v>0</v>
      </c>
      <c r="KJJ23" s="229">
        <v>0</v>
      </c>
      <c r="KJK23" s="229">
        <v>0</v>
      </c>
      <c r="KJL23" s="229">
        <v>0</v>
      </c>
      <c r="KJM23" s="229">
        <v>0</v>
      </c>
      <c r="KJN23" s="229">
        <v>0</v>
      </c>
      <c r="KJO23" s="229">
        <v>0</v>
      </c>
      <c r="KJP23" s="229">
        <v>0</v>
      </c>
      <c r="KJQ23" s="229">
        <v>0</v>
      </c>
      <c r="KJR23" s="229">
        <v>0</v>
      </c>
      <c r="KJS23" s="229">
        <v>0</v>
      </c>
      <c r="KJT23" s="229">
        <v>0</v>
      </c>
      <c r="KJU23" s="229">
        <v>0</v>
      </c>
      <c r="KJV23" s="229">
        <v>0</v>
      </c>
      <c r="KJW23" s="229">
        <v>0</v>
      </c>
      <c r="KJX23" s="229">
        <v>0</v>
      </c>
      <c r="KJY23" s="229">
        <v>0</v>
      </c>
      <c r="KJZ23" s="229">
        <v>0</v>
      </c>
      <c r="KKA23" s="229">
        <v>0</v>
      </c>
      <c r="KKB23" s="229">
        <v>0</v>
      </c>
      <c r="KKC23" s="229">
        <v>0</v>
      </c>
      <c r="KKD23" s="229">
        <v>0</v>
      </c>
      <c r="KKE23" s="229">
        <v>0</v>
      </c>
      <c r="KKF23" s="229">
        <v>0</v>
      </c>
      <c r="KKG23" s="229">
        <v>0</v>
      </c>
      <c r="KKH23" s="229">
        <v>0</v>
      </c>
      <c r="KKI23" s="229">
        <v>0</v>
      </c>
      <c r="KKJ23" s="229">
        <v>0</v>
      </c>
      <c r="KKK23" s="229">
        <v>0</v>
      </c>
      <c r="KKL23" s="229">
        <v>0</v>
      </c>
      <c r="KKM23" s="229">
        <v>0</v>
      </c>
      <c r="KKN23" s="229">
        <v>0</v>
      </c>
      <c r="KKO23" s="229">
        <v>0</v>
      </c>
      <c r="KKP23" s="229">
        <v>0</v>
      </c>
      <c r="KKQ23" s="229">
        <v>0</v>
      </c>
      <c r="KKR23" s="229">
        <v>0</v>
      </c>
      <c r="KKS23" s="229">
        <v>0</v>
      </c>
      <c r="KKT23" s="229">
        <v>0</v>
      </c>
      <c r="KKU23" s="229">
        <v>0</v>
      </c>
      <c r="KKV23" s="229">
        <v>0</v>
      </c>
      <c r="KKW23" s="229">
        <v>0</v>
      </c>
      <c r="KKX23" s="229">
        <v>0</v>
      </c>
      <c r="KKY23" s="229">
        <v>0</v>
      </c>
      <c r="KKZ23" s="229">
        <v>0</v>
      </c>
      <c r="KLA23" s="229">
        <v>0</v>
      </c>
      <c r="KLB23" s="229">
        <v>0</v>
      </c>
      <c r="KLC23" s="229">
        <v>0</v>
      </c>
      <c r="KLD23" s="229">
        <v>0</v>
      </c>
      <c r="KLE23" s="229">
        <v>0</v>
      </c>
      <c r="KLF23" s="229">
        <v>0</v>
      </c>
      <c r="KLG23" s="229">
        <v>0</v>
      </c>
      <c r="KLH23" s="229">
        <v>0</v>
      </c>
      <c r="KLI23" s="229">
        <v>0</v>
      </c>
      <c r="KLJ23" s="229">
        <v>0</v>
      </c>
      <c r="KLK23" s="229">
        <v>0</v>
      </c>
      <c r="KLL23" s="229">
        <v>0</v>
      </c>
      <c r="KLM23" s="229">
        <v>0</v>
      </c>
      <c r="KLN23" s="229">
        <v>0</v>
      </c>
      <c r="KLO23" s="229">
        <v>0</v>
      </c>
      <c r="KLP23" s="229">
        <v>0</v>
      </c>
      <c r="KLQ23" s="229">
        <v>0</v>
      </c>
      <c r="KLR23" s="229">
        <v>0</v>
      </c>
      <c r="KLS23" s="229">
        <v>0</v>
      </c>
      <c r="KLT23" s="229">
        <v>0</v>
      </c>
      <c r="KLU23" s="229">
        <v>0</v>
      </c>
      <c r="KLV23" s="229">
        <v>0</v>
      </c>
      <c r="KLW23" s="229">
        <v>0</v>
      </c>
      <c r="KLX23" s="229">
        <v>0</v>
      </c>
      <c r="KLY23" s="229">
        <v>0</v>
      </c>
      <c r="KLZ23" s="229">
        <v>0</v>
      </c>
      <c r="KMA23" s="229">
        <v>0</v>
      </c>
      <c r="KMB23" s="229">
        <v>0</v>
      </c>
      <c r="KMC23" s="229">
        <v>0</v>
      </c>
      <c r="KMD23" s="229">
        <v>0</v>
      </c>
      <c r="KME23" s="229">
        <v>0</v>
      </c>
      <c r="KMF23" s="229">
        <v>0</v>
      </c>
      <c r="KMG23" s="229">
        <v>0</v>
      </c>
      <c r="KMH23" s="229">
        <v>0</v>
      </c>
      <c r="KMI23" s="229">
        <v>0</v>
      </c>
      <c r="KMJ23" s="229">
        <v>0</v>
      </c>
      <c r="KMK23" s="229">
        <v>0</v>
      </c>
      <c r="KML23" s="229">
        <v>0</v>
      </c>
      <c r="KMM23" s="229">
        <v>0</v>
      </c>
      <c r="KMN23" s="229">
        <v>0</v>
      </c>
      <c r="KMO23" s="229">
        <v>0</v>
      </c>
      <c r="KMP23" s="229">
        <v>0</v>
      </c>
      <c r="KMQ23" s="229">
        <v>0</v>
      </c>
      <c r="KMR23" s="229">
        <v>0</v>
      </c>
      <c r="KMS23" s="229">
        <v>0</v>
      </c>
      <c r="KMT23" s="229">
        <v>0</v>
      </c>
      <c r="KMU23" s="229">
        <v>0</v>
      </c>
      <c r="KMV23" s="229">
        <v>0</v>
      </c>
      <c r="KMW23" s="229">
        <v>0</v>
      </c>
      <c r="KMX23" s="229">
        <v>0</v>
      </c>
      <c r="KMY23" s="229">
        <v>0</v>
      </c>
      <c r="KMZ23" s="229">
        <v>0</v>
      </c>
      <c r="KNA23" s="229">
        <v>0</v>
      </c>
      <c r="KNB23" s="229">
        <v>0</v>
      </c>
      <c r="KNC23" s="229">
        <v>0</v>
      </c>
      <c r="KND23" s="229">
        <v>0</v>
      </c>
      <c r="KNE23" s="229">
        <v>0</v>
      </c>
      <c r="KNF23" s="229">
        <v>0</v>
      </c>
      <c r="KNG23" s="229">
        <v>0</v>
      </c>
      <c r="KNH23" s="229">
        <v>0</v>
      </c>
      <c r="KNI23" s="229">
        <v>0</v>
      </c>
      <c r="KNJ23" s="229">
        <v>0</v>
      </c>
      <c r="KNK23" s="229">
        <v>0</v>
      </c>
      <c r="KNL23" s="229">
        <v>0</v>
      </c>
      <c r="KNM23" s="229">
        <v>0</v>
      </c>
      <c r="KNN23" s="229">
        <v>0</v>
      </c>
      <c r="KNO23" s="229">
        <v>0</v>
      </c>
      <c r="KNP23" s="229">
        <v>0</v>
      </c>
      <c r="KNQ23" s="229">
        <v>0</v>
      </c>
      <c r="KNR23" s="229">
        <v>0</v>
      </c>
      <c r="KNS23" s="229">
        <v>0</v>
      </c>
      <c r="KNT23" s="229">
        <v>0</v>
      </c>
      <c r="KNU23" s="229">
        <v>0</v>
      </c>
      <c r="KNV23" s="229">
        <v>0</v>
      </c>
      <c r="KNW23" s="229">
        <v>0</v>
      </c>
      <c r="KNX23" s="229">
        <v>0</v>
      </c>
      <c r="KNY23" s="229">
        <v>0</v>
      </c>
      <c r="KNZ23" s="229">
        <v>0</v>
      </c>
      <c r="KOA23" s="229">
        <v>0</v>
      </c>
      <c r="KOB23" s="229">
        <v>0</v>
      </c>
      <c r="KOC23" s="229">
        <v>0</v>
      </c>
      <c r="KOD23" s="229">
        <v>0</v>
      </c>
      <c r="KOE23" s="229">
        <v>0</v>
      </c>
      <c r="KOF23" s="229">
        <v>0</v>
      </c>
      <c r="KOG23" s="229">
        <v>0</v>
      </c>
      <c r="KOH23" s="229">
        <v>0</v>
      </c>
      <c r="KOI23" s="229">
        <v>0</v>
      </c>
      <c r="KOJ23" s="229">
        <v>0</v>
      </c>
      <c r="KOK23" s="229">
        <v>0</v>
      </c>
      <c r="KOL23" s="229">
        <v>0</v>
      </c>
      <c r="KOM23" s="229">
        <v>0</v>
      </c>
      <c r="KON23" s="229">
        <v>0</v>
      </c>
      <c r="KOO23" s="229">
        <v>0</v>
      </c>
      <c r="KOP23" s="229">
        <v>0</v>
      </c>
      <c r="KOQ23" s="229">
        <v>0</v>
      </c>
      <c r="KOR23" s="229">
        <v>0</v>
      </c>
      <c r="KOS23" s="229">
        <v>0</v>
      </c>
      <c r="KOT23" s="229">
        <v>0</v>
      </c>
      <c r="KOU23" s="229">
        <v>0</v>
      </c>
      <c r="KOV23" s="229">
        <v>0</v>
      </c>
      <c r="KOW23" s="229">
        <v>0</v>
      </c>
      <c r="KOX23" s="229">
        <v>0</v>
      </c>
      <c r="KOY23" s="229">
        <v>0</v>
      </c>
      <c r="KOZ23" s="229">
        <v>0</v>
      </c>
      <c r="KPA23" s="229">
        <v>0</v>
      </c>
      <c r="KPB23" s="229">
        <v>0</v>
      </c>
      <c r="KPC23" s="229">
        <v>0</v>
      </c>
      <c r="KPD23" s="229">
        <v>0</v>
      </c>
      <c r="KPE23" s="229">
        <v>0</v>
      </c>
      <c r="KPF23" s="229">
        <v>0</v>
      </c>
      <c r="KPG23" s="229">
        <v>0</v>
      </c>
      <c r="KPH23" s="229">
        <v>0</v>
      </c>
      <c r="KPI23" s="229">
        <v>0</v>
      </c>
      <c r="KPJ23" s="229">
        <v>0</v>
      </c>
      <c r="KPK23" s="229">
        <v>0</v>
      </c>
      <c r="KPL23" s="229">
        <v>0</v>
      </c>
      <c r="KPM23" s="229">
        <v>0</v>
      </c>
      <c r="KPN23" s="229">
        <v>0</v>
      </c>
      <c r="KPO23" s="229">
        <v>0</v>
      </c>
      <c r="KPP23" s="229">
        <v>0</v>
      </c>
      <c r="KPQ23" s="229">
        <v>0</v>
      </c>
      <c r="KPR23" s="229">
        <v>0</v>
      </c>
      <c r="KPS23" s="229">
        <v>0</v>
      </c>
      <c r="KPT23" s="229">
        <v>0</v>
      </c>
      <c r="KPU23" s="229">
        <v>0</v>
      </c>
      <c r="KPV23" s="229">
        <v>0</v>
      </c>
      <c r="KPW23" s="229">
        <v>0</v>
      </c>
      <c r="KPX23" s="229">
        <v>0</v>
      </c>
      <c r="KPY23" s="229">
        <v>0</v>
      </c>
      <c r="KPZ23" s="229">
        <v>0</v>
      </c>
      <c r="KQA23" s="229">
        <v>0</v>
      </c>
      <c r="KQB23" s="229">
        <v>0</v>
      </c>
      <c r="KQC23" s="229">
        <v>0</v>
      </c>
      <c r="KQD23" s="229">
        <v>0</v>
      </c>
      <c r="KQE23" s="229">
        <v>0</v>
      </c>
      <c r="KQF23" s="229">
        <v>0</v>
      </c>
      <c r="KQG23" s="229">
        <v>0</v>
      </c>
      <c r="KQH23" s="229">
        <v>0</v>
      </c>
      <c r="KQI23" s="229">
        <v>0</v>
      </c>
      <c r="KQJ23" s="229">
        <v>0</v>
      </c>
      <c r="KQK23" s="229">
        <v>0</v>
      </c>
      <c r="KQL23" s="229">
        <v>0</v>
      </c>
      <c r="KQM23" s="229">
        <v>0</v>
      </c>
      <c r="KQN23" s="229">
        <v>0</v>
      </c>
      <c r="KQO23" s="229">
        <v>0</v>
      </c>
      <c r="KQP23" s="229">
        <v>0</v>
      </c>
      <c r="KQQ23" s="229">
        <v>0</v>
      </c>
      <c r="KQR23" s="229">
        <v>0</v>
      </c>
      <c r="KQS23" s="229">
        <v>0</v>
      </c>
      <c r="KQT23" s="229">
        <v>0</v>
      </c>
      <c r="KQU23" s="229">
        <v>0</v>
      </c>
      <c r="KQV23" s="229">
        <v>0</v>
      </c>
      <c r="KQW23" s="229">
        <v>0</v>
      </c>
      <c r="KQX23" s="229">
        <v>0</v>
      </c>
      <c r="KQY23" s="229">
        <v>0</v>
      </c>
      <c r="KQZ23" s="229">
        <v>0</v>
      </c>
      <c r="KRA23" s="229">
        <v>0</v>
      </c>
      <c r="KRB23" s="229">
        <v>0</v>
      </c>
      <c r="KRC23" s="229">
        <v>0</v>
      </c>
      <c r="KRD23" s="229">
        <v>0</v>
      </c>
      <c r="KRE23" s="229">
        <v>0</v>
      </c>
      <c r="KRF23" s="229">
        <v>0</v>
      </c>
      <c r="KRG23" s="229">
        <v>0</v>
      </c>
      <c r="KRH23" s="229">
        <v>0</v>
      </c>
      <c r="KRI23" s="229">
        <v>0</v>
      </c>
      <c r="KRJ23" s="229">
        <v>0</v>
      </c>
      <c r="KRK23" s="229">
        <v>0</v>
      </c>
      <c r="KRL23" s="229">
        <v>0</v>
      </c>
      <c r="KRM23" s="229">
        <v>0</v>
      </c>
      <c r="KRN23" s="229">
        <v>0</v>
      </c>
      <c r="KRO23" s="229">
        <v>0</v>
      </c>
      <c r="KRP23" s="229">
        <v>0</v>
      </c>
      <c r="KRQ23" s="229">
        <v>0</v>
      </c>
      <c r="KRR23" s="229">
        <v>0</v>
      </c>
      <c r="KRS23" s="229">
        <v>0</v>
      </c>
      <c r="KRT23" s="229">
        <v>0</v>
      </c>
      <c r="KRU23" s="229">
        <v>0</v>
      </c>
      <c r="KRV23" s="229">
        <v>0</v>
      </c>
      <c r="KRW23" s="229">
        <v>0</v>
      </c>
      <c r="KRX23" s="229">
        <v>0</v>
      </c>
      <c r="KRY23" s="229">
        <v>0</v>
      </c>
      <c r="KRZ23" s="229">
        <v>0</v>
      </c>
      <c r="KSA23" s="229">
        <v>0</v>
      </c>
      <c r="KSB23" s="229">
        <v>0</v>
      </c>
      <c r="KSC23" s="229">
        <v>0</v>
      </c>
      <c r="KSD23" s="229">
        <v>0</v>
      </c>
      <c r="KSE23" s="229">
        <v>0</v>
      </c>
      <c r="KSF23" s="229">
        <v>0</v>
      </c>
      <c r="KSG23" s="229">
        <v>0</v>
      </c>
      <c r="KSH23" s="229">
        <v>0</v>
      </c>
      <c r="KSI23" s="229">
        <v>0</v>
      </c>
      <c r="KSJ23" s="229">
        <v>0</v>
      </c>
      <c r="KSK23" s="229">
        <v>0</v>
      </c>
      <c r="KSL23" s="229">
        <v>0</v>
      </c>
      <c r="KSM23" s="229">
        <v>0</v>
      </c>
      <c r="KSN23" s="229">
        <v>0</v>
      </c>
      <c r="KSO23" s="229">
        <v>0</v>
      </c>
      <c r="KSP23" s="229">
        <v>0</v>
      </c>
      <c r="KSQ23" s="229">
        <v>0</v>
      </c>
      <c r="KSR23" s="229">
        <v>0</v>
      </c>
      <c r="KSS23" s="229">
        <v>0</v>
      </c>
      <c r="KST23" s="229">
        <v>0</v>
      </c>
      <c r="KSU23" s="229">
        <v>0</v>
      </c>
      <c r="KSV23" s="229">
        <v>0</v>
      </c>
      <c r="KSW23" s="229">
        <v>0</v>
      </c>
      <c r="KSX23" s="229">
        <v>0</v>
      </c>
      <c r="KSY23" s="229">
        <v>0</v>
      </c>
      <c r="KSZ23" s="229">
        <v>0</v>
      </c>
      <c r="KTA23" s="229">
        <v>0</v>
      </c>
      <c r="KTB23" s="229">
        <v>0</v>
      </c>
      <c r="KTC23" s="229">
        <v>0</v>
      </c>
      <c r="KTD23" s="229">
        <v>0</v>
      </c>
      <c r="KTE23" s="229">
        <v>0</v>
      </c>
      <c r="KTF23" s="229">
        <v>0</v>
      </c>
      <c r="KTG23" s="229">
        <v>0</v>
      </c>
      <c r="KTH23" s="229">
        <v>0</v>
      </c>
      <c r="KTI23" s="229">
        <v>0</v>
      </c>
      <c r="KTJ23" s="229">
        <v>0</v>
      </c>
      <c r="KTK23" s="229">
        <v>0</v>
      </c>
      <c r="KTL23" s="229">
        <v>0</v>
      </c>
      <c r="KTM23" s="229">
        <v>0</v>
      </c>
      <c r="KTN23" s="229">
        <v>0</v>
      </c>
      <c r="KTO23" s="229">
        <v>0</v>
      </c>
      <c r="KTP23" s="229">
        <v>0</v>
      </c>
      <c r="KTQ23" s="229">
        <v>0</v>
      </c>
      <c r="KTR23" s="229">
        <v>0</v>
      </c>
      <c r="KTS23" s="229">
        <v>0</v>
      </c>
      <c r="KTT23" s="229">
        <v>0</v>
      </c>
      <c r="KTU23" s="229">
        <v>0</v>
      </c>
      <c r="KTV23" s="229">
        <v>0</v>
      </c>
      <c r="KTW23" s="229">
        <v>0</v>
      </c>
      <c r="KTX23" s="229">
        <v>0</v>
      </c>
      <c r="KTY23" s="229">
        <v>0</v>
      </c>
      <c r="KTZ23" s="229">
        <v>0</v>
      </c>
      <c r="KUA23" s="229">
        <v>0</v>
      </c>
      <c r="KUB23" s="229">
        <v>0</v>
      </c>
      <c r="KUC23" s="229">
        <v>0</v>
      </c>
      <c r="KUD23" s="229">
        <v>0</v>
      </c>
      <c r="KUE23" s="229">
        <v>0</v>
      </c>
      <c r="KUF23" s="229">
        <v>0</v>
      </c>
      <c r="KUG23" s="229">
        <v>0</v>
      </c>
      <c r="KUH23" s="229">
        <v>0</v>
      </c>
      <c r="KUI23" s="229">
        <v>0</v>
      </c>
      <c r="KUJ23" s="229">
        <v>0</v>
      </c>
      <c r="KUK23" s="229">
        <v>0</v>
      </c>
      <c r="KUL23" s="229">
        <v>0</v>
      </c>
      <c r="KUM23" s="229">
        <v>0</v>
      </c>
      <c r="KUN23" s="229">
        <v>0</v>
      </c>
      <c r="KUO23" s="229">
        <v>0</v>
      </c>
      <c r="KUP23" s="229">
        <v>0</v>
      </c>
      <c r="KUQ23" s="229">
        <v>0</v>
      </c>
      <c r="KUR23" s="229">
        <v>0</v>
      </c>
      <c r="KUS23" s="229">
        <v>0</v>
      </c>
      <c r="KUT23" s="229">
        <v>0</v>
      </c>
      <c r="KUU23" s="229">
        <v>0</v>
      </c>
      <c r="KUV23" s="229">
        <v>0</v>
      </c>
      <c r="KUW23" s="229">
        <v>0</v>
      </c>
      <c r="KUX23" s="229">
        <v>0</v>
      </c>
      <c r="KUY23" s="229">
        <v>0</v>
      </c>
      <c r="KUZ23" s="229">
        <v>0</v>
      </c>
      <c r="KVA23" s="229">
        <v>0</v>
      </c>
      <c r="KVB23" s="229">
        <v>0</v>
      </c>
      <c r="KVC23" s="229">
        <v>0</v>
      </c>
      <c r="KVD23" s="229">
        <v>0</v>
      </c>
      <c r="KVE23" s="229">
        <v>0</v>
      </c>
      <c r="KVF23" s="229">
        <v>0</v>
      </c>
      <c r="KVG23" s="229">
        <v>0</v>
      </c>
      <c r="KVH23" s="229">
        <v>0</v>
      </c>
      <c r="KVI23" s="229">
        <v>0</v>
      </c>
      <c r="KVJ23" s="229">
        <v>0</v>
      </c>
      <c r="KVK23" s="229">
        <v>0</v>
      </c>
      <c r="KVL23" s="229">
        <v>0</v>
      </c>
      <c r="KVM23" s="229">
        <v>0</v>
      </c>
      <c r="KVN23" s="229">
        <v>0</v>
      </c>
      <c r="KVO23" s="229">
        <v>0</v>
      </c>
      <c r="KVP23" s="229">
        <v>0</v>
      </c>
      <c r="KVQ23" s="229">
        <v>0</v>
      </c>
      <c r="KVR23" s="229">
        <v>0</v>
      </c>
      <c r="KVS23" s="229">
        <v>0</v>
      </c>
      <c r="KVT23" s="229">
        <v>0</v>
      </c>
      <c r="KVU23" s="229">
        <v>0</v>
      </c>
      <c r="KVV23" s="229">
        <v>0</v>
      </c>
      <c r="KVW23" s="229">
        <v>0</v>
      </c>
      <c r="KVX23" s="229">
        <v>0</v>
      </c>
      <c r="KVY23" s="229">
        <v>0</v>
      </c>
      <c r="KVZ23" s="229">
        <v>0</v>
      </c>
      <c r="KWA23" s="229">
        <v>0</v>
      </c>
      <c r="KWB23" s="229">
        <v>0</v>
      </c>
      <c r="KWC23" s="229">
        <v>0</v>
      </c>
      <c r="KWD23" s="229">
        <v>0</v>
      </c>
      <c r="KWE23" s="229">
        <v>0</v>
      </c>
      <c r="KWF23" s="229">
        <v>0</v>
      </c>
      <c r="KWG23" s="229">
        <v>0</v>
      </c>
      <c r="KWH23" s="229">
        <v>0</v>
      </c>
      <c r="KWI23" s="229">
        <v>0</v>
      </c>
      <c r="KWJ23" s="229">
        <v>0</v>
      </c>
      <c r="KWK23" s="229">
        <v>0</v>
      </c>
      <c r="KWL23" s="229">
        <v>0</v>
      </c>
      <c r="KWM23" s="229">
        <v>0</v>
      </c>
      <c r="KWN23" s="229">
        <v>0</v>
      </c>
      <c r="KWO23" s="229">
        <v>0</v>
      </c>
      <c r="KWP23" s="229">
        <v>0</v>
      </c>
      <c r="KWQ23" s="229">
        <v>0</v>
      </c>
      <c r="KWR23" s="229">
        <v>0</v>
      </c>
      <c r="KWS23" s="229">
        <v>0</v>
      </c>
      <c r="KWT23" s="229">
        <v>0</v>
      </c>
      <c r="KWU23" s="229">
        <v>0</v>
      </c>
      <c r="KWV23" s="229">
        <v>0</v>
      </c>
      <c r="KWW23" s="229">
        <v>0</v>
      </c>
      <c r="KWX23" s="229">
        <v>0</v>
      </c>
      <c r="KWY23" s="229">
        <v>0</v>
      </c>
      <c r="KWZ23" s="229">
        <v>0</v>
      </c>
      <c r="KXA23" s="229">
        <v>0</v>
      </c>
      <c r="KXB23" s="229">
        <v>0</v>
      </c>
      <c r="KXC23" s="229">
        <v>0</v>
      </c>
      <c r="KXD23" s="229">
        <v>0</v>
      </c>
      <c r="KXE23" s="229">
        <v>0</v>
      </c>
      <c r="KXF23" s="229">
        <v>0</v>
      </c>
      <c r="KXG23" s="229">
        <v>0</v>
      </c>
      <c r="KXH23" s="229">
        <v>0</v>
      </c>
      <c r="KXI23" s="229">
        <v>0</v>
      </c>
      <c r="KXJ23" s="229">
        <v>0</v>
      </c>
      <c r="KXK23" s="229">
        <v>0</v>
      </c>
      <c r="KXL23" s="229">
        <v>0</v>
      </c>
      <c r="KXM23" s="229">
        <v>0</v>
      </c>
      <c r="KXN23" s="229">
        <v>0</v>
      </c>
      <c r="KXO23" s="229">
        <v>0</v>
      </c>
      <c r="KXP23" s="229">
        <v>0</v>
      </c>
      <c r="KXQ23" s="229">
        <v>0</v>
      </c>
      <c r="KXR23" s="229">
        <v>0</v>
      </c>
      <c r="KXS23" s="229">
        <v>0</v>
      </c>
      <c r="KXT23" s="229">
        <v>0</v>
      </c>
      <c r="KXU23" s="229">
        <v>0</v>
      </c>
      <c r="KXV23" s="229">
        <v>0</v>
      </c>
      <c r="KXW23" s="229">
        <v>0</v>
      </c>
      <c r="KXX23" s="229">
        <v>0</v>
      </c>
      <c r="KXY23" s="229">
        <v>0</v>
      </c>
      <c r="KXZ23" s="229">
        <v>0</v>
      </c>
      <c r="KYA23" s="229">
        <v>0</v>
      </c>
      <c r="KYB23" s="229">
        <v>0</v>
      </c>
      <c r="KYC23" s="229">
        <v>0</v>
      </c>
      <c r="KYD23" s="229">
        <v>0</v>
      </c>
      <c r="KYE23" s="229">
        <v>0</v>
      </c>
      <c r="KYF23" s="229">
        <v>0</v>
      </c>
      <c r="KYG23" s="229">
        <v>0</v>
      </c>
      <c r="KYH23" s="229">
        <v>0</v>
      </c>
      <c r="KYI23" s="229">
        <v>0</v>
      </c>
      <c r="KYJ23" s="229">
        <v>0</v>
      </c>
      <c r="KYK23" s="229">
        <v>0</v>
      </c>
      <c r="KYL23" s="229">
        <v>0</v>
      </c>
      <c r="KYM23" s="229">
        <v>0</v>
      </c>
      <c r="KYN23" s="229">
        <v>0</v>
      </c>
      <c r="KYO23" s="229">
        <v>0</v>
      </c>
      <c r="KYP23" s="229">
        <v>0</v>
      </c>
      <c r="KYQ23" s="229">
        <v>0</v>
      </c>
      <c r="KYR23" s="229">
        <v>0</v>
      </c>
      <c r="KYS23" s="229">
        <v>0</v>
      </c>
      <c r="KYT23" s="229">
        <v>0</v>
      </c>
      <c r="KYU23" s="229">
        <v>0</v>
      </c>
      <c r="KYV23" s="229">
        <v>0</v>
      </c>
      <c r="KYW23" s="229">
        <v>0</v>
      </c>
      <c r="KYX23" s="229">
        <v>0</v>
      </c>
      <c r="KYY23" s="229">
        <v>0</v>
      </c>
      <c r="KYZ23" s="229">
        <v>0</v>
      </c>
      <c r="KZA23" s="229">
        <v>0</v>
      </c>
      <c r="KZB23" s="229">
        <v>0</v>
      </c>
      <c r="KZC23" s="229">
        <v>0</v>
      </c>
      <c r="KZD23" s="229">
        <v>0</v>
      </c>
      <c r="KZE23" s="229">
        <v>0</v>
      </c>
      <c r="KZF23" s="229">
        <v>0</v>
      </c>
      <c r="KZG23" s="229">
        <v>0</v>
      </c>
      <c r="KZH23" s="229">
        <v>0</v>
      </c>
      <c r="KZI23" s="229">
        <v>0</v>
      </c>
      <c r="KZJ23" s="229">
        <v>0</v>
      </c>
      <c r="KZK23" s="229">
        <v>0</v>
      </c>
      <c r="KZL23" s="229">
        <v>0</v>
      </c>
      <c r="KZM23" s="229">
        <v>0</v>
      </c>
      <c r="KZN23" s="229">
        <v>0</v>
      </c>
      <c r="KZO23" s="229">
        <v>0</v>
      </c>
      <c r="KZP23" s="229">
        <v>0</v>
      </c>
      <c r="KZQ23" s="229">
        <v>0</v>
      </c>
      <c r="KZR23" s="229">
        <v>0</v>
      </c>
      <c r="KZS23" s="229">
        <v>0</v>
      </c>
      <c r="KZT23" s="229">
        <v>0</v>
      </c>
      <c r="KZU23" s="229">
        <v>0</v>
      </c>
      <c r="KZV23" s="229">
        <v>0</v>
      </c>
      <c r="KZW23" s="229">
        <v>0</v>
      </c>
      <c r="KZX23" s="229">
        <v>0</v>
      </c>
      <c r="KZY23" s="229">
        <v>0</v>
      </c>
      <c r="KZZ23" s="229">
        <v>0</v>
      </c>
      <c r="LAA23" s="229">
        <v>0</v>
      </c>
      <c r="LAB23" s="229">
        <v>0</v>
      </c>
      <c r="LAC23" s="229">
        <v>0</v>
      </c>
      <c r="LAD23" s="229">
        <v>0</v>
      </c>
      <c r="LAE23" s="229">
        <v>0</v>
      </c>
      <c r="LAF23" s="229">
        <v>0</v>
      </c>
      <c r="LAG23" s="229">
        <v>0</v>
      </c>
      <c r="LAH23" s="229">
        <v>0</v>
      </c>
      <c r="LAI23" s="229">
        <v>0</v>
      </c>
      <c r="LAJ23" s="229">
        <v>0</v>
      </c>
      <c r="LAK23" s="229">
        <v>0</v>
      </c>
      <c r="LAL23" s="229">
        <v>0</v>
      </c>
      <c r="LAM23" s="229">
        <v>0</v>
      </c>
      <c r="LAN23" s="229">
        <v>0</v>
      </c>
      <c r="LAO23" s="229">
        <v>0</v>
      </c>
      <c r="LAP23" s="229">
        <v>0</v>
      </c>
      <c r="LAQ23" s="229">
        <v>0</v>
      </c>
      <c r="LAR23" s="229">
        <v>0</v>
      </c>
      <c r="LAS23" s="229">
        <v>0</v>
      </c>
      <c r="LAT23" s="229">
        <v>0</v>
      </c>
      <c r="LAU23" s="229">
        <v>0</v>
      </c>
      <c r="LAV23" s="229">
        <v>0</v>
      </c>
      <c r="LAW23" s="229">
        <v>0</v>
      </c>
      <c r="LAX23" s="229">
        <v>0</v>
      </c>
      <c r="LAY23" s="229">
        <v>0</v>
      </c>
      <c r="LAZ23" s="229">
        <v>0</v>
      </c>
      <c r="LBA23" s="229">
        <v>0</v>
      </c>
      <c r="LBB23" s="229">
        <v>0</v>
      </c>
      <c r="LBC23" s="229">
        <v>0</v>
      </c>
      <c r="LBD23" s="229">
        <v>0</v>
      </c>
      <c r="LBE23" s="229">
        <v>0</v>
      </c>
      <c r="LBF23" s="229">
        <v>0</v>
      </c>
      <c r="LBG23" s="229">
        <v>0</v>
      </c>
      <c r="LBH23" s="229">
        <v>0</v>
      </c>
      <c r="LBI23" s="229">
        <v>0</v>
      </c>
      <c r="LBJ23" s="229">
        <v>0</v>
      </c>
      <c r="LBK23" s="229">
        <v>0</v>
      </c>
      <c r="LBL23" s="229">
        <v>0</v>
      </c>
      <c r="LBM23" s="229">
        <v>0</v>
      </c>
      <c r="LBN23" s="229">
        <v>0</v>
      </c>
      <c r="LBO23" s="229">
        <v>0</v>
      </c>
      <c r="LBP23" s="229">
        <v>0</v>
      </c>
      <c r="LBQ23" s="229">
        <v>0</v>
      </c>
      <c r="LBR23" s="229">
        <v>0</v>
      </c>
      <c r="LBS23" s="229">
        <v>0</v>
      </c>
      <c r="LBT23" s="229">
        <v>0</v>
      </c>
      <c r="LBU23" s="229">
        <v>0</v>
      </c>
      <c r="LBV23" s="229">
        <v>0</v>
      </c>
      <c r="LBW23" s="229">
        <v>0</v>
      </c>
      <c r="LBX23" s="229">
        <v>0</v>
      </c>
      <c r="LBY23" s="229">
        <v>0</v>
      </c>
      <c r="LBZ23" s="229">
        <v>0</v>
      </c>
      <c r="LCA23" s="229">
        <v>0</v>
      </c>
      <c r="LCB23" s="229">
        <v>0</v>
      </c>
      <c r="LCC23" s="229">
        <v>0</v>
      </c>
      <c r="LCD23" s="229">
        <v>0</v>
      </c>
      <c r="LCE23" s="229">
        <v>0</v>
      </c>
      <c r="LCF23" s="229">
        <v>0</v>
      </c>
      <c r="LCG23" s="229">
        <v>0</v>
      </c>
      <c r="LCH23" s="229">
        <v>0</v>
      </c>
      <c r="LCI23" s="229">
        <v>0</v>
      </c>
      <c r="LCJ23" s="229">
        <v>0</v>
      </c>
      <c r="LCK23" s="229">
        <v>0</v>
      </c>
      <c r="LCL23" s="229">
        <v>0</v>
      </c>
      <c r="LCM23" s="229">
        <v>0</v>
      </c>
      <c r="LCN23" s="229">
        <v>0</v>
      </c>
      <c r="LCO23" s="229">
        <v>0</v>
      </c>
      <c r="LCP23" s="229">
        <v>0</v>
      </c>
      <c r="LCQ23" s="229">
        <v>0</v>
      </c>
      <c r="LCR23" s="229">
        <v>0</v>
      </c>
      <c r="LCS23" s="229">
        <v>0</v>
      </c>
      <c r="LCT23" s="229">
        <v>0</v>
      </c>
      <c r="LCU23" s="229">
        <v>0</v>
      </c>
      <c r="LCV23" s="229">
        <v>0</v>
      </c>
      <c r="LCW23" s="229">
        <v>0</v>
      </c>
      <c r="LCX23" s="229">
        <v>0</v>
      </c>
      <c r="LCY23" s="229">
        <v>0</v>
      </c>
      <c r="LCZ23" s="229">
        <v>0</v>
      </c>
      <c r="LDA23" s="229">
        <v>0</v>
      </c>
      <c r="LDB23" s="229">
        <v>0</v>
      </c>
      <c r="LDC23" s="229">
        <v>0</v>
      </c>
      <c r="LDD23" s="229">
        <v>0</v>
      </c>
      <c r="LDE23" s="229">
        <v>0</v>
      </c>
      <c r="LDF23" s="229">
        <v>0</v>
      </c>
      <c r="LDG23" s="229">
        <v>0</v>
      </c>
      <c r="LDH23" s="229">
        <v>0</v>
      </c>
      <c r="LDI23" s="229">
        <v>0</v>
      </c>
      <c r="LDJ23" s="229">
        <v>0</v>
      </c>
      <c r="LDK23" s="229">
        <v>0</v>
      </c>
      <c r="LDL23" s="229">
        <v>0</v>
      </c>
      <c r="LDM23" s="229">
        <v>0</v>
      </c>
      <c r="LDN23" s="229">
        <v>0</v>
      </c>
      <c r="LDO23" s="229">
        <v>0</v>
      </c>
      <c r="LDP23" s="229">
        <v>0</v>
      </c>
      <c r="LDQ23" s="229">
        <v>0</v>
      </c>
      <c r="LDR23" s="229">
        <v>0</v>
      </c>
      <c r="LDS23" s="229">
        <v>0</v>
      </c>
      <c r="LDT23" s="229">
        <v>0</v>
      </c>
      <c r="LDU23" s="229">
        <v>0</v>
      </c>
      <c r="LDV23" s="229">
        <v>0</v>
      </c>
      <c r="LDW23" s="229">
        <v>0</v>
      </c>
      <c r="LDX23" s="229">
        <v>0</v>
      </c>
      <c r="LDY23" s="229">
        <v>0</v>
      </c>
      <c r="LDZ23" s="229">
        <v>0</v>
      </c>
      <c r="LEA23" s="229">
        <v>0</v>
      </c>
      <c r="LEB23" s="229">
        <v>0</v>
      </c>
      <c r="LEC23" s="229">
        <v>0</v>
      </c>
      <c r="LED23" s="229">
        <v>0</v>
      </c>
      <c r="LEE23" s="229">
        <v>0</v>
      </c>
      <c r="LEF23" s="229">
        <v>0</v>
      </c>
      <c r="LEG23" s="229">
        <v>0</v>
      </c>
      <c r="LEH23" s="229">
        <v>0</v>
      </c>
      <c r="LEI23" s="229">
        <v>0</v>
      </c>
      <c r="LEJ23" s="229">
        <v>0</v>
      </c>
      <c r="LEK23" s="229">
        <v>0</v>
      </c>
      <c r="LEL23" s="229">
        <v>0</v>
      </c>
      <c r="LEM23" s="229">
        <v>0</v>
      </c>
      <c r="LEN23" s="229">
        <v>0</v>
      </c>
      <c r="LEO23" s="229">
        <v>0</v>
      </c>
      <c r="LEP23" s="229">
        <v>0</v>
      </c>
      <c r="LEQ23" s="229">
        <v>0</v>
      </c>
      <c r="LER23" s="229">
        <v>0</v>
      </c>
      <c r="LES23" s="229">
        <v>0</v>
      </c>
      <c r="LET23" s="229">
        <v>0</v>
      </c>
      <c r="LEU23" s="229">
        <v>0</v>
      </c>
      <c r="LEV23" s="229">
        <v>0</v>
      </c>
      <c r="LEW23" s="229">
        <v>0</v>
      </c>
      <c r="LEX23" s="229">
        <v>0</v>
      </c>
      <c r="LEY23" s="229">
        <v>0</v>
      </c>
      <c r="LEZ23" s="229">
        <v>0</v>
      </c>
      <c r="LFA23" s="229">
        <v>0</v>
      </c>
      <c r="LFB23" s="229">
        <v>0</v>
      </c>
      <c r="LFC23" s="229">
        <v>0</v>
      </c>
      <c r="LFD23" s="229">
        <v>0</v>
      </c>
      <c r="LFE23" s="229">
        <v>0</v>
      </c>
      <c r="LFF23" s="229">
        <v>0</v>
      </c>
      <c r="LFG23" s="229">
        <v>0</v>
      </c>
      <c r="LFH23" s="229">
        <v>0</v>
      </c>
      <c r="LFI23" s="229">
        <v>0</v>
      </c>
      <c r="LFJ23" s="229">
        <v>0</v>
      </c>
      <c r="LFK23" s="229">
        <v>0</v>
      </c>
      <c r="LFL23" s="229">
        <v>0</v>
      </c>
      <c r="LFM23" s="229">
        <v>0</v>
      </c>
      <c r="LFN23" s="229">
        <v>0</v>
      </c>
      <c r="LFO23" s="229">
        <v>0</v>
      </c>
      <c r="LFP23" s="229">
        <v>0</v>
      </c>
      <c r="LFQ23" s="229">
        <v>0</v>
      </c>
      <c r="LFR23" s="229">
        <v>0</v>
      </c>
      <c r="LFS23" s="229">
        <v>0</v>
      </c>
      <c r="LFT23" s="229">
        <v>0</v>
      </c>
      <c r="LFU23" s="229">
        <v>0</v>
      </c>
      <c r="LFV23" s="229">
        <v>0</v>
      </c>
      <c r="LFW23" s="229">
        <v>0</v>
      </c>
      <c r="LFX23" s="229">
        <v>0</v>
      </c>
      <c r="LFY23" s="229">
        <v>0</v>
      </c>
      <c r="LFZ23" s="229">
        <v>0</v>
      </c>
      <c r="LGA23" s="229">
        <v>0</v>
      </c>
      <c r="LGB23" s="229">
        <v>0</v>
      </c>
      <c r="LGC23" s="229">
        <v>0</v>
      </c>
      <c r="LGD23" s="229">
        <v>0</v>
      </c>
      <c r="LGE23" s="229">
        <v>0</v>
      </c>
      <c r="LGF23" s="229">
        <v>0</v>
      </c>
      <c r="LGG23" s="229">
        <v>0</v>
      </c>
      <c r="LGH23" s="229">
        <v>0</v>
      </c>
      <c r="LGI23" s="229">
        <v>0</v>
      </c>
      <c r="LGJ23" s="229">
        <v>0</v>
      </c>
      <c r="LGK23" s="229">
        <v>0</v>
      </c>
      <c r="LGL23" s="229">
        <v>0</v>
      </c>
      <c r="LGM23" s="229">
        <v>0</v>
      </c>
      <c r="LGN23" s="229">
        <v>0</v>
      </c>
      <c r="LGO23" s="229">
        <v>0</v>
      </c>
      <c r="LGP23" s="229">
        <v>0</v>
      </c>
      <c r="LGQ23" s="229">
        <v>0</v>
      </c>
      <c r="LGR23" s="229">
        <v>0</v>
      </c>
      <c r="LGS23" s="229">
        <v>0</v>
      </c>
      <c r="LGT23" s="229">
        <v>0</v>
      </c>
      <c r="LGU23" s="229">
        <v>0</v>
      </c>
      <c r="LGV23" s="229">
        <v>0</v>
      </c>
      <c r="LGW23" s="229">
        <v>0</v>
      </c>
      <c r="LGX23" s="229">
        <v>0</v>
      </c>
      <c r="LGY23" s="229">
        <v>0</v>
      </c>
      <c r="LGZ23" s="229">
        <v>0</v>
      </c>
      <c r="LHA23" s="229">
        <v>0</v>
      </c>
      <c r="LHB23" s="229">
        <v>0</v>
      </c>
      <c r="LHC23" s="229">
        <v>0</v>
      </c>
      <c r="LHD23" s="229">
        <v>0</v>
      </c>
      <c r="LHE23" s="229">
        <v>0</v>
      </c>
      <c r="LHF23" s="229">
        <v>0</v>
      </c>
      <c r="LHG23" s="229">
        <v>0</v>
      </c>
      <c r="LHH23" s="229">
        <v>0</v>
      </c>
      <c r="LHI23" s="229">
        <v>0</v>
      </c>
      <c r="LHJ23" s="229">
        <v>0</v>
      </c>
      <c r="LHK23" s="229">
        <v>0</v>
      </c>
      <c r="LHL23" s="229">
        <v>0</v>
      </c>
      <c r="LHM23" s="229">
        <v>0</v>
      </c>
      <c r="LHN23" s="229">
        <v>0</v>
      </c>
      <c r="LHO23" s="229">
        <v>0</v>
      </c>
      <c r="LHP23" s="229">
        <v>0</v>
      </c>
      <c r="LHQ23" s="229">
        <v>0</v>
      </c>
      <c r="LHR23" s="229">
        <v>0</v>
      </c>
      <c r="LHS23" s="229">
        <v>0</v>
      </c>
      <c r="LHT23" s="229">
        <v>0</v>
      </c>
      <c r="LHU23" s="229">
        <v>0</v>
      </c>
      <c r="LHV23" s="229">
        <v>0</v>
      </c>
      <c r="LHW23" s="229">
        <v>0</v>
      </c>
      <c r="LHX23" s="229">
        <v>0</v>
      </c>
      <c r="LHY23" s="229">
        <v>0</v>
      </c>
      <c r="LHZ23" s="229">
        <v>0</v>
      </c>
      <c r="LIA23" s="229">
        <v>0</v>
      </c>
      <c r="LIB23" s="229">
        <v>0</v>
      </c>
      <c r="LIC23" s="229">
        <v>0</v>
      </c>
      <c r="LID23" s="229">
        <v>0</v>
      </c>
      <c r="LIE23" s="229">
        <v>0</v>
      </c>
      <c r="LIF23" s="229">
        <v>0</v>
      </c>
      <c r="LIG23" s="229">
        <v>0</v>
      </c>
      <c r="LIH23" s="229">
        <v>0</v>
      </c>
      <c r="LII23" s="229">
        <v>0</v>
      </c>
      <c r="LIJ23" s="229">
        <v>0</v>
      </c>
      <c r="LIK23" s="229">
        <v>0</v>
      </c>
      <c r="LIL23" s="229">
        <v>0</v>
      </c>
      <c r="LIM23" s="229">
        <v>0</v>
      </c>
      <c r="LIN23" s="229">
        <v>0</v>
      </c>
      <c r="LIO23" s="229">
        <v>0</v>
      </c>
      <c r="LIP23" s="229">
        <v>0</v>
      </c>
      <c r="LIQ23" s="229">
        <v>0</v>
      </c>
      <c r="LIR23" s="229">
        <v>0</v>
      </c>
      <c r="LIS23" s="229">
        <v>0</v>
      </c>
      <c r="LIT23" s="229">
        <v>0</v>
      </c>
      <c r="LIU23" s="229">
        <v>0</v>
      </c>
      <c r="LIV23" s="229">
        <v>0</v>
      </c>
      <c r="LIW23" s="229">
        <v>0</v>
      </c>
      <c r="LIX23" s="229">
        <v>0</v>
      </c>
      <c r="LIY23" s="229">
        <v>0</v>
      </c>
      <c r="LIZ23" s="229">
        <v>0</v>
      </c>
      <c r="LJA23" s="229">
        <v>0</v>
      </c>
      <c r="LJB23" s="229">
        <v>0</v>
      </c>
      <c r="LJC23" s="229">
        <v>0</v>
      </c>
      <c r="LJD23" s="229">
        <v>0</v>
      </c>
      <c r="LJE23" s="229">
        <v>0</v>
      </c>
      <c r="LJF23" s="229">
        <v>0</v>
      </c>
      <c r="LJG23" s="229">
        <v>0</v>
      </c>
      <c r="LJH23" s="229">
        <v>0</v>
      </c>
      <c r="LJI23" s="229">
        <v>0</v>
      </c>
      <c r="LJJ23" s="229">
        <v>0</v>
      </c>
      <c r="LJK23" s="229">
        <v>0</v>
      </c>
      <c r="LJL23" s="229">
        <v>0</v>
      </c>
      <c r="LJM23" s="229">
        <v>0</v>
      </c>
      <c r="LJN23" s="229">
        <v>0</v>
      </c>
      <c r="LJO23" s="229">
        <v>0</v>
      </c>
      <c r="LJP23" s="229">
        <v>0</v>
      </c>
      <c r="LJQ23" s="229">
        <v>0</v>
      </c>
      <c r="LJR23" s="229">
        <v>0</v>
      </c>
      <c r="LJS23" s="229">
        <v>0</v>
      </c>
      <c r="LJT23" s="229">
        <v>0</v>
      </c>
      <c r="LJU23" s="229">
        <v>0</v>
      </c>
      <c r="LJV23" s="229">
        <v>0</v>
      </c>
      <c r="LJW23" s="229">
        <v>0</v>
      </c>
      <c r="LJX23" s="229">
        <v>0</v>
      </c>
      <c r="LJY23" s="229">
        <v>0</v>
      </c>
      <c r="LJZ23" s="229">
        <v>0</v>
      </c>
      <c r="LKA23" s="229">
        <v>0</v>
      </c>
      <c r="LKB23" s="229">
        <v>0</v>
      </c>
      <c r="LKC23" s="229">
        <v>0</v>
      </c>
      <c r="LKD23" s="229">
        <v>0</v>
      </c>
      <c r="LKE23" s="229">
        <v>0</v>
      </c>
      <c r="LKF23" s="229">
        <v>0</v>
      </c>
      <c r="LKG23" s="229">
        <v>0</v>
      </c>
      <c r="LKH23" s="229">
        <v>0</v>
      </c>
      <c r="LKI23" s="229">
        <v>0</v>
      </c>
      <c r="LKJ23" s="229">
        <v>0</v>
      </c>
      <c r="LKK23" s="229">
        <v>0</v>
      </c>
      <c r="LKL23" s="229">
        <v>0</v>
      </c>
      <c r="LKM23" s="229">
        <v>0</v>
      </c>
      <c r="LKN23" s="229">
        <v>0</v>
      </c>
      <c r="LKO23" s="229">
        <v>0</v>
      </c>
      <c r="LKP23" s="229">
        <v>0</v>
      </c>
      <c r="LKQ23" s="229">
        <v>0</v>
      </c>
      <c r="LKR23" s="229">
        <v>0</v>
      </c>
      <c r="LKS23" s="229">
        <v>0</v>
      </c>
      <c r="LKT23" s="229">
        <v>0</v>
      </c>
      <c r="LKU23" s="229">
        <v>0</v>
      </c>
      <c r="LKV23" s="229">
        <v>0</v>
      </c>
      <c r="LKW23" s="229">
        <v>0</v>
      </c>
      <c r="LKX23" s="229">
        <v>0</v>
      </c>
      <c r="LKY23" s="229">
        <v>0</v>
      </c>
      <c r="LKZ23" s="229">
        <v>0</v>
      </c>
      <c r="LLA23" s="229">
        <v>0</v>
      </c>
      <c r="LLB23" s="229">
        <v>0</v>
      </c>
      <c r="LLC23" s="229">
        <v>0</v>
      </c>
      <c r="LLD23" s="229">
        <v>0</v>
      </c>
      <c r="LLE23" s="229">
        <v>0</v>
      </c>
      <c r="LLF23" s="229">
        <v>0</v>
      </c>
      <c r="LLG23" s="229">
        <v>0</v>
      </c>
      <c r="LLH23" s="229">
        <v>0</v>
      </c>
      <c r="LLI23" s="229">
        <v>0</v>
      </c>
      <c r="LLJ23" s="229">
        <v>0</v>
      </c>
      <c r="LLK23" s="229">
        <v>0</v>
      </c>
      <c r="LLL23" s="229">
        <v>0</v>
      </c>
      <c r="LLM23" s="229">
        <v>0</v>
      </c>
      <c r="LLN23" s="229">
        <v>0</v>
      </c>
      <c r="LLO23" s="229">
        <v>0</v>
      </c>
      <c r="LLP23" s="229">
        <v>0</v>
      </c>
      <c r="LLQ23" s="229">
        <v>0</v>
      </c>
      <c r="LLR23" s="229">
        <v>0</v>
      </c>
      <c r="LLS23" s="229">
        <v>0</v>
      </c>
      <c r="LLT23" s="229">
        <v>0</v>
      </c>
      <c r="LLU23" s="229">
        <v>0</v>
      </c>
      <c r="LLV23" s="229">
        <v>0</v>
      </c>
      <c r="LLW23" s="229">
        <v>0</v>
      </c>
      <c r="LLX23" s="229">
        <v>0</v>
      </c>
      <c r="LLY23" s="229">
        <v>0</v>
      </c>
      <c r="LLZ23" s="229">
        <v>0</v>
      </c>
      <c r="LMA23" s="229">
        <v>0</v>
      </c>
      <c r="LMB23" s="229">
        <v>0</v>
      </c>
      <c r="LMC23" s="229">
        <v>0</v>
      </c>
      <c r="LMD23" s="229">
        <v>0</v>
      </c>
      <c r="LME23" s="229">
        <v>0</v>
      </c>
      <c r="LMF23" s="229">
        <v>0</v>
      </c>
      <c r="LMG23" s="229">
        <v>0</v>
      </c>
      <c r="LMH23" s="229">
        <v>0</v>
      </c>
      <c r="LMI23" s="229">
        <v>0</v>
      </c>
      <c r="LMJ23" s="229">
        <v>0</v>
      </c>
      <c r="LMK23" s="229">
        <v>0</v>
      </c>
      <c r="LML23" s="229">
        <v>0</v>
      </c>
      <c r="LMM23" s="229">
        <v>0</v>
      </c>
      <c r="LMN23" s="229">
        <v>0</v>
      </c>
      <c r="LMO23" s="229">
        <v>0</v>
      </c>
      <c r="LMP23" s="229">
        <v>0</v>
      </c>
      <c r="LMQ23" s="229">
        <v>0</v>
      </c>
      <c r="LMR23" s="229">
        <v>0</v>
      </c>
      <c r="LMS23" s="229">
        <v>0</v>
      </c>
      <c r="LMT23" s="229">
        <v>0</v>
      </c>
      <c r="LMU23" s="229">
        <v>0</v>
      </c>
      <c r="LMV23" s="229">
        <v>0</v>
      </c>
      <c r="LMW23" s="229">
        <v>0</v>
      </c>
      <c r="LMX23" s="229">
        <v>0</v>
      </c>
      <c r="LMY23" s="229">
        <v>0</v>
      </c>
      <c r="LMZ23" s="229">
        <v>0</v>
      </c>
      <c r="LNA23" s="229">
        <v>0</v>
      </c>
      <c r="LNB23" s="229">
        <v>0</v>
      </c>
      <c r="LNC23" s="229">
        <v>0</v>
      </c>
      <c r="LND23" s="229">
        <v>0</v>
      </c>
      <c r="LNE23" s="229">
        <v>0</v>
      </c>
      <c r="LNF23" s="229">
        <v>0</v>
      </c>
      <c r="LNG23" s="229">
        <v>0</v>
      </c>
      <c r="LNH23" s="229">
        <v>0</v>
      </c>
      <c r="LNI23" s="229">
        <v>0</v>
      </c>
      <c r="LNJ23" s="229">
        <v>0</v>
      </c>
      <c r="LNK23" s="229">
        <v>0</v>
      </c>
      <c r="LNL23" s="229">
        <v>0</v>
      </c>
      <c r="LNM23" s="229">
        <v>0</v>
      </c>
      <c r="LNN23" s="229">
        <v>0</v>
      </c>
      <c r="LNO23" s="229">
        <v>0</v>
      </c>
      <c r="LNP23" s="229">
        <v>0</v>
      </c>
      <c r="LNQ23" s="229">
        <v>0</v>
      </c>
      <c r="LNR23" s="229">
        <v>0</v>
      </c>
      <c r="LNS23" s="229">
        <v>0</v>
      </c>
      <c r="LNT23" s="229">
        <v>0</v>
      </c>
      <c r="LNU23" s="229">
        <v>0</v>
      </c>
      <c r="LNV23" s="229">
        <v>0</v>
      </c>
      <c r="LNW23" s="229">
        <v>0</v>
      </c>
      <c r="LNX23" s="229">
        <v>0</v>
      </c>
      <c r="LNY23" s="229">
        <v>0</v>
      </c>
      <c r="LNZ23" s="229">
        <v>0</v>
      </c>
      <c r="LOA23" s="229">
        <v>0</v>
      </c>
      <c r="LOB23" s="229">
        <v>0</v>
      </c>
      <c r="LOC23" s="229">
        <v>0</v>
      </c>
      <c r="LOD23" s="229">
        <v>0</v>
      </c>
      <c r="LOE23" s="229">
        <v>0</v>
      </c>
      <c r="LOF23" s="229">
        <v>0</v>
      </c>
      <c r="LOG23" s="229">
        <v>0</v>
      </c>
      <c r="LOH23" s="229">
        <v>0</v>
      </c>
      <c r="LOI23" s="229">
        <v>0</v>
      </c>
      <c r="LOJ23" s="229">
        <v>0</v>
      </c>
      <c r="LOK23" s="229">
        <v>0</v>
      </c>
      <c r="LOL23" s="229">
        <v>0</v>
      </c>
      <c r="LOM23" s="229">
        <v>0</v>
      </c>
      <c r="LON23" s="229">
        <v>0</v>
      </c>
      <c r="LOO23" s="229">
        <v>0</v>
      </c>
      <c r="LOP23" s="229">
        <v>0</v>
      </c>
      <c r="LOQ23" s="229">
        <v>0</v>
      </c>
      <c r="LOR23" s="229">
        <v>0</v>
      </c>
      <c r="LOS23" s="229">
        <v>0</v>
      </c>
      <c r="LOT23" s="229">
        <v>0</v>
      </c>
      <c r="LOU23" s="229">
        <v>0</v>
      </c>
      <c r="LOV23" s="229">
        <v>0</v>
      </c>
      <c r="LOW23" s="229">
        <v>0</v>
      </c>
      <c r="LOX23" s="229">
        <v>0</v>
      </c>
      <c r="LOY23" s="229">
        <v>0</v>
      </c>
      <c r="LOZ23" s="229">
        <v>0</v>
      </c>
      <c r="LPA23" s="229">
        <v>0</v>
      </c>
      <c r="LPB23" s="229">
        <v>0</v>
      </c>
      <c r="LPC23" s="229">
        <v>0</v>
      </c>
      <c r="LPD23" s="229">
        <v>0</v>
      </c>
      <c r="LPE23" s="229">
        <v>0</v>
      </c>
      <c r="LPF23" s="229">
        <v>0</v>
      </c>
      <c r="LPG23" s="229">
        <v>0</v>
      </c>
      <c r="LPH23" s="229">
        <v>0</v>
      </c>
      <c r="LPI23" s="229">
        <v>0</v>
      </c>
      <c r="LPJ23" s="229">
        <v>0</v>
      </c>
      <c r="LPK23" s="229">
        <v>0</v>
      </c>
      <c r="LPL23" s="229">
        <v>0</v>
      </c>
      <c r="LPM23" s="229">
        <v>0</v>
      </c>
      <c r="LPN23" s="229">
        <v>0</v>
      </c>
      <c r="LPO23" s="229">
        <v>0</v>
      </c>
      <c r="LPP23" s="229">
        <v>0</v>
      </c>
      <c r="LPQ23" s="229">
        <v>0</v>
      </c>
      <c r="LPR23" s="229">
        <v>0</v>
      </c>
      <c r="LPS23" s="229">
        <v>0</v>
      </c>
      <c r="LPT23" s="229">
        <v>0</v>
      </c>
      <c r="LPU23" s="229">
        <v>0</v>
      </c>
      <c r="LPV23" s="229">
        <v>0</v>
      </c>
      <c r="LPW23" s="229">
        <v>0</v>
      </c>
      <c r="LPX23" s="229">
        <v>0</v>
      </c>
      <c r="LPY23" s="229">
        <v>0</v>
      </c>
      <c r="LPZ23" s="229">
        <v>0</v>
      </c>
      <c r="LQA23" s="229">
        <v>0</v>
      </c>
      <c r="LQB23" s="229">
        <v>0</v>
      </c>
      <c r="LQC23" s="229">
        <v>0</v>
      </c>
      <c r="LQD23" s="229">
        <v>0</v>
      </c>
      <c r="LQE23" s="229">
        <v>0</v>
      </c>
      <c r="LQF23" s="229">
        <v>0</v>
      </c>
      <c r="LQG23" s="229">
        <v>0</v>
      </c>
      <c r="LQH23" s="229">
        <v>0</v>
      </c>
      <c r="LQI23" s="229">
        <v>0</v>
      </c>
      <c r="LQJ23" s="229">
        <v>0</v>
      </c>
      <c r="LQK23" s="229">
        <v>0</v>
      </c>
      <c r="LQL23" s="229">
        <v>0</v>
      </c>
      <c r="LQM23" s="229">
        <v>0</v>
      </c>
      <c r="LQN23" s="229">
        <v>0</v>
      </c>
      <c r="LQO23" s="229">
        <v>0</v>
      </c>
      <c r="LQP23" s="229">
        <v>0</v>
      </c>
      <c r="LQQ23" s="229">
        <v>0</v>
      </c>
      <c r="LQR23" s="229">
        <v>0</v>
      </c>
      <c r="LQS23" s="229">
        <v>0</v>
      </c>
      <c r="LQT23" s="229">
        <v>0</v>
      </c>
      <c r="LQU23" s="229">
        <v>0</v>
      </c>
      <c r="LQV23" s="229">
        <v>0</v>
      </c>
      <c r="LQW23" s="229">
        <v>0</v>
      </c>
      <c r="LQX23" s="229">
        <v>0</v>
      </c>
      <c r="LQY23" s="229">
        <v>0</v>
      </c>
      <c r="LQZ23" s="229">
        <v>0</v>
      </c>
      <c r="LRA23" s="229">
        <v>0</v>
      </c>
      <c r="LRB23" s="229">
        <v>0</v>
      </c>
      <c r="LRC23" s="229">
        <v>0</v>
      </c>
      <c r="LRD23" s="229">
        <v>0</v>
      </c>
      <c r="LRE23" s="229">
        <v>0</v>
      </c>
      <c r="LRF23" s="229">
        <v>0</v>
      </c>
      <c r="LRG23" s="229">
        <v>0</v>
      </c>
      <c r="LRH23" s="229">
        <v>0</v>
      </c>
      <c r="LRI23" s="229">
        <v>0</v>
      </c>
      <c r="LRJ23" s="229">
        <v>0</v>
      </c>
      <c r="LRK23" s="229">
        <v>0</v>
      </c>
      <c r="LRL23" s="229">
        <v>0</v>
      </c>
      <c r="LRM23" s="229">
        <v>0</v>
      </c>
      <c r="LRN23" s="229">
        <v>0</v>
      </c>
      <c r="LRO23" s="229">
        <v>0</v>
      </c>
      <c r="LRP23" s="229">
        <v>0</v>
      </c>
      <c r="LRQ23" s="229">
        <v>0</v>
      </c>
      <c r="LRR23" s="229">
        <v>0</v>
      </c>
      <c r="LRS23" s="229">
        <v>0</v>
      </c>
      <c r="LRT23" s="229">
        <v>0</v>
      </c>
      <c r="LRU23" s="229">
        <v>0</v>
      </c>
      <c r="LRV23" s="229">
        <v>0</v>
      </c>
      <c r="LRW23" s="229">
        <v>0</v>
      </c>
      <c r="LRX23" s="229">
        <v>0</v>
      </c>
      <c r="LRY23" s="229">
        <v>0</v>
      </c>
      <c r="LRZ23" s="229">
        <v>0</v>
      </c>
      <c r="LSA23" s="229">
        <v>0</v>
      </c>
      <c r="LSB23" s="229">
        <v>0</v>
      </c>
      <c r="LSC23" s="229">
        <v>0</v>
      </c>
      <c r="LSD23" s="229">
        <v>0</v>
      </c>
      <c r="LSE23" s="229">
        <v>0</v>
      </c>
      <c r="LSF23" s="229">
        <v>0</v>
      </c>
      <c r="LSG23" s="229">
        <v>0</v>
      </c>
      <c r="LSH23" s="229">
        <v>0</v>
      </c>
      <c r="LSI23" s="229">
        <v>0</v>
      </c>
      <c r="LSJ23" s="229">
        <v>0</v>
      </c>
      <c r="LSK23" s="229">
        <v>0</v>
      </c>
      <c r="LSL23" s="229">
        <v>0</v>
      </c>
      <c r="LSM23" s="229">
        <v>0</v>
      </c>
      <c r="LSN23" s="229">
        <v>0</v>
      </c>
      <c r="LSO23" s="229">
        <v>0</v>
      </c>
      <c r="LSP23" s="229">
        <v>0</v>
      </c>
      <c r="LSQ23" s="229">
        <v>0</v>
      </c>
      <c r="LSR23" s="229">
        <v>0</v>
      </c>
      <c r="LSS23" s="229">
        <v>0</v>
      </c>
      <c r="LST23" s="229">
        <v>0</v>
      </c>
      <c r="LSU23" s="229">
        <v>0</v>
      </c>
      <c r="LSV23" s="229">
        <v>0</v>
      </c>
      <c r="LSW23" s="229">
        <v>0</v>
      </c>
      <c r="LSX23" s="229">
        <v>0</v>
      </c>
      <c r="LSY23" s="229">
        <v>0</v>
      </c>
      <c r="LSZ23" s="229">
        <v>0</v>
      </c>
      <c r="LTA23" s="229">
        <v>0</v>
      </c>
      <c r="LTB23" s="229">
        <v>0</v>
      </c>
      <c r="LTC23" s="229">
        <v>0</v>
      </c>
      <c r="LTD23" s="229">
        <v>0</v>
      </c>
      <c r="LTE23" s="229">
        <v>0</v>
      </c>
      <c r="LTF23" s="229">
        <v>0</v>
      </c>
      <c r="LTG23" s="229">
        <v>0</v>
      </c>
      <c r="LTH23" s="229">
        <v>0</v>
      </c>
      <c r="LTI23" s="229">
        <v>0</v>
      </c>
      <c r="LTJ23" s="229">
        <v>0</v>
      </c>
      <c r="LTK23" s="229">
        <v>0</v>
      </c>
      <c r="LTL23" s="229">
        <v>0</v>
      </c>
      <c r="LTM23" s="229">
        <v>0</v>
      </c>
      <c r="LTN23" s="229">
        <v>0</v>
      </c>
      <c r="LTO23" s="229">
        <v>0</v>
      </c>
      <c r="LTP23" s="229">
        <v>0</v>
      </c>
      <c r="LTQ23" s="229">
        <v>0</v>
      </c>
      <c r="LTR23" s="229">
        <v>0</v>
      </c>
      <c r="LTS23" s="229">
        <v>0</v>
      </c>
      <c r="LTT23" s="229">
        <v>0</v>
      </c>
      <c r="LTU23" s="229">
        <v>0</v>
      </c>
      <c r="LTV23" s="229">
        <v>0</v>
      </c>
      <c r="LTW23" s="229">
        <v>0</v>
      </c>
      <c r="LTX23" s="229">
        <v>0</v>
      </c>
      <c r="LTY23" s="229">
        <v>0</v>
      </c>
      <c r="LTZ23" s="229">
        <v>0</v>
      </c>
      <c r="LUA23" s="229">
        <v>0</v>
      </c>
      <c r="LUB23" s="229">
        <v>0</v>
      </c>
      <c r="LUC23" s="229">
        <v>0</v>
      </c>
      <c r="LUD23" s="229">
        <v>0</v>
      </c>
      <c r="LUE23" s="229">
        <v>0</v>
      </c>
      <c r="LUF23" s="229">
        <v>0</v>
      </c>
      <c r="LUG23" s="229">
        <v>0</v>
      </c>
      <c r="LUH23" s="229">
        <v>0</v>
      </c>
      <c r="LUI23" s="229">
        <v>0</v>
      </c>
      <c r="LUJ23" s="229">
        <v>0</v>
      </c>
      <c r="LUK23" s="229">
        <v>0</v>
      </c>
      <c r="LUL23" s="229">
        <v>0</v>
      </c>
      <c r="LUM23" s="229">
        <v>0</v>
      </c>
      <c r="LUN23" s="229">
        <v>0</v>
      </c>
      <c r="LUO23" s="229">
        <v>0</v>
      </c>
      <c r="LUP23" s="229">
        <v>0</v>
      </c>
      <c r="LUQ23" s="229">
        <v>0</v>
      </c>
      <c r="LUR23" s="229">
        <v>0</v>
      </c>
      <c r="LUS23" s="229">
        <v>0</v>
      </c>
      <c r="LUT23" s="229">
        <v>0</v>
      </c>
      <c r="LUU23" s="229">
        <v>0</v>
      </c>
      <c r="LUV23" s="229">
        <v>0</v>
      </c>
      <c r="LUW23" s="229">
        <v>0</v>
      </c>
      <c r="LUX23" s="229">
        <v>0</v>
      </c>
      <c r="LUY23" s="229">
        <v>0</v>
      </c>
      <c r="LUZ23" s="229">
        <v>0</v>
      </c>
      <c r="LVA23" s="229">
        <v>0</v>
      </c>
      <c r="LVB23" s="229">
        <v>0</v>
      </c>
      <c r="LVC23" s="229">
        <v>0</v>
      </c>
      <c r="LVD23" s="229">
        <v>0</v>
      </c>
      <c r="LVE23" s="229">
        <v>0</v>
      </c>
      <c r="LVF23" s="229">
        <v>0</v>
      </c>
      <c r="LVG23" s="229">
        <v>0</v>
      </c>
      <c r="LVH23" s="229">
        <v>0</v>
      </c>
      <c r="LVI23" s="229">
        <v>0</v>
      </c>
      <c r="LVJ23" s="229">
        <v>0</v>
      </c>
      <c r="LVK23" s="229">
        <v>0</v>
      </c>
      <c r="LVL23" s="229">
        <v>0</v>
      </c>
      <c r="LVM23" s="229">
        <v>0</v>
      </c>
      <c r="LVN23" s="229">
        <v>0</v>
      </c>
      <c r="LVO23" s="229">
        <v>0</v>
      </c>
      <c r="LVP23" s="229">
        <v>0</v>
      </c>
      <c r="LVQ23" s="229">
        <v>0</v>
      </c>
      <c r="LVR23" s="229">
        <v>0</v>
      </c>
      <c r="LVS23" s="229">
        <v>0</v>
      </c>
      <c r="LVT23" s="229">
        <v>0</v>
      </c>
      <c r="LVU23" s="229">
        <v>0</v>
      </c>
      <c r="LVV23" s="229">
        <v>0</v>
      </c>
      <c r="LVW23" s="229">
        <v>0</v>
      </c>
      <c r="LVX23" s="229">
        <v>0</v>
      </c>
      <c r="LVY23" s="229">
        <v>0</v>
      </c>
      <c r="LVZ23" s="229">
        <v>0</v>
      </c>
      <c r="LWA23" s="229">
        <v>0</v>
      </c>
      <c r="LWB23" s="229">
        <v>0</v>
      </c>
      <c r="LWC23" s="229">
        <v>0</v>
      </c>
      <c r="LWD23" s="229">
        <v>0</v>
      </c>
      <c r="LWE23" s="229">
        <v>0</v>
      </c>
      <c r="LWF23" s="229">
        <v>0</v>
      </c>
      <c r="LWG23" s="229">
        <v>0</v>
      </c>
      <c r="LWH23" s="229">
        <v>0</v>
      </c>
      <c r="LWI23" s="229">
        <v>0</v>
      </c>
      <c r="LWJ23" s="229">
        <v>0</v>
      </c>
      <c r="LWK23" s="229">
        <v>0</v>
      </c>
      <c r="LWL23" s="229">
        <v>0</v>
      </c>
      <c r="LWM23" s="229">
        <v>0</v>
      </c>
      <c r="LWN23" s="229">
        <v>0</v>
      </c>
      <c r="LWO23" s="229">
        <v>0</v>
      </c>
      <c r="LWP23" s="229">
        <v>0</v>
      </c>
      <c r="LWQ23" s="229">
        <v>0</v>
      </c>
      <c r="LWR23" s="229">
        <v>0</v>
      </c>
      <c r="LWS23" s="229">
        <v>0</v>
      </c>
      <c r="LWT23" s="229">
        <v>0</v>
      </c>
      <c r="LWU23" s="229">
        <v>0</v>
      </c>
      <c r="LWV23" s="229">
        <v>0</v>
      </c>
      <c r="LWW23" s="229">
        <v>0</v>
      </c>
      <c r="LWX23" s="229">
        <v>0</v>
      </c>
      <c r="LWY23" s="229">
        <v>0</v>
      </c>
      <c r="LWZ23" s="229">
        <v>0</v>
      </c>
      <c r="LXA23" s="229">
        <v>0</v>
      </c>
      <c r="LXB23" s="229">
        <v>0</v>
      </c>
      <c r="LXC23" s="229">
        <v>0</v>
      </c>
      <c r="LXD23" s="229">
        <v>0</v>
      </c>
      <c r="LXE23" s="229">
        <v>0</v>
      </c>
      <c r="LXF23" s="229">
        <v>0</v>
      </c>
      <c r="LXG23" s="229">
        <v>0</v>
      </c>
      <c r="LXH23" s="229">
        <v>0</v>
      </c>
      <c r="LXI23" s="229">
        <v>0</v>
      </c>
      <c r="LXJ23" s="229">
        <v>0</v>
      </c>
      <c r="LXK23" s="229">
        <v>0</v>
      </c>
      <c r="LXL23" s="229">
        <v>0</v>
      </c>
      <c r="LXM23" s="229">
        <v>0</v>
      </c>
      <c r="LXN23" s="229">
        <v>0</v>
      </c>
      <c r="LXO23" s="229">
        <v>0</v>
      </c>
      <c r="LXP23" s="229">
        <v>0</v>
      </c>
      <c r="LXQ23" s="229">
        <v>0</v>
      </c>
      <c r="LXR23" s="229">
        <v>0</v>
      </c>
      <c r="LXS23" s="229">
        <v>0</v>
      </c>
      <c r="LXT23" s="229">
        <v>0</v>
      </c>
      <c r="LXU23" s="229">
        <v>0</v>
      </c>
      <c r="LXV23" s="229">
        <v>0</v>
      </c>
      <c r="LXW23" s="229">
        <v>0</v>
      </c>
      <c r="LXX23" s="229">
        <v>0</v>
      </c>
      <c r="LXY23" s="229">
        <v>0</v>
      </c>
      <c r="LXZ23" s="229">
        <v>0</v>
      </c>
      <c r="LYA23" s="229">
        <v>0</v>
      </c>
      <c r="LYB23" s="229">
        <v>0</v>
      </c>
      <c r="LYC23" s="229">
        <v>0</v>
      </c>
      <c r="LYD23" s="229">
        <v>0</v>
      </c>
      <c r="LYE23" s="229">
        <v>0</v>
      </c>
      <c r="LYF23" s="229">
        <v>0</v>
      </c>
      <c r="LYG23" s="229">
        <v>0</v>
      </c>
      <c r="LYH23" s="229">
        <v>0</v>
      </c>
      <c r="LYI23" s="229">
        <v>0</v>
      </c>
      <c r="LYJ23" s="229">
        <v>0</v>
      </c>
      <c r="LYK23" s="229">
        <v>0</v>
      </c>
      <c r="LYL23" s="229">
        <v>0</v>
      </c>
      <c r="LYM23" s="229">
        <v>0</v>
      </c>
      <c r="LYN23" s="229">
        <v>0</v>
      </c>
      <c r="LYO23" s="229">
        <v>0</v>
      </c>
      <c r="LYP23" s="229">
        <v>0</v>
      </c>
      <c r="LYQ23" s="229">
        <v>0</v>
      </c>
      <c r="LYR23" s="229">
        <v>0</v>
      </c>
      <c r="LYS23" s="229">
        <v>0</v>
      </c>
      <c r="LYT23" s="229">
        <v>0</v>
      </c>
      <c r="LYU23" s="229">
        <v>0</v>
      </c>
      <c r="LYV23" s="229">
        <v>0</v>
      </c>
      <c r="LYW23" s="229">
        <v>0</v>
      </c>
      <c r="LYX23" s="229">
        <v>0</v>
      </c>
      <c r="LYY23" s="229">
        <v>0</v>
      </c>
      <c r="LYZ23" s="229">
        <v>0</v>
      </c>
      <c r="LZA23" s="229">
        <v>0</v>
      </c>
      <c r="LZB23" s="229">
        <v>0</v>
      </c>
      <c r="LZC23" s="229">
        <v>0</v>
      </c>
      <c r="LZD23" s="229">
        <v>0</v>
      </c>
      <c r="LZE23" s="229">
        <v>0</v>
      </c>
      <c r="LZF23" s="229">
        <v>0</v>
      </c>
      <c r="LZG23" s="229">
        <v>0</v>
      </c>
      <c r="LZH23" s="229">
        <v>0</v>
      </c>
      <c r="LZI23" s="229">
        <v>0</v>
      </c>
      <c r="LZJ23" s="229">
        <v>0</v>
      </c>
      <c r="LZK23" s="229">
        <v>0</v>
      </c>
      <c r="LZL23" s="229">
        <v>0</v>
      </c>
      <c r="LZM23" s="229">
        <v>0</v>
      </c>
      <c r="LZN23" s="229">
        <v>0</v>
      </c>
      <c r="LZO23" s="229">
        <v>0</v>
      </c>
      <c r="LZP23" s="229">
        <v>0</v>
      </c>
      <c r="LZQ23" s="229">
        <v>0</v>
      </c>
      <c r="LZR23" s="229">
        <v>0</v>
      </c>
      <c r="LZS23" s="229">
        <v>0</v>
      </c>
      <c r="LZT23" s="229">
        <v>0</v>
      </c>
      <c r="LZU23" s="229">
        <v>0</v>
      </c>
      <c r="LZV23" s="229">
        <v>0</v>
      </c>
      <c r="LZW23" s="229">
        <v>0</v>
      </c>
      <c r="LZX23" s="229">
        <v>0</v>
      </c>
      <c r="LZY23" s="229">
        <v>0</v>
      </c>
      <c r="LZZ23" s="229">
        <v>0</v>
      </c>
      <c r="MAA23" s="229">
        <v>0</v>
      </c>
      <c r="MAB23" s="229">
        <v>0</v>
      </c>
      <c r="MAC23" s="229">
        <v>0</v>
      </c>
      <c r="MAD23" s="229">
        <v>0</v>
      </c>
      <c r="MAE23" s="229">
        <v>0</v>
      </c>
      <c r="MAF23" s="229">
        <v>0</v>
      </c>
      <c r="MAG23" s="229">
        <v>0</v>
      </c>
      <c r="MAH23" s="229">
        <v>0</v>
      </c>
      <c r="MAI23" s="229">
        <v>0</v>
      </c>
      <c r="MAJ23" s="229">
        <v>0</v>
      </c>
      <c r="MAK23" s="229">
        <v>0</v>
      </c>
      <c r="MAL23" s="229">
        <v>0</v>
      </c>
      <c r="MAM23" s="229">
        <v>0</v>
      </c>
      <c r="MAN23" s="229">
        <v>0</v>
      </c>
      <c r="MAO23" s="229">
        <v>0</v>
      </c>
      <c r="MAP23" s="229">
        <v>0</v>
      </c>
      <c r="MAQ23" s="229">
        <v>0</v>
      </c>
      <c r="MAR23" s="229">
        <v>0</v>
      </c>
      <c r="MAS23" s="229">
        <v>0</v>
      </c>
      <c r="MAT23" s="229">
        <v>0</v>
      </c>
      <c r="MAU23" s="229">
        <v>0</v>
      </c>
      <c r="MAV23" s="229">
        <v>0</v>
      </c>
      <c r="MAW23" s="229">
        <v>0</v>
      </c>
      <c r="MAX23" s="229">
        <v>0</v>
      </c>
      <c r="MAY23" s="229">
        <v>0</v>
      </c>
      <c r="MAZ23" s="229">
        <v>0</v>
      </c>
      <c r="MBA23" s="229">
        <v>0</v>
      </c>
      <c r="MBB23" s="229">
        <v>0</v>
      </c>
      <c r="MBC23" s="229">
        <v>0</v>
      </c>
      <c r="MBD23" s="229">
        <v>0</v>
      </c>
      <c r="MBE23" s="229">
        <v>0</v>
      </c>
      <c r="MBF23" s="229">
        <v>0</v>
      </c>
      <c r="MBG23" s="229">
        <v>0</v>
      </c>
      <c r="MBH23" s="229">
        <v>0</v>
      </c>
      <c r="MBI23" s="229">
        <v>0</v>
      </c>
      <c r="MBJ23" s="229">
        <v>0</v>
      </c>
      <c r="MBK23" s="229">
        <v>0</v>
      </c>
      <c r="MBL23" s="229">
        <v>0</v>
      </c>
      <c r="MBM23" s="229">
        <v>0</v>
      </c>
      <c r="MBN23" s="229">
        <v>0</v>
      </c>
      <c r="MBO23" s="229">
        <v>0</v>
      </c>
      <c r="MBP23" s="229">
        <v>0</v>
      </c>
      <c r="MBQ23" s="229">
        <v>0</v>
      </c>
      <c r="MBR23" s="229">
        <v>0</v>
      </c>
      <c r="MBS23" s="229">
        <v>0</v>
      </c>
      <c r="MBT23" s="229">
        <v>0</v>
      </c>
      <c r="MBU23" s="229">
        <v>0</v>
      </c>
      <c r="MBV23" s="229">
        <v>0</v>
      </c>
      <c r="MBW23" s="229">
        <v>0</v>
      </c>
      <c r="MBX23" s="229">
        <v>0</v>
      </c>
      <c r="MBY23" s="229">
        <v>0</v>
      </c>
      <c r="MBZ23" s="229">
        <v>0</v>
      </c>
      <c r="MCA23" s="229">
        <v>0</v>
      </c>
      <c r="MCB23" s="229">
        <v>0</v>
      </c>
      <c r="MCC23" s="229">
        <v>0</v>
      </c>
      <c r="MCD23" s="229">
        <v>0</v>
      </c>
      <c r="MCE23" s="229">
        <v>0</v>
      </c>
      <c r="MCF23" s="229">
        <v>0</v>
      </c>
      <c r="MCG23" s="229">
        <v>0</v>
      </c>
      <c r="MCH23" s="229">
        <v>0</v>
      </c>
      <c r="MCI23" s="229">
        <v>0</v>
      </c>
      <c r="MCJ23" s="229">
        <v>0</v>
      </c>
      <c r="MCK23" s="229">
        <v>0</v>
      </c>
      <c r="MCL23" s="229">
        <v>0</v>
      </c>
      <c r="MCM23" s="229">
        <v>0</v>
      </c>
      <c r="MCN23" s="229">
        <v>0</v>
      </c>
      <c r="MCO23" s="229">
        <v>0</v>
      </c>
      <c r="MCP23" s="229">
        <v>0</v>
      </c>
      <c r="MCQ23" s="229">
        <v>0</v>
      </c>
      <c r="MCR23" s="229">
        <v>0</v>
      </c>
      <c r="MCS23" s="229">
        <v>0</v>
      </c>
      <c r="MCT23" s="229">
        <v>0</v>
      </c>
      <c r="MCU23" s="229">
        <v>0</v>
      </c>
      <c r="MCV23" s="229">
        <v>0</v>
      </c>
      <c r="MCW23" s="229">
        <v>0</v>
      </c>
      <c r="MCX23" s="229">
        <v>0</v>
      </c>
      <c r="MCY23" s="229">
        <v>0</v>
      </c>
      <c r="MCZ23" s="229">
        <v>0</v>
      </c>
      <c r="MDA23" s="229">
        <v>0</v>
      </c>
      <c r="MDB23" s="229">
        <v>0</v>
      </c>
      <c r="MDC23" s="229">
        <v>0</v>
      </c>
      <c r="MDD23" s="229">
        <v>0</v>
      </c>
      <c r="MDE23" s="229">
        <v>0</v>
      </c>
      <c r="MDF23" s="229">
        <v>0</v>
      </c>
      <c r="MDG23" s="229">
        <v>0</v>
      </c>
      <c r="MDH23" s="229">
        <v>0</v>
      </c>
      <c r="MDI23" s="229">
        <v>0</v>
      </c>
      <c r="MDJ23" s="229">
        <v>0</v>
      </c>
      <c r="MDK23" s="229">
        <v>0</v>
      </c>
      <c r="MDL23" s="229">
        <v>0</v>
      </c>
      <c r="MDM23" s="229">
        <v>0</v>
      </c>
      <c r="MDN23" s="229">
        <v>0</v>
      </c>
      <c r="MDO23" s="229">
        <v>0</v>
      </c>
      <c r="MDP23" s="229">
        <v>0</v>
      </c>
      <c r="MDQ23" s="229">
        <v>0</v>
      </c>
      <c r="MDR23" s="229">
        <v>0</v>
      </c>
      <c r="MDS23" s="229">
        <v>0</v>
      </c>
      <c r="MDT23" s="229">
        <v>0</v>
      </c>
      <c r="MDU23" s="229">
        <v>0</v>
      </c>
      <c r="MDV23" s="229">
        <v>0</v>
      </c>
      <c r="MDW23" s="229">
        <v>0</v>
      </c>
      <c r="MDX23" s="229">
        <v>0</v>
      </c>
      <c r="MDY23" s="229">
        <v>0</v>
      </c>
      <c r="MDZ23" s="229">
        <v>0</v>
      </c>
      <c r="MEA23" s="229">
        <v>0</v>
      </c>
      <c r="MEB23" s="229">
        <v>0</v>
      </c>
      <c r="MEC23" s="229">
        <v>0</v>
      </c>
      <c r="MED23" s="229">
        <v>0</v>
      </c>
      <c r="MEE23" s="229">
        <v>0</v>
      </c>
      <c r="MEF23" s="229">
        <v>0</v>
      </c>
      <c r="MEG23" s="229">
        <v>0</v>
      </c>
      <c r="MEH23" s="229">
        <v>0</v>
      </c>
      <c r="MEI23" s="229">
        <v>0</v>
      </c>
      <c r="MEJ23" s="229">
        <v>0</v>
      </c>
      <c r="MEK23" s="229">
        <v>0</v>
      </c>
      <c r="MEL23" s="229">
        <v>0</v>
      </c>
      <c r="MEM23" s="229">
        <v>0</v>
      </c>
      <c r="MEN23" s="229">
        <v>0</v>
      </c>
      <c r="MEO23" s="229">
        <v>0</v>
      </c>
      <c r="MEP23" s="229">
        <v>0</v>
      </c>
      <c r="MEQ23" s="229">
        <v>0</v>
      </c>
      <c r="MER23" s="229">
        <v>0</v>
      </c>
      <c r="MES23" s="229">
        <v>0</v>
      </c>
      <c r="MET23" s="229">
        <v>0</v>
      </c>
      <c r="MEU23" s="229">
        <v>0</v>
      </c>
      <c r="MEV23" s="229">
        <v>0</v>
      </c>
      <c r="MEW23" s="229">
        <v>0</v>
      </c>
      <c r="MEX23" s="229">
        <v>0</v>
      </c>
      <c r="MEY23" s="229">
        <v>0</v>
      </c>
      <c r="MEZ23" s="229">
        <v>0</v>
      </c>
      <c r="MFA23" s="229">
        <v>0</v>
      </c>
      <c r="MFB23" s="229">
        <v>0</v>
      </c>
      <c r="MFC23" s="229">
        <v>0</v>
      </c>
      <c r="MFD23" s="229">
        <v>0</v>
      </c>
      <c r="MFE23" s="229">
        <v>0</v>
      </c>
      <c r="MFF23" s="229">
        <v>0</v>
      </c>
      <c r="MFG23" s="229">
        <v>0</v>
      </c>
      <c r="MFH23" s="229">
        <v>0</v>
      </c>
      <c r="MFI23" s="229">
        <v>0</v>
      </c>
      <c r="MFJ23" s="229">
        <v>0</v>
      </c>
      <c r="MFK23" s="229">
        <v>0</v>
      </c>
      <c r="MFL23" s="229">
        <v>0</v>
      </c>
      <c r="MFM23" s="229">
        <v>0</v>
      </c>
      <c r="MFN23" s="229">
        <v>0</v>
      </c>
      <c r="MFO23" s="229">
        <v>0</v>
      </c>
      <c r="MFP23" s="229">
        <v>0</v>
      </c>
      <c r="MFQ23" s="229">
        <v>0</v>
      </c>
      <c r="MFR23" s="229">
        <v>0</v>
      </c>
      <c r="MFS23" s="229">
        <v>0</v>
      </c>
      <c r="MFT23" s="229">
        <v>0</v>
      </c>
      <c r="MFU23" s="229">
        <v>0</v>
      </c>
      <c r="MFV23" s="229">
        <v>0</v>
      </c>
      <c r="MFW23" s="229">
        <v>0</v>
      </c>
      <c r="MFX23" s="229">
        <v>0</v>
      </c>
      <c r="MFY23" s="229">
        <v>0</v>
      </c>
      <c r="MFZ23" s="229">
        <v>0</v>
      </c>
      <c r="MGA23" s="229">
        <v>0</v>
      </c>
      <c r="MGB23" s="229">
        <v>0</v>
      </c>
      <c r="MGC23" s="229">
        <v>0</v>
      </c>
      <c r="MGD23" s="229">
        <v>0</v>
      </c>
      <c r="MGE23" s="229">
        <v>0</v>
      </c>
      <c r="MGF23" s="229">
        <v>0</v>
      </c>
      <c r="MGG23" s="229">
        <v>0</v>
      </c>
      <c r="MGH23" s="229">
        <v>0</v>
      </c>
      <c r="MGI23" s="229">
        <v>0</v>
      </c>
      <c r="MGJ23" s="229">
        <v>0</v>
      </c>
      <c r="MGK23" s="229">
        <v>0</v>
      </c>
      <c r="MGL23" s="229">
        <v>0</v>
      </c>
      <c r="MGM23" s="229">
        <v>0</v>
      </c>
      <c r="MGN23" s="229">
        <v>0</v>
      </c>
      <c r="MGO23" s="229">
        <v>0</v>
      </c>
      <c r="MGP23" s="229">
        <v>0</v>
      </c>
      <c r="MGQ23" s="229">
        <v>0</v>
      </c>
      <c r="MGR23" s="229">
        <v>0</v>
      </c>
      <c r="MGS23" s="229">
        <v>0</v>
      </c>
      <c r="MGT23" s="229">
        <v>0</v>
      </c>
      <c r="MGU23" s="229">
        <v>0</v>
      </c>
      <c r="MGV23" s="229">
        <v>0</v>
      </c>
      <c r="MGW23" s="229">
        <v>0</v>
      </c>
      <c r="MGX23" s="229">
        <v>0</v>
      </c>
      <c r="MGY23" s="229">
        <v>0</v>
      </c>
      <c r="MGZ23" s="229">
        <v>0</v>
      </c>
      <c r="MHA23" s="229">
        <v>0</v>
      </c>
      <c r="MHB23" s="229">
        <v>0</v>
      </c>
      <c r="MHC23" s="229">
        <v>0</v>
      </c>
      <c r="MHD23" s="229">
        <v>0</v>
      </c>
      <c r="MHE23" s="229">
        <v>0</v>
      </c>
      <c r="MHF23" s="229">
        <v>0</v>
      </c>
      <c r="MHG23" s="229">
        <v>0</v>
      </c>
      <c r="MHH23" s="229">
        <v>0</v>
      </c>
      <c r="MHI23" s="229">
        <v>0</v>
      </c>
      <c r="MHJ23" s="229">
        <v>0</v>
      </c>
      <c r="MHK23" s="229">
        <v>0</v>
      </c>
      <c r="MHL23" s="229">
        <v>0</v>
      </c>
      <c r="MHM23" s="229">
        <v>0</v>
      </c>
      <c r="MHN23" s="229">
        <v>0</v>
      </c>
      <c r="MHO23" s="229">
        <v>0</v>
      </c>
      <c r="MHP23" s="229">
        <v>0</v>
      </c>
      <c r="MHQ23" s="229">
        <v>0</v>
      </c>
      <c r="MHR23" s="229">
        <v>0</v>
      </c>
      <c r="MHS23" s="229">
        <v>0</v>
      </c>
      <c r="MHT23" s="229">
        <v>0</v>
      </c>
      <c r="MHU23" s="229">
        <v>0</v>
      </c>
      <c r="MHV23" s="229">
        <v>0</v>
      </c>
      <c r="MHW23" s="229">
        <v>0</v>
      </c>
      <c r="MHX23" s="229">
        <v>0</v>
      </c>
      <c r="MHY23" s="229">
        <v>0</v>
      </c>
      <c r="MHZ23" s="229">
        <v>0</v>
      </c>
      <c r="MIA23" s="229">
        <v>0</v>
      </c>
      <c r="MIB23" s="229">
        <v>0</v>
      </c>
      <c r="MIC23" s="229">
        <v>0</v>
      </c>
      <c r="MID23" s="229">
        <v>0</v>
      </c>
      <c r="MIE23" s="229">
        <v>0</v>
      </c>
      <c r="MIF23" s="229">
        <v>0</v>
      </c>
      <c r="MIG23" s="229">
        <v>0</v>
      </c>
      <c r="MIH23" s="229">
        <v>0</v>
      </c>
      <c r="MII23" s="229">
        <v>0</v>
      </c>
      <c r="MIJ23" s="229">
        <v>0</v>
      </c>
      <c r="MIK23" s="229">
        <v>0</v>
      </c>
      <c r="MIL23" s="229">
        <v>0</v>
      </c>
      <c r="MIM23" s="229">
        <v>0</v>
      </c>
      <c r="MIN23" s="229">
        <v>0</v>
      </c>
      <c r="MIO23" s="229">
        <v>0</v>
      </c>
      <c r="MIP23" s="229">
        <v>0</v>
      </c>
      <c r="MIQ23" s="229">
        <v>0</v>
      </c>
      <c r="MIR23" s="229">
        <v>0</v>
      </c>
      <c r="MIS23" s="229">
        <v>0</v>
      </c>
      <c r="MIT23" s="229">
        <v>0</v>
      </c>
      <c r="MIU23" s="229">
        <v>0</v>
      </c>
      <c r="MIV23" s="229">
        <v>0</v>
      </c>
      <c r="MIW23" s="229">
        <v>0</v>
      </c>
      <c r="MIX23" s="229">
        <v>0</v>
      </c>
      <c r="MIY23" s="229">
        <v>0</v>
      </c>
      <c r="MIZ23" s="229">
        <v>0</v>
      </c>
      <c r="MJA23" s="229">
        <v>0</v>
      </c>
      <c r="MJB23" s="229">
        <v>0</v>
      </c>
      <c r="MJC23" s="229">
        <v>0</v>
      </c>
      <c r="MJD23" s="229">
        <v>0</v>
      </c>
      <c r="MJE23" s="229">
        <v>0</v>
      </c>
      <c r="MJF23" s="229">
        <v>0</v>
      </c>
      <c r="MJG23" s="229">
        <v>0</v>
      </c>
      <c r="MJH23" s="229">
        <v>0</v>
      </c>
      <c r="MJI23" s="229">
        <v>0</v>
      </c>
      <c r="MJJ23" s="229">
        <v>0</v>
      </c>
      <c r="MJK23" s="229">
        <v>0</v>
      </c>
      <c r="MJL23" s="229">
        <v>0</v>
      </c>
      <c r="MJM23" s="229">
        <v>0</v>
      </c>
      <c r="MJN23" s="229">
        <v>0</v>
      </c>
      <c r="MJO23" s="229">
        <v>0</v>
      </c>
      <c r="MJP23" s="229">
        <v>0</v>
      </c>
      <c r="MJQ23" s="229">
        <v>0</v>
      </c>
      <c r="MJR23" s="229">
        <v>0</v>
      </c>
      <c r="MJS23" s="229">
        <v>0</v>
      </c>
      <c r="MJT23" s="229">
        <v>0</v>
      </c>
      <c r="MJU23" s="229">
        <v>0</v>
      </c>
      <c r="MJV23" s="229">
        <v>0</v>
      </c>
      <c r="MJW23" s="229">
        <v>0</v>
      </c>
      <c r="MJX23" s="229">
        <v>0</v>
      </c>
      <c r="MJY23" s="229">
        <v>0</v>
      </c>
      <c r="MJZ23" s="229">
        <v>0</v>
      </c>
      <c r="MKA23" s="229">
        <v>0</v>
      </c>
      <c r="MKB23" s="229">
        <v>0</v>
      </c>
      <c r="MKC23" s="229">
        <v>0</v>
      </c>
      <c r="MKD23" s="229">
        <v>0</v>
      </c>
      <c r="MKE23" s="229">
        <v>0</v>
      </c>
      <c r="MKF23" s="229">
        <v>0</v>
      </c>
      <c r="MKG23" s="229">
        <v>0</v>
      </c>
      <c r="MKH23" s="229">
        <v>0</v>
      </c>
      <c r="MKI23" s="229">
        <v>0</v>
      </c>
      <c r="MKJ23" s="229">
        <v>0</v>
      </c>
      <c r="MKK23" s="229">
        <v>0</v>
      </c>
      <c r="MKL23" s="229">
        <v>0</v>
      </c>
      <c r="MKM23" s="229">
        <v>0</v>
      </c>
      <c r="MKN23" s="229">
        <v>0</v>
      </c>
      <c r="MKO23" s="229">
        <v>0</v>
      </c>
      <c r="MKP23" s="229">
        <v>0</v>
      </c>
      <c r="MKQ23" s="229">
        <v>0</v>
      </c>
      <c r="MKR23" s="229">
        <v>0</v>
      </c>
      <c r="MKS23" s="229">
        <v>0</v>
      </c>
      <c r="MKT23" s="229">
        <v>0</v>
      </c>
      <c r="MKU23" s="229">
        <v>0</v>
      </c>
      <c r="MKV23" s="229">
        <v>0</v>
      </c>
      <c r="MKW23" s="229">
        <v>0</v>
      </c>
      <c r="MKX23" s="229">
        <v>0</v>
      </c>
      <c r="MKY23" s="229">
        <v>0</v>
      </c>
      <c r="MKZ23" s="229">
        <v>0</v>
      </c>
      <c r="MLA23" s="229">
        <v>0</v>
      </c>
      <c r="MLB23" s="229">
        <v>0</v>
      </c>
      <c r="MLC23" s="229">
        <v>0</v>
      </c>
      <c r="MLD23" s="229">
        <v>0</v>
      </c>
      <c r="MLE23" s="229">
        <v>0</v>
      </c>
      <c r="MLF23" s="229">
        <v>0</v>
      </c>
      <c r="MLG23" s="229">
        <v>0</v>
      </c>
      <c r="MLH23" s="229">
        <v>0</v>
      </c>
      <c r="MLI23" s="229">
        <v>0</v>
      </c>
      <c r="MLJ23" s="229">
        <v>0</v>
      </c>
      <c r="MLK23" s="229">
        <v>0</v>
      </c>
      <c r="MLL23" s="229">
        <v>0</v>
      </c>
      <c r="MLM23" s="229">
        <v>0</v>
      </c>
      <c r="MLN23" s="229">
        <v>0</v>
      </c>
      <c r="MLO23" s="229">
        <v>0</v>
      </c>
      <c r="MLP23" s="229">
        <v>0</v>
      </c>
      <c r="MLQ23" s="229">
        <v>0</v>
      </c>
      <c r="MLR23" s="229">
        <v>0</v>
      </c>
      <c r="MLS23" s="229">
        <v>0</v>
      </c>
      <c r="MLT23" s="229">
        <v>0</v>
      </c>
      <c r="MLU23" s="229">
        <v>0</v>
      </c>
      <c r="MLV23" s="229">
        <v>0</v>
      </c>
      <c r="MLW23" s="229">
        <v>0</v>
      </c>
      <c r="MLX23" s="229">
        <v>0</v>
      </c>
      <c r="MLY23" s="229">
        <v>0</v>
      </c>
      <c r="MLZ23" s="229">
        <v>0</v>
      </c>
      <c r="MMA23" s="229">
        <v>0</v>
      </c>
      <c r="MMB23" s="229">
        <v>0</v>
      </c>
      <c r="MMC23" s="229">
        <v>0</v>
      </c>
      <c r="MMD23" s="229">
        <v>0</v>
      </c>
      <c r="MME23" s="229">
        <v>0</v>
      </c>
      <c r="MMF23" s="229">
        <v>0</v>
      </c>
      <c r="MMG23" s="229">
        <v>0</v>
      </c>
      <c r="MMH23" s="229">
        <v>0</v>
      </c>
      <c r="MMI23" s="229">
        <v>0</v>
      </c>
      <c r="MMJ23" s="229">
        <v>0</v>
      </c>
      <c r="MMK23" s="229">
        <v>0</v>
      </c>
      <c r="MML23" s="229">
        <v>0</v>
      </c>
      <c r="MMM23" s="229">
        <v>0</v>
      </c>
      <c r="MMN23" s="229">
        <v>0</v>
      </c>
      <c r="MMO23" s="229">
        <v>0</v>
      </c>
      <c r="MMP23" s="229">
        <v>0</v>
      </c>
      <c r="MMQ23" s="229">
        <v>0</v>
      </c>
      <c r="MMR23" s="229">
        <v>0</v>
      </c>
      <c r="MMS23" s="229">
        <v>0</v>
      </c>
      <c r="MMT23" s="229">
        <v>0</v>
      </c>
      <c r="MMU23" s="229">
        <v>0</v>
      </c>
      <c r="MMV23" s="229">
        <v>0</v>
      </c>
      <c r="MMW23" s="229">
        <v>0</v>
      </c>
      <c r="MMX23" s="229">
        <v>0</v>
      </c>
      <c r="MMY23" s="229">
        <v>0</v>
      </c>
      <c r="MMZ23" s="229">
        <v>0</v>
      </c>
      <c r="MNA23" s="229">
        <v>0</v>
      </c>
      <c r="MNB23" s="229">
        <v>0</v>
      </c>
      <c r="MNC23" s="229">
        <v>0</v>
      </c>
      <c r="MND23" s="229">
        <v>0</v>
      </c>
      <c r="MNE23" s="229">
        <v>0</v>
      </c>
      <c r="MNF23" s="229">
        <v>0</v>
      </c>
      <c r="MNG23" s="229">
        <v>0</v>
      </c>
      <c r="MNH23" s="229">
        <v>0</v>
      </c>
      <c r="MNI23" s="229">
        <v>0</v>
      </c>
      <c r="MNJ23" s="229">
        <v>0</v>
      </c>
      <c r="MNK23" s="229">
        <v>0</v>
      </c>
      <c r="MNL23" s="229">
        <v>0</v>
      </c>
      <c r="MNM23" s="229">
        <v>0</v>
      </c>
      <c r="MNN23" s="229">
        <v>0</v>
      </c>
      <c r="MNO23" s="229">
        <v>0</v>
      </c>
      <c r="MNP23" s="229">
        <v>0</v>
      </c>
      <c r="MNQ23" s="229">
        <v>0</v>
      </c>
      <c r="MNR23" s="229">
        <v>0</v>
      </c>
      <c r="MNS23" s="229">
        <v>0</v>
      </c>
      <c r="MNT23" s="229">
        <v>0</v>
      </c>
      <c r="MNU23" s="229">
        <v>0</v>
      </c>
      <c r="MNV23" s="229">
        <v>0</v>
      </c>
      <c r="MNW23" s="229">
        <v>0</v>
      </c>
      <c r="MNX23" s="229">
        <v>0</v>
      </c>
      <c r="MNY23" s="229">
        <v>0</v>
      </c>
      <c r="MNZ23" s="229">
        <v>0</v>
      </c>
      <c r="MOA23" s="229">
        <v>0</v>
      </c>
      <c r="MOB23" s="229">
        <v>0</v>
      </c>
      <c r="MOC23" s="229">
        <v>0</v>
      </c>
      <c r="MOD23" s="229">
        <v>0</v>
      </c>
      <c r="MOE23" s="229">
        <v>0</v>
      </c>
      <c r="MOF23" s="229">
        <v>0</v>
      </c>
      <c r="MOG23" s="229">
        <v>0</v>
      </c>
      <c r="MOH23" s="229">
        <v>0</v>
      </c>
      <c r="MOI23" s="229">
        <v>0</v>
      </c>
      <c r="MOJ23" s="229">
        <v>0</v>
      </c>
      <c r="MOK23" s="229">
        <v>0</v>
      </c>
      <c r="MOL23" s="229">
        <v>0</v>
      </c>
      <c r="MOM23" s="229">
        <v>0</v>
      </c>
      <c r="MON23" s="229">
        <v>0</v>
      </c>
      <c r="MOO23" s="229">
        <v>0</v>
      </c>
      <c r="MOP23" s="229">
        <v>0</v>
      </c>
      <c r="MOQ23" s="229">
        <v>0</v>
      </c>
      <c r="MOR23" s="229">
        <v>0</v>
      </c>
      <c r="MOS23" s="229">
        <v>0</v>
      </c>
      <c r="MOT23" s="229">
        <v>0</v>
      </c>
      <c r="MOU23" s="229">
        <v>0</v>
      </c>
      <c r="MOV23" s="229">
        <v>0</v>
      </c>
      <c r="MOW23" s="229">
        <v>0</v>
      </c>
      <c r="MOX23" s="229">
        <v>0</v>
      </c>
      <c r="MOY23" s="229">
        <v>0</v>
      </c>
      <c r="MOZ23" s="229">
        <v>0</v>
      </c>
      <c r="MPA23" s="229">
        <v>0</v>
      </c>
      <c r="MPB23" s="229">
        <v>0</v>
      </c>
      <c r="MPC23" s="229">
        <v>0</v>
      </c>
      <c r="MPD23" s="229">
        <v>0</v>
      </c>
      <c r="MPE23" s="229">
        <v>0</v>
      </c>
      <c r="MPF23" s="229">
        <v>0</v>
      </c>
      <c r="MPG23" s="229">
        <v>0</v>
      </c>
      <c r="MPH23" s="229">
        <v>0</v>
      </c>
      <c r="MPI23" s="229">
        <v>0</v>
      </c>
      <c r="MPJ23" s="229">
        <v>0</v>
      </c>
      <c r="MPK23" s="229">
        <v>0</v>
      </c>
      <c r="MPL23" s="229">
        <v>0</v>
      </c>
      <c r="MPM23" s="229">
        <v>0</v>
      </c>
      <c r="MPN23" s="229">
        <v>0</v>
      </c>
      <c r="MPO23" s="229">
        <v>0</v>
      </c>
      <c r="MPP23" s="229">
        <v>0</v>
      </c>
      <c r="MPQ23" s="229">
        <v>0</v>
      </c>
      <c r="MPR23" s="229">
        <v>0</v>
      </c>
      <c r="MPS23" s="229">
        <v>0</v>
      </c>
      <c r="MPT23" s="229">
        <v>0</v>
      </c>
      <c r="MPU23" s="229">
        <v>0</v>
      </c>
      <c r="MPV23" s="229">
        <v>0</v>
      </c>
      <c r="MPW23" s="229">
        <v>0</v>
      </c>
      <c r="MPX23" s="229">
        <v>0</v>
      </c>
      <c r="MPY23" s="229">
        <v>0</v>
      </c>
      <c r="MPZ23" s="229">
        <v>0</v>
      </c>
      <c r="MQA23" s="229">
        <v>0</v>
      </c>
      <c r="MQB23" s="229">
        <v>0</v>
      </c>
      <c r="MQC23" s="229">
        <v>0</v>
      </c>
      <c r="MQD23" s="229">
        <v>0</v>
      </c>
      <c r="MQE23" s="229">
        <v>0</v>
      </c>
      <c r="MQF23" s="229">
        <v>0</v>
      </c>
      <c r="MQG23" s="229">
        <v>0</v>
      </c>
      <c r="MQH23" s="229">
        <v>0</v>
      </c>
      <c r="MQI23" s="229">
        <v>0</v>
      </c>
      <c r="MQJ23" s="229">
        <v>0</v>
      </c>
      <c r="MQK23" s="229">
        <v>0</v>
      </c>
      <c r="MQL23" s="229">
        <v>0</v>
      </c>
      <c r="MQM23" s="229">
        <v>0</v>
      </c>
      <c r="MQN23" s="229">
        <v>0</v>
      </c>
      <c r="MQO23" s="229">
        <v>0</v>
      </c>
      <c r="MQP23" s="229">
        <v>0</v>
      </c>
      <c r="MQQ23" s="229">
        <v>0</v>
      </c>
      <c r="MQR23" s="229">
        <v>0</v>
      </c>
      <c r="MQS23" s="229">
        <v>0</v>
      </c>
      <c r="MQT23" s="229">
        <v>0</v>
      </c>
      <c r="MQU23" s="229">
        <v>0</v>
      </c>
      <c r="MQV23" s="229">
        <v>0</v>
      </c>
      <c r="MQW23" s="229">
        <v>0</v>
      </c>
      <c r="MQX23" s="229">
        <v>0</v>
      </c>
      <c r="MQY23" s="229">
        <v>0</v>
      </c>
      <c r="MQZ23" s="229">
        <v>0</v>
      </c>
      <c r="MRA23" s="229">
        <v>0</v>
      </c>
      <c r="MRB23" s="229">
        <v>0</v>
      </c>
      <c r="MRC23" s="229">
        <v>0</v>
      </c>
      <c r="MRD23" s="229">
        <v>0</v>
      </c>
      <c r="MRE23" s="229">
        <v>0</v>
      </c>
      <c r="MRF23" s="229">
        <v>0</v>
      </c>
      <c r="MRG23" s="229">
        <v>0</v>
      </c>
      <c r="MRH23" s="229">
        <v>0</v>
      </c>
      <c r="MRI23" s="229">
        <v>0</v>
      </c>
      <c r="MRJ23" s="229">
        <v>0</v>
      </c>
      <c r="MRK23" s="229">
        <v>0</v>
      </c>
      <c r="MRL23" s="229">
        <v>0</v>
      </c>
      <c r="MRM23" s="229">
        <v>0</v>
      </c>
      <c r="MRN23" s="229">
        <v>0</v>
      </c>
      <c r="MRO23" s="229">
        <v>0</v>
      </c>
      <c r="MRP23" s="229">
        <v>0</v>
      </c>
      <c r="MRQ23" s="229">
        <v>0</v>
      </c>
      <c r="MRR23" s="229">
        <v>0</v>
      </c>
      <c r="MRS23" s="229">
        <v>0</v>
      </c>
      <c r="MRT23" s="229">
        <v>0</v>
      </c>
      <c r="MRU23" s="229">
        <v>0</v>
      </c>
      <c r="MRV23" s="229">
        <v>0</v>
      </c>
      <c r="MRW23" s="229">
        <v>0</v>
      </c>
      <c r="MRX23" s="229">
        <v>0</v>
      </c>
      <c r="MRY23" s="229">
        <v>0</v>
      </c>
      <c r="MRZ23" s="229">
        <v>0</v>
      </c>
      <c r="MSA23" s="229">
        <v>0</v>
      </c>
      <c r="MSB23" s="229">
        <v>0</v>
      </c>
      <c r="MSC23" s="229">
        <v>0</v>
      </c>
      <c r="MSD23" s="229">
        <v>0</v>
      </c>
      <c r="MSE23" s="229">
        <v>0</v>
      </c>
      <c r="MSF23" s="229">
        <v>0</v>
      </c>
      <c r="MSG23" s="229">
        <v>0</v>
      </c>
      <c r="MSH23" s="229">
        <v>0</v>
      </c>
      <c r="MSI23" s="229">
        <v>0</v>
      </c>
      <c r="MSJ23" s="229">
        <v>0</v>
      </c>
      <c r="MSK23" s="229">
        <v>0</v>
      </c>
      <c r="MSL23" s="229">
        <v>0</v>
      </c>
      <c r="MSM23" s="229">
        <v>0</v>
      </c>
      <c r="MSN23" s="229">
        <v>0</v>
      </c>
      <c r="MSO23" s="229">
        <v>0</v>
      </c>
      <c r="MSP23" s="229">
        <v>0</v>
      </c>
      <c r="MSQ23" s="229">
        <v>0</v>
      </c>
      <c r="MSR23" s="229">
        <v>0</v>
      </c>
      <c r="MSS23" s="229">
        <v>0</v>
      </c>
      <c r="MST23" s="229">
        <v>0</v>
      </c>
      <c r="MSU23" s="229">
        <v>0</v>
      </c>
      <c r="MSV23" s="229">
        <v>0</v>
      </c>
      <c r="MSW23" s="229">
        <v>0</v>
      </c>
      <c r="MSX23" s="229">
        <v>0</v>
      </c>
      <c r="MSY23" s="229">
        <v>0</v>
      </c>
      <c r="MSZ23" s="229">
        <v>0</v>
      </c>
      <c r="MTA23" s="229">
        <v>0</v>
      </c>
      <c r="MTB23" s="229">
        <v>0</v>
      </c>
      <c r="MTC23" s="229">
        <v>0</v>
      </c>
      <c r="MTD23" s="229">
        <v>0</v>
      </c>
      <c r="MTE23" s="229">
        <v>0</v>
      </c>
      <c r="MTF23" s="229">
        <v>0</v>
      </c>
      <c r="MTG23" s="229">
        <v>0</v>
      </c>
      <c r="MTH23" s="229">
        <v>0</v>
      </c>
      <c r="MTI23" s="229">
        <v>0</v>
      </c>
      <c r="MTJ23" s="229">
        <v>0</v>
      </c>
      <c r="MTK23" s="229">
        <v>0</v>
      </c>
      <c r="MTL23" s="229">
        <v>0</v>
      </c>
      <c r="MTM23" s="229">
        <v>0</v>
      </c>
      <c r="MTN23" s="229">
        <v>0</v>
      </c>
      <c r="MTO23" s="229">
        <v>0</v>
      </c>
      <c r="MTP23" s="229">
        <v>0</v>
      </c>
      <c r="MTQ23" s="229">
        <v>0</v>
      </c>
      <c r="MTR23" s="229">
        <v>0</v>
      </c>
      <c r="MTS23" s="229">
        <v>0</v>
      </c>
      <c r="MTT23" s="229">
        <v>0</v>
      </c>
      <c r="MTU23" s="229">
        <v>0</v>
      </c>
      <c r="MTV23" s="229">
        <v>0</v>
      </c>
      <c r="MTW23" s="229">
        <v>0</v>
      </c>
      <c r="MTX23" s="229">
        <v>0</v>
      </c>
      <c r="MTY23" s="229">
        <v>0</v>
      </c>
      <c r="MTZ23" s="229">
        <v>0</v>
      </c>
      <c r="MUA23" s="229">
        <v>0</v>
      </c>
      <c r="MUB23" s="229">
        <v>0</v>
      </c>
      <c r="MUC23" s="229">
        <v>0</v>
      </c>
      <c r="MUD23" s="229">
        <v>0</v>
      </c>
      <c r="MUE23" s="229">
        <v>0</v>
      </c>
      <c r="MUF23" s="229">
        <v>0</v>
      </c>
      <c r="MUG23" s="229">
        <v>0</v>
      </c>
      <c r="MUH23" s="229">
        <v>0</v>
      </c>
      <c r="MUI23" s="229">
        <v>0</v>
      </c>
      <c r="MUJ23" s="229">
        <v>0</v>
      </c>
      <c r="MUK23" s="229">
        <v>0</v>
      </c>
      <c r="MUL23" s="229">
        <v>0</v>
      </c>
      <c r="MUM23" s="229">
        <v>0</v>
      </c>
      <c r="MUN23" s="229">
        <v>0</v>
      </c>
      <c r="MUO23" s="229">
        <v>0</v>
      </c>
      <c r="MUP23" s="229">
        <v>0</v>
      </c>
      <c r="MUQ23" s="229">
        <v>0</v>
      </c>
      <c r="MUR23" s="229">
        <v>0</v>
      </c>
      <c r="MUS23" s="229">
        <v>0</v>
      </c>
      <c r="MUT23" s="229">
        <v>0</v>
      </c>
      <c r="MUU23" s="229">
        <v>0</v>
      </c>
      <c r="MUV23" s="229">
        <v>0</v>
      </c>
      <c r="MUW23" s="229">
        <v>0</v>
      </c>
      <c r="MUX23" s="229">
        <v>0</v>
      </c>
      <c r="MUY23" s="229">
        <v>0</v>
      </c>
      <c r="MUZ23" s="229">
        <v>0</v>
      </c>
      <c r="MVA23" s="229">
        <v>0</v>
      </c>
      <c r="MVB23" s="229">
        <v>0</v>
      </c>
      <c r="MVC23" s="229">
        <v>0</v>
      </c>
      <c r="MVD23" s="229">
        <v>0</v>
      </c>
      <c r="MVE23" s="229">
        <v>0</v>
      </c>
      <c r="MVF23" s="229">
        <v>0</v>
      </c>
      <c r="MVG23" s="229">
        <v>0</v>
      </c>
      <c r="MVH23" s="229">
        <v>0</v>
      </c>
      <c r="MVI23" s="229">
        <v>0</v>
      </c>
      <c r="MVJ23" s="229">
        <v>0</v>
      </c>
      <c r="MVK23" s="229">
        <v>0</v>
      </c>
      <c r="MVL23" s="229">
        <v>0</v>
      </c>
      <c r="MVM23" s="229">
        <v>0</v>
      </c>
      <c r="MVN23" s="229">
        <v>0</v>
      </c>
      <c r="MVO23" s="229">
        <v>0</v>
      </c>
      <c r="MVP23" s="229">
        <v>0</v>
      </c>
      <c r="MVQ23" s="229">
        <v>0</v>
      </c>
      <c r="MVR23" s="229">
        <v>0</v>
      </c>
      <c r="MVS23" s="229">
        <v>0</v>
      </c>
      <c r="MVT23" s="229">
        <v>0</v>
      </c>
      <c r="MVU23" s="229">
        <v>0</v>
      </c>
      <c r="MVV23" s="229">
        <v>0</v>
      </c>
      <c r="MVW23" s="229">
        <v>0</v>
      </c>
      <c r="MVX23" s="229">
        <v>0</v>
      </c>
      <c r="MVY23" s="229">
        <v>0</v>
      </c>
      <c r="MVZ23" s="229">
        <v>0</v>
      </c>
      <c r="MWA23" s="229">
        <v>0</v>
      </c>
      <c r="MWB23" s="229">
        <v>0</v>
      </c>
      <c r="MWC23" s="229">
        <v>0</v>
      </c>
      <c r="MWD23" s="229">
        <v>0</v>
      </c>
      <c r="MWE23" s="229">
        <v>0</v>
      </c>
      <c r="MWF23" s="229">
        <v>0</v>
      </c>
      <c r="MWG23" s="229">
        <v>0</v>
      </c>
      <c r="MWH23" s="229">
        <v>0</v>
      </c>
      <c r="MWI23" s="229">
        <v>0</v>
      </c>
      <c r="MWJ23" s="229">
        <v>0</v>
      </c>
      <c r="MWK23" s="229">
        <v>0</v>
      </c>
      <c r="MWL23" s="229">
        <v>0</v>
      </c>
      <c r="MWM23" s="229">
        <v>0</v>
      </c>
      <c r="MWN23" s="229">
        <v>0</v>
      </c>
      <c r="MWO23" s="229">
        <v>0</v>
      </c>
      <c r="MWP23" s="229">
        <v>0</v>
      </c>
      <c r="MWQ23" s="229">
        <v>0</v>
      </c>
      <c r="MWR23" s="229">
        <v>0</v>
      </c>
      <c r="MWS23" s="229">
        <v>0</v>
      </c>
      <c r="MWT23" s="229">
        <v>0</v>
      </c>
      <c r="MWU23" s="229">
        <v>0</v>
      </c>
      <c r="MWV23" s="229">
        <v>0</v>
      </c>
      <c r="MWW23" s="229">
        <v>0</v>
      </c>
      <c r="MWX23" s="229">
        <v>0</v>
      </c>
      <c r="MWY23" s="229">
        <v>0</v>
      </c>
      <c r="MWZ23" s="229">
        <v>0</v>
      </c>
      <c r="MXA23" s="229">
        <v>0</v>
      </c>
      <c r="MXB23" s="229">
        <v>0</v>
      </c>
      <c r="MXC23" s="229">
        <v>0</v>
      </c>
      <c r="MXD23" s="229">
        <v>0</v>
      </c>
      <c r="MXE23" s="229">
        <v>0</v>
      </c>
      <c r="MXF23" s="229">
        <v>0</v>
      </c>
      <c r="MXG23" s="229">
        <v>0</v>
      </c>
      <c r="MXH23" s="229">
        <v>0</v>
      </c>
      <c r="MXI23" s="229">
        <v>0</v>
      </c>
      <c r="MXJ23" s="229">
        <v>0</v>
      </c>
      <c r="MXK23" s="229">
        <v>0</v>
      </c>
      <c r="MXL23" s="229">
        <v>0</v>
      </c>
      <c r="MXM23" s="229">
        <v>0</v>
      </c>
      <c r="MXN23" s="229">
        <v>0</v>
      </c>
      <c r="MXO23" s="229">
        <v>0</v>
      </c>
      <c r="MXP23" s="229">
        <v>0</v>
      </c>
      <c r="MXQ23" s="229">
        <v>0</v>
      </c>
      <c r="MXR23" s="229">
        <v>0</v>
      </c>
      <c r="MXS23" s="229">
        <v>0</v>
      </c>
      <c r="MXT23" s="229">
        <v>0</v>
      </c>
      <c r="MXU23" s="229">
        <v>0</v>
      </c>
      <c r="MXV23" s="229">
        <v>0</v>
      </c>
      <c r="MXW23" s="229">
        <v>0</v>
      </c>
      <c r="MXX23" s="229">
        <v>0</v>
      </c>
      <c r="MXY23" s="229">
        <v>0</v>
      </c>
      <c r="MXZ23" s="229">
        <v>0</v>
      </c>
      <c r="MYA23" s="229">
        <v>0</v>
      </c>
      <c r="MYB23" s="229">
        <v>0</v>
      </c>
      <c r="MYC23" s="229">
        <v>0</v>
      </c>
      <c r="MYD23" s="229">
        <v>0</v>
      </c>
      <c r="MYE23" s="229">
        <v>0</v>
      </c>
      <c r="MYF23" s="229">
        <v>0</v>
      </c>
      <c r="MYG23" s="229">
        <v>0</v>
      </c>
      <c r="MYH23" s="229">
        <v>0</v>
      </c>
      <c r="MYI23" s="229">
        <v>0</v>
      </c>
      <c r="MYJ23" s="229">
        <v>0</v>
      </c>
      <c r="MYK23" s="229">
        <v>0</v>
      </c>
      <c r="MYL23" s="229">
        <v>0</v>
      </c>
      <c r="MYM23" s="229">
        <v>0</v>
      </c>
      <c r="MYN23" s="229">
        <v>0</v>
      </c>
      <c r="MYO23" s="229">
        <v>0</v>
      </c>
      <c r="MYP23" s="229">
        <v>0</v>
      </c>
      <c r="MYQ23" s="229">
        <v>0</v>
      </c>
      <c r="MYR23" s="229">
        <v>0</v>
      </c>
      <c r="MYS23" s="229">
        <v>0</v>
      </c>
      <c r="MYT23" s="229">
        <v>0</v>
      </c>
      <c r="MYU23" s="229">
        <v>0</v>
      </c>
      <c r="MYV23" s="229">
        <v>0</v>
      </c>
      <c r="MYW23" s="229">
        <v>0</v>
      </c>
      <c r="MYX23" s="229">
        <v>0</v>
      </c>
      <c r="MYY23" s="229">
        <v>0</v>
      </c>
      <c r="MYZ23" s="229">
        <v>0</v>
      </c>
      <c r="MZA23" s="229">
        <v>0</v>
      </c>
      <c r="MZB23" s="229">
        <v>0</v>
      </c>
      <c r="MZC23" s="229">
        <v>0</v>
      </c>
      <c r="MZD23" s="229">
        <v>0</v>
      </c>
      <c r="MZE23" s="229">
        <v>0</v>
      </c>
      <c r="MZF23" s="229">
        <v>0</v>
      </c>
      <c r="MZG23" s="229">
        <v>0</v>
      </c>
      <c r="MZH23" s="229">
        <v>0</v>
      </c>
      <c r="MZI23" s="229">
        <v>0</v>
      </c>
      <c r="MZJ23" s="229">
        <v>0</v>
      </c>
      <c r="MZK23" s="229">
        <v>0</v>
      </c>
      <c r="MZL23" s="229">
        <v>0</v>
      </c>
      <c r="MZM23" s="229">
        <v>0</v>
      </c>
      <c r="MZN23" s="229">
        <v>0</v>
      </c>
      <c r="MZO23" s="229">
        <v>0</v>
      </c>
      <c r="MZP23" s="229">
        <v>0</v>
      </c>
      <c r="MZQ23" s="229">
        <v>0</v>
      </c>
      <c r="MZR23" s="229">
        <v>0</v>
      </c>
      <c r="MZS23" s="229">
        <v>0</v>
      </c>
      <c r="MZT23" s="229">
        <v>0</v>
      </c>
      <c r="MZU23" s="229">
        <v>0</v>
      </c>
      <c r="MZV23" s="229">
        <v>0</v>
      </c>
      <c r="MZW23" s="229">
        <v>0</v>
      </c>
      <c r="MZX23" s="229">
        <v>0</v>
      </c>
      <c r="MZY23" s="229">
        <v>0</v>
      </c>
      <c r="MZZ23" s="229">
        <v>0</v>
      </c>
      <c r="NAA23" s="229">
        <v>0</v>
      </c>
      <c r="NAB23" s="229">
        <v>0</v>
      </c>
      <c r="NAC23" s="229">
        <v>0</v>
      </c>
      <c r="NAD23" s="229">
        <v>0</v>
      </c>
      <c r="NAE23" s="229">
        <v>0</v>
      </c>
      <c r="NAF23" s="229">
        <v>0</v>
      </c>
      <c r="NAG23" s="229">
        <v>0</v>
      </c>
      <c r="NAH23" s="229">
        <v>0</v>
      </c>
      <c r="NAI23" s="229">
        <v>0</v>
      </c>
      <c r="NAJ23" s="229">
        <v>0</v>
      </c>
      <c r="NAK23" s="229">
        <v>0</v>
      </c>
      <c r="NAL23" s="229">
        <v>0</v>
      </c>
      <c r="NAM23" s="229">
        <v>0</v>
      </c>
      <c r="NAN23" s="229">
        <v>0</v>
      </c>
      <c r="NAO23" s="229">
        <v>0</v>
      </c>
      <c r="NAP23" s="229">
        <v>0</v>
      </c>
      <c r="NAQ23" s="229">
        <v>0</v>
      </c>
      <c r="NAR23" s="229">
        <v>0</v>
      </c>
      <c r="NAS23" s="229">
        <v>0</v>
      </c>
      <c r="NAT23" s="229">
        <v>0</v>
      </c>
      <c r="NAU23" s="229">
        <v>0</v>
      </c>
      <c r="NAV23" s="229">
        <v>0</v>
      </c>
      <c r="NAW23" s="229">
        <v>0</v>
      </c>
      <c r="NAX23" s="229">
        <v>0</v>
      </c>
      <c r="NAY23" s="229">
        <v>0</v>
      </c>
      <c r="NAZ23" s="229">
        <v>0</v>
      </c>
      <c r="NBA23" s="229">
        <v>0</v>
      </c>
      <c r="NBB23" s="229">
        <v>0</v>
      </c>
      <c r="NBC23" s="229">
        <v>0</v>
      </c>
      <c r="NBD23" s="229">
        <v>0</v>
      </c>
      <c r="NBE23" s="229">
        <v>0</v>
      </c>
      <c r="NBF23" s="229">
        <v>0</v>
      </c>
      <c r="NBG23" s="229">
        <v>0</v>
      </c>
      <c r="NBH23" s="229">
        <v>0</v>
      </c>
      <c r="NBI23" s="229">
        <v>0</v>
      </c>
      <c r="NBJ23" s="229">
        <v>0</v>
      </c>
      <c r="NBK23" s="229">
        <v>0</v>
      </c>
      <c r="NBL23" s="229">
        <v>0</v>
      </c>
      <c r="NBM23" s="229">
        <v>0</v>
      </c>
      <c r="NBN23" s="229">
        <v>0</v>
      </c>
      <c r="NBO23" s="229">
        <v>0</v>
      </c>
      <c r="NBP23" s="229">
        <v>0</v>
      </c>
      <c r="NBQ23" s="229">
        <v>0</v>
      </c>
      <c r="NBR23" s="229">
        <v>0</v>
      </c>
      <c r="NBS23" s="229">
        <v>0</v>
      </c>
      <c r="NBT23" s="229">
        <v>0</v>
      </c>
      <c r="NBU23" s="229">
        <v>0</v>
      </c>
      <c r="NBV23" s="229">
        <v>0</v>
      </c>
      <c r="NBW23" s="229">
        <v>0</v>
      </c>
      <c r="NBX23" s="229">
        <v>0</v>
      </c>
      <c r="NBY23" s="229">
        <v>0</v>
      </c>
      <c r="NBZ23" s="229">
        <v>0</v>
      </c>
      <c r="NCA23" s="229">
        <v>0</v>
      </c>
      <c r="NCB23" s="229">
        <v>0</v>
      </c>
      <c r="NCC23" s="229">
        <v>0</v>
      </c>
      <c r="NCD23" s="229">
        <v>0</v>
      </c>
      <c r="NCE23" s="229">
        <v>0</v>
      </c>
      <c r="NCF23" s="229">
        <v>0</v>
      </c>
      <c r="NCG23" s="229">
        <v>0</v>
      </c>
      <c r="NCH23" s="229">
        <v>0</v>
      </c>
      <c r="NCI23" s="229">
        <v>0</v>
      </c>
      <c r="NCJ23" s="229">
        <v>0</v>
      </c>
      <c r="NCK23" s="229">
        <v>0</v>
      </c>
      <c r="NCL23" s="229">
        <v>0</v>
      </c>
      <c r="NCM23" s="229">
        <v>0</v>
      </c>
      <c r="NCN23" s="229">
        <v>0</v>
      </c>
      <c r="NCO23" s="229">
        <v>0</v>
      </c>
      <c r="NCP23" s="229">
        <v>0</v>
      </c>
      <c r="NCQ23" s="229">
        <v>0</v>
      </c>
      <c r="NCR23" s="229">
        <v>0</v>
      </c>
      <c r="NCS23" s="229">
        <v>0</v>
      </c>
      <c r="NCT23" s="229">
        <v>0</v>
      </c>
      <c r="NCU23" s="229">
        <v>0</v>
      </c>
      <c r="NCV23" s="229">
        <v>0</v>
      </c>
      <c r="NCW23" s="229">
        <v>0</v>
      </c>
      <c r="NCX23" s="229">
        <v>0</v>
      </c>
      <c r="NCY23" s="229">
        <v>0</v>
      </c>
      <c r="NCZ23" s="229">
        <v>0</v>
      </c>
      <c r="NDA23" s="229">
        <v>0</v>
      </c>
      <c r="NDB23" s="229">
        <v>0</v>
      </c>
      <c r="NDC23" s="229">
        <v>0</v>
      </c>
      <c r="NDD23" s="229">
        <v>0</v>
      </c>
      <c r="NDE23" s="229">
        <v>0</v>
      </c>
      <c r="NDF23" s="229">
        <v>0</v>
      </c>
      <c r="NDG23" s="229">
        <v>0</v>
      </c>
      <c r="NDH23" s="229">
        <v>0</v>
      </c>
      <c r="NDI23" s="229">
        <v>0</v>
      </c>
      <c r="NDJ23" s="229">
        <v>0</v>
      </c>
      <c r="NDK23" s="229">
        <v>0</v>
      </c>
      <c r="NDL23" s="229">
        <v>0</v>
      </c>
      <c r="NDM23" s="229">
        <v>0</v>
      </c>
      <c r="NDN23" s="229">
        <v>0</v>
      </c>
      <c r="NDO23" s="229">
        <v>0</v>
      </c>
      <c r="NDP23" s="229">
        <v>0</v>
      </c>
      <c r="NDQ23" s="229">
        <v>0</v>
      </c>
      <c r="NDR23" s="229">
        <v>0</v>
      </c>
      <c r="NDS23" s="229">
        <v>0</v>
      </c>
      <c r="NDT23" s="229">
        <v>0</v>
      </c>
      <c r="NDU23" s="229">
        <v>0</v>
      </c>
      <c r="NDV23" s="229">
        <v>0</v>
      </c>
      <c r="NDW23" s="229">
        <v>0</v>
      </c>
      <c r="NDX23" s="229">
        <v>0</v>
      </c>
      <c r="NDY23" s="229">
        <v>0</v>
      </c>
      <c r="NDZ23" s="229">
        <v>0</v>
      </c>
      <c r="NEA23" s="229">
        <v>0</v>
      </c>
      <c r="NEB23" s="229">
        <v>0</v>
      </c>
      <c r="NEC23" s="229">
        <v>0</v>
      </c>
      <c r="NED23" s="229">
        <v>0</v>
      </c>
      <c r="NEE23" s="229">
        <v>0</v>
      </c>
      <c r="NEF23" s="229">
        <v>0</v>
      </c>
      <c r="NEG23" s="229">
        <v>0</v>
      </c>
      <c r="NEH23" s="229">
        <v>0</v>
      </c>
      <c r="NEI23" s="229">
        <v>0</v>
      </c>
      <c r="NEJ23" s="229">
        <v>0</v>
      </c>
      <c r="NEK23" s="229">
        <v>0</v>
      </c>
      <c r="NEL23" s="229">
        <v>0</v>
      </c>
      <c r="NEM23" s="229">
        <v>0</v>
      </c>
      <c r="NEN23" s="229">
        <v>0</v>
      </c>
      <c r="NEO23" s="229">
        <v>0</v>
      </c>
      <c r="NEP23" s="229">
        <v>0</v>
      </c>
      <c r="NEQ23" s="229">
        <v>0</v>
      </c>
      <c r="NER23" s="229">
        <v>0</v>
      </c>
      <c r="NES23" s="229">
        <v>0</v>
      </c>
      <c r="NET23" s="229">
        <v>0</v>
      </c>
      <c r="NEU23" s="229">
        <v>0</v>
      </c>
      <c r="NEV23" s="229">
        <v>0</v>
      </c>
      <c r="NEW23" s="229">
        <v>0</v>
      </c>
      <c r="NEX23" s="229">
        <v>0</v>
      </c>
      <c r="NEY23" s="229">
        <v>0</v>
      </c>
      <c r="NEZ23" s="229">
        <v>0</v>
      </c>
      <c r="NFA23" s="229">
        <v>0</v>
      </c>
      <c r="NFB23" s="229">
        <v>0</v>
      </c>
      <c r="NFC23" s="229">
        <v>0</v>
      </c>
      <c r="NFD23" s="229">
        <v>0</v>
      </c>
      <c r="NFE23" s="229">
        <v>0</v>
      </c>
      <c r="NFF23" s="229">
        <v>0</v>
      </c>
      <c r="NFG23" s="229">
        <v>0</v>
      </c>
      <c r="NFH23" s="229">
        <v>0</v>
      </c>
      <c r="NFI23" s="229">
        <v>0</v>
      </c>
      <c r="NFJ23" s="229">
        <v>0</v>
      </c>
      <c r="NFK23" s="229">
        <v>0</v>
      </c>
      <c r="NFL23" s="229">
        <v>0</v>
      </c>
      <c r="NFM23" s="229">
        <v>0</v>
      </c>
      <c r="NFN23" s="229">
        <v>0</v>
      </c>
      <c r="NFO23" s="229">
        <v>0</v>
      </c>
      <c r="NFP23" s="229">
        <v>0</v>
      </c>
      <c r="NFQ23" s="229">
        <v>0</v>
      </c>
      <c r="NFR23" s="229">
        <v>0</v>
      </c>
      <c r="NFS23" s="229">
        <v>0</v>
      </c>
      <c r="NFT23" s="229">
        <v>0</v>
      </c>
      <c r="NFU23" s="229">
        <v>0</v>
      </c>
      <c r="NFV23" s="229">
        <v>0</v>
      </c>
      <c r="NFW23" s="229">
        <v>0</v>
      </c>
      <c r="NFX23" s="229">
        <v>0</v>
      </c>
      <c r="NFY23" s="229">
        <v>0</v>
      </c>
      <c r="NFZ23" s="229">
        <v>0</v>
      </c>
      <c r="NGA23" s="229">
        <v>0</v>
      </c>
      <c r="NGB23" s="229">
        <v>0</v>
      </c>
      <c r="NGC23" s="229">
        <v>0</v>
      </c>
      <c r="NGD23" s="229">
        <v>0</v>
      </c>
      <c r="NGE23" s="229">
        <v>0</v>
      </c>
      <c r="NGF23" s="229">
        <v>0</v>
      </c>
      <c r="NGG23" s="229">
        <v>0</v>
      </c>
      <c r="NGH23" s="229">
        <v>0</v>
      </c>
      <c r="NGI23" s="229">
        <v>0</v>
      </c>
      <c r="NGJ23" s="229">
        <v>0</v>
      </c>
      <c r="NGK23" s="229">
        <v>0</v>
      </c>
      <c r="NGL23" s="229">
        <v>0</v>
      </c>
      <c r="NGM23" s="229">
        <v>0</v>
      </c>
      <c r="NGN23" s="229">
        <v>0</v>
      </c>
      <c r="NGO23" s="229">
        <v>0</v>
      </c>
      <c r="NGP23" s="229">
        <v>0</v>
      </c>
      <c r="NGQ23" s="229">
        <v>0</v>
      </c>
      <c r="NGR23" s="229">
        <v>0</v>
      </c>
      <c r="NGS23" s="229">
        <v>0</v>
      </c>
      <c r="NGT23" s="229">
        <v>0</v>
      </c>
      <c r="NGU23" s="229">
        <v>0</v>
      </c>
      <c r="NGV23" s="229">
        <v>0</v>
      </c>
      <c r="NGW23" s="229">
        <v>0</v>
      </c>
      <c r="NGX23" s="229">
        <v>0</v>
      </c>
      <c r="NGY23" s="229">
        <v>0</v>
      </c>
      <c r="NGZ23" s="229">
        <v>0</v>
      </c>
      <c r="NHA23" s="229">
        <v>0</v>
      </c>
      <c r="NHB23" s="229">
        <v>0</v>
      </c>
      <c r="NHC23" s="229">
        <v>0</v>
      </c>
      <c r="NHD23" s="229">
        <v>0</v>
      </c>
      <c r="NHE23" s="229">
        <v>0</v>
      </c>
      <c r="NHF23" s="229">
        <v>0</v>
      </c>
      <c r="NHG23" s="229">
        <v>0</v>
      </c>
      <c r="NHH23" s="229">
        <v>0</v>
      </c>
      <c r="NHI23" s="229">
        <v>0</v>
      </c>
      <c r="NHJ23" s="229">
        <v>0</v>
      </c>
      <c r="NHK23" s="229">
        <v>0</v>
      </c>
      <c r="NHL23" s="229">
        <v>0</v>
      </c>
      <c r="NHM23" s="229">
        <v>0</v>
      </c>
      <c r="NHN23" s="229">
        <v>0</v>
      </c>
      <c r="NHO23" s="229">
        <v>0</v>
      </c>
      <c r="NHP23" s="229">
        <v>0</v>
      </c>
      <c r="NHQ23" s="229">
        <v>0</v>
      </c>
      <c r="NHR23" s="229">
        <v>0</v>
      </c>
      <c r="NHS23" s="229">
        <v>0</v>
      </c>
      <c r="NHT23" s="229">
        <v>0</v>
      </c>
      <c r="NHU23" s="229">
        <v>0</v>
      </c>
      <c r="NHV23" s="229">
        <v>0</v>
      </c>
      <c r="NHW23" s="229">
        <v>0</v>
      </c>
      <c r="NHX23" s="229">
        <v>0</v>
      </c>
      <c r="NHY23" s="229">
        <v>0</v>
      </c>
      <c r="NHZ23" s="229">
        <v>0</v>
      </c>
      <c r="NIA23" s="229">
        <v>0</v>
      </c>
      <c r="NIB23" s="229">
        <v>0</v>
      </c>
      <c r="NIC23" s="229">
        <v>0</v>
      </c>
      <c r="NID23" s="229">
        <v>0</v>
      </c>
      <c r="NIE23" s="229">
        <v>0</v>
      </c>
      <c r="NIF23" s="229">
        <v>0</v>
      </c>
      <c r="NIG23" s="229">
        <v>0</v>
      </c>
      <c r="NIH23" s="229">
        <v>0</v>
      </c>
      <c r="NII23" s="229">
        <v>0</v>
      </c>
      <c r="NIJ23" s="229">
        <v>0</v>
      </c>
      <c r="NIK23" s="229">
        <v>0</v>
      </c>
      <c r="NIL23" s="229">
        <v>0</v>
      </c>
      <c r="NIM23" s="229">
        <v>0</v>
      </c>
      <c r="NIN23" s="229">
        <v>0</v>
      </c>
      <c r="NIO23" s="229">
        <v>0</v>
      </c>
      <c r="NIP23" s="229">
        <v>0</v>
      </c>
      <c r="NIQ23" s="229">
        <v>0</v>
      </c>
      <c r="NIR23" s="229">
        <v>0</v>
      </c>
      <c r="NIS23" s="229">
        <v>0</v>
      </c>
      <c r="NIT23" s="229">
        <v>0</v>
      </c>
      <c r="NIU23" s="229">
        <v>0</v>
      </c>
      <c r="NIV23" s="229">
        <v>0</v>
      </c>
      <c r="NIW23" s="229">
        <v>0</v>
      </c>
      <c r="NIX23" s="229">
        <v>0</v>
      </c>
      <c r="NIY23" s="229">
        <v>0</v>
      </c>
      <c r="NIZ23" s="229">
        <v>0</v>
      </c>
      <c r="NJA23" s="229">
        <v>0</v>
      </c>
      <c r="NJB23" s="229">
        <v>0</v>
      </c>
      <c r="NJC23" s="229">
        <v>0</v>
      </c>
      <c r="NJD23" s="229">
        <v>0</v>
      </c>
      <c r="NJE23" s="229">
        <v>0</v>
      </c>
      <c r="NJF23" s="229">
        <v>0</v>
      </c>
      <c r="NJG23" s="229">
        <v>0</v>
      </c>
      <c r="NJH23" s="229">
        <v>0</v>
      </c>
      <c r="NJI23" s="229">
        <v>0</v>
      </c>
      <c r="NJJ23" s="229">
        <v>0</v>
      </c>
      <c r="NJK23" s="229">
        <v>0</v>
      </c>
      <c r="NJL23" s="229">
        <v>0</v>
      </c>
      <c r="NJM23" s="229">
        <v>0</v>
      </c>
      <c r="NJN23" s="229">
        <v>0</v>
      </c>
      <c r="NJO23" s="229">
        <v>0</v>
      </c>
      <c r="NJP23" s="229">
        <v>0</v>
      </c>
      <c r="NJQ23" s="229">
        <v>0</v>
      </c>
      <c r="NJR23" s="229">
        <v>0</v>
      </c>
      <c r="NJS23" s="229">
        <v>0</v>
      </c>
      <c r="NJT23" s="229">
        <v>0</v>
      </c>
      <c r="NJU23" s="229">
        <v>0</v>
      </c>
      <c r="NJV23" s="229">
        <v>0</v>
      </c>
      <c r="NJW23" s="229">
        <v>0</v>
      </c>
      <c r="NJX23" s="229">
        <v>0</v>
      </c>
      <c r="NJY23" s="229">
        <v>0</v>
      </c>
      <c r="NJZ23" s="229">
        <v>0</v>
      </c>
      <c r="NKA23" s="229">
        <v>0</v>
      </c>
      <c r="NKB23" s="229">
        <v>0</v>
      </c>
      <c r="NKC23" s="229">
        <v>0</v>
      </c>
      <c r="NKD23" s="229">
        <v>0</v>
      </c>
      <c r="NKE23" s="229">
        <v>0</v>
      </c>
      <c r="NKF23" s="229">
        <v>0</v>
      </c>
      <c r="NKG23" s="229">
        <v>0</v>
      </c>
      <c r="NKH23" s="229">
        <v>0</v>
      </c>
      <c r="NKI23" s="229">
        <v>0</v>
      </c>
      <c r="NKJ23" s="229">
        <v>0</v>
      </c>
      <c r="NKK23" s="229">
        <v>0</v>
      </c>
      <c r="NKL23" s="229">
        <v>0</v>
      </c>
      <c r="NKM23" s="229">
        <v>0</v>
      </c>
      <c r="NKN23" s="229">
        <v>0</v>
      </c>
      <c r="NKO23" s="229">
        <v>0</v>
      </c>
      <c r="NKP23" s="229">
        <v>0</v>
      </c>
      <c r="NKQ23" s="229">
        <v>0</v>
      </c>
      <c r="NKR23" s="229">
        <v>0</v>
      </c>
      <c r="NKS23" s="229">
        <v>0</v>
      </c>
      <c r="NKT23" s="229">
        <v>0</v>
      </c>
      <c r="NKU23" s="229">
        <v>0</v>
      </c>
      <c r="NKV23" s="229">
        <v>0</v>
      </c>
      <c r="NKW23" s="229">
        <v>0</v>
      </c>
      <c r="NKX23" s="229">
        <v>0</v>
      </c>
      <c r="NKY23" s="229">
        <v>0</v>
      </c>
      <c r="NKZ23" s="229">
        <v>0</v>
      </c>
      <c r="NLA23" s="229">
        <v>0</v>
      </c>
      <c r="NLB23" s="229">
        <v>0</v>
      </c>
      <c r="NLC23" s="229">
        <v>0</v>
      </c>
      <c r="NLD23" s="229">
        <v>0</v>
      </c>
      <c r="NLE23" s="229">
        <v>0</v>
      </c>
      <c r="NLF23" s="229">
        <v>0</v>
      </c>
      <c r="NLG23" s="229">
        <v>0</v>
      </c>
      <c r="NLH23" s="229">
        <v>0</v>
      </c>
      <c r="NLI23" s="229">
        <v>0</v>
      </c>
      <c r="NLJ23" s="229">
        <v>0</v>
      </c>
      <c r="NLK23" s="229">
        <v>0</v>
      </c>
      <c r="NLL23" s="229">
        <v>0</v>
      </c>
      <c r="NLM23" s="229">
        <v>0</v>
      </c>
      <c r="NLN23" s="229">
        <v>0</v>
      </c>
      <c r="NLO23" s="229">
        <v>0</v>
      </c>
      <c r="NLP23" s="229">
        <v>0</v>
      </c>
      <c r="NLQ23" s="229">
        <v>0</v>
      </c>
      <c r="NLR23" s="229">
        <v>0</v>
      </c>
      <c r="NLS23" s="229">
        <v>0</v>
      </c>
      <c r="NLT23" s="229">
        <v>0</v>
      </c>
      <c r="NLU23" s="229">
        <v>0</v>
      </c>
      <c r="NLV23" s="229">
        <v>0</v>
      </c>
      <c r="NLW23" s="229">
        <v>0</v>
      </c>
      <c r="NLX23" s="229">
        <v>0</v>
      </c>
      <c r="NLY23" s="229">
        <v>0</v>
      </c>
      <c r="NLZ23" s="229">
        <v>0</v>
      </c>
      <c r="NMA23" s="229">
        <v>0</v>
      </c>
      <c r="NMB23" s="229">
        <v>0</v>
      </c>
      <c r="NMC23" s="229">
        <v>0</v>
      </c>
      <c r="NMD23" s="229">
        <v>0</v>
      </c>
      <c r="NME23" s="229">
        <v>0</v>
      </c>
      <c r="NMF23" s="229">
        <v>0</v>
      </c>
      <c r="NMG23" s="229">
        <v>0</v>
      </c>
      <c r="NMH23" s="229">
        <v>0</v>
      </c>
      <c r="NMI23" s="229">
        <v>0</v>
      </c>
      <c r="NMJ23" s="229">
        <v>0</v>
      </c>
      <c r="NMK23" s="229">
        <v>0</v>
      </c>
      <c r="NML23" s="229">
        <v>0</v>
      </c>
      <c r="NMM23" s="229">
        <v>0</v>
      </c>
      <c r="NMN23" s="229">
        <v>0</v>
      </c>
      <c r="NMO23" s="229">
        <v>0</v>
      </c>
      <c r="NMP23" s="229">
        <v>0</v>
      </c>
      <c r="NMQ23" s="229">
        <v>0</v>
      </c>
      <c r="NMR23" s="229">
        <v>0</v>
      </c>
      <c r="NMS23" s="229">
        <v>0</v>
      </c>
      <c r="NMT23" s="229">
        <v>0</v>
      </c>
      <c r="NMU23" s="229">
        <v>0</v>
      </c>
      <c r="NMV23" s="229">
        <v>0</v>
      </c>
      <c r="NMW23" s="229">
        <v>0</v>
      </c>
      <c r="NMX23" s="229">
        <v>0</v>
      </c>
      <c r="NMY23" s="229">
        <v>0</v>
      </c>
      <c r="NMZ23" s="229">
        <v>0</v>
      </c>
      <c r="NNA23" s="229">
        <v>0</v>
      </c>
      <c r="NNB23" s="229">
        <v>0</v>
      </c>
      <c r="NNC23" s="229">
        <v>0</v>
      </c>
      <c r="NND23" s="229">
        <v>0</v>
      </c>
      <c r="NNE23" s="229">
        <v>0</v>
      </c>
      <c r="NNF23" s="229">
        <v>0</v>
      </c>
      <c r="NNG23" s="229">
        <v>0</v>
      </c>
      <c r="NNH23" s="229">
        <v>0</v>
      </c>
      <c r="NNI23" s="229">
        <v>0</v>
      </c>
      <c r="NNJ23" s="229">
        <v>0</v>
      </c>
      <c r="NNK23" s="229">
        <v>0</v>
      </c>
      <c r="NNL23" s="229">
        <v>0</v>
      </c>
      <c r="NNM23" s="229">
        <v>0</v>
      </c>
      <c r="NNN23" s="229">
        <v>0</v>
      </c>
      <c r="NNO23" s="229">
        <v>0</v>
      </c>
      <c r="NNP23" s="229">
        <v>0</v>
      </c>
      <c r="NNQ23" s="229">
        <v>0</v>
      </c>
      <c r="NNR23" s="229">
        <v>0</v>
      </c>
      <c r="NNS23" s="229">
        <v>0</v>
      </c>
      <c r="NNT23" s="229">
        <v>0</v>
      </c>
      <c r="NNU23" s="229">
        <v>0</v>
      </c>
      <c r="NNV23" s="229">
        <v>0</v>
      </c>
      <c r="NNW23" s="229">
        <v>0</v>
      </c>
      <c r="NNX23" s="229">
        <v>0</v>
      </c>
      <c r="NNY23" s="229">
        <v>0</v>
      </c>
      <c r="NNZ23" s="229">
        <v>0</v>
      </c>
      <c r="NOA23" s="229">
        <v>0</v>
      </c>
      <c r="NOB23" s="229">
        <v>0</v>
      </c>
      <c r="NOC23" s="229">
        <v>0</v>
      </c>
      <c r="NOD23" s="229">
        <v>0</v>
      </c>
      <c r="NOE23" s="229">
        <v>0</v>
      </c>
      <c r="NOF23" s="229">
        <v>0</v>
      </c>
      <c r="NOG23" s="229">
        <v>0</v>
      </c>
      <c r="NOH23" s="229">
        <v>0</v>
      </c>
      <c r="NOI23" s="229">
        <v>0</v>
      </c>
      <c r="NOJ23" s="229">
        <v>0</v>
      </c>
      <c r="NOK23" s="229">
        <v>0</v>
      </c>
      <c r="NOL23" s="229">
        <v>0</v>
      </c>
      <c r="NOM23" s="229">
        <v>0</v>
      </c>
      <c r="NON23" s="229">
        <v>0</v>
      </c>
      <c r="NOO23" s="229">
        <v>0</v>
      </c>
      <c r="NOP23" s="229">
        <v>0</v>
      </c>
      <c r="NOQ23" s="229">
        <v>0</v>
      </c>
      <c r="NOR23" s="229">
        <v>0</v>
      </c>
      <c r="NOS23" s="229">
        <v>0</v>
      </c>
      <c r="NOT23" s="229">
        <v>0</v>
      </c>
      <c r="NOU23" s="229">
        <v>0</v>
      </c>
      <c r="NOV23" s="229">
        <v>0</v>
      </c>
      <c r="NOW23" s="229">
        <v>0</v>
      </c>
      <c r="NOX23" s="229">
        <v>0</v>
      </c>
      <c r="NOY23" s="229">
        <v>0</v>
      </c>
      <c r="NOZ23" s="229">
        <v>0</v>
      </c>
      <c r="NPA23" s="229">
        <v>0</v>
      </c>
      <c r="NPB23" s="229">
        <v>0</v>
      </c>
      <c r="NPC23" s="229">
        <v>0</v>
      </c>
      <c r="NPD23" s="229">
        <v>0</v>
      </c>
      <c r="NPE23" s="229">
        <v>0</v>
      </c>
      <c r="NPF23" s="229">
        <v>0</v>
      </c>
      <c r="NPG23" s="229">
        <v>0</v>
      </c>
      <c r="NPH23" s="229">
        <v>0</v>
      </c>
      <c r="NPI23" s="229">
        <v>0</v>
      </c>
      <c r="NPJ23" s="229">
        <v>0</v>
      </c>
      <c r="NPK23" s="229">
        <v>0</v>
      </c>
      <c r="NPL23" s="229">
        <v>0</v>
      </c>
      <c r="NPM23" s="229">
        <v>0</v>
      </c>
      <c r="NPN23" s="229">
        <v>0</v>
      </c>
      <c r="NPO23" s="229">
        <v>0</v>
      </c>
      <c r="NPP23" s="229">
        <v>0</v>
      </c>
      <c r="NPQ23" s="229">
        <v>0</v>
      </c>
      <c r="NPR23" s="229">
        <v>0</v>
      </c>
      <c r="NPS23" s="229">
        <v>0</v>
      </c>
      <c r="NPT23" s="229">
        <v>0</v>
      </c>
      <c r="NPU23" s="229">
        <v>0</v>
      </c>
      <c r="NPV23" s="229">
        <v>0</v>
      </c>
      <c r="NPW23" s="229">
        <v>0</v>
      </c>
      <c r="NPX23" s="229">
        <v>0</v>
      </c>
      <c r="NPY23" s="229">
        <v>0</v>
      </c>
      <c r="NPZ23" s="229">
        <v>0</v>
      </c>
      <c r="NQA23" s="229">
        <v>0</v>
      </c>
      <c r="NQB23" s="229">
        <v>0</v>
      </c>
      <c r="NQC23" s="229">
        <v>0</v>
      </c>
      <c r="NQD23" s="229">
        <v>0</v>
      </c>
      <c r="NQE23" s="229">
        <v>0</v>
      </c>
      <c r="NQF23" s="229">
        <v>0</v>
      </c>
      <c r="NQG23" s="229">
        <v>0</v>
      </c>
      <c r="NQH23" s="229">
        <v>0</v>
      </c>
      <c r="NQI23" s="229">
        <v>0</v>
      </c>
      <c r="NQJ23" s="229">
        <v>0</v>
      </c>
      <c r="NQK23" s="229">
        <v>0</v>
      </c>
      <c r="NQL23" s="229">
        <v>0</v>
      </c>
      <c r="NQM23" s="229">
        <v>0</v>
      </c>
      <c r="NQN23" s="229">
        <v>0</v>
      </c>
      <c r="NQO23" s="229">
        <v>0</v>
      </c>
      <c r="NQP23" s="229">
        <v>0</v>
      </c>
      <c r="NQQ23" s="229">
        <v>0</v>
      </c>
      <c r="NQR23" s="229">
        <v>0</v>
      </c>
      <c r="NQS23" s="229">
        <v>0</v>
      </c>
      <c r="NQT23" s="229">
        <v>0</v>
      </c>
      <c r="NQU23" s="229">
        <v>0</v>
      </c>
      <c r="NQV23" s="229">
        <v>0</v>
      </c>
      <c r="NQW23" s="229">
        <v>0</v>
      </c>
      <c r="NQX23" s="229">
        <v>0</v>
      </c>
      <c r="NQY23" s="229">
        <v>0</v>
      </c>
      <c r="NQZ23" s="229">
        <v>0</v>
      </c>
      <c r="NRA23" s="229">
        <v>0</v>
      </c>
      <c r="NRB23" s="229">
        <v>0</v>
      </c>
      <c r="NRC23" s="229">
        <v>0</v>
      </c>
      <c r="NRD23" s="229">
        <v>0</v>
      </c>
      <c r="NRE23" s="229">
        <v>0</v>
      </c>
      <c r="NRF23" s="229">
        <v>0</v>
      </c>
      <c r="NRG23" s="229">
        <v>0</v>
      </c>
      <c r="NRH23" s="229">
        <v>0</v>
      </c>
      <c r="NRI23" s="229">
        <v>0</v>
      </c>
      <c r="NRJ23" s="229">
        <v>0</v>
      </c>
      <c r="NRK23" s="229">
        <v>0</v>
      </c>
      <c r="NRL23" s="229">
        <v>0</v>
      </c>
      <c r="NRM23" s="229">
        <v>0</v>
      </c>
      <c r="NRN23" s="229">
        <v>0</v>
      </c>
      <c r="NRO23" s="229">
        <v>0</v>
      </c>
      <c r="NRP23" s="229">
        <v>0</v>
      </c>
      <c r="NRQ23" s="229">
        <v>0</v>
      </c>
      <c r="NRR23" s="229">
        <v>0</v>
      </c>
      <c r="NRS23" s="229">
        <v>0</v>
      </c>
      <c r="NRT23" s="229">
        <v>0</v>
      </c>
      <c r="NRU23" s="229">
        <v>0</v>
      </c>
      <c r="NRV23" s="229">
        <v>0</v>
      </c>
      <c r="NRW23" s="229">
        <v>0</v>
      </c>
      <c r="NRX23" s="229">
        <v>0</v>
      </c>
      <c r="NRY23" s="229">
        <v>0</v>
      </c>
      <c r="NRZ23" s="229">
        <v>0</v>
      </c>
      <c r="NSA23" s="229">
        <v>0</v>
      </c>
      <c r="NSB23" s="229">
        <v>0</v>
      </c>
      <c r="NSC23" s="229">
        <v>0</v>
      </c>
      <c r="NSD23" s="229">
        <v>0</v>
      </c>
      <c r="NSE23" s="229">
        <v>0</v>
      </c>
      <c r="NSF23" s="229">
        <v>0</v>
      </c>
      <c r="NSG23" s="229">
        <v>0</v>
      </c>
      <c r="NSH23" s="229">
        <v>0</v>
      </c>
      <c r="NSI23" s="229">
        <v>0</v>
      </c>
      <c r="NSJ23" s="229">
        <v>0</v>
      </c>
      <c r="NSK23" s="229">
        <v>0</v>
      </c>
      <c r="NSL23" s="229">
        <v>0</v>
      </c>
      <c r="NSM23" s="229">
        <v>0</v>
      </c>
      <c r="NSN23" s="229">
        <v>0</v>
      </c>
      <c r="NSO23" s="229">
        <v>0</v>
      </c>
      <c r="NSP23" s="229">
        <v>0</v>
      </c>
      <c r="NSQ23" s="229">
        <v>0</v>
      </c>
      <c r="NSR23" s="229">
        <v>0</v>
      </c>
      <c r="NSS23" s="229">
        <v>0</v>
      </c>
      <c r="NST23" s="229">
        <v>0</v>
      </c>
      <c r="NSU23" s="229">
        <v>0</v>
      </c>
      <c r="NSV23" s="229">
        <v>0</v>
      </c>
      <c r="NSW23" s="229">
        <v>0</v>
      </c>
      <c r="NSX23" s="229">
        <v>0</v>
      </c>
      <c r="NSY23" s="229">
        <v>0</v>
      </c>
      <c r="NSZ23" s="229">
        <v>0</v>
      </c>
      <c r="NTA23" s="229">
        <v>0</v>
      </c>
      <c r="NTB23" s="229">
        <v>0</v>
      </c>
      <c r="NTC23" s="229">
        <v>0</v>
      </c>
      <c r="NTD23" s="229">
        <v>0</v>
      </c>
      <c r="NTE23" s="229">
        <v>0</v>
      </c>
      <c r="NTF23" s="229">
        <v>0</v>
      </c>
      <c r="NTG23" s="229">
        <v>0</v>
      </c>
      <c r="NTH23" s="229">
        <v>0</v>
      </c>
      <c r="NTI23" s="229">
        <v>0</v>
      </c>
      <c r="NTJ23" s="229">
        <v>0</v>
      </c>
      <c r="NTK23" s="229">
        <v>0</v>
      </c>
      <c r="NTL23" s="229">
        <v>0</v>
      </c>
      <c r="NTM23" s="229">
        <v>0</v>
      </c>
      <c r="NTN23" s="229">
        <v>0</v>
      </c>
      <c r="NTO23" s="229">
        <v>0</v>
      </c>
      <c r="NTP23" s="229">
        <v>0</v>
      </c>
      <c r="NTQ23" s="229">
        <v>0</v>
      </c>
      <c r="NTR23" s="229">
        <v>0</v>
      </c>
      <c r="NTS23" s="229">
        <v>0</v>
      </c>
      <c r="NTT23" s="229">
        <v>0</v>
      </c>
      <c r="NTU23" s="229">
        <v>0</v>
      </c>
      <c r="NTV23" s="229">
        <v>0</v>
      </c>
      <c r="NTW23" s="229">
        <v>0</v>
      </c>
      <c r="NTX23" s="229">
        <v>0</v>
      </c>
      <c r="NTY23" s="229">
        <v>0</v>
      </c>
      <c r="NTZ23" s="229">
        <v>0</v>
      </c>
      <c r="NUA23" s="229">
        <v>0</v>
      </c>
      <c r="NUB23" s="229">
        <v>0</v>
      </c>
      <c r="NUC23" s="229">
        <v>0</v>
      </c>
      <c r="NUD23" s="229">
        <v>0</v>
      </c>
      <c r="NUE23" s="229">
        <v>0</v>
      </c>
      <c r="NUF23" s="229">
        <v>0</v>
      </c>
      <c r="NUG23" s="229">
        <v>0</v>
      </c>
      <c r="NUH23" s="229">
        <v>0</v>
      </c>
      <c r="NUI23" s="229">
        <v>0</v>
      </c>
      <c r="NUJ23" s="229">
        <v>0</v>
      </c>
      <c r="NUK23" s="229">
        <v>0</v>
      </c>
      <c r="NUL23" s="229">
        <v>0</v>
      </c>
      <c r="NUM23" s="229">
        <v>0</v>
      </c>
      <c r="NUN23" s="229">
        <v>0</v>
      </c>
      <c r="NUO23" s="229">
        <v>0</v>
      </c>
      <c r="NUP23" s="229">
        <v>0</v>
      </c>
      <c r="NUQ23" s="229">
        <v>0</v>
      </c>
      <c r="NUR23" s="229">
        <v>0</v>
      </c>
      <c r="NUS23" s="229">
        <v>0</v>
      </c>
      <c r="NUT23" s="229">
        <v>0</v>
      </c>
      <c r="NUU23" s="229">
        <v>0</v>
      </c>
      <c r="NUV23" s="229">
        <v>0</v>
      </c>
      <c r="NUW23" s="229">
        <v>0</v>
      </c>
      <c r="NUX23" s="229">
        <v>0</v>
      </c>
      <c r="NUY23" s="229">
        <v>0</v>
      </c>
      <c r="NUZ23" s="229">
        <v>0</v>
      </c>
      <c r="NVA23" s="229">
        <v>0</v>
      </c>
      <c r="NVB23" s="229">
        <v>0</v>
      </c>
      <c r="NVC23" s="229">
        <v>0</v>
      </c>
      <c r="NVD23" s="229">
        <v>0</v>
      </c>
      <c r="NVE23" s="229">
        <v>0</v>
      </c>
      <c r="NVF23" s="229">
        <v>0</v>
      </c>
      <c r="NVG23" s="229">
        <v>0</v>
      </c>
      <c r="NVH23" s="229">
        <v>0</v>
      </c>
      <c r="NVI23" s="229">
        <v>0</v>
      </c>
      <c r="NVJ23" s="229">
        <v>0</v>
      </c>
      <c r="NVK23" s="229">
        <v>0</v>
      </c>
      <c r="NVL23" s="229">
        <v>0</v>
      </c>
      <c r="NVM23" s="229">
        <v>0</v>
      </c>
      <c r="NVN23" s="229">
        <v>0</v>
      </c>
      <c r="NVO23" s="229">
        <v>0</v>
      </c>
      <c r="NVP23" s="229">
        <v>0</v>
      </c>
      <c r="NVQ23" s="229">
        <v>0</v>
      </c>
      <c r="NVR23" s="229">
        <v>0</v>
      </c>
      <c r="NVS23" s="229">
        <v>0</v>
      </c>
      <c r="NVT23" s="229">
        <v>0</v>
      </c>
      <c r="NVU23" s="229">
        <v>0</v>
      </c>
      <c r="NVV23" s="229">
        <v>0</v>
      </c>
      <c r="NVW23" s="229">
        <v>0</v>
      </c>
      <c r="NVX23" s="229">
        <v>0</v>
      </c>
      <c r="NVY23" s="229">
        <v>0</v>
      </c>
      <c r="NVZ23" s="229">
        <v>0</v>
      </c>
      <c r="NWA23" s="229">
        <v>0</v>
      </c>
      <c r="NWB23" s="229">
        <v>0</v>
      </c>
      <c r="NWC23" s="229">
        <v>0</v>
      </c>
      <c r="NWD23" s="229">
        <v>0</v>
      </c>
      <c r="NWE23" s="229">
        <v>0</v>
      </c>
      <c r="NWF23" s="229">
        <v>0</v>
      </c>
      <c r="NWG23" s="229">
        <v>0</v>
      </c>
      <c r="NWH23" s="229">
        <v>0</v>
      </c>
      <c r="NWI23" s="229">
        <v>0</v>
      </c>
      <c r="NWJ23" s="229">
        <v>0</v>
      </c>
      <c r="NWK23" s="229">
        <v>0</v>
      </c>
      <c r="NWL23" s="229">
        <v>0</v>
      </c>
      <c r="NWM23" s="229">
        <v>0</v>
      </c>
      <c r="NWN23" s="229">
        <v>0</v>
      </c>
      <c r="NWO23" s="229">
        <v>0</v>
      </c>
      <c r="NWP23" s="229">
        <v>0</v>
      </c>
      <c r="NWQ23" s="229">
        <v>0</v>
      </c>
      <c r="NWR23" s="229">
        <v>0</v>
      </c>
      <c r="NWS23" s="229">
        <v>0</v>
      </c>
      <c r="NWT23" s="229">
        <v>0</v>
      </c>
      <c r="NWU23" s="229">
        <v>0</v>
      </c>
      <c r="NWV23" s="229">
        <v>0</v>
      </c>
      <c r="NWW23" s="229">
        <v>0</v>
      </c>
      <c r="NWX23" s="229">
        <v>0</v>
      </c>
      <c r="NWY23" s="229">
        <v>0</v>
      </c>
      <c r="NWZ23" s="229">
        <v>0</v>
      </c>
      <c r="NXA23" s="229">
        <v>0</v>
      </c>
      <c r="NXB23" s="229">
        <v>0</v>
      </c>
      <c r="NXC23" s="229">
        <v>0</v>
      </c>
      <c r="NXD23" s="229">
        <v>0</v>
      </c>
      <c r="NXE23" s="229">
        <v>0</v>
      </c>
      <c r="NXF23" s="229">
        <v>0</v>
      </c>
      <c r="NXG23" s="229">
        <v>0</v>
      </c>
      <c r="NXH23" s="229">
        <v>0</v>
      </c>
      <c r="NXI23" s="229">
        <v>0</v>
      </c>
      <c r="NXJ23" s="229">
        <v>0</v>
      </c>
      <c r="NXK23" s="229">
        <v>0</v>
      </c>
      <c r="NXL23" s="229">
        <v>0</v>
      </c>
      <c r="NXM23" s="229">
        <v>0</v>
      </c>
      <c r="NXN23" s="229">
        <v>0</v>
      </c>
      <c r="NXO23" s="229">
        <v>0</v>
      </c>
      <c r="NXP23" s="229">
        <v>0</v>
      </c>
      <c r="NXQ23" s="229">
        <v>0</v>
      </c>
      <c r="NXR23" s="229">
        <v>0</v>
      </c>
      <c r="NXS23" s="229">
        <v>0</v>
      </c>
      <c r="NXT23" s="229">
        <v>0</v>
      </c>
      <c r="NXU23" s="229">
        <v>0</v>
      </c>
      <c r="NXV23" s="229">
        <v>0</v>
      </c>
      <c r="NXW23" s="229">
        <v>0</v>
      </c>
      <c r="NXX23" s="229">
        <v>0</v>
      </c>
      <c r="NXY23" s="229">
        <v>0</v>
      </c>
      <c r="NXZ23" s="229">
        <v>0</v>
      </c>
      <c r="NYA23" s="229">
        <v>0</v>
      </c>
      <c r="NYB23" s="229">
        <v>0</v>
      </c>
      <c r="NYC23" s="229">
        <v>0</v>
      </c>
      <c r="NYD23" s="229">
        <v>0</v>
      </c>
      <c r="NYE23" s="229">
        <v>0</v>
      </c>
      <c r="NYF23" s="229">
        <v>0</v>
      </c>
      <c r="NYG23" s="229">
        <v>0</v>
      </c>
      <c r="NYH23" s="229">
        <v>0</v>
      </c>
      <c r="NYI23" s="229">
        <v>0</v>
      </c>
      <c r="NYJ23" s="229">
        <v>0</v>
      </c>
      <c r="NYK23" s="229">
        <v>0</v>
      </c>
      <c r="NYL23" s="229">
        <v>0</v>
      </c>
      <c r="NYM23" s="229">
        <v>0</v>
      </c>
      <c r="NYN23" s="229">
        <v>0</v>
      </c>
      <c r="NYO23" s="229">
        <v>0</v>
      </c>
      <c r="NYP23" s="229">
        <v>0</v>
      </c>
      <c r="NYQ23" s="229">
        <v>0</v>
      </c>
      <c r="NYR23" s="229">
        <v>0</v>
      </c>
      <c r="NYS23" s="229">
        <v>0</v>
      </c>
      <c r="NYT23" s="229">
        <v>0</v>
      </c>
      <c r="NYU23" s="229">
        <v>0</v>
      </c>
      <c r="NYV23" s="229">
        <v>0</v>
      </c>
      <c r="NYW23" s="229">
        <v>0</v>
      </c>
      <c r="NYX23" s="229">
        <v>0</v>
      </c>
      <c r="NYY23" s="229">
        <v>0</v>
      </c>
      <c r="NYZ23" s="229">
        <v>0</v>
      </c>
      <c r="NZA23" s="229">
        <v>0</v>
      </c>
      <c r="NZB23" s="229">
        <v>0</v>
      </c>
      <c r="NZC23" s="229">
        <v>0</v>
      </c>
      <c r="NZD23" s="229">
        <v>0</v>
      </c>
      <c r="NZE23" s="229">
        <v>0</v>
      </c>
      <c r="NZF23" s="229">
        <v>0</v>
      </c>
      <c r="NZG23" s="229">
        <v>0</v>
      </c>
      <c r="NZH23" s="229">
        <v>0</v>
      </c>
      <c r="NZI23" s="229">
        <v>0</v>
      </c>
      <c r="NZJ23" s="229">
        <v>0</v>
      </c>
      <c r="NZK23" s="229">
        <v>0</v>
      </c>
      <c r="NZL23" s="229">
        <v>0</v>
      </c>
      <c r="NZM23" s="229">
        <v>0</v>
      </c>
      <c r="NZN23" s="229">
        <v>0</v>
      </c>
      <c r="NZO23" s="229">
        <v>0</v>
      </c>
      <c r="NZP23" s="229">
        <v>0</v>
      </c>
      <c r="NZQ23" s="229">
        <v>0</v>
      </c>
      <c r="NZR23" s="229">
        <v>0</v>
      </c>
      <c r="NZS23" s="229">
        <v>0</v>
      </c>
      <c r="NZT23" s="229">
        <v>0</v>
      </c>
      <c r="NZU23" s="229">
        <v>0</v>
      </c>
      <c r="NZV23" s="229">
        <v>0</v>
      </c>
      <c r="NZW23" s="229">
        <v>0</v>
      </c>
      <c r="NZX23" s="229">
        <v>0</v>
      </c>
      <c r="NZY23" s="229">
        <v>0</v>
      </c>
      <c r="NZZ23" s="229">
        <v>0</v>
      </c>
      <c r="OAA23" s="229">
        <v>0</v>
      </c>
      <c r="OAB23" s="229">
        <v>0</v>
      </c>
      <c r="OAC23" s="229">
        <v>0</v>
      </c>
      <c r="OAD23" s="229">
        <v>0</v>
      </c>
      <c r="OAE23" s="229">
        <v>0</v>
      </c>
      <c r="OAF23" s="229">
        <v>0</v>
      </c>
      <c r="OAG23" s="229">
        <v>0</v>
      </c>
      <c r="OAH23" s="229">
        <v>0</v>
      </c>
      <c r="OAI23" s="229">
        <v>0</v>
      </c>
      <c r="OAJ23" s="229">
        <v>0</v>
      </c>
      <c r="OAK23" s="229">
        <v>0</v>
      </c>
      <c r="OAL23" s="229">
        <v>0</v>
      </c>
      <c r="OAM23" s="229">
        <v>0</v>
      </c>
      <c r="OAN23" s="229">
        <v>0</v>
      </c>
      <c r="OAO23" s="229">
        <v>0</v>
      </c>
      <c r="OAP23" s="229">
        <v>0</v>
      </c>
      <c r="OAQ23" s="229">
        <v>0</v>
      </c>
      <c r="OAR23" s="229">
        <v>0</v>
      </c>
      <c r="OAS23" s="229">
        <v>0</v>
      </c>
      <c r="OAT23" s="229">
        <v>0</v>
      </c>
      <c r="OAU23" s="229">
        <v>0</v>
      </c>
      <c r="OAV23" s="229">
        <v>0</v>
      </c>
      <c r="OAW23" s="229">
        <v>0</v>
      </c>
      <c r="OAX23" s="229">
        <v>0</v>
      </c>
      <c r="OAY23" s="229">
        <v>0</v>
      </c>
      <c r="OAZ23" s="229">
        <v>0</v>
      </c>
      <c r="OBA23" s="229">
        <v>0</v>
      </c>
      <c r="OBB23" s="229">
        <v>0</v>
      </c>
      <c r="OBC23" s="229">
        <v>0</v>
      </c>
      <c r="OBD23" s="229">
        <v>0</v>
      </c>
      <c r="OBE23" s="229">
        <v>0</v>
      </c>
      <c r="OBF23" s="229">
        <v>0</v>
      </c>
      <c r="OBG23" s="229">
        <v>0</v>
      </c>
      <c r="OBH23" s="229">
        <v>0</v>
      </c>
      <c r="OBI23" s="229">
        <v>0</v>
      </c>
      <c r="OBJ23" s="229">
        <v>0</v>
      </c>
      <c r="OBK23" s="229">
        <v>0</v>
      </c>
      <c r="OBL23" s="229">
        <v>0</v>
      </c>
      <c r="OBM23" s="229">
        <v>0</v>
      </c>
      <c r="OBN23" s="229">
        <v>0</v>
      </c>
      <c r="OBO23" s="229">
        <v>0</v>
      </c>
      <c r="OBP23" s="229">
        <v>0</v>
      </c>
      <c r="OBQ23" s="229">
        <v>0</v>
      </c>
      <c r="OBR23" s="229">
        <v>0</v>
      </c>
      <c r="OBS23" s="229">
        <v>0</v>
      </c>
      <c r="OBT23" s="229">
        <v>0</v>
      </c>
      <c r="OBU23" s="229">
        <v>0</v>
      </c>
      <c r="OBV23" s="229">
        <v>0</v>
      </c>
      <c r="OBW23" s="229">
        <v>0</v>
      </c>
      <c r="OBX23" s="229">
        <v>0</v>
      </c>
      <c r="OBY23" s="229">
        <v>0</v>
      </c>
      <c r="OBZ23" s="229">
        <v>0</v>
      </c>
      <c r="OCA23" s="229">
        <v>0</v>
      </c>
      <c r="OCB23" s="229">
        <v>0</v>
      </c>
      <c r="OCC23" s="229">
        <v>0</v>
      </c>
      <c r="OCD23" s="229">
        <v>0</v>
      </c>
      <c r="OCE23" s="229">
        <v>0</v>
      </c>
      <c r="OCF23" s="229">
        <v>0</v>
      </c>
      <c r="OCG23" s="229">
        <v>0</v>
      </c>
      <c r="OCH23" s="229">
        <v>0</v>
      </c>
      <c r="OCI23" s="229">
        <v>0</v>
      </c>
      <c r="OCJ23" s="229">
        <v>0</v>
      </c>
      <c r="OCK23" s="229">
        <v>0</v>
      </c>
      <c r="OCL23" s="229">
        <v>0</v>
      </c>
      <c r="OCM23" s="229">
        <v>0</v>
      </c>
      <c r="OCN23" s="229">
        <v>0</v>
      </c>
      <c r="OCO23" s="229">
        <v>0</v>
      </c>
      <c r="OCP23" s="229">
        <v>0</v>
      </c>
      <c r="OCQ23" s="229">
        <v>0</v>
      </c>
      <c r="OCR23" s="229">
        <v>0</v>
      </c>
      <c r="OCS23" s="229">
        <v>0</v>
      </c>
      <c r="OCT23" s="229">
        <v>0</v>
      </c>
      <c r="OCU23" s="229">
        <v>0</v>
      </c>
      <c r="OCV23" s="229">
        <v>0</v>
      </c>
      <c r="OCW23" s="229">
        <v>0</v>
      </c>
      <c r="OCX23" s="229">
        <v>0</v>
      </c>
      <c r="OCY23" s="229">
        <v>0</v>
      </c>
      <c r="OCZ23" s="229">
        <v>0</v>
      </c>
      <c r="ODA23" s="229">
        <v>0</v>
      </c>
      <c r="ODB23" s="229">
        <v>0</v>
      </c>
      <c r="ODC23" s="229">
        <v>0</v>
      </c>
      <c r="ODD23" s="229">
        <v>0</v>
      </c>
      <c r="ODE23" s="229">
        <v>0</v>
      </c>
      <c r="ODF23" s="229">
        <v>0</v>
      </c>
      <c r="ODG23" s="229">
        <v>0</v>
      </c>
      <c r="ODH23" s="229">
        <v>0</v>
      </c>
      <c r="ODI23" s="229">
        <v>0</v>
      </c>
      <c r="ODJ23" s="229">
        <v>0</v>
      </c>
      <c r="ODK23" s="229">
        <v>0</v>
      </c>
      <c r="ODL23" s="229">
        <v>0</v>
      </c>
      <c r="ODM23" s="229">
        <v>0</v>
      </c>
      <c r="ODN23" s="229">
        <v>0</v>
      </c>
      <c r="ODO23" s="229">
        <v>0</v>
      </c>
      <c r="ODP23" s="229">
        <v>0</v>
      </c>
      <c r="ODQ23" s="229">
        <v>0</v>
      </c>
      <c r="ODR23" s="229">
        <v>0</v>
      </c>
      <c r="ODS23" s="229">
        <v>0</v>
      </c>
      <c r="ODT23" s="229">
        <v>0</v>
      </c>
      <c r="ODU23" s="229">
        <v>0</v>
      </c>
      <c r="ODV23" s="229">
        <v>0</v>
      </c>
      <c r="ODW23" s="229">
        <v>0</v>
      </c>
      <c r="ODX23" s="229">
        <v>0</v>
      </c>
      <c r="ODY23" s="229">
        <v>0</v>
      </c>
      <c r="ODZ23" s="229">
        <v>0</v>
      </c>
      <c r="OEA23" s="229">
        <v>0</v>
      </c>
      <c r="OEB23" s="229">
        <v>0</v>
      </c>
      <c r="OEC23" s="229">
        <v>0</v>
      </c>
      <c r="OED23" s="229">
        <v>0</v>
      </c>
      <c r="OEE23" s="229">
        <v>0</v>
      </c>
      <c r="OEF23" s="229">
        <v>0</v>
      </c>
      <c r="OEG23" s="229">
        <v>0</v>
      </c>
      <c r="OEH23" s="229">
        <v>0</v>
      </c>
      <c r="OEI23" s="229">
        <v>0</v>
      </c>
      <c r="OEJ23" s="229">
        <v>0</v>
      </c>
      <c r="OEK23" s="229">
        <v>0</v>
      </c>
      <c r="OEL23" s="229">
        <v>0</v>
      </c>
      <c r="OEM23" s="229">
        <v>0</v>
      </c>
      <c r="OEN23" s="229">
        <v>0</v>
      </c>
      <c r="OEO23" s="229">
        <v>0</v>
      </c>
      <c r="OEP23" s="229">
        <v>0</v>
      </c>
      <c r="OEQ23" s="229">
        <v>0</v>
      </c>
      <c r="OER23" s="229">
        <v>0</v>
      </c>
      <c r="OES23" s="229">
        <v>0</v>
      </c>
      <c r="OET23" s="229">
        <v>0</v>
      </c>
      <c r="OEU23" s="229">
        <v>0</v>
      </c>
      <c r="OEV23" s="229">
        <v>0</v>
      </c>
      <c r="OEW23" s="229">
        <v>0</v>
      </c>
      <c r="OEX23" s="229">
        <v>0</v>
      </c>
      <c r="OEY23" s="229">
        <v>0</v>
      </c>
      <c r="OEZ23" s="229">
        <v>0</v>
      </c>
      <c r="OFA23" s="229">
        <v>0</v>
      </c>
      <c r="OFB23" s="229">
        <v>0</v>
      </c>
      <c r="OFC23" s="229">
        <v>0</v>
      </c>
      <c r="OFD23" s="229">
        <v>0</v>
      </c>
      <c r="OFE23" s="229">
        <v>0</v>
      </c>
      <c r="OFF23" s="229">
        <v>0</v>
      </c>
      <c r="OFG23" s="229">
        <v>0</v>
      </c>
      <c r="OFH23" s="229">
        <v>0</v>
      </c>
      <c r="OFI23" s="229">
        <v>0</v>
      </c>
      <c r="OFJ23" s="229">
        <v>0</v>
      </c>
      <c r="OFK23" s="229">
        <v>0</v>
      </c>
      <c r="OFL23" s="229">
        <v>0</v>
      </c>
      <c r="OFM23" s="229">
        <v>0</v>
      </c>
      <c r="OFN23" s="229">
        <v>0</v>
      </c>
      <c r="OFO23" s="229">
        <v>0</v>
      </c>
      <c r="OFP23" s="229">
        <v>0</v>
      </c>
      <c r="OFQ23" s="229">
        <v>0</v>
      </c>
      <c r="OFR23" s="229">
        <v>0</v>
      </c>
      <c r="OFS23" s="229">
        <v>0</v>
      </c>
      <c r="OFT23" s="229">
        <v>0</v>
      </c>
      <c r="OFU23" s="229">
        <v>0</v>
      </c>
      <c r="OFV23" s="229">
        <v>0</v>
      </c>
      <c r="OFW23" s="229">
        <v>0</v>
      </c>
      <c r="OFX23" s="229">
        <v>0</v>
      </c>
      <c r="OFY23" s="229">
        <v>0</v>
      </c>
      <c r="OFZ23" s="229">
        <v>0</v>
      </c>
      <c r="OGA23" s="229">
        <v>0</v>
      </c>
      <c r="OGB23" s="229">
        <v>0</v>
      </c>
      <c r="OGC23" s="229">
        <v>0</v>
      </c>
      <c r="OGD23" s="229">
        <v>0</v>
      </c>
      <c r="OGE23" s="229">
        <v>0</v>
      </c>
      <c r="OGF23" s="229">
        <v>0</v>
      </c>
      <c r="OGG23" s="229">
        <v>0</v>
      </c>
      <c r="OGH23" s="229">
        <v>0</v>
      </c>
      <c r="OGI23" s="229">
        <v>0</v>
      </c>
      <c r="OGJ23" s="229">
        <v>0</v>
      </c>
      <c r="OGK23" s="229">
        <v>0</v>
      </c>
      <c r="OGL23" s="229">
        <v>0</v>
      </c>
      <c r="OGM23" s="229">
        <v>0</v>
      </c>
      <c r="OGN23" s="229">
        <v>0</v>
      </c>
      <c r="OGO23" s="229">
        <v>0</v>
      </c>
      <c r="OGP23" s="229">
        <v>0</v>
      </c>
      <c r="OGQ23" s="229">
        <v>0</v>
      </c>
      <c r="OGR23" s="229">
        <v>0</v>
      </c>
      <c r="OGS23" s="229">
        <v>0</v>
      </c>
      <c r="OGT23" s="229">
        <v>0</v>
      </c>
      <c r="OGU23" s="229">
        <v>0</v>
      </c>
      <c r="OGV23" s="229">
        <v>0</v>
      </c>
      <c r="OGW23" s="229">
        <v>0</v>
      </c>
      <c r="OGX23" s="229">
        <v>0</v>
      </c>
      <c r="OGY23" s="229">
        <v>0</v>
      </c>
      <c r="OGZ23" s="229">
        <v>0</v>
      </c>
      <c r="OHA23" s="229">
        <v>0</v>
      </c>
      <c r="OHB23" s="229">
        <v>0</v>
      </c>
      <c r="OHC23" s="229">
        <v>0</v>
      </c>
      <c r="OHD23" s="229">
        <v>0</v>
      </c>
      <c r="OHE23" s="229">
        <v>0</v>
      </c>
      <c r="OHF23" s="229">
        <v>0</v>
      </c>
      <c r="OHG23" s="229">
        <v>0</v>
      </c>
      <c r="OHH23" s="229">
        <v>0</v>
      </c>
      <c r="OHI23" s="229">
        <v>0</v>
      </c>
      <c r="OHJ23" s="229">
        <v>0</v>
      </c>
      <c r="OHK23" s="229">
        <v>0</v>
      </c>
      <c r="OHL23" s="229">
        <v>0</v>
      </c>
      <c r="OHM23" s="229">
        <v>0</v>
      </c>
      <c r="OHN23" s="229">
        <v>0</v>
      </c>
      <c r="OHO23" s="229">
        <v>0</v>
      </c>
      <c r="OHP23" s="229">
        <v>0</v>
      </c>
      <c r="OHQ23" s="229">
        <v>0</v>
      </c>
      <c r="OHR23" s="229">
        <v>0</v>
      </c>
      <c r="OHS23" s="229">
        <v>0</v>
      </c>
      <c r="OHT23" s="229">
        <v>0</v>
      </c>
      <c r="OHU23" s="229">
        <v>0</v>
      </c>
      <c r="OHV23" s="229">
        <v>0</v>
      </c>
      <c r="OHW23" s="229">
        <v>0</v>
      </c>
      <c r="OHX23" s="229">
        <v>0</v>
      </c>
      <c r="OHY23" s="229">
        <v>0</v>
      </c>
      <c r="OHZ23" s="229">
        <v>0</v>
      </c>
      <c r="OIA23" s="229">
        <v>0</v>
      </c>
      <c r="OIB23" s="229">
        <v>0</v>
      </c>
      <c r="OIC23" s="229">
        <v>0</v>
      </c>
      <c r="OID23" s="229">
        <v>0</v>
      </c>
      <c r="OIE23" s="229">
        <v>0</v>
      </c>
      <c r="OIF23" s="229">
        <v>0</v>
      </c>
      <c r="OIG23" s="229">
        <v>0</v>
      </c>
      <c r="OIH23" s="229">
        <v>0</v>
      </c>
      <c r="OII23" s="229">
        <v>0</v>
      </c>
      <c r="OIJ23" s="229">
        <v>0</v>
      </c>
      <c r="OIK23" s="229">
        <v>0</v>
      </c>
      <c r="OIL23" s="229">
        <v>0</v>
      </c>
      <c r="OIM23" s="229">
        <v>0</v>
      </c>
      <c r="OIN23" s="229">
        <v>0</v>
      </c>
      <c r="OIO23" s="229">
        <v>0</v>
      </c>
      <c r="OIP23" s="229">
        <v>0</v>
      </c>
      <c r="OIQ23" s="229">
        <v>0</v>
      </c>
      <c r="OIR23" s="229">
        <v>0</v>
      </c>
      <c r="OIS23" s="229">
        <v>0</v>
      </c>
      <c r="OIT23" s="229">
        <v>0</v>
      </c>
      <c r="OIU23" s="229">
        <v>0</v>
      </c>
      <c r="OIV23" s="229">
        <v>0</v>
      </c>
      <c r="OIW23" s="229">
        <v>0</v>
      </c>
      <c r="OIX23" s="229">
        <v>0</v>
      </c>
      <c r="OIY23" s="229">
        <v>0</v>
      </c>
      <c r="OIZ23" s="229">
        <v>0</v>
      </c>
      <c r="OJA23" s="229">
        <v>0</v>
      </c>
      <c r="OJB23" s="229">
        <v>0</v>
      </c>
      <c r="OJC23" s="229">
        <v>0</v>
      </c>
      <c r="OJD23" s="229">
        <v>0</v>
      </c>
      <c r="OJE23" s="229">
        <v>0</v>
      </c>
      <c r="OJF23" s="229">
        <v>0</v>
      </c>
      <c r="OJG23" s="229">
        <v>0</v>
      </c>
      <c r="OJH23" s="229">
        <v>0</v>
      </c>
      <c r="OJI23" s="229">
        <v>0</v>
      </c>
      <c r="OJJ23" s="229">
        <v>0</v>
      </c>
      <c r="OJK23" s="229">
        <v>0</v>
      </c>
      <c r="OJL23" s="229">
        <v>0</v>
      </c>
      <c r="OJM23" s="229">
        <v>0</v>
      </c>
      <c r="OJN23" s="229">
        <v>0</v>
      </c>
      <c r="OJO23" s="229">
        <v>0</v>
      </c>
      <c r="OJP23" s="229">
        <v>0</v>
      </c>
      <c r="OJQ23" s="229">
        <v>0</v>
      </c>
      <c r="OJR23" s="229">
        <v>0</v>
      </c>
      <c r="OJS23" s="229">
        <v>0</v>
      </c>
      <c r="OJT23" s="229">
        <v>0</v>
      </c>
      <c r="OJU23" s="229">
        <v>0</v>
      </c>
      <c r="OJV23" s="229">
        <v>0</v>
      </c>
      <c r="OJW23" s="229">
        <v>0</v>
      </c>
      <c r="OJX23" s="229">
        <v>0</v>
      </c>
      <c r="OJY23" s="229">
        <v>0</v>
      </c>
      <c r="OJZ23" s="229">
        <v>0</v>
      </c>
      <c r="OKA23" s="229">
        <v>0</v>
      </c>
      <c r="OKB23" s="229">
        <v>0</v>
      </c>
      <c r="OKC23" s="229">
        <v>0</v>
      </c>
      <c r="OKD23" s="229">
        <v>0</v>
      </c>
      <c r="OKE23" s="229">
        <v>0</v>
      </c>
      <c r="OKF23" s="229">
        <v>0</v>
      </c>
      <c r="OKG23" s="229">
        <v>0</v>
      </c>
      <c r="OKH23" s="229">
        <v>0</v>
      </c>
      <c r="OKI23" s="229">
        <v>0</v>
      </c>
      <c r="OKJ23" s="229">
        <v>0</v>
      </c>
      <c r="OKK23" s="229">
        <v>0</v>
      </c>
      <c r="OKL23" s="229">
        <v>0</v>
      </c>
      <c r="OKM23" s="229">
        <v>0</v>
      </c>
      <c r="OKN23" s="229">
        <v>0</v>
      </c>
      <c r="OKO23" s="229">
        <v>0</v>
      </c>
      <c r="OKP23" s="229">
        <v>0</v>
      </c>
      <c r="OKQ23" s="229">
        <v>0</v>
      </c>
      <c r="OKR23" s="229">
        <v>0</v>
      </c>
      <c r="OKS23" s="229">
        <v>0</v>
      </c>
      <c r="OKT23" s="229">
        <v>0</v>
      </c>
      <c r="OKU23" s="229">
        <v>0</v>
      </c>
      <c r="OKV23" s="229">
        <v>0</v>
      </c>
      <c r="OKW23" s="229">
        <v>0</v>
      </c>
      <c r="OKX23" s="229">
        <v>0</v>
      </c>
      <c r="OKY23" s="229">
        <v>0</v>
      </c>
      <c r="OKZ23" s="229">
        <v>0</v>
      </c>
      <c r="OLA23" s="229">
        <v>0</v>
      </c>
      <c r="OLB23" s="229">
        <v>0</v>
      </c>
      <c r="OLC23" s="229">
        <v>0</v>
      </c>
      <c r="OLD23" s="229">
        <v>0</v>
      </c>
      <c r="OLE23" s="229">
        <v>0</v>
      </c>
      <c r="OLF23" s="229">
        <v>0</v>
      </c>
      <c r="OLG23" s="229">
        <v>0</v>
      </c>
      <c r="OLH23" s="229">
        <v>0</v>
      </c>
      <c r="OLI23" s="229">
        <v>0</v>
      </c>
      <c r="OLJ23" s="229">
        <v>0</v>
      </c>
      <c r="OLK23" s="229">
        <v>0</v>
      </c>
      <c r="OLL23" s="229">
        <v>0</v>
      </c>
      <c r="OLM23" s="229">
        <v>0</v>
      </c>
      <c r="OLN23" s="229">
        <v>0</v>
      </c>
      <c r="OLO23" s="229">
        <v>0</v>
      </c>
      <c r="OLP23" s="229">
        <v>0</v>
      </c>
      <c r="OLQ23" s="229">
        <v>0</v>
      </c>
      <c r="OLR23" s="229">
        <v>0</v>
      </c>
      <c r="OLS23" s="229">
        <v>0</v>
      </c>
      <c r="OLT23" s="229">
        <v>0</v>
      </c>
      <c r="OLU23" s="229">
        <v>0</v>
      </c>
      <c r="OLV23" s="229">
        <v>0</v>
      </c>
      <c r="OLW23" s="229">
        <v>0</v>
      </c>
      <c r="OLX23" s="229">
        <v>0</v>
      </c>
      <c r="OLY23" s="229">
        <v>0</v>
      </c>
      <c r="OLZ23" s="229">
        <v>0</v>
      </c>
      <c r="OMA23" s="229">
        <v>0</v>
      </c>
      <c r="OMB23" s="229">
        <v>0</v>
      </c>
      <c r="OMC23" s="229">
        <v>0</v>
      </c>
      <c r="OMD23" s="229">
        <v>0</v>
      </c>
      <c r="OME23" s="229">
        <v>0</v>
      </c>
      <c r="OMF23" s="229">
        <v>0</v>
      </c>
      <c r="OMG23" s="229">
        <v>0</v>
      </c>
      <c r="OMH23" s="229">
        <v>0</v>
      </c>
      <c r="OMI23" s="229">
        <v>0</v>
      </c>
      <c r="OMJ23" s="229">
        <v>0</v>
      </c>
      <c r="OMK23" s="229">
        <v>0</v>
      </c>
      <c r="OML23" s="229">
        <v>0</v>
      </c>
      <c r="OMM23" s="229">
        <v>0</v>
      </c>
      <c r="OMN23" s="229">
        <v>0</v>
      </c>
      <c r="OMO23" s="229">
        <v>0</v>
      </c>
      <c r="OMP23" s="229">
        <v>0</v>
      </c>
      <c r="OMQ23" s="229">
        <v>0</v>
      </c>
      <c r="OMR23" s="229">
        <v>0</v>
      </c>
      <c r="OMS23" s="229">
        <v>0</v>
      </c>
      <c r="OMT23" s="229">
        <v>0</v>
      </c>
      <c r="OMU23" s="229">
        <v>0</v>
      </c>
      <c r="OMV23" s="229">
        <v>0</v>
      </c>
      <c r="OMW23" s="229">
        <v>0</v>
      </c>
      <c r="OMX23" s="229">
        <v>0</v>
      </c>
      <c r="OMY23" s="229">
        <v>0</v>
      </c>
      <c r="OMZ23" s="229">
        <v>0</v>
      </c>
      <c r="ONA23" s="229">
        <v>0</v>
      </c>
      <c r="ONB23" s="229">
        <v>0</v>
      </c>
      <c r="ONC23" s="229">
        <v>0</v>
      </c>
      <c r="OND23" s="229">
        <v>0</v>
      </c>
      <c r="ONE23" s="229">
        <v>0</v>
      </c>
      <c r="ONF23" s="229">
        <v>0</v>
      </c>
      <c r="ONG23" s="229">
        <v>0</v>
      </c>
      <c r="ONH23" s="229">
        <v>0</v>
      </c>
      <c r="ONI23" s="229">
        <v>0</v>
      </c>
      <c r="ONJ23" s="229">
        <v>0</v>
      </c>
      <c r="ONK23" s="229">
        <v>0</v>
      </c>
      <c r="ONL23" s="229">
        <v>0</v>
      </c>
      <c r="ONM23" s="229">
        <v>0</v>
      </c>
      <c r="ONN23" s="229">
        <v>0</v>
      </c>
      <c r="ONO23" s="229">
        <v>0</v>
      </c>
      <c r="ONP23" s="229">
        <v>0</v>
      </c>
      <c r="ONQ23" s="229">
        <v>0</v>
      </c>
      <c r="ONR23" s="229">
        <v>0</v>
      </c>
      <c r="ONS23" s="229">
        <v>0</v>
      </c>
      <c r="ONT23" s="229">
        <v>0</v>
      </c>
      <c r="ONU23" s="229">
        <v>0</v>
      </c>
      <c r="ONV23" s="229">
        <v>0</v>
      </c>
      <c r="ONW23" s="229">
        <v>0</v>
      </c>
      <c r="ONX23" s="229">
        <v>0</v>
      </c>
      <c r="ONY23" s="229">
        <v>0</v>
      </c>
      <c r="ONZ23" s="229">
        <v>0</v>
      </c>
      <c r="OOA23" s="229">
        <v>0</v>
      </c>
      <c r="OOB23" s="229">
        <v>0</v>
      </c>
      <c r="OOC23" s="229">
        <v>0</v>
      </c>
      <c r="OOD23" s="229">
        <v>0</v>
      </c>
      <c r="OOE23" s="229">
        <v>0</v>
      </c>
      <c r="OOF23" s="229">
        <v>0</v>
      </c>
      <c r="OOG23" s="229">
        <v>0</v>
      </c>
      <c r="OOH23" s="229">
        <v>0</v>
      </c>
      <c r="OOI23" s="229">
        <v>0</v>
      </c>
      <c r="OOJ23" s="229">
        <v>0</v>
      </c>
      <c r="OOK23" s="229">
        <v>0</v>
      </c>
      <c r="OOL23" s="229">
        <v>0</v>
      </c>
      <c r="OOM23" s="229">
        <v>0</v>
      </c>
      <c r="OON23" s="229">
        <v>0</v>
      </c>
      <c r="OOO23" s="229">
        <v>0</v>
      </c>
      <c r="OOP23" s="229">
        <v>0</v>
      </c>
      <c r="OOQ23" s="229">
        <v>0</v>
      </c>
      <c r="OOR23" s="229">
        <v>0</v>
      </c>
      <c r="OOS23" s="229">
        <v>0</v>
      </c>
      <c r="OOT23" s="229">
        <v>0</v>
      </c>
      <c r="OOU23" s="229">
        <v>0</v>
      </c>
      <c r="OOV23" s="229">
        <v>0</v>
      </c>
      <c r="OOW23" s="229">
        <v>0</v>
      </c>
      <c r="OOX23" s="229">
        <v>0</v>
      </c>
      <c r="OOY23" s="229">
        <v>0</v>
      </c>
      <c r="OOZ23" s="229">
        <v>0</v>
      </c>
      <c r="OPA23" s="229">
        <v>0</v>
      </c>
      <c r="OPB23" s="229">
        <v>0</v>
      </c>
      <c r="OPC23" s="229">
        <v>0</v>
      </c>
      <c r="OPD23" s="229">
        <v>0</v>
      </c>
      <c r="OPE23" s="229">
        <v>0</v>
      </c>
      <c r="OPF23" s="229">
        <v>0</v>
      </c>
      <c r="OPG23" s="229">
        <v>0</v>
      </c>
      <c r="OPH23" s="229">
        <v>0</v>
      </c>
      <c r="OPI23" s="229">
        <v>0</v>
      </c>
      <c r="OPJ23" s="229">
        <v>0</v>
      </c>
      <c r="OPK23" s="229">
        <v>0</v>
      </c>
      <c r="OPL23" s="229">
        <v>0</v>
      </c>
      <c r="OPM23" s="229">
        <v>0</v>
      </c>
      <c r="OPN23" s="229">
        <v>0</v>
      </c>
      <c r="OPO23" s="229">
        <v>0</v>
      </c>
      <c r="OPP23" s="229">
        <v>0</v>
      </c>
      <c r="OPQ23" s="229">
        <v>0</v>
      </c>
      <c r="OPR23" s="229">
        <v>0</v>
      </c>
      <c r="OPS23" s="229">
        <v>0</v>
      </c>
      <c r="OPT23" s="229">
        <v>0</v>
      </c>
      <c r="OPU23" s="229">
        <v>0</v>
      </c>
      <c r="OPV23" s="229">
        <v>0</v>
      </c>
      <c r="OPW23" s="229">
        <v>0</v>
      </c>
      <c r="OPX23" s="229">
        <v>0</v>
      </c>
      <c r="OPY23" s="229">
        <v>0</v>
      </c>
      <c r="OPZ23" s="229">
        <v>0</v>
      </c>
      <c r="OQA23" s="229">
        <v>0</v>
      </c>
      <c r="OQB23" s="229">
        <v>0</v>
      </c>
      <c r="OQC23" s="229">
        <v>0</v>
      </c>
      <c r="OQD23" s="229">
        <v>0</v>
      </c>
      <c r="OQE23" s="229">
        <v>0</v>
      </c>
      <c r="OQF23" s="229">
        <v>0</v>
      </c>
      <c r="OQG23" s="229">
        <v>0</v>
      </c>
      <c r="OQH23" s="229">
        <v>0</v>
      </c>
      <c r="OQI23" s="229">
        <v>0</v>
      </c>
      <c r="OQJ23" s="229">
        <v>0</v>
      </c>
      <c r="OQK23" s="229">
        <v>0</v>
      </c>
      <c r="OQL23" s="229">
        <v>0</v>
      </c>
      <c r="OQM23" s="229">
        <v>0</v>
      </c>
      <c r="OQN23" s="229">
        <v>0</v>
      </c>
      <c r="OQO23" s="229">
        <v>0</v>
      </c>
      <c r="OQP23" s="229">
        <v>0</v>
      </c>
      <c r="OQQ23" s="229">
        <v>0</v>
      </c>
      <c r="OQR23" s="229">
        <v>0</v>
      </c>
      <c r="OQS23" s="229">
        <v>0</v>
      </c>
      <c r="OQT23" s="229">
        <v>0</v>
      </c>
      <c r="OQU23" s="229">
        <v>0</v>
      </c>
      <c r="OQV23" s="229">
        <v>0</v>
      </c>
      <c r="OQW23" s="229">
        <v>0</v>
      </c>
      <c r="OQX23" s="229">
        <v>0</v>
      </c>
      <c r="OQY23" s="229">
        <v>0</v>
      </c>
      <c r="OQZ23" s="229">
        <v>0</v>
      </c>
      <c r="ORA23" s="229">
        <v>0</v>
      </c>
      <c r="ORB23" s="229">
        <v>0</v>
      </c>
      <c r="ORC23" s="229">
        <v>0</v>
      </c>
      <c r="ORD23" s="229">
        <v>0</v>
      </c>
      <c r="ORE23" s="229">
        <v>0</v>
      </c>
      <c r="ORF23" s="229">
        <v>0</v>
      </c>
      <c r="ORG23" s="229">
        <v>0</v>
      </c>
      <c r="ORH23" s="229">
        <v>0</v>
      </c>
      <c r="ORI23" s="229">
        <v>0</v>
      </c>
      <c r="ORJ23" s="229">
        <v>0</v>
      </c>
      <c r="ORK23" s="229">
        <v>0</v>
      </c>
      <c r="ORL23" s="229">
        <v>0</v>
      </c>
      <c r="ORM23" s="229">
        <v>0</v>
      </c>
      <c r="ORN23" s="229">
        <v>0</v>
      </c>
      <c r="ORO23" s="229">
        <v>0</v>
      </c>
      <c r="ORP23" s="229">
        <v>0</v>
      </c>
      <c r="ORQ23" s="229">
        <v>0</v>
      </c>
      <c r="ORR23" s="229">
        <v>0</v>
      </c>
      <c r="ORS23" s="229">
        <v>0</v>
      </c>
      <c r="ORT23" s="229">
        <v>0</v>
      </c>
      <c r="ORU23" s="229">
        <v>0</v>
      </c>
      <c r="ORV23" s="229">
        <v>0</v>
      </c>
      <c r="ORW23" s="229">
        <v>0</v>
      </c>
      <c r="ORX23" s="229">
        <v>0</v>
      </c>
      <c r="ORY23" s="229">
        <v>0</v>
      </c>
      <c r="ORZ23" s="229">
        <v>0</v>
      </c>
      <c r="OSA23" s="229">
        <v>0</v>
      </c>
      <c r="OSB23" s="229">
        <v>0</v>
      </c>
      <c r="OSC23" s="229">
        <v>0</v>
      </c>
      <c r="OSD23" s="229">
        <v>0</v>
      </c>
      <c r="OSE23" s="229">
        <v>0</v>
      </c>
      <c r="OSF23" s="229">
        <v>0</v>
      </c>
      <c r="OSG23" s="229">
        <v>0</v>
      </c>
      <c r="OSH23" s="229">
        <v>0</v>
      </c>
      <c r="OSI23" s="229">
        <v>0</v>
      </c>
      <c r="OSJ23" s="229">
        <v>0</v>
      </c>
      <c r="OSK23" s="229">
        <v>0</v>
      </c>
      <c r="OSL23" s="229">
        <v>0</v>
      </c>
      <c r="OSM23" s="229">
        <v>0</v>
      </c>
      <c r="OSN23" s="229">
        <v>0</v>
      </c>
      <c r="OSO23" s="229">
        <v>0</v>
      </c>
      <c r="OSP23" s="229">
        <v>0</v>
      </c>
      <c r="OSQ23" s="229">
        <v>0</v>
      </c>
      <c r="OSR23" s="229">
        <v>0</v>
      </c>
      <c r="OSS23" s="229">
        <v>0</v>
      </c>
      <c r="OST23" s="229">
        <v>0</v>
      </c>
      <c r="OSU23" s="229">
        <v>0</v>
      </c>
      <c r="OSV23" s="229">
        <v>0</v>
      </c>
      <c r="OSW23" s="229">
        <v>0</v>
      </c>
      <c r="OSX23" s="229">
        <v>0</v>
      </c>
      <c r="OSY23" s="229">
        <v>0</v>
      </c>
      <c r="OSZ23" s="229">
        <v>0</v>
      </c>
      <c r="OTA23" s="229">
        <v>0</v>
      </c>
      <c r="OTB23" s="229">
        <v>0</v>
      </c>
      <c r="OTC23" s="229">
        <v>0</v>
      </c>
      <c r="OTD23" s="229">
        <v>0</v>
      </c>
      <c r="OTE23" s="229">
        <v>0</v>
      </c>
      <c r="OTF23" s="229">
        <v>0</v>
      </c>
      <c r="OTG23" s="229">
        <v>0</v>
      </c>
      <c r="OTH23" s="229">
        <v>0</v>
      </c>
      <c r="OTI23" s="229">
        <v>0</v>
      </c>
      <c r="OTJ23" s="229">
        <v>0</v>
      </c>
      <c r="OTK23" s="229">
        <v>0</v>
      </c>
      <c r="OTL23" s="229">
        <v>0</v>
      </c>
      <c r="OTM23" s="229">
        <v>0</v>
      </c>
      <c r="OTN23" s="229">
        <v>0</v>
      </c>
      <c r="OTO23" s="229">
        <v>0</v>
      </c>
      <c r="OTP23" s="229">
        <v>0</v>
      </c>
      <c r="OTQ23" s="229">
        <v>0</v>
      </c>
      <c r="OTR23" s="229">
        <v>0</v>
      </c>
      <c r="OTS23" s="229">
        <v>0</v>
      </c>
      <c r="OTT23" s="229">
        <v>0</v>
      </c>
      <c r="OTU23" s="229">
        <v>0</v>
      </c>
      <c r="OTV23" s="229">
        <v>0</v>
      </c>
      <c r="OTW23" s="229">
        <v>0</v>
      </c>
      <c r="OTX23" s="229">
        <v>0</v>
      </c>
      <c r="OTY23" s="229">
        <v>0</v>
      </c>
      <c r="OTZ23" s="229">
        <v>0</v>
      </c>
      <c r="OUA23" s="229">
        <v>0</v>
      </c>
      <c r="OUB23" s="229">
        <v>0</v>
      </c>
      <c r="OUC23" s="229">
        <v>0</v>
      </c>
      <c r="OUD23" s="229">
        <v>0</v>
      </c>
      <c r="OUE23" s="229">
        <v>0</v>
      </c>
      <c r="OUF23" s="229">
        <v>0</v>
      </c>
      <c r="OUG23" s="229">
        <v>0</v>
      </c>
      <c r="OUH23" s="229">
        <v>0</v>
      </c>
      <c r="OUI23" s="229">
        <v>0</v>
      </c>
      <c r="OUJ23" s="229">
        <v>0</v>
      </c>
      <c r="OUK23" s="229">
        <v>0</v>
      </c>
      <c r="OUL23" s="229">
        <v>0</v>
      </c>
      <c r="OUM23" s="229">
        <v>0</v>
      </c>
      <c r="OUN23" s="229">
        <v>0</v>
      </c>
      <c r="OUO23" s="229">
        <v>0</v>
      </c>
      <c r="OUP23" s="229">
        <v>0</v>
      </c>
      <c r="OUQ23" s="229">
        <v>0</v>
      </c>
      <c r="OUR23" s="229">
        <v>0</v>
      </c>
      <c r="OUS23" s="229">
        <v>0</v>
      </c>
      <c r="OUT23" s="229">
        <v>0</v>
      </c>
      <c r="OUU23" s="229">
        <v>0</v>
      </c>
      <c r="OUV23" s="229">
        <v>0</v>
      </c>
      <c r="OUW23" s="229">
        <v>0</v>
      </c>
      <c r="OUX23" s="229">
        <v>0</v>
      </c>
      <c r="OUY23" s="229">
        <v>0</v>
      </c>
      <c r="OUZ23" s="229">
        <v>0</v>
      </c>
      <c r="OVA23" s="229">
        <v>0</v>
      </c>
      <c r="OVB23" s="229">
        <v>0</v>
      </c>
      <c r="OVC23" s="229">
        <v>0</v>
      </c>
      <c r="OVD23" s="229">
        <v>0</v>
      </c>
      <c r="OVE23" s="229">
        <v>0</v>
      </c>
      <c r="OVF23" s="229">
        <v>0</v>
      </c>
      <c r="OVG23" s="229">
        <v>0</v>
      </c>
      <c r="OVH23" s="229">
        <v>0</v>
      </c>
      <c r="OVI23" s="229">
        <v>0</v>
      </c>
      <c r="OVJ23" s="229">
        <v>0</v>
      </c>
      <c r="OVK23" s="229">
        <v>0</v>
      </c>
      <c r="OVL23" s="229">
        <v>0</v>
      </c>
      <c r="OVM23" s="229">
        <v>0</v>
      </c>
      <c r="OVN23" s="229">
        <v>0</v>
      </c>
      <c r="OVO23" s="229">
        <v>0</v>
      </c>
      <c r="OVP23" s="229">
        <v>0</v>
      </c>
      <c r="OVQ23" s="229">
        <v>0</v>
      </c>
      <c r="OVR23" s="229">
        <v>0</v>
      </c>
      <c r="OVS23" s="229">
        <v>0</v>
      </c>
      <c r="OVT23" s="229">
        <v>0</v>
      </c>
      <c r="OVU23" s="229">
        <v>0</v>
      </c>
      <c r="OVV23" s="229">
        <v>0</v>
      </c>
      <c r="OVW23" s="229">
        <v>0</v>
      </c>
      <c r="OVX23" s="229">
        <v>0</v>
      </c>
      <c r="OVY23" s="229">
        <v>0</v>
      </c>
      <c r="OVZ23" s="229">
        <v>0</v>
      </c>
      <c r="OWA23" s="229">
        <v>0</v>
      </c>
      <c r="OWB23" s="229">
        <v>0</v>
      </c>
      <c r="OWC23" s="229">
        <v>0</v>
      </c>
      <c r="OWD23" s="229">
        <v>0</v>
      </c>
      <c r="OWE23" s="229">
        <v>0</v>
      </c>
      <c r="OWF23" s="229">
        <v>0</v>
      </c>
      <c r="OWG23" s="229">
        <v>0</v>
      </c>
      <c r="OWH23" s="229">
        <v>0</v>
      </c>
      <c r="OWI23" s="229">
        <v>0</v>
      </c>
      <c r="OWJ23" s="229">
        <v>0</v>
      </c>
      <c r="OWK23" s="229">
        <v>0</v>
      </c>
      <c r="OWL23" s="229">
        <v>0</v>
      </c>
      <c r="OWM23" s="229">
        <v>0</v>
      </c>
      <c r="OWN23" s="229">
        <v>0</v>
      </c>
      <c r="OWO23" s="229">
        <v>0</v>
      </c>
      <c r="OWP23" s="229">
        <v>0</v>
      </c>
      <c r="OWQ23" s="229">
        <v>0</v>
      </c>
      <c r="OWR23" s="229">
        <v>0</v>
      </c>
      <c r="OWS23" s="229">
        <v>0</v>
      </c>
      <c r="OWT23" s="229">
        <v>0</v>
      </c>
      <c r="OWU23" s="229">
        <v>0</v>
      </c>
      <c r="OWV23" s="229">
        <v>0</v>
      </c>
      <c r="OWW23" s="229">
        <v>0</v>
      </c>
      <c r="OWX23" s="229">
        <v>0</v>
      </c>
      <c r="OWY23" s="229">
        <v>0</v>
      </c>
      <c r="OWZ23" s="229">
        <v>0</v>
      </c>
      <c r="OXA23" s="229">
        <v>0</v>
      </c>
      <c r="OXB23" s="229">
        <v>0</v>
      </c>
      <c r="OXC23" s="229">
        <v>0</v>
      </c>
      <c r="OXD23" s="229">
        <v>0</v>
      </c>
      <c r="OXE23" s="229">
        <v>0</v>
      </c>
      <c r="OXF23" s="229">
        <v>0</v>
      </c>
      <c r="OXG23" s="229">
        <v>0</v>
      </c>
      <c r="OXH23" s="229">
        <v>0</v>
      </c>
      <c r="OXI23" s="229">
        <v>0</v>
      </c>
      <c r="OXJ23" s="229">
        <v>0</v>
      </c>
      <c r="OXK23" s="229">
        <v>0</v>
      </c>
      <c r="OXL23" s="229">
        <v>0</v>
      </c>
      <c r="OXM23" s="229">
        <v>0</v>
      </c>
      <c r="OXN23" s="229">
        <v>0</v>
      </c>
      <c r="OXO23" s="229">
        <v>0</v>
      </c>
      <c r="OXP23" s="229">
        <v>0</v>
      </c>
      <c r="OXQ23" s="229">
        <v>0</v>
      </c>
      <c r="OXR23" s="229">
        <v>0</v>
      </c>
      <c r="OXS23" s="229">
        <v>0</v>
      </c>
      <c r="OXT23" s="229">
        <v>0</v>
      </c>
      <c r="OXU23" s="229">
        <v>0</v>
      </c>
      <c r="OXV23" s="229">
        <v>0</v>
      </c>
      <c r="OXW23" s="229">
        <v>0</v>
      </c>
      <c r="OXX23" s="229">
        <v>0</v>
      </c>
      <c r="OXY23" s="229">
        <v>0</v>
      </c>
      <c r="OXZ23" s="229">
        <v>0</v>
      </c>
      <c r="OYA23" s="229">
        <v>0</v>
      </c>
      <c r="OYB23" s="229">
        <v>0</v>
      </c>
      <c r="OYC23" s="229">
        <v>0</v>
      </c>
      <c r="OYD23" s="229">
        <v>0</v>
      </c>
      <c r="OYE23" s="229">
        <v>0</v>
      </c>
      <c r="OYF23" s="229">
        <v>0</v>
      </c>
      <c r="OYG23" s="229">
        <v>0</v>
      </c>
      <c r="OYH23" s="229">
        <v>0</v>
      </c>
      <c r="OYI23" s="229">
        <v>0</v>
      </c>
      <c r="OYJ23" s="229">
        <v>0</v>
      </c>
      <c r="OYK23" s="229">
        <v>0</v>
      </c>
      <c r="OYL23" s="229">
        <v>0</v>
      </c>
      <c r="OYM23" s="229">
        <v>0</v>
      </c>
      <c r="OYN23" s="229">
        <v>0</v>
      </c>
      <c r="OYO23" s="229">
        <v>0</v>
      </c>
      <c r="OYP23" s="229">
        <v>0</v>
      </c>
      <c r="OYQ23" s="229">
        <v>0</v>
      </c>
      <c r="OYR23" s="229">
        <v>0</v>
      </c>
      <c r="OYS23" s="229">
        <v>0</v>
      </c>
      <c r="OYT23" s="229">
        <v>0</v>
      </c>
      <c r="OYU23" s="229">
        <v>0</v>
      </c>
      <c r="OYV23" s="229">
        <v>0</v>
      </c>
      <c r="OYW23" s="229">
        <v>0</v>
      </c>
      <c r="OYX23" s="229">
        <v>0</v>
      </c>
      <c r="OYY23" s="229">
        <v>0</v>
      </c>
      <c r="OYZ23" s="229">
        <v>0</v>
      </c>
      <c r="OZA23" s="229">
        <v>0</v>
      </c>
      <c r="OZB23" s="229">
        <v>0</v>
      </c>
      <c r="OZC23" s="229">
        <v>0</v>
      </c>
      <c r="OZD23" s="229">
        <v>0</v>
      </c>
      <c r="OZE23" s="229">
        <v>0</v>
      </c>
      <c r="OZF23" s="229">
        <v>0</v>
      </c>
      <c r="OZG23" s="229">
        <v>0</v>
      </c>
      <c r="OZH23" s="229">
        <v>0</v>
      </c>
      <c r="OZI23" s="229">
        <v>0</v>
      </c>
      <c r="OZJ23" s="229">
        <v>0</v>
      </c>
      <c r="OZK23" s="229">
        <v>0</v>
      </c>
      <c r="OZL23" s="229">
        <v>0</v>
      </c>
      <c r="OZM23" s="229">
        <v>0</v>
      </c>
      <c r="OZN23" s="229">
        <v>0</v>
      </c>
      <c r="OZO23" s="229">
        <v>0</v>
      </c>
      <c r="OZP23" s="229">
        <v>0</v>
      </c>
      <c r="OZQ23" s="229">
        <v>0</v>
      </c>
      <c r="OZR23" s="229">
        <v>0</v>
      </c>
      <c r="OZS23" s="229">
        <v>0</v>
      </c>
      <c r="OZT23" s="229">
        <v>0</v>
      </c>
      <c r="OZU23" s="229">
        <v>0</v>
      </c>
      <c r="OZV23" s="229">
        <v>0</v>
      </c>
      <c r="OZW23" s="229">
        <v>0</v>
      </c>
      <c r="OZX23" s="229">
        <v>0</v>
      </c>
      <c r="OZY23" s="229">
        <v>0</v>
      </c>
      <c r="OZZ23" s="229">
        <v>0</v>
      </c>
      <c r="PAA23" s="229">
        <v>0</v>
      </c>
      <c r="PAB23" s="229">
        <v>0</v>
      </c>
      <c r="PAC23" s="229">
        <v>0</v>
      </c>
      <c r="PAD23" s="229">
        <v>0</v>
      </c>
      <c r="PAE23" s="229">
        <v>0</v>
      </c>
      <c r="PAF23" s="229">
        <v>0</v>
      </c>
      <c r="PAG23" s="229">
        <v>0</v>
      </c>
      <c r="PAH23" s="229">
        <v>0</v>
      </c>
      <c r="PAI23" s="229">
        <v>0</v>
      </c>
      <c r="PAJ23" s="229">
        <v>0</v>
      </c>
      <c r="PAK23" s="229">
        <v>0</v>
      </c>
      <c r="PAL23" s="229">
        <v>0</v>
      </c>
      <c r="PAM23" s="229">
        <v>0</v>
      </c>
      <c r="PAN23" s="229">
        <v>0</v>
      </c>
      <c r="PAO23" s="229">
        <v>0</v>
      </c>
      <c r="PAP23" s="229">
        <v>0</v>
      </c>
      <c r="PAQ23" s="229">
        <v>0</v>
      </c>
      <c r="PAR23" s="229">
        <v>0</v>
      </c>
      <c r="PAS23" s="229">
        <v>0</v>
      </c>
      <c r="PAT23" s="229">
        <v>0</v>
      </c>
      <c r="PAU23" s="229">
        <v>0</v>
      </c>
      <c r="PAV23" s="229">
        <v>0</v>
      </c>
      <c r="PAW23" s="229">
        <v>0</v>
      </c>
      <c r="PAX23" s="229">
        <v>0</v>
      </c>
      <c r="PAY23" s="229">
        <v>0</v>
      </c>
      <c r="PAZ23" s="229">
        <v>0</v>
      </c>
      <c r="PBA23" s="229">
        <v>0</v>
      </c>
      <c r="PBB23" s="229">
        <v>0</v>
      </c>
      <c r="PBC23" s="229">
        <v>0</v>
      </c>
      <c r="PBD23" s="229">
        <v>0</v>
      </c>
      <c r="PBE23" s="229">
        <v>0</v>
      </c>
      <c r="PBF23" s="229">
        <v>0</v>
      </c>
      <c r="PBG23" s="229">
        <v>0</v>
      </c>
      <c r="PBH23" s="229">
        <v>0</v>
      </c>
      <c r="PBI23" s="229">
        <v>0</v>
      </c>
      <c r="PBJ23" s="229">
        <v>0</v>
      </c>
      <c r="PBK23" s="229">
        <v>0</v>
      </c>
      <c r="PBL23" s="229">
        <v>0</v>
      </c>
      <c r="PBM23" s="229">
        <v>0</v>
      </c>
      <c r="PBN23" s="229">
        <v>0</v>
      </c>
      <c r="PBO23" s="229">
        <v>0</v>
      </c>
      <c r="PBP23" s="229">
        <v>0</v>
      </c>
      <c r="PBQ23" s="229">
        <v>0</v>
      </c>
      <c r="PBR23" s="229">
        <v>0</v>
      </c>
      <c r="PBS23" s="229">
        <v>0</v>
      </c>
      <c r="PBT23" s="229">
        <v>0</v>
      </c>
      <c r="PBU23" s="229">
        <v>0</v>
      </c>
      <c r="PBV23" s="229">
        <v>0</v>
      </c>
      <c r="PBW23" s="229">
        <v>0</v>
      </c>
      <c r="PBX23" s="229">
        <v>0</v>
      </c>
      <c r="PBY23" s="229">
        <v>0</v>
      </c>
      <c r="PBZ23" s="229">
        <v>0</v>
      </c>
      <c r="PCA23" s="229">
        <v>0</v>
      </c>
      <c r="PCB23" s="229">
        <v>0</v>
      </c>
      <c r="PCC23" s="229">
        <v>0</v>
      </c>
      <c r="PCD23" s="229">
        <v>0</v>
      </c>
      <c r="PCE23" s="229">
        <v>0</v>
      </c>
      <c r="PCF23" s="229">
        <v>0</v>
      </c>
      <c r="PCG23" s="229">
        <v>0</v>
      </c>
      <c r="PCH23" s="229">
        <v>0</v>
      </c>
      <c r="PCI23" s="229">
        <v>0</v>
      </c>
      <c r="PCJ23" s="229">
        <v>0</v>
      </c>
      <c r="PCK23" s="229">
        <v>0</v>
      </c>
      <c r="PCL23" s="229">
        <v>0</v>
      </c>
      <c r="PCM23" s="229">
        <v>0</v>
      </c>
      <c r="PCN23" s="229">
        <v>0</v>
      </c>
      <c r="PCO23" s="229">
        <v>0</v>
      </c>
      <c r="PCP23" s="229">
        <v>0</v>
      </c>
      <c r="PCQ23" s="229">
        <v>0</v>
      </c>
      <c r="PCR23" s="229">
        <v>0</v>
      </c>
      <c r="PCS23" s="229">
        <v>0</v>
      </c>
      <c r="PCT23" s="229">
        <v>0</v>
      </c>
      <c r="PCU23" s="229">
        <v>0</v>
      </c>
      <c r="PCV23" s="229">
        <v>0</v>
      </c>
      <c r="PCW23" s="229">
        <v>0</v>
      </c>
      <c r="PCX23" s="229">
        <v>0</v>
      </c>
      <c r="PCY23" s="229">
        <v>0</v>
      </c>
      <c r="PCZ23" s="229">
        <v>0</v>
      </c>
      <c r="PDA23" s="229">
        <v>0</v>
      </c>
      <c r="PDB23" s="229">
        <v>0</v>
      </c>
      <c r="PDC23" s="229">
        <v>0</v>
      </c>
      <c r="PDD23" s="229">
        <v>0</v>
      </c>
      <c r="PDE23" s="229">
        <v>0</v>
      </c>
      <c r="PDF23" s="229">
        <v>0</v>
      </c>
      <c r="PDG23" s="229">
        <v>0</v>
      </c>
      <c r="PDH23" s="229">
        <v>0</v>
      </c>
      <c r="PDI23" s="229">
        <v>0</v>
      </c>
      <c r="PDJ23" s="229">
        <v>0</v>
      </c>
      <c r="PDK23" s="229">
        <v>0</v>
      </c>
      <c r="PDL23" s="229">
        <v>0</v>
      </c>
      <c r="PDM23" s="229">
        <v>0</v>
      </c>
      <c r="PDN23" s="229">
        <v>0</v>
      </c>
      <c r="PDO23" s="229">
        <v>0</v>
      </c>
      <c r="PDP23" s="229">
        <v>0</v>
      </c>
      <c r="PDQ23" s="229">
        <v>0</v>
      </c>
      <c r="PDR23" s="229">
        <v>0</v>
      </c>
      <c r="PDS23" s="229">
        <v>0</v>
      </c>
      <c r="PDT23" s="229">
        <v>0</v>
      </c>
      <c r="PDU23" s="229">
        <v>0</v>
      </c>
      <c r="PDV23" s="229">
        <v>0</v>
      </c>
      <c r="PDW23" s="229">
        <v>0</v>
      </c>
      <c r="PDX23" s="229">
        <v>0</v>
      </c>
      <c r="PDY23" s="229">
        <v>0</v>
      </c>
      <c r="PDZ23" s="229">
        <v>0</v>
      </c>
      <c r="PEA23" s="229">
        <v>0</v>
      </c>
      <c r="PEB23" s="229">
        <v>0</v>
      </c>
      <c r="PEC23" s="229">
        <v>0</v>
      </c>
      <c r="PED23" s="229">
        <v>0</v>
      </c>
      <c r="PEE23" s="229">
        <v>0</v>
      </c>
      <c r="PEF23" s="229">
        <v>0</v>
      </c>
      <c r="PEG23" s="229">
        <v>0</v>
      </c>
      <c r="PEH23" s="229">
        <v>0</v>
      </c>
      <c r="PEI23" s="229">
        <v>0</v>
      </c>
      <c r="PEJ23" s="229">
        <v>0</v>
      </c>
      <c r="PEK23" s="229">
        <v>0</v>
      </c>
      <c r="PEL23" s="229">
        <v>0</v>
      </c>
      <c r="PEM23" s="229">
        <v>0</v>
      </c>
      <c r="PEN23" s="229">
        <v>0</v>
      </c>
      <c r="PEO23" s="229">
        <v>0</v>
      </c>
      <c r="PEP23" s="229">
        <v>0</v>
      </c>
      <c r="PEQ23" s="229">
        <v>0</v>
      </c>
      <c r="PER23" s="229">
        <v>0</v>
      </c>
      <c r="PES23" s="229">
        <v>0</v>
      </c>
      <c r="PET23" s="229">
        <v>0</v>
      </c>
      <c r="PEU23" s="229">
        <v>0</v>
      </c>
      <c r="PEV23" s="229">
        <v>0</v>
      </c>
      <c r="PEW23" s="229">
        <v>0</v>
      </c>
      <c r="PEX23" s="229">
        <v>0</v>
      </c>
      <c r="PEY23" s="229">
        <v>0</v>
      </c>
      <c r="PEZ23" s="229">
        <v>0</v>
      </c>
      <c r="PFA23" s="229">
        <v>0</v>
      </c>
      <c r="PFB23" s="229">
        <v>0</v>
      </c>
      <c r="PFC23" s="229">
        <v>0</v>
      </c>
      <c r="PFD23" s="229">
        <v>0</v>
      </c>
      <c r="PFE23" s="229">
        <v>0</v>
      </c>
      <c r="PFF23" s="229">
        <v>0</v>
      </c>
      <c r="PFG23" s="229">
        <v>0</v>
      </c>
      <c r="PFH23" s="229">
        <v>0</v>
      </c>
      <c r="PFI23" s="229">
        <v>0</v>
      </c>
      <c r="PFJ23" s="229">
        <v>0</v>
      </c>
      <c r="PFK23" s="229">
        <v>0</v>
      </c>
      <c r="PFL23" s="229">
        <v>0</v>
      </c>
      <c r="PFM23" s="229">
        <v>0</v>
      </c>
      <c r="PFN23" s="229">
        <v>0</v>
      </c>
      <c r="PFO23" s="229">
        <v>0</v>
      </c>
      <c r="PFP23" s="229">
        <v>0</v>
      </c>
      <c r="PFQ23" s="229">
        <v>0</v>
      </c>
      <c r="PFR23" s="229">
        <v>0</v>
      </c>
      <c r="PFS23" s="229">
        <v>0</v>
      </c>
      <c r="PFT23" s="229">
        <v>0</v>
      </c>
      <c r="PFU23" s="229">
        <v>0</v>
      </c>
      <c r="PFV23" s="229">
        <v>0</v>
      </c>
      <c r="PFW23" s="229">
        <v>0</v>
      </c>
      <c r="PFX23" s="229">
        <v>0</v>
      </c>
      <c r="PFY23" s="229">
        <v>0</v>
      </c>
      <c r="PFZ23" s="229">
        <v>0</v>
      </c>
      <c r="PGA23" s="229">
        <v>0</v>
      </c>
      <c r="PGB23" s="229">
        <v>0</v>
      </c>
      <c r="PGC23" s="229">
        <v>0</v>
      </c>
      <c r="PGD23" s="229">
        <v>0</v>
      </c>
      <c r="PGE23" s="229">
        <v>0</v>
      </c>
      <c r="PGF23" s="229">
        <v>0</v>
      </c>
      <c r="PGG23" s="229">
        <v>0</v>
      </c>
      <c r="PGH23" s="229">
        <v>0</v>
      </c>
      <c r="PGI23" s="229">
        <v>0</v>
      </c>
      <c r="PGJ23" s="229">
        <v>0</v>
      </c>
      <c r="PGK23" s="229">
        <v>0</v>
      </c>
      <c r="PGL23" s="229">
        <v>0</v>
      </c>
      <c r="PGM23" s="229">
        <v>0</v>
      </c>
      <c r="PGN23" s="229">
        <v>0</v>
      </c>
      <c r="PGO23" s="229">
        <v>0</v>
      </c>
      <c r="PGP23" s="229">
        <v>0</v>
      </c>
      <c r="PGQ23" s="229">
        <v>0</v>
      </c>
      <c r="PGR23" s="229">
        <v>0</v>
      </c>
      <c r="PGS23" s="229">
        <v>0</v>
      </c>
      <c r="PGT23" s="229">
        <v>0</v>
      </c>
      <c r="PGU23" s="229">
        <v>0</v>
      </c>
      <c r="PGV23" s="229">
        <v>0</v>
      </c>
      <c r="PGW23" s="229">
        <v>0</v>
      </c>
      <c r="PGX23" s="229">
        <v>0</v>
      </c>
      <c r="PGY23" s="229">
        <v>0</v>
      </c>
      <c r="PGZ23" s="229">
        <v>0</v>
      </c>
      <c r="PHA23" s="229">
        <v>0</v>
      </c>
      <c r="PHB23" s="229">
        <v>0</v>
      </c>
      <c r="PHC23" s="229">
        <v>0</v>
      </c>
      <c r="PHD23" s="229">
        <v>0</v>
      </c>
      <c r="PHE23" s="229">
        <v>0</v>
      </c>
      <c r="PHF23" s="229">
        <v>0</v>
      </c>
      <c r="PHG23" s="229">
        <v>0</v>
      </c>
      <c r="PHH23" s="229">
        <v>0</v>
      </c>
      <c r="PHI23" s="229">
        <v>0</v>
      </c>
      <c r="PHJ23" s="229">
        <v>0</v>
      </c>
      <c r="PHK23" s="229">
        <v>0</v>
      </c>
      <c r="PHL23" s="229">
        <v>0</v>
      </c>
      <c r="PHM23" s="229">
        <v>0</v>
      </c>
      <c r="PHN23" s="229">
        <v>0</v>
      </c>
      <c r="PHO23" s="229">
        <v>0</v>
      </c>
      <c r="PHP23" s="229">
        <v>0</v>
      </c>
      <c r="PHQ23" s="229">
        <v>0</v>
      </c>
      <c r="PHR23" s="229">
        <v>0</v>
      </c>
      <c r="PHS23" s="229">
        <v>0</v>
      </c>
      <c r="PHT23" s="229">
        <v>0</v>
      </c>
      <c r="PHU23" s="229">
        <v>0</v>
      </c>
      <c r="PHV23" s="229">
        <v>0</v>
      </c>
      <c r="PHW23" s="229">
        <v>0</v>
      </c>
      <c r="PHX23" s="229">
        <v>0</v>
      </c>
      <c r="PHY23" s="229">
        <v>0</v>
      </c>
      <c r="PHZ23" s="229">
        <v>0</v>
      </c>
      <c r="PIA23" s="229">
        <v>0</v>
      </c>
      <c r="PIB23" s="229">
        <v>0</v>
      </c>
      <c r="PIC23" s="229">
        <v>0</v>
      </c>
      <c r="PID23" s="229">
        <v>0</v>
      </c>
      <c r="PIE23" s="229">
        <v>0</v>
      </c>
      <c r="PIF23" s="229">
        <v>0</v>
      </c>
      <c r="PIG23" s="229">
        <v>0</v>
      </c>
      <c r="PIH23" s="229">
        <v>0</v>
      </c>
      <c r="PII23" s="229">
        <v>0</v>
      </c>
      <c r="PIJ23" s="229">
        <v>0</v>
      </c>
      <c r="PIK23" s="229">
        <v>0</v>
      </c>
      <c r="PIL23" s="229">
        <v>0</v>
      </c>
      <c r="PIM23" s="229">
        <v>0</v>
      </c>
      <c r="PIN23" s="229">
        <v>0</v>
      </c>
      <c r="PIO23" s="229">
        <v>0</v>
      </c>
      <c r="PIP23" s="229">
        <v>0</v>
      </c>
      <c r="PIQ23" s="229">
        <v>0</v>
      </c>
      <c r="PIR23" s="229">
        <v>0</v>
      </c>
      <c r="PIS23" s="229">
        <v>0</v>
      </c>
      <c r="PIT23" s="229">
        <v>0</v>
      </c>
      <c r="PIU23" s="229">
        <v>0</v>
      </c>
      <c r="PIV23" s="229">
        <v>0</v>
      </c>
      <c r="PIW23" s="229">
        <v>0</v>
      </c>
      <c r="PIX23" s="229">
        <v>0</v>
      </c>
      <c r="PIY23" s="229">
        <v>0</v>
      </c>
      <c r="PIZ23" s="229">
        <v>0</v>
      </c>
      <c r="PJA23" s="229">
        <v>0</v>
      </c>
      <c r="PJB23" s="229">
        <v>0</v>
      </c>
      <c r="PJC23" s="229">
        <v>0</v>
      </c>
      <c r="PJD23" s="229">
        <v>0</v>
      </c>
      <c r="PJE23" s="229">
        <v>0</v>
      </c>
      <c r="PJF23" s="229">
        <v>0</v>
      </c>
      <c r="PJG23" s="229">
        <v>0</v>
      </c>
      <c r="PJH23" s="229">
        <v>0</v>
      </c>
      <c r="PJI23" s="229">
        <v>0</v>
      </c>
      <c r="PJJ23" s="229">
        <v>0</v>
      </c>
      <c r="PJK23" s="229">
        <v>0</v>
      </c>
      <c r="PJL23" s="229">
        <v>0</v>
      </c>
      <c r="PJM23" s="229">
        <v>0</v>
      </c>
      <c r="PJN23" s="229">
        <v>0</v>
      </c>
      <c r="PJO23" s="229">
        <v>0</v>
      </c>
      <c r="PJP23" s="229">
        <v>0</v>
      </c>
      <c r="PJQ23" s="229">
        <v>0</v>
      </c>
      <c r="PJR23" s="229">
        <v>0</v>
      </c>
      <c r="PJS23" s="229">
        <v>0</v>
      </c>
      <c r="PJT23" s="229">
        <v>0</v>
      </c>
      <c r="PJU23" s="229">
        <v>0</v>
      </c>
      <c r="PJV23" s="229">
        <v>0</v>
      </c>
      <c r="PJW23" s="229">
        <v>0</v>
      </c>
      <c r="PJX23" s="229">
        <v>0</v>
      </c>
      <c r="PJY23" s="229">
        <v>0</v>
      </c>
      <c r="PJZ23" s="229">
        <v>0</v>
      </c>
      <c r="PKA23" s="229">
        <v>0</v>
      </c>
      <c r="PKB23" s="229">
        <v>0</v>
      </c>
      <c r="PKC23" s="229">
        <v>0</v>
      </c>
      <c r="PKD23" s="229">
        <v>0</v>
      </c>
      <c r="PKE23" s="229">
        <v>0</v>
      </c>
      <c r="PKF23" s="229">
        <v>0</v>
      </c>
      <c r="PKG23" s="229">
        <v>0</v>
      </c>
      <c r="PKH23" s="229">
        <v>0</v>
      </c>
      <c r="PKI23" s="229">
        <v>0</v>
      </c>
      <c r="PKJ23" s="229">
        <v>0</v>
      </c>
      <c r="PKK23" s="229">
        <v>0</v>
      </c>
      <c r="PKL23" s="229">
        <v>0</v>
      </c>
      <c r="PKM23" s="229">
        <v>0</v>
      </c>
      <c r="PKN23" s="229">
        <v>0</v>
      </c>
      <c r="PKO23" s="229">
        <v>0</v>
      </c>
      <c r="PKP23" s="229">
        <v>0</v>
      </c>
      <c r="PKQ23" s="229">
        <v>0</v>
      </c>
      <c r="PKR23" s="229">
        <v>0</v>
      </c>
      <c r="PKS23" s="229">
        <v>0</v>
      </c>
      <c r="PKT23" s="229">
        <v>0</v>
      </c>
      <c r="PKU23" s="229">
        <v>0</v>
      </c>
      <c r="PKV23" s="229">
        <v>0</v>
      </c>
      <c r="PKW23" s="229">
        <v>0</v>
      </c>
      <c r="PKX23" s="229">
        <v>0</v>
      </c>
      <c r="PKY23" s="229">
        <v>0</v>
      </c>
      <c r="PKZ23" s="229">
        <v>0</v>
      </c>
      <c r="PLA23" s="229">
        <v>0</v>
      </c>
      <c r="PLB23" s="229">
        <v>0</v>
      </c>
      <c r="PLC23" s="229">
        <v>0</v>
      </c>
      <c r="PLD23" s="229">
        <v>0</v>
      </c>
      <c r="PLE23" s="229">
        <v>0</v>
      </c>
      <c r="PLF23" s="229">
        <v>0</v>
      </c>
      <c r="PLG23" s="229">
        <v>0</v>
      </c>
      <c r="PLH23" s="229">
        <v>0</v>
      </c>
      <c r="PLI23" s="229">
        <v>0</v>
      </c>
      <c r="PLJ23" s="229">
        <v>0</v>
      </c>
      <c r="PLK23" s="229">
        <v>0</v>
      </c>
      <c r="PLL23" s="229">
        <v>0</v>
      </c>
      <c r="PLM23" s="229">
        <v>0</v>
      </c>
      <c r="PLN23" s="229">
        <v>0</v>
      </c>
      <c r="PLO23" s="229">
        <v>0</v>
      </c>
      <c r="PLP23" s="229">
        <v>0</v>
      </c>
      <c r="PLQ23" s="229">
        <v>0</v>
      </c>
      <c r="PLR23" s="229">
        <v>0</v>
      </c>
      <c r="PLS23" s="229">
        <v>0</v>
      </c>
      <c r="PLT23" s="229">
        <v>0</v>
      </c>
      <c r="PLU23" s="229">
        <v>0</v>
      </c>
      <c r="PLV23" s="229">
        <v>0</v>
      </c>
      <c r="PLW23" s="229">
        <v>0</v>
      </c>
      <c r="PLX23" s="229">
        <v>0</v>
      </c>
      <c r="PLY23" s="229">
        <v>0</v>
      </c>
      <c r="PLZ23" s="229">
        <v>0</v>
      </c>
      <c r="PMA23" s="229">
        <v>0</v>
      </c>
      <c r="PMB23" s="229">
        <v>0</v>
      </c>
      <c r="PMC23" s="229">
        <v>0</v>
      </c>
      <c r="PMD23" s="229">
        <v>0</v>
      </c>
      <c r="PME23" s="229">
        <v>0</v>
      </c>
      <c r="PMF23" s="229">
        <v>0</v>
      </c>
      <c r="PMG23" s="229">
        <v>0</v>
      </c>
      <c r="PMH23" s="229">
        <v>0</v>
      </c>
      <c r="PMI23" s="229">
        <v>0</v>
      </c>
      <c r="PMJ23" s="229">
        <v>0</v>
      </c>
      <c r="PMK23" s="229">
        <v>0</v>
      </c>
      <c r="PML23" s="229">
        <v>0</v>
      </c>
      <c r="PMM23" s="229">
        <v>0</v>
      </c>
      <c r="PMN23" s="229">
        <v>0</v>
      </c>
      <c r="PMO23" s="229">
        <v>0</v>
      </c>
      <c r="PMP23" s="229">
        <v>0</v>
      </c>
      <c r="PMQ23" s="229">
        <v>0</v>
      </c>
      <c r="PMR23" s="229">
        <v>0</v>
      </c>
      <c r="PMS23" s="229">
        <v>0</v>
      </c>
      <c r="PMT23" s="229">
        <v>0</v>
      </c>
      <c r="PMU23" s="229">
        <v>0</v>
      </c>
      <c r="PMV23" s="229">
        <v>0</v>
      </c>
      <c r="PMW23" s="229">
        <v>0</v>
      </c>
      <c r="PMX23" s="229">
        <v>0</v>
      </c>
      <c r="PMY23" s="229">
        <v>0</v>
      </c>
      <c r="PMZ23" s="229">
        <v>0</v>
      </c>
      <c r="PNA23" s="229">
        <v>0</v>
      </c>
      <c r="PNB23" s="229">
        <v>0</v>
      </c>
      <c r="PNC23" s="229">
        <v>0</v>
      </c>
      <c r="PND23" s="229">
        <v>0</v>
      </c>
      <c r="PNE23" s="229">
        <v>0</v>
      </c>
      <c r="PNF23" s="229">
        <v>0</v>
      </c>
      <c r="PNG23" s="229">
        <v>0</v>
      </c>
      <c r="PNH23" s="229">
        <v>0</v>
      </c>
      <c r="PNI23" s="229">
        <v>0</v>
      </c>
      <c r="PNJ23" s="229">
        <v>0</v>
      </c>
      <c r="PNK23" s="229">
        <v>0</v>
      </c>
      <c r="PNL23" s="229">
        <v>0</v>
      </c>
      <c r="PNM23" s="229">
        <v>0</v>
      </c>
      <c r="PNN23" s="229">
        <v>0</v>
      </c>
      <c r="PNO23" s="229">
        <v>0</v>
      </c>
      <c r="PNP23" s="229">
        <v>0</v>
      </c>
      <c r="PNQ23" s="229">
        <v>0</v>
      </c>
      <c r="PNR23" s="229">
        <v>0</v>
      </c>
      <c r="PNS23" s="229">
        <v>0</v>
      </c>
      <c r="PNT23" s="229">
        <v>0</v>
      </c>
      <c r="PNU23" s="229">
        <v>0</v>
      </c>
      <c r="PNV23" s="229">
        <v>0</v>
      </c>
      <c r="PNW23" s="229">
        <v>0</v>
      </c>
      <c r="PNX23" s="229">
        <v>0</v>
      </c>
      <c r="PNY23" s="229">
        <v>0</v>
      </c>
      <c r="PNZ23" s="229">
        <v>0</v>
      </c>
      <c r="POA23" s="229">
        <v>0</v>
      </c>
      <c r="POB23" s="229">
        <v>0</v>
      </c>
      <c r="POC23" s="229">
        <v>0</v>
      </c>
      <c r="POD23" s="229">
        <v>0</v>
      </c>
      <c r="POE23" s="229">
        <v>0</v>
      </c>
      <c r="POF23" s="229">
        <v>0</v>
      </c>
      <c r="POG23" s="229">
        <v>0</v>
      </c>
      <c r="POH23" s="229">
        <v>0</v>
      </c>
      <c r="POI23" s="229">
        <v>0</v>
      </c>
      <c r="POJ23" s="229">
        <v>0</v>
      </c>
      <c r="POK23" s="229">
        <v>0</v>
      </c>
      <c r="POL23" s="229">
        <v>0</v>
      </c>
      <c r="POM23" s="229">
        <v>0</v>
      </c>
      <c r="PON23" s="229">
        <v>0</v>
      </c>
      <c r="POO23" s="229">
        <v>0</v>
      </c>
      <c r="POP23" s="229">
        <v>0</v>
      </c>
      <c r="POQ23" s="229">
        <v>0</v>
      </c>
      <c r="POR23" s="229">
        <v>0</v>
      </c>
      <c r="POS23" s="229">
        <v>0</v>
      </c>
      <c r="POT23" s="229">
        <v>0</v>
      </c>
      <c r="POU23" s="229">
        <v>0</v>
      </c>
      <c r="POV23" s="229">
        <v>0</v>
      </c>
      <c r="POW23" s="229">
        <v>0</v>
      </c>
      <c r="POX23" s="229">
        <v>0</v>
      </c>
      <c r="POY23" s="229">
        <v>0</v>
      </c>
      <c r="POZ23" s="229">
        <v>0</v>
      </c>
      <c r="PPA23" s="229">
        <v>0</v>
      </c>
      <c r="PPB23" s="229">
        <v>0</v>
      </c>
      <c r="PPC23" s="229">
        <v>0</v>
      </c>
      <c r="PPD23" s="229">
        <v>0</v>
      </c>
      <c r="PPE23" s="229">
        <v>0</v>
      </c>
      <c r="PPF23" s="229">
        <v>0</v>
      </c>
      <c r="PPG23" s="229">
        <v>0</v>
      </c>
      <c r="PPH23" s="229">
        <v>0</v>
      </c>
      <c r="PPI23" s="229">
        <v>0</v>
      </c>
      <c r="PPJ23" s="229">
        <v>0</v>
      </c>
      <c r="PPK23" s="229">
        <v>0</v>
      </c>
      <c r="PPL23" s="229">
        <v>0</v>
      </c>
      <c r="PPM23" s="229">
        <v>0</v>
      </c>
      <c r="PPN23" s="229">
        <v>0</v>
      </c>
      <c r="PPO23" s="229">
        <v>0</v>
      </c>
      <c r="PPP23" s="229">
        <v>0</v>
      </c>
      <c r="PPQ23" s="229">
        <v>0</v>
      </c>
      <c r="PPR23" s="229">
        <v>0</v>
      </c>
      <c r="PPS23" s="229">
        <v>0</v>
      </c>
      <c r="PPT23" s="229">
        <v>0</v>
      </c>
      <c r="PPU23" s="229">
        <v>0</v>
      </c>
      <c r="PPV23" s="229">
        <v>0</v>
      </c>
      <c r="PPW23" s="229">
        <v>0</v>
      </c>
      <c r="PPX23" s="229">
        <v>0</v>
      </c>
      <c r="PPY23" s="229">
        <v>0</v>
      </c>
      <c r="PPZ23" s="229">
        <v>0</v>
      </c>
      <c r="PQA23" s="229">
        <v>0</v>
      </c>
      <c r="PQB23" s="229">
        <v>0</v>
      </c>
      <c r="PQC23" s="229">
        <v>0</v>
      </c>
      <c r="PQD23" s="229">
        <v>0</v>
      </c>
      <c r="PQE23" s="229">
        <v>0</v>
      </c>
      <c r="PQF23" s="229">
        <v>0</v>
      </c>
      <c r="PQG23" s="229">
        <v>0</v>
      </c>
      <c r="PQH23" s="229">
        <v>0</v>
      </c>
      <c r="PQI23" s="229">
        <v>0</v>
      </c>
      <c r="PQJ23" s="229">
        <v>0</v>
      </c>
      <c r="PQK23" s="229">
        <v>0</v>
      </c>
      <c r="PQL23" s="229">
        <v>0</v>
      </c>
      <c r="PQM23" s="229">
        <v>0</v>
      </c>
      <c r="PQN23" s="229">
        <v>0</v>
      </c>
      <c r="PQO23" s="229">
        <v>0</v>
      </c>
      <c r="PQP23" s="229">
        <v>0</v>
      </c>
      <c r="PQQ23" s="229">
        <v>0</v>
      </c>
      <c r="PQR23" s="229">
        <v>0</v>
      </c>
      <c r="PQS23" s="229">
        <v>0</v>
      </c>
      <c r="PQT23" s="229">
        <v>0</v>
      </c>
      <c r="PQU23" s="229">
        <v>0</v>
      </c>
      <c r="PQV23" s="229">
        <v>0</v>
      </c>
      <c r="PQW23" s="229">
        <v>0</v>
      </c>
      <c r="PQX23" s="229">
        <v>0</v>
      </c>
      <c r="PQY23" s="229">
        <v>0</v>
      </c>
      <c r="PQZ23" s="229">
        <v>0</v>
      </c>
      <c r="PRA23" s="229">
        <v>0</v>
      </c>
      <c r="PRB23" s="229">
        <v>0</v>
      </c>
      <c r="PRC23" s="229">
        <v>0</v>
      </c>
      <c r="PRD23" s="229">
        <v>0</v>
      </c>
      <c r="PRE23" s="229">
        <v>0</v>
      </c>
      <c r="PRF23" s="229">
        <v>0</v>
      </c>
      <c r="PRG23" s="229">
        <v>0</v>
      </c>
      <c r="PRH23" s="229">
        <v>0</v>
      </c>
      <c r="PRI23" s="229">
        <v>0</v>
      </c>
      <c r="PRJ23" s="229">
        <v>0</v>
      </c>
      <c r="PRK23" s="229">
        <v>0</v>
      </c>
      <c r="PRL23" s="229">
        <v>0</v>
      </c>
      <c r="PRM23" s="229">
        <v>0</v>
      </c>
      <c r="PRN23" s="229">
        <v>0</v>
      </c>
      <c r="PRO23" s="229">
        <v>0</v>
      </c>
      <c r="PRP23" s="229">
        <v>0</v>
      </c>
      <c r="PRQ23" s="229">
        <v>0</v>
      </c>
      <c r="PRR23" s="229">
        <v>0</v>
      </c>
      <c r="PRS23" s="229">
        <v>0</v>
      </c>
      <c r="PRT23" s="229">
        <v>0</v>
      </c>
      <c r="PRU23" s="229">
        <v>0</v>
      </c>
      <c r="PRV23" s="229">
        <v>0</v>
      </c>
      <c r="PRW23" s="229">
        <v>0</v>
      </c>
      <c r="PRX23" s="229">
        <v>0</v>
      </c>
      <c r="PRY23" s="229">
        <v>0</v>
      </c>
      <c r="PRZ23" s="229">
        <v>0</v>
      </c>
      <c r="PSA23" s="229">
        <v>0</v>
      </c>
      <c r="PSB23" s="229">
        <v>0</v>
      </c>
      <c r="PSC23" s="229">
        <v>0</v>
      </c>
      <c r="PSD23" s="229">
        <v>0</v>
      </c>
      <c r="PSE23" s="229">
        <v>0</v>
      </c>
      <c r="PSF23" s="229">
        <v>0</v>
      </c>
      <c r="PSG23" s="229">
        <v>0</v>
      </c>
      <c r="PSH23" s="229">
        <v>0</v>
      </c>
      <c r="PSI23" s="229">
        <v>0</v>
      </c>
      <c r="PSJ23" s="229">
        <v>0</v>
      </c>
      <c r="PSK23" s="229">
        <v>0</v>
      </c>
      <c r="PSL23" s="229">
        <v>0</v>
      </c>
      <c r="PSM23" s="229">
        <v>0</v>
      </c>
      <c r="PSN23" s="229">
        <v>0</v>
      </c>
      <c r="PSO23" s="229">
        <v>0</v>
      </c>
      <c r="PSP23" s="229">
        <v>0</v>
      </c>
      <c r="PSQ23" s="229">
        <v>0</v>
      </c>
      <c r="PSR23" s="229">
        <v>0</v>
      </c>
      <c r="PSS23" s="229">
        <v>0</v>
      </c>
      <c r="PST23" s="229">
        <v>0</v>
      </c>
      <c r="PSU23" s="229">
        <v>0</v>
      </c>
      <c r="PSV23" s="229">
        <v>0</v>
      </c>
      <c r="PSW23" s="229">
        <v>0</v>
      </c>
      <c r="PSX23" s="229">
        <v>0</v>
      </c>
      <c r="PSY23" s="229">
        <v>0</v>
      </c>
      <c r="PSZ23" s="229">
        <v>0</v>
      </c>
      <c r="PTA23" s="229">
        <v>0</v>
      </c>
      <c r="PTB23" s="229">
        <v>0</v>
      </c>
      <c r="PTC23" s="229">
        <v>0</v>
      </c>
      <c r="PTD23" s="229">
        <v>0</v>
      </c>
      <c r="PTE23" s="229">
        <v>0</v>
      </c>
      <c r="PTF23" s="229">
        <v>0</v>
      </c>
      <c r="PTG23" s="229">
        <v>0</v>
      </c>
      <c r="PTH23" s="229">
        <v>0</v>
      </c>
      <c r="PTI23" s="229">
        <v>0</v>
      </c>
      <c r="PTJ23" s="229">
        <v>0</v>
      </c>
      <c r="PTK23" s="229">
        <v>0</v>
      </c>
      <c r="PTL23" s="229">
        <v>0</v>
      </c>
      <c r="PTM23" s="229">
        <v>0</v>
      </c>
      <c r="PTN23" s="229">
        <v>0</v>
      </c>
      <c r="PTO23" s="229">
        <v>0</v>
      </c>
      <c r="PTP23" s="229">
        <v>0</v>
      </c>
      <c r="PTQ23" s="229">
        <v>0</v>
      </c>
      <c r="PTR23" s="229">
        <v>0</v>
      </c>
      <c r="PTS23" s="229">
        <v>0</v>
      </c>
      <c r="PTT23" s="229">
        <v>0</v>
      </c>
      <c r="PTU23" s="229">
        <v>0</v>
      </c>
      <c r="PTV23" s="229">
        <v>0</v>
      </c>
      <c r="PTW23" s="229">
        <v>0</v>
      </c>
      <c r="PTX23" s="229">
        <v>0</v>
      </c>
      <c r="PTY23" s="229">
        <v>0</v>
      </c>
      <c r="PTZ23" s="229">
        <v>0</v>
      </c>
      <c r="PUA23" s="229">
        <v>0</v>
      </c>
      <c r="PUB23" s="229">
        <v>0</v>
      </c>
      <c r="PUC23" s="229">
        <v>0</v>
      </c>
      <c r="PUD23" s="229">
        <v>0</v>
      </c>
      <c r="PUE23" s="229">
        <v>0</v>
      </c>
      <c r="PUF23" s="229">
        <v>0</v>
      </c>
      <c r="PUG23" s="229">
        <v>0</v>
      </c>
      <c r="PUH23" s="229">
        <v>0</v>
      </c>
      <c r="PUI23" s="229">
        <v>0</v>
      </c>
      <c r="PUJ23" s="229">
        <v>0</v>
      </c>
      <c r="PUK23" s="229">
        <v>0</v>
      </c>
      <c r="PUL23" s="229">
        <v>0</v>
      </c>
      <c r="PUM23" s="229">
        <v>0</v>
      </c>
      <c r="PUN23" s="229">
        <v>0</v>
      </c>
      <c r="PUO23" s="229">
        <v>0</v>
      </c>
      <c r="PUP23" s="229">
        <v>0</v>
      </c>
      <c r="PUQ23" s="229">
        <v>0</v>
      </c>
      <c r="PUR23" s="229">
        <v>0</v>
      </c>
      <c r="PUS23" s="229">
        <v>0</v>
      </c>
      <c r="PUT23" s="229">
        <v>0</v>
      </c>
      <c r="PUU23" s="229">
        <v>0</v>
      </c>
      <c r="PUV23" s="229">
        <v>0</v>
      </c>
      <c r="PUW23" s="229">
        <v>0</v>
      </c>
      <c r="PUX23" s="229">
        <v>0</v>
      </c>
      <c r="PUY23" s="229">
        <v>0</v>
      </c>
      <c r="PUZ23" s="229">
        <v>0</v>
      </c>
      <c r="PVA23" s="229">
        <v>0</v>
      </c>
      <c r="PVB23" s="229">
        <v>0</v>
      </c>
      <c r="PVC23" s="229">
        <v>0</v>
      </c>
      <c r="PVD23" s="229">
        <v>0</v>
      </c>
      <c r="PVE23" s="229">
        <v>0</v>
      </c>
      <c r="PVF23" s="229">
        <v>0</v>
      </c>
      <c r="PVG23" s="229">
        <v>0</v>
      </c>
      <c r="PVH23" s="229">
        <v>0</v>
      </c>
      <c r="PVI23" s="229">
        <v>0</v>
      </c>
      <c r="PVJ23" s="229">
        <v>0</v>
      </c>
      <c r="PVK23" s="229">
        <v>0</v>
      </c>
      <c r="PVL23" s="229">
        <v>0</v>
      </c>
      <c r="PVM23" s="229">
        <v>0</v>
      </c>
      <c r="PVN23" s="229">
        <v>0</v>
      </c>
      <c r="PVO23" s="229">
        <v>0</v>
      </c>
      <c r="PVP23" s="229">
        <v>0</v>
      </c>
      <c r="PVQ23" s="229">
        <v>0</v>
      </c>
      <c r="PVR23" s="229">
        <v>0</v>
      </c>
      <c r="PVS23" s="229">
        <v>0</v>
      </c>
      <c r="PVT23" s="229">
        <v>0</v>
      </c>
      <c r="PVU23" s="229">
        <v>0</v>
      </c>
      <c r="PVV23" s="229">
        <v>0</v>
      </c>
      <c r="PVW23" s="229">
        <v>0</v>
      </c>
      <c r="PVX23" s="229">
        <v>0</v>
      </c>
      <c r="PVY23" s="229">
        <v>0</v>
      </c>
      <c r="PVZ23" s="229">
        <v>0</v>
      </c>
      <c r="PWA23" s="229">
        <v>0</v>
      </c>
      <c r="PWB23" s="229">
        <v>0</v>
      </c>
      <c r="PWC23" s="229">
        <v>0</v>
      </c>
      <c r="PWD23" s="229">
        <v>0</v>
      </c>
      <c r="PWE23" s="229">
        <v>0</v>
      </c>
      <c r="PWF23" s="229">
        <v>0</v>
      </c>
      <c r="PWG23" s="229">
        <v>0</v>
      </c>
      <c r="PWH23" s="229">
        <v>0</v>
      </c>
      <c r="PWI23" s="229">
        <v>0</v>
      </c>
      <c r="PWJ23" s="229">
        <v>0</v>
      </c>
      <c r="PWK23" s="229">
        <v>0</v>
      </c>
      <c r="PWL23" s="229">
        <v>0</v>
      </c>
      <c r="PWM23" s="229">
        <v>0</v>
      </c>
      <c r="PWN23" s="229">
        <v>0</v>
      </c>
      <c r="PWO23" s="229">
        <v>0</v>
      </c>
      <c r="PWP23" s="229">
        <v>0</v>
      </c>
      <c r="PWQ23" s="229">
        <v>0</v>
      </c>
      <c r="PWR23" s="229">
        <v>0</v>
      </c>
      <c r="PWS23" s="229">
        <v>0</v>
      </c>
      <c r="PWT23" s="229">
        <v>0</v>
      </c>
      <c r="PWU23" s="229">
        <v>0</v>
      </c>
      <c r="PWV23" s="229">
        <v>0</v>
      </c>
      <c r="PWW23" s="229">
        <v>0</v>
      </c>
      <c r="PWX23" s="229">
        <v>0</v>
      </c>
      <c r="PWY23" s="229">
        <v>0</v>
      </c>
      <c r="PWZ23" s="229">
        <v>0</v>
      </c>
      <c r="PXA23" s="229">
        <v>0</v>
      </c>
      <c r="PXB23" s="229">
        <v>0</v>
      </c>
      <c r="PXC23" s="229">
        <v>0</v>
      </c>
      <c r="PXD23" s="229">
        <v>0</v>
      </c>
      <c r="PXE23" s="229">
        <v>0</v>
      </c>
      <c r="PXF23" s="229">
        <v>0</v>
      </c>
      <c r="PXG23" s="229">
        <v>0</v>
      </c>
      <c r="PXH23" s="229">
        <v>0</v>
      </c>
      <c r="PXI23" s="229">
        <v>0</v>
      </c>
      <c r="PXJ23" s="229">
        <v>0</v>
      </c>
      <c r="PXK23" s="229">
        <v>0</v>
      </c>
      <c r="PXL23" s="229">
        <v>0</v>
      </c>
      <c r="PXM23" s="229">
        <v>0</v>
      </c>
      <c r="PXN23" s="229">
        <v>0</v>
      </c>
      <c r="PXO23" s="229">
        <v>0</v>
      </c>
      <c r="PXP23" s="229">
        <v>0</v>
      </c>
      <c r="PXQ23" s="229">
        <v>0</v>
      </c>
      <c r="PXR23" s="229">
        <v>0</v>
      </c>
      <c r="PXS23" s="229">
        <v>0</v>
      </c>
      <c r="PXT23" s="229">
        <v>0</v>
      </c>
      <c r="PXU23" s="229">
        <v>0</v>
      </c>
      <c r="PXV23" s="229">
        <v>0</v>
      </c>
      <c r="PXW23" s="229">
        <v>0</v>
      </c>
      <c r="PXX23" s="229">
        <v>0</v>
      </c>
      <c r="PXY23" s="229">
        <v>0</v>
      </c>
      <c r="PXZ23" s="229">
        <v>0</v>
      </c>
      <c r="PYA23" s="229">
        <v>0</v>
      </c>
      <c r="PYB23" s="229">
        <v>0</v>
      </c>
      <c r="PYC23" s="229">
        <v>0</v>
      </c>
      <c r="PYD23" s="229">
        <v>0</v>
      </c>
      <c r="PYE23" s="229">
        <v>0</v>
      </c>
      <c r="PYF23" s="229">
        <v>0</v>
      </c>
      <c r="PYG23" s="229">
        <v>0</v>
      </c>
      <c r="PYH23" s="229">
        <v>0</v>
      </c>
      <c r="PYI23" s="229">
        <v>0</v>
      </c>
      <c r="PYJ23" s="229">
        <v>0</v>
      </c>
      <c r="PYK23" s="229">
        <v>0</v>
      </c>
      <c r="PYL23" s="229">
        <v>0</v>
      </c>
      <c r="PYM23" s="229">
        <v>0</v>
      </c>
      <c r="PYN23" s="229">
        <v>0</v>
      </c>
      <c r="PYO23" s="229">
        <v>0</v>
      </c>
      <c r="PYP23" s="229">
        <v>0</v>
      </c>
      <c r="PYQ23" s="229">
        <v>0</v>
      </c>
      <c r="PYR23" s="229">
        <v>0</v>
      </c>
      <c r="PYS23" s="229">
        <v>0</v>
      </c>
      <c r="PYT23" s="229">
        <v>0</v>
      </c>
      <c r="PYU23" s="229">
        <v>0</v>
      </c>
      <c r="PYV23" s="229">
        <v>0</v>
      </c>
      <c r="PYW23" s="229">
        <v>0</v>
      </c>
      <c r="PYX23" s="229">
        <v>0</v>
      </c>
      <c r="PYY23" s="229">
        <v>0</v>
      </c>
      <c r="PYZ23" s="229">
        <v>0</v>
      </c>
      <c r="PZA23" s="229">
        <v>0</v>
      </c>
      <c r="PZB23" s="229">
        <v>0</v>
      </c>
      <c r="PZC23" s="229">
        <v>0</v>
      </c>
      <c r="PZD23" s="229">
        <v>0</v>
      </c>
      <c r="PZE23" s="229">
        <v>0</v>
      </c>
      <c r="PZF23" s="229">
        <v>0</v>
      </c>
      <c r="PZG23" s="229">
        <v>0</v>
      </c>
      <c r="PZH23" s="229">
        <v>0</v>
      </c>
      <c r="PZI23" s="229">
        <v>0</v>
      </c>
      <c r="PZJ23" s="229">
        <v>0</v>
      </c>
      <c r="PZK23" s="229">
        <v>0</v>
      </c>
      <c r="PZL23" s="229">
        <v>0</v>
      </c>
      <c r="PZM23" s="229">
        <v>0</v>
      </c>
      <c r="PZN23" s="229">
        <v>0</v>
      </c>
      <c r="PZO23" s="229">
        <v>0</v>
      </c>
      <c r="PZP23" s="229">
        <v>0</v>
      </c>
      <c r="PZQ23" s="229">
        <v>0</v>
      </c>
      <c r="PZR23" s="229">
        <v>0</v>
      </c>
      <c r="PZS23" s="229">
        <v>0</v>
      </c>
      <c r="PZT23" s="229">
        <v>0</v>
      </c>
      <c r="PZU23" s="229">
        <v>0</v>
      </c>
      <c r="PZV23" s="229">
        <v>0</v>
      </c>
      <c r="PZW23" s="229">
        <v>0</v>
      </c>
      <c r="PZX23" s="229">
        <v>0</v>
      </c>
      <c r="PZY23" s="229">
        <v>0</v>
      </c>
      <c r="PZZ23" s="229">
        <v>0</v>
      </c>
      <c r="QAA23" s="229">
        <v>0</v>
      </c>
      <c r="QAB23" s="229">
        <v>0</v>
      </c>
      <c r="QAC23" s="229">
        <v>0</v>
      </c>
      <c r="QAD23" s="229">
        <v>0</v>
      </c>
      <c r="QAE23" s="229">
        <v>0</v>
      </c>
      <c r="QAF23" s="229">
        <v>0</v>
      </c>
      <c r="QAG23" s="229">
        <v>0</v>
      </c>
      <c r="QAH23" s="229">
        <v>0</v>
      </c>
      <c r="QAI23" s="229">
        <v>0</v>
      </c>
      <c r="QAJ23" s="229">
        <v>0</v>
      </c>
      <c r="QAK23" s="229">
        <v>0</v>
      </c>
      <c r="QAL23" s="229">
        <v>0</v>
      </c>
      <c r="QAM23" s="229">
        <v>0</v>
      </c>
      <c r="QAN23" s="229">
        <v>0</v>
      </c>
      <c r="QAO23" s="229">
        <v>0</v>
      </c>
      <c r="QAP23" s="229">
        <v>0</v>
      </c>
      <c r="QAQ23" s="229">
        <v>0</v>
      </c>
      <c r="QAR23" s="229">
        <v>0</v>
      </c>
      <c r="QAS23" s="229">
        <v>0</v>
      </c>
      <c r="QAT23" s="229">
        <v>0</v>
      </c>
      <c r="QAU23" s="229">
        <v>0</v>
      </c>
      <c r="QAV23" s="229">
        <v>0</v>
      </c>
      <c r="QAW23" s="229">
        <v>0</v>
      </c>
      <c r="QAX23" s="229">
        <v>0</v>
      </c>
      <c r="QAY23" s="229">
        <v>0</v>
      </c>
      <c r="QAZ23" s="229">
        <v>0</v>
      </c>
      <c r="QBA23" s="229">
        <v>0</v>
      </c>
      <c r="QBB23" s="229">
        <v>0</v>
      </c>
      <c r="QBC23" s="229">
        <v>0</v>
      </c>
      <c r="QBD23" s="229">
        <v>0</v>
      </c>
      <c r="QBE23" s="229">
        <v>0</v>
      </c>
      <c r="QBF23" s="229">
        <v>0</v>
      </c>
      <c r="QBG23" s="229">
        <v>0</v>
      </c>
      <c r="QBH23" s="229">
        <v>0</v>
      </c>
      <c r="QBI23" s="229">
        <v>0</v>
      </c>
      <c r="QBJ23" s="229">
        <v>0</v>
      </c>
      <c r="QBK23" s="229">
        <v>0</v>
      </c>
      <c r="QBL23" s="229">
        <v>0</v>
      </c>
      <c r="QBM23" s="229">
        <v>0</v>
      </c>
      <c r="QBN23" s="229">
        <v>0</v>
      </c>
      <c r="QBO23" s="229">
        <v>0</v>
      </c>
      <c r="QBP23" s="229">
        <v>0</v>
      </c>
      <c r="QBQ23" s="229">
        <v>0</v>
      </c>
      <c r="QBR23" s="229">
        <v>0</v>
      </c>
      <c r="QBS23" s="229">
        <v>0</v>
      </c>
      <c r="QBT23" s="229">
        <v>0</v>
      </c>
      <c r="QBU23" s="229">
        <v>0</v>
      </c>
      <c r="QBV23" s="229">
        <v>0</v>
      </c>
      <c r="QBW23" s="229">
        <v>0</v>
      </c>
      <c r="QBX23" s="229">
        <v>0</v>
      </c>
      <c r="QBY23" s="229">
        <v>0</v>
      </c>
      <c r="QBZ23" s="229">
        <v>0</v>
      </c>
      <c r="QCA23" s="229">
        <v>0</v>
      </c>
      <c r="QCB23" s="229">
        <v>0</v>
      </c>
      <c r="QCC23" s="229">
        <v>0</v>
      </c>
      <c r="QCD23" s="229">
        <v>0</v>
      </c>
      <c r="QCE23" s="229">
        <v>0</v>
      </c>
      <c r="QCF23" s="229">
        <v>0</v>
      </c>
      <c r="QCG23" s="229">
        <v>0</v>
      </c>
      <c r="QCH23" s="229">
        <v>0</v>
      </c>
      <c r="QCI23" s="229">
        <v>0</v>
      </c>
      <c r="QCJ23" s="229">
        <v>0</v>
      </c>
      <c r="QCK23" s="229">
        <v>0</v>
      </c>
      <c r="QCL23" s="229">
        <v>0</v>
      </c>
      <c r="QCM23" s="229">
        <v>0</v>
      </c>
      <c r="QCN23" s="229">
        <v>0</v>
      </c>
      <c r="QCO23" s="229">
        <v>0</v>
      </c>
      <c r="QCP23" s="229">
        <v>0</v>
      </c>
      <c r="QCQ23" s="229">
        <v>0</v>
      </c>
      <c r="QCR23" s="229">
        <v>0</v>
      </c>
      <c r="QCS23" s="229">
        <v>0</v>
      </c>
      <c r="QCT23" s="229">
        <v>0</v>
      </c>
      <c r="QCU23" s="229">
        <v>0</v>
      </c>
      <c r="QCV23" s="229">
        <v>0</v>
      </c>
      <c r="QCW23" s="229">
        <v>0</v>
      </c>
      <c r="QCX23" s="229">
        <v>0</v>
      </c>
      <c r="QCY23" s="229">
        <v>0</v>
      </c>
      <c r="QCZ23" s="229">
        <v>0</v>
      </c>
      <c r="QDA23" s="229">
        <v>0</v>
      </c>
      <c r="QDB23" s="229">
        <v>0</v>
      </c>
      <c r="QDC23" s="229">
        <v>0</v>
      </c>
      <c r="QDD23" s="229">
        <v>0</v>
      </c>
      <c r="QDE23" s="229">
        <v>0</v>
      </c>
      <c r="QDF23" s="229">
        <v>0</v>
      </c>
      <c r="QDG23" s="229">
        <v>0</v>
      </c>
      <c r="QDH23" s="229">
        <v>0</v>
      </c>
      <c r="QDI23" s="229">
        <v>0</v>
      </c>
      <c r="QDJ23" s="229">
        <v>0</v>
      </c>
      <c r="QDK23" s="229">
        <v>0</v>
      </c>
      <c r="QDL23" s="229">
        <v>0</v>
      </c>
      <c r="QDM23" s="229">
        <v>0</v>
      </c>
      <c r="QDN23" s="229">
        <v>0</v>
      </c>
      <c r="QDO23" s="229">
        <v>0</v>
      </c>
      <c r="QDP23" s="229">
        <v>0</v>
      </c>
      <c r="QDQ23" s="229">
        <v>0</v>
      </c>
      <c r="QDR23" s="229">
        <v>0</v>
      </c>
      <c r="QDS23" s="229">
        <v>0</v>
      </c>
      <c r="QDT23" s="229">
        <v>0</v>
      </c>
      <c r="QDU23" s="229">
        <v>0</v>
      </c>
      <c r="QDV23" s="229">
        <v>0</v>
      </c>
      <c r="QDW23" s="229">
        <v>0</v>
      </c>
      <c r="QDX23" s="229">
        <v>0</v>
      </c>
      <c r="QDY23" s="229">
        <v>0</v>
      </c>
      <c r="QDZ23" s="229">
        <v>0</v>
      </c>
      <c r="QEA23" s="229">
        <v>0</v>
      </c>
      <c r="QEB23" s="229">
        <v>0</v>
      </c>
      <c r="QEC23" s="229">
        <v>0</v>
      </c>
      <c r="QED23" s="229">
        <v>0</v>
      </c>
      <c r="QEE23" s="229">
        <v>0</v>
      </c>
      <c r="QEF23" s="229">
        <v>0</v>
      </c>
      <c r="QEG23" s="229">
        <v>0</v>
      </c>
      <c r="QEH23" s="229">
        <v>0</v>
      </c>
      <c r="QEI23" s="229">
        <v>0</v>
      </c>
      <c r="QEJ23" s="229">
        <v>0</v>
      </c>
      <c r="QEK23" s="229">
        <v>0</v>
      </c>
      <c r="QEL23" s="229">
        <v>0</v>
      </c>
      <c r="QEM23" s="229">
        <v>0</v>
      </c>
      <c r="QEN23" s="229">
        <v>0</v>
      </c>
      <c r="QEO23" s="229">
        <v>0</v>
      </c>
      <c r="QEP23" s="229">
        <v>0</v>
      </c>
      <c r="QEQ23" s="229">
        <v>0</v>
      </c>
      <c r="QER23" s="229">
        <v>0</v>
      </c>
      <c r="QES23" s="229">
        <v>0</v>
      </c>
      <c r="QET23" s="229">
        <v>0</v>
      </c>
      <c r="QEU23" s="229">
        <v>0</v>
      </c>
      <c r="QEV23" s="229">
        <v>0</v>
      </c>
      <c r="QEW23" s="229">
        <v>0</v>
      </c>
      <c r="QEX23" s="229">
        <v>0</v>
      </c>
      <c r="QEY23" s="229">
        <v>0</v>
      </c>
      <c r="QEZ23" s="229">
        <v>0</v>
      </c>
      <c r="QFA23" s="229">
        <v>0</v>
      </c>
      <c r="QFB23" s="229">
        <v>0</v>
      </c>
      <c r="QFC23" s="229">
        <v>0</v>
      </c>
      <c r="QFD23" s="229">
        <v>0</v>
      </c>
      <c r="QFE23" s="229">
        <v>0</v>
      </c>
      <c r="QFF23" s="229">
        <v>0</v>
      </c>
      <c r="QFG23" s="229">
        <v>0</v>
      </c>
      <c r="QFH23" s="229">
        <v>0</v>
      </c>
      <c r="QFI23" s="229">
        <v>0</v>
      </c>
      <c r="QFJ23" s="229">
        <v>0</v>
      </c>
      <c r="QFK23" s="229">
        <v>0</v>
      </c>
      <c r="QFL23" s="229">
        <v>0</v>
      </c>
      <c r="QFM23" s="229">
        <v>0</v>
      </c>
      <c r="QFN23" s="229">
        <v>0</v>
      </c>
      <c r="QFO23" s="229">
        <v>0</v>
      </c>
      <c r="QFP23" s="229">
        <v>0</v>
      </c>
      <c r="QFQ23" s="229">
        <v>0</v>
      </c>
      <c r="QFR23" s="229">
        <v>0</v>
      </c>
      <c r="QFS23" s="229">
        <v>0</v>
      </c>
      <c r="QFT23" s="229">
        <v>0</v>
      </c>
      <c r="QFU23" s="229">
        <v>0</v>
      </c>
      <c r="QFV23" s="229">
        <v>0</v>
      </c>
      <c r="QFW23" s="229">
        <v>0</v>
      </c>
      <c r="QFX23" s="229">
        <v>0</v>
      </c>
      <c r="QFY23" s="229">
        <v>0</v>
      </c>
      <c r="QFZ23" s="229">
        <v>0</v>
      </c>
      <c r="QGA23" s="229">
        <v>0</v>
      </c>
      <c r="QGB23" s="229">
        <v>0</v>
      </c>
      <c r="QGC23" s="229">
        <v>0</v>
      </c>
      <c r="QGD23" s="229">
        <v>0</v>
      </c>
      <c r="QGE23" s="229">
        <v>0</v>
      </c>
      <c r="QGF23" s="229">
        <v>0</v>
      </c>
      <c r="QGG23" s="229">
        <v>0</v>
      </c>
      <c r="QGH23" s="229">
        <v>0</v>
      </c>
      <c r="QGI23" s="229">
        <v>0</v>
      </c>
      <c r="QGJ23" s="229">
        <v>0</v>
      </c>
      <c r="QGK23" s="229">
        <v>0</v>
      </c>
      <c r="QGL23" s="229">
        <v>0</v>
      </c>
      <c r="QGM23" s="229">
        <v>0</v>
      </c>
      <c r="QGN23" s="229">
        <v>0</v>
      </c>
      <c r="QGO23" s="229">
        <v>0</v>
      </c>
      <c r="QGP23" s="229">
        <v>0</v>
      </c>
      <c r="QGQ23" s="229">
        <v>0</v>
      </c>
      <c r="QGR23" s="229">
        <v>0</v>
      </c>
      <c r="QGS23" s="229">
        <v>0</v>
      </c>
      <c r="QGT23" s="229">
        <v>0</v>
      </c>
      <c r="QGU23" s="229">
        <v>0</v>
      </c>
      <c r="QGV23" s="229">
        <v>0</v>
      </c>
      <c r="QGW23" s="229">
        <v>0</v>
      </c>
      <c r="QGX23" s="229">
        <v>0</v>
      </c>
      <c r="QGY23" s="229">
        <v>0</v>
      </c>
      <c r="QGZ23" s="229">
        <v>0</v>
      </c>
      <c r="QHA23" s="229">
        <v>0</v>
      </c>
      <c r="QHB23" s="229">
        <v>0</v>
      </c>
      <c r="QHC23" s="229">
        <v>0</v>
      </c>
      <c r="QHD23" s="229">
        <v>0</v>
      </c>
      <c r="QHE23" s="229">
        <v>0</v>
      </c>
      <c r="QHF23" s="229">
        <v>0</v>
      </c>
      <c r="QHG23" s="229">
        <v>0</v>
      </c>
      <c r="QHH23" s="229">
        <v>0</v>
      </c>
      <c r="QHI23" s="229">
        <v>0</v>
      </c>
      <c r="QHJ23" s="229">
        <v>0</v>
      </c>
      <c r="QHK23" s="229">
        <v>0</v>
      </c>
      <c r="QHL23" s="229">
        <v>0</v>
      </c>
      <c r="QHM23" s="229">
        <v>0</v>
      </c>
      <c r="QHN23" s="229">
        <v>0</v>
      </c>
      <c r="QHO23" s="229">
        <v>0</v>
      </c>
      <c r="QHP23" s="229">
        <v>0</v>
      </c>
      <c r="QHQ23" s="229">
        <v>0</v>
      </c>
      <c r="QHR23" s="229">
        <v>0</v>
      </c>
      <c r="QHS23" s="229">
        <v>0</v>
      </c>
      <c r="QHT23" s="229">
        <v>0</v>
      </c>
      <c r="QHU23" s="229">
        <v>0</v>
      </c>
      <c r="QHV23" s="229">
        <v>0</v>
      </c>
      <c r="QHW23" s="229">
        <v>0</v>
      </c>
      <c r="QHX23" s="229">
        <v>0</v>
      </c>
      <c r="QHY23" s="229">
        <v>0</v>
      </c>
      <c r="QHZ23" s="229">
        <v>0</v>
      </c>
      <c r="QIA23" s="229">
        <v>0</v>
      </c>
      <c r="QIB23" s="229">
        <v>0</v>
      </c>
      <c r="QIC23" s="229">
        <v>0</v>
      </c>
      <c r="QID23" s="229">
        <v>0</v>
      </c>
      <c r="QIE23" s="229">
        <v>0</v>
      </c>
      <c r="QIF23" s="229">
        <v>0</v>
      </c>
      <c r="QIG23" s="229">
        <v>0</v>
      </c>
      <c r="QIH23" s="229">
        <v>0</v>
      </c>
      <c r="QII23" s="229">
        <v>0</v>
      </c>
      <c r="QIJ23" s="229">
        <v>0</v>
      </c>
      <c r="QIK23" s="229">
        <v>0</v>
      </c>
      <c r="QIL23" s="229">
        <v>0</v>
      </c>
      <c r="QIM23" s="229">
        <v>0</v>
      </c>
      <c r="QIN23" s="229">
        <v>0</v>
      </c>
      <c r="QIO23" s="229">
        <v>0</v>
      </c>
      <c r="QIP23" s="229">
        <v>0</v>
      </c>
      <c r="QIQ23" s="229">
        <v>0</v>
      </c>
      <c r="QIR23" s="229">
        <v>0</v>
      </c>
      <c r="QIS23" s="229">
        <v>0</v>
      </c>
      <c r="QIT23" s="229">
        <v>0</v>
      </c>
      <c r="QIU23" s="229">
        <v>0</v>
      </c>
      <c r="QIV23" s="229">
        <v>0</v>
      </c>
      <c r="QIW23" s="229">
        <v>0</v>
      </c>
      <c r="QIX23" s="229">
        <v>0</v>
      </c>
      <c r="QIY23" s="229">
        <v>0</v>
      </c>
      <c r="QIZ23" s="229">
        <v>0</v>
      </c>
      <c r="QJA23" s="229">
        <v>0</v>
      </c>
      <c r="QJB23" s="229">
        <v>0</v>
      </c>
      <c r="QJC23" s="229">
        <v>0</v>
      </c>
      <c r="QJD23" s="229">
        <v>0</v>
      </c>
      <c r="QJE23" s="229">
        <v>0</v>
      </c>
      <c r="QJF23" s="229">
        <v>0</v>
      </c>
      <c r="QJG23" s="229">
        <v>0</v>
      </c>
      <c r="QJH23" s="229">
        <v>0</v>
      </c>
      <c r="QJI23" s="229">
        <v>0</v>
      </c>
      <c r="QJJ23" s="229">
        <v>0</v>
      </c>
      <c r="QJK23" s="229">
        <v>0</v>
      </c>
      <c r="QJL23" s="229">
        <v>0</v>
      </c>
      <c r="QJM23" s="229">
        <v>0</v>
      </c>
      <c r="QJN23" s="229">
        <v>0</v>
      </c>
      <c r="QJO23" s="229">
        <v>0</v>
      </c>
      <c r="QJP23" s="229">
        <v>0</v>
      </c>
      <c r="QJQ23" s="229">
        <v>0</v>
      </c>
      <c r="QJR23" s="229">
        <v>0</v>
      </c>
      <c r="QJS23" s="229">
        <v>0</v>
      </c>
      <c r="QJT23" s="229">
        <v>0</v>
      </c>
      <c r="QJU23" s="229">
        <v>0</v>
      </c>
      <c r="QJV23" s="229">
        <v>0</v>
      </c>
      <c r="QJW23" s="229">
        <v>0</v>
      </c>
      <c r="QJX23" s="229">
        <v>0</v>
      </c>
      <c r="QJY23" s="229">
        <v>0</v>
      </c>
      <c r="QJZ23" s="229">
        <v>0</v>
      </c>
      <c r="QKA23" s="229">
        <v>0</v>
      </c>
      <c r="QKB23" s="229">
        <v>0</v>
      </c>
      <c r="QKC23" s="229">
        <v>0</v>
      </c>
      <c r="QKD23" s="229">
        <v>0</v>
      </c>
      <c r="QKE23" s="229">
        <v>0</v>
      </c>
      <c r="QKF23" s="229">
        <v>0</v>
      </c>
      <c r="QKG23" s="229">
        <v>0</v>
      </c>
      <c r="QKH23" s="229">
        <v>0</v>
      </c>
      <c r="QKI23" s="229">
        <v>0</v>
      </c>
      <c r="QKJ23" s="229">
        <v>0</v>
      </c>
      <c r="QKK23" s="229">
        <v>0</v>
      </c>
      <c r="QKL23" s="229">
        <v>0</v>
      </c>
      <c r="QKM23" s="229">
        <v>0</v>
      </c>
      <c r="QKN23" s="229">
        <v>0</v>
      </c>
      <c r="QKO23" s="229">
        <v>0</v>
      </c>
      <c r="QKP23" s="229">
        <v>0</v>
      </c>
      <c r="QKQ23" s="229">
        <v>0</v>
      </c>
      <c r="QKR23" s="229">
        <v>0</v>
      </c>
      <c r="QKS23" s="229">
        <v>0</v>
      </c>
      <c r="QKT23" s="229">
        <v>0</v>
      </c>
      <c r="QKU23" s="229">
        <v>0</v>
      </c>
      <c r="QKV23" s="229">
        <v>0</v>
      </c>
      <c r="QKW23" s="229">
        <v>0</v>
      </c>
      <c r="QKX23" s="229">
        <v>0</v>
      </c>
      <c r="QKY23" s="229">
        <v>0</v>
      </c>
      <c r="QKZ23" s="229">
        <v>0</v>
      </c>
      <c r="QLA23" s="229">
        <v>0</v>
      </c>
      <c r="QLB23" s="229">
        <v>0</v>
      </c>
      <c r="QLC23" s="229">
        <v>0</v>
      </c>
      <c r="QLD23" s="229">
        <v>0</v>
      </c>
      <c r="QLE23" s="229">
        <v>0</v>
      </c>
      <c r="QLF23" s="229">
        <v>0</v>
      </c>
      <c r="QLG23" s="229">
        <v>0</v>
      </c>
      <c r="QLH23" s="229">
        <v>0</v>
      </c>
      <c r="QLI23" s="229">
        <v>0</v>
      </c>
      <c r="QLJ23" s="229">
        <v>0</v>
      </c>
      <c r="QLK23" s="229">
        <v>0</v>
      </c>
      <c r="QLL23" s="229">
        <v>0</v>
      </c>
      <c r="QLM23" s="229">
        <v>0</v>
      </c>
      <c r="QLN23" s="229">
        <v>0</v>
      </c>
      <c r="QLO23" s="229">
        <v>0</v>
      </c>
      <c r="QLP23" s="229">
        <v>0</v>
      </c>
      <c r="QLQ23" s="229">
        <v>0</v>
      </c>
      <c r="QLR23" s="229">
        <v>0</v>
      </c>
      <c r="QLS23" s="229">
        <v>0</v>
      </c>
      <c r="QLT23" s="229">
        <v>0</v>
      </c>
      <c r="QLU23" s="229">
        <v>0</v>
      </c>
      <c r="QLV23" s="229">
        <v>0</v>
      </c>
      <c r="QLW23" s="229">
        <v>0</v>
      </c>
      <c r="QLX23" s="229">
        <v>0</v>
      </c>
      <c r="QLY23" s="229">
        <v>0</v>
      </c>
      <c r="QLZ23" s="229">
        <v>0</v>
      </c>
      <c r="QMA23" s="229">
        <v>0</v>
      </c>
      <c r="QMB23" s="229">
        <v>0</v>
      </c>
      <c r="QMC23" s="229">
        <v>0</v>
      </c>
      <c r="QMD23" s="229">
        <v>0</v>
      </c>
      <c r="QME23" s="229">
        <v>0</v>
      </c>
      <c r="QMF23" s="229">
        <v>0</v>
      </c>
      <c r="QMG23" s="229">
        <v>0</v>
      </c>
      <c r="QMH23" s="229">
        <v>0</v>
      </c>
      <c r="QMI23" s="229">
        <v>0</v>
      </c>
      <c r="QMJ23" s="229">
        <v>0</v>
      </c>
      <c r="QMK23" s="229">
        <v>0</v>
      </c>
      <c r="QML23" s="229">
        <v>0</v>
      </c>
      <c r="QMM23" s="229">
        <v>0</v>
      </c>
      <c r="QMN23" s="229">
        <v>0</v>
      </c>
      <c r="QMO23" s="229">
        <v>0</v>
      </c>
      <c r="QMP23" s="229">
        <v>0</v>
      </c>
      <c r="QMQ23" s="229">
        <v>0</v>
      </c>
      <c r="QMR23" s="229">
        <v>0</v>
      </c>
      <c r="QMS23" s="229">
        <v>0</v>
      </c>
      <c r="QMT23" s="229">
        <v>0</v>
      </c>
      <c r="QMU23" s="229">
        <v>0</v>
      </c>
      <c r="QMV23" s="229">
        <v>0</v>
      </c>
      <c r="QMW23" s="229">
        <v>0</v>
      </c>
      <c r="QMX23" s="229">
        <v>0</v>
      </c>
      <c r="QMY23" s="229">
        <v>0</v>
      </c>
      <c r="QMZ23" s="229">
        <v>0</v>
      </c>
      <c r="QNA23" s="229">
        <v>0</v>
      </c>
      <c r="QNB23" s="229">
        <v>0</v>
      </c>
      <c r="QNC23" s="229">
        <v>0</v>
      </c>
      <c r="QND23" s="229">
        <v>0</v>
      </c>
      <c r="QNE23" s="229">
        <v>0</v>
      </c>
      <c r="QNF23" s="229">
        <v>0</v>
      </c>
      <c r="QNG23" s="229">
        <v>0</v>
      </c>
      <c r="QNH23" s="229">
        <v>0</v>
      </c>
      <c r="QNI23" s="229">
        <v>0</v>
      </c>
      <c r="QNJ23" s="229">
        <v>0</v>
      </c>
      <c r="QNK23" s="229">
        <v>0</v>
      </c>
      <c r="QNL23" s="229">
        <v>0</v>
      </c>
      <c r="QNM23" s="229">
        <v>0</v>
      </c>
      <c r="QNN23" s="229">
        <v>0</v>
      </c>
      <c r="QNO23" s="229">
        <v>0</v>
      </c>
      <c r="QNP23" s="229">
        <v>0</v>
      </c>
      <c r="QNQ23" s="229">
        <v>0</v>
      </c>
      <c r="QNR23" s="229">
        <v>0</v>
      </c>
      <c r="QNS23" s="229">
        <v>0</v>
      </c>
      <c r="QNT23" s="229">
        <v>0</v>
      </c>
      <c r="QNU23" s="229">
        <v>0</v>
      </c>
      <c r="QNV23" s="229">
        <v>0</v>
      </c>
      <c r="QNW23" s="229">
        <v>0</v>
      </c>
      <c r="QNX23" s="229">
        <v>0</v>
      </c>
      <c r="QNY23" s="229">
        <v>0</v>
      </c>
      <c r="QNZ23" s="229">
        <v>0</v>
      </c>
      <c r="QOA23" s="229">
        <v>0</v>
      </c>
      <c r="QOB23" s="229">
        <v>0</v>
      </c>
      <c r="QOC23" s="229">
        <v>0</v>
      </c>
      <c r="QOD23" s="229">
        <v>0</v>
      </c>
      <c r="QOE23" s="229">
        <v>0</v>
      </c>
      <c r="QOF23" s="229">
        <v>0</v>
      </c>
      <c r="QOG23" s="229">
        <v>0</v>
      </c>
      <c r="QOH23" s="229">
        <v>0</v>
      </c>
      <c r="QOI23" s="229">
        <v>0</v>
      </c>
      <c r="QOJ23" s="229">
        <v>0</v>
      </c>
      <c r="QOK23" s="229">
        <v>0</v>
      </c>
      <c r="QOL23" s="229">
        <v>0</v>
      </c>
      <c r="QOM23" s="229">
        <v>0</v>
      </c>
      <c r="QON23" s="229">
        <v>0</v>
      </c>
      <c r="QOO23" s="229">
        <v>0</v>
      </c>
      <c r="QOP23" s="229">
        <v>0</v>
      </c>
      <c r="QOQ23" s="229">
        <v>0</v>
      </c>
      <c r="QOR23" s="229">
        <v>0</v>
      </c>
      <c r="QOS23" s="229">
        <v>0</v>
      </c>
      <c r="QOT23" s="229">
        <v>0</v>
      </c>
      <c r="QOU23" s="229">
        <v>0</v>
      </c>
      <c r="QOV23" s="229">
        <v>0</v>
      </c>
      <c r="QOW23" s="229">
        <v>0</v>
      </c>
      <c r="QOX23" s="229">
        <v>0</v>
      </c>
      <c r="QOY23" s="229">
        <v>0</v>
      </c>
      <c r="QOZ23" s="229">
        <v>0</v>
      </c>
      <c r="QPA23" s="229">
        <v>0</v>
      </c>
      <c r="QPB23" s="229">
        <v>0</v>
      </c>
      <c r="QPC23" s="229">
        <v>0</v>
      </c>
      <c r="QPD23" s="229">
        <v>0</v>
      </c>
      <c r="QPE23" s="229">
        <v>0</v>
      </c>
      <c r="QPF23" s="229">
        <v>0</v>
      </c>
      <c r="QPG23" s="229">
        <v>0</v>
      </c>
      <c r="QPH23" s="229">
        <v>0</v>
      </c>
      <c r="QPI23" s="229">
        <v>0</v>
      </c>
      <c r="QPJ23" s="229">
        <v>0</v>
      </c>
      <c r="QPK23" s="229">
        <v>0</v>
      </c>
      <c r="QPL23" s="229">
        <v>0</v>
      </c>
      <c r="QPM23" s="229">
        <v>0</v>
      </c>
      <c r="QPN23" s="229">
        <v>0</v>
      </c>
      <c r="QPO23" s="229">
        <v>0</v>
      </c>
      <c r="QPP23" s="229">
        <v>0</v>
      </c>
      <c r="QPQ23" s="229">
        <v>0</v>
      </c>
      <c r="QPR23" s="229">
        <v>0</v>
      </c>
      <c r="QPS23" s="229">
        <v>0</v>
      </c>
      <c r="QPT23" s="229">
        <v>0</v>
      </c>
      <c r="QPU23" s="229">
        <v>0</v>
      </c>
      <c r="QPV23" s="229">
        <v>0</v>
      </c>
      <c r="QPW23" s="229">
        <v>0</v>
      </c>
      <c r="QPX23" s="229">
        <v>0</v>
      </c>
      <c r="QPY23" s="229">
        <v>0</v>
      </c>
      <c r="QPZ23" s="229">
        <v>0</v>
      </c>
      <c r="QQA23" s="229">
        <v>0</v>
      </c>
      <c r="QQB23" s="229">
        <v>0</v>
      </c>
      <c r="QQC23" s="229">
        <v>0</v>
      </c>
      <c r="QQD23" s="229">
        <v>0</v>
      </c>
      <c r="QQE23" s="229">
        <v>0</v>
      </c>
      <c r="QQF23" s="229">
        <v>0</v>
      </c>
      <c r="QQG23" s="229">
        <v>0</v>
      </c>
      <c r="QQH23" s="229">
        <v>0</v>
      </c>
      <c r="QQI23" s="229">
        <v>0</v>
      </c>
      <c r="QQJ23" s="229">
        <v>0</v>
      </c>
      <c r="QQK23" s="229">
        <v>0</v>
      </c>
      <c r="QQL23" s="229">
        <v>0</v>
      </c>
      <c r="QQM23" s="229">
        <v>0</v>
      </c>
      <c r="QQN23" s="229">
        <v>0</v>
      </c>
      <c r="QQO23" s="229">
        <v>0</v>
      </c>
      <c r="QQP23" s="229">
        <v>0</v>
      </c>
      <c r="QQQ23" s="229">
        <v>0</v>
      </c>
      <c r="QQR23" s="229">
        <v>0</v>
      </c>
      <c r="QQS23" s="229">
        <v>0</v>
      </c>
      <c r="QQT23" s="229">
        <v>0</v>
      </c>
      <c r="QQU23" s="229">
        <v>0</v>
      </c>
      <c r="QQV23" s="229">
        <v>0</v>
      </c>
      <c r="QQW23" s="229">
        <v>0</v>
      </c>
      <c r="QQX23" s="229">
        <v>0</v>
      </c>
      <c r="QQY23" s="229">
        <v>0</v>
      </c>
      <c r="QQZ23" s="229">
        <v>0</v>
      </c>
      <c r="QRA23" s="229">
        <v>0</v>
      </c>
      <c r="QRB23" s="229">
        <v>0</v>
      </c>
      <c r="QRC23" s="229">
        <v>0</v>
      </c>
      <c r="QRD23" s="229">
        <v>0</v>
      </c>
      <c r="QRE23" s="229">
        <v>0</v>
      </c>
      <c r="QRF23" s="229">
        <v>0</v>
      </c>
      <c r="QRG23" s="229">
        <v>0</v>
      </c>
      <c r="QRH23" s="229">
        <v>0</v>
      </c>
      <c r="QRI23" s="229">
        <v>0</v>
      </c>
      <c r="QRJ23" s="229">
        <v>0</v>
      </c>
      <c r="QRK23" s="229">
        <v>0</v>
      </c>
      <c r="QRL23" s="229">
        <v>0</v>
      </c>
      <c r="QRM23" s="229">
        <v>0</v>
      </c>
      <c r="QRN23" s="229">
        <v>0</v>
      </c>
      <c r="QRO23" s="229">
        <v>0</v>
      </c>
      <c r="QRP23" s="229">
        <v>0</v>
      </c>
      <c r="QRQ23" s="229">
        <v>0</v>
      </c>
      <c r="QRR23" s="229">
        <v>0</v>
      </c>
      <c r="QRS23" s="229">
        <v>0</v>
      </c>
      <c r="QRT23" s="229">
        <v>0</v>
      </c>
      <c r="QRU23" s="229">
        <v>0</v>
      </c>
      <c r="QRV23" s="229">
        <v>0</v>
      </c>
      <c r="QRW23" s="229">
        <v>0</v>
      </c>
      <c r="QRX23" s="229">
        <v>0</v>
      </c>
      <c r="QRY23" s="229">
        <v>0</v>
      </c>
      <c r="QRZ23" s="229">
        <v>0</v>
      </c>
      <c r="QSA23" s="229">
        <v>0</v>
      </c>
      <c r="QSB23" s="229">
        <v>0</v>
      </c>
      <c r="QSC23" s="229">
        <v>0</v>
      </c>
      <c r="QSD23" s="229">
        <v>0</v>
      </c>
      <c r="QSE23" s="229">
        <v>0</v>
      </c>
      <c r="QSF23" s="229">
        <v>0</v>
      </c>
      <c r="QSG23" s="229">
        <v>0</v>
      </c>
      <c r="QSH23" s="229">
        <v>0</v>
      </c>
      <c r="QSI23" s="229">
        <v>0</v>
      </c>
      <c r="QSJ23" s="229">
        <v>0</v>
      </c>
      <c r="QSK23" s="229">
        <v>0</v>
      </c>
      <c r="QSL23" s="229">
        <v>0</v>
      </c>
      <c r="QSM23" s="229">
        <v>0</v>
      </c>
      <c r="QSN23" s="229">
        <v>0</v>
      </c>
      <c r="QSO23" s="229">
        <v>0</v>
      </c>
      <c r="QSP23" s="229">
        <v>0</v>
      </c>
      <c r="QSQ23" s="229">
        <v>0</v>
      </c>
      <c r="QSR23" s="229">
        <v>0</v>
      </c>
      <c r="QSS23" s="229">
        <v>0</v>
      </c>
      <c r="QST23" s="229">
        <v>0</v>
      </c>
      <c r="QSU23" s="229">
        <v>0</v>
      </c>
      <c r="QSV23" s="229">
        <v>0</v>
      </c>
      <c r="QSW23" s="229">
        <v>0</v>
      </c>
      <c r="QSX23" s="229">
        <v>0</v>
      </c>
      <c r="QSY23" s="229">
        <v>0</v>
      </c>
      <c r="QSZ23" s="229">
        <v>0</v>
      </c>
      <c r="QTA23" s="229">
        <v>0</v>
      </c>
      <c r="QTB23" s="229">
        <v>0</v>
      </c>
      <c r="QTC23" s="229">
        <v>0</v>
      </c>
      <c r="QTD23" s="229">
        <v>0</v>
      </c>
      <c r="QTE23" s="229">
        <v>0</v>
      </c>
      <c r="QTF23" s="229">
        <v>0</v>
      </c>
      <c r="QTG23" s="229">
        <v>0</v>
      </c>
      <c r="QTH23" s="229">
        <v>0</v>
      </c>
      <c r="QTI23" s="229">
        <v>0</v>
      </c>
      <c r="QTJ23" s="229">
        <v>0</v>
      </c>
      <c r="QTK23" s="229">
        <v>0</v>
      </c>
      <c r="QTL23" s="229">
        <v>0</v>
      </c>
      <c r="QTM23" s="229">
        <v>0</v>
      </c>
      <c r="QTN23" s="229">
        <v>0</v>
      </c>
      <c r="QTO23" s="229">
        <v>0</v>
      </c>
      <c r="QTP23" s="229">
        <v>0</v>
      </c>
      <c r="QTQ23" s="229">
        <v>0</v>
      </c>
      <c r="QTR23" s="229">
        <v>0</v>
      </c>
      <c r="QTS23" s="229">
        <v>0</v>
      </c>
      <c r="QTT23" s="229">
        <v>0</v>
      </c>
      <c r="QTU23" s="229">
        <v>0</v>
      </c>
      <c r="QTV23" s="229">
        <v>0</v>
      </c>
      <c r="QTW23" s="229">
        <v>0</v>
      </c>
      <c r="QTX23" s="229">
        <v>0</v>
      </c>
      <c r="QTY23" s="229">
        <v>0</v>
      </c>
      <c r="QTZ23" s="229">
        <v>0</v>
      </c>
      <c r="QUA23" s="229">
        <v>0</v>
      </c>
      <c r="QUB23" s="229">
        <v>0</v>
      </c>
      <c r="QUC23" s="229">
        <v>0</v>
      </c>
      <c r="QUD23" s="229">
        <v>0</v>
      </c>
      <c r="QUE23" s="229">
        <v>0</v>
      </c>
      <c r="QUF23" s="229">
        <v>0</v>
      </c>
      <c r="QUG23" s="229">
        <v>0</v>
      </c>
      <c r="QUH23" s="229">
        <v>0</v>
      </c>
      <c r="QUI23" s="229">
        <v>0</v>
      </c>
      <c r="QUJ23" s="229">
        <v>0</v>
      </c>
      <c r="QUK23" s="229">
        <v>0</v>
      </c>
      <c r="QUL23" s="229">
        <v>0</v>
      </c>
      <c r="QUM23" s="229">
        <v>0</v>
      </c>
      <c r="QUN23" s="229">
        <v>0</v>
      </c>
      <c r="QUO23" s="229">
        <v>0</v>
      </c>
      <c r="QUP23" s="229">
        <v>0</v>
      </c>
      <c r="QUQ23" s="229">
        <v>0</v>
      </c>
      <c r="QUR23" s="229">
        <v>0</v>
      </c>
      <c r="QUS23" s="229">
        <v>0</v>
      </c>
      <c r="QUT23" s="229">
        <v>0</v>
      </c>
      <c r="QUU23" s="229">
        <v>0</v>
      </c>
      <c r="QUV23" s="229">
        <v>0</v>
      </c>
      <c r="QUW23" s="229">
        <v>0</v>
      </c>
      <c r="QUX23" s="229">
        <v>0</v>
      </c>
      <c r="QUY23" s="229">
        <v>0</v>
      </c>
      <c r="QUZ23" s="229">
        <v>0</v>
      </c>
      <c r="QVA23" s="229">
        <v>0</v>
      </c>
      <c r="QVB23" s="229">
        <v>0</v>
      </c>
      <c r="QVC23" s="229">
        <v>0</v>
      </c>
      <c r="QVD23" s="229">
        <v>0</v>
      </c>
      <c r="QVE23" s="229">
        <v>0</v>
      </c>
      <c r="QVF23" s="229">
        <v>0</v>
      </c>
      <c r="QVG23" s="229">
        <v>0</v>
      </c>
      <c r="QVH23" s="229">
        <v>0</v>
      </c>
      <c r="QVI23" s="229">
        <v>0</v>
      </c>
      <c r="QVJ23" s="229">
        <v>0</v>
      </c>
      <c r="QVK23" s="229">
        <v>0</v>
      </c>
      <c r="QVL23" s="229">
        <v>0</v>
      </c>
      <c r="QVM23" s="229">
        <v>0</v>
      </c>
      <c r="QVN23" s="229">
        <v>0</v>
      </c>
      <c r="QVO23" s="229">
        <v>0</v>
      </c>
      <c r="QVP23" s="229">
        <v>0</v>
      </c>
      <c r="QVQ23" s="229">
        <v>0</v>
      </c>
      <c r="QVR23" s="229">
        <v>0</v>
      </c>
      <c r="QVS23" s="229">
        <v>0</v>
      </c>
      <c r="QVT23" s="229">
        <v>0</v>
      </c>
      <c r="QVU23" s="229">
        <v>0</v>
      </c>
      <c r="QVV23" s="229">
        <v>0</v>
      </c>
      <c r="QVW23" s="229">
        <v>0</v>
      </c>
      <c r="QVX23" s="229">
        <v>0</v>
      </c>
      <c r="QVY23" s="229">
        <v>0</v>
      </c>
      <c r="QVZ23" s="229">
        <v>0</v>
      </c>
      <c r="QWA23" s="229">
        <v>0</v>
      </c>
      <c r="QWB23" s="229">
        <v>0</v>
      </c>
      <c r="QWC23" s="229">
        <v>0</v>
      </c>
      <c r="QWD23" s="229">
        <v>0</v>
      </c>
      <c r="QWE23" s="229">
        <v>0</v>
      </c>
      <c r="QWF23" s="229">
        <v>0</v>
      </c>
      <c r="QWG23" s="229">
        <v>0</v>
      </c>
      <c r="QWH23" s="229">
        <v>0</v>
      </c>
      <c r="QWI23" s="229">
        <v>0</v>
      </c>
      <c r="QWJ23" s="229">
        <v>0</v>
      </c>
      <c r="QWK23" s="229">
        <v>0</v>
      </c>
      <c r="QWL23" s="229">
        <v>0</v>
      </c>
      <c r="QWM23" s="229">
        <v>0</v>
      </c>
      <c r="QWN23" s="229">
        <v>0</v>
      </c>
      <c r="QWO23" s="229">
        <v>0</v>
      </c>
      <c r="QWP23" s="229">
        <v>0</v>
      </c>
      <c r="QWQ23" s="229">
        <v>0</v>
      </c>
      <c r="QWR23" s="229">
        <v>0</v>
      </c>
      <c r="QWS23" s="229">
        <v>0</v>
      </c>
      <c r="QWT23" s="229">
        <v>0</v>
      </c>
      <c r="QWU23" s="229">
        <v>0</v>
      </c>
      <c r="QWV23" s="229">
        <v>0</v>
      </c>
      <c r="QWW23" s="229">
        <v>0</v>
      </c>
      <c r="QWX23" s="229">
        <v>0</v>
      </c>
      <c r="QWY23" s="229">
        <v>0</v>
      </c>
      <c r="QWZ23" s="229">
        <v>0</v>
      </c>
      <c r="QXA23" s="229">
        <v>0</v>
      </c>
      <c r="QXB23" s="229">
        <v>0</v>
      </c>
      <c r="QXC23" s="229">
        <v>0</v>
      </c>
      <c r="QXD23" s="229">
        <v>0</v>
      </c>
      <c r="QXE23" s="229">
        <v>0</v>
      </c>
      <c r="QXF23" s="229">
        <v>0</v>
      </c>
      <c r="QXG23" s="229">
        <v>0</v>
      </c>
      <c r="QXH23" s="229">
        <v>0</v>
      </c>
      <c r="QXI23" s="229">
        <v>0</v>
      </c>
      <c r="QXJ23" s="229">
        <v>0</v>
      </c>
      <c r="QXK23" s="229">
        <v>0</v>
      </c>
      <c r="QXL23" s="229">
        <v>0</v>
      </c>
      <c r="QXM23" s="229">
        <v>0</v>
      </c>
      <c r="QXN23" s="229">
        <v>0</v>
      </c>
      <c r="QXO23" s="229">
        <v>0</v>
      </c>
      <c r="QXP23" s="229">
        <v>0</v>
      </c>
      <c r="QXQ23" s="229">
        <v>0</v>
      </c>
      <c r="QXR23" s="229">
        <v>0</v>
      </c>
      <c r="QXS23" s="229">
        <v>0</v>
      </c>
      <c r="QXT23" s="229">
        <v>0</v>
      </c>
      <c r="QXU23" s="229">
        <v>0</v>
      </c>
      <c r="QXV23" s="229">
        <v>0</v>
      </c>
      <c r="QXW23" s="229">
        <v>0</v>
      </c>
      <c r="QXX23" s="229">
        <v>0</v>
      </c>
      <c r="QXY23" s="229">
        <v>0</v>
      </c>
      <c r="QXZ23" s="229">
        <v>0</v>
      </c>
      <c r="QYA23" s="229">
        <v>0</v>
      </c>
      <c r="QYB23" s="229">
        <v>0</v>
      </c>
      <c r="QYC23" s="229">
        <v>0</v>
      </c>
      <c r="QYD23" s="229">
        <v>0</v>
      </c>
      <c r="QYE23" s="229">
        <v>0</v>
      </c>
      <c r="QYF23" s="229">
        <v>0</v>
      </c>
      <c r="QYG23" s="229">
        <v>0</v>
      </c>
      <c r="QYH23" s="229">
        <v>0</v>
      </c>
      <c r="QYI23" s="229">
        <v>0</v>
      </c>
      <c r="QYJ23" s="229">
        <v>0</v>
      </c>
      <c r="QYK23" s="229">
        <v>0</v>
      </c>
      <c r="QYL23" s="229">
        <v>0</v>
      </c>
      <c r="QYM23" s="229">
        <v>0</v>
      </c>
      <c r="QYN23" s="229">
        <v>0</v>
      </c>
      <c r="QYO23" s="229">
        <v>0</v>
      </c>
      <c r="QYP23" s="229">
        <v>0</v>
      </c>
      <c r="QYQ23" s="229">
        <v>0</v>
      </c>
      <c r="QYR23" s="229">
        <v>0</v>
      </c>
      <c r="QYS23" s="229">
        <v>0</v>
      </c>
      <c r="QYT23" s="229">
        <v>0</v>
      </c>
      <c r="QYU23" s="229">
        <v>0</v>
      </c>
      <c r="QYV23" s="229">
        <v>0</v>
      </c>
      <c r="QYW23" s="229">
        <v>0</v>
      </c>
      <c r="QYX23" s="229">
        <v>0</v>
      </c>
      <c r="QYY23" s="229">
        <v>0</v>
      </c>
      <c r="QYZ23" s="229">
        <v>0</v>
      </c>
      <c r="QZA23" s="229">
        <v>0</v>
      </c>
      <c r="QZB23" s="229">
        <v>0</v>
      </c>
      <c r="QZC23" s="229">
        <v>0</v>
      </c>
      <c r="QZD23" s="229">
        <v>0</v>
      </c>
      <c r="QZE23" s="229">
        <v>0</v>
      </c>
      <c r="QZF23" s="229">
        <v>0</v>
      </c>
      <c r="QZG23" s="229">
        <v>0</v>
      </c>
      <c r="QZH23" s="229">
        <v>0</v>
      </c>
      <c r="QZI23" s="229">
        <v>0</v>
      </c>
      <c r="QZJ23" s="229">
        <v>0</v>
      </c>
      <c r="QZK23" s="229">
        <v>0</v>
      </c>
      <c r="QZL23" s="229">
        <v>0</v>
      </c>
      <c r="QZM23" s="229">
        <v>0</v>
      </c>
      <c r="QZN23" s="229">
        <v>0</v>
      </c>
      <c r="QZO23" s="229">
        <v>0</v>
      </c>
      <c r="QZP23" s="229">
        <v>0</v>
      </c>
      <c r="QZQ23" s="229">
        <v>0</v>
      </c>
      <c r="QZR23" s="229">
        <v>0</v>
      </c>
      <c r="QZS23" s="229">
        <v>0</v>
      </c>
      <c r="QZT23" s="229">
        <v>0</v>
      </c>
      <c r="QZU23" s="229">
        <v>0</v>
      </c>
      <c r="QZV23" s="229">
        <v>0</v>
      </c>
      <c r="QZW23" s="229">
        <v>0</v>
      </c>
      <c r="QZX23" s="229">
        <v>0</v>
      </c>
      <c r="QZY23" s="229">
        <v>0</v>
      </c>
      <c r="QZZ23" s="229">
        <v>0</v>
      </c>
      <c r="RAA23" s="229">
        <v>0</v>
      </c>
      <c r="RAB23" s="229">
        <v>0</v>
      </c>
      <c r="RAC23" s="229">
        <v>0</v>
      </c>
      <c r="RAD23" s="229">
        <v>0</v>
      </c>
      <c r="RAE23" s="229">
        <v>0</v>
      </c>
      <c r="RAF23" s="229">
        <v>0</v>
      </c>
      <c r="RAG23" s="229">
        <v>0</v>
      </c>
      <c r="RAH23" s="229">
        <v>0</v>
      </c>
      <c r="RAI23" s="229">
        <v>0</v>
      </c>
      <c r="RAJ23" s="229">
        <v>0</v>
      </c>
      <c r="RAK23" s="229">
        <v>0</v>
      </c>
      <c r="RAL23" s="229">
        <v>0</v>
      </c>
      <c r="RAM23" s="229">
        <v>0</v>
      </c>
      <c r="RAN23" s="229">
        <v>0</v>
      </c>
      <c r="RAO23" s="229">
        <v>0</v>
      </c>
      <c r="RAP23" s="229">
        <v>0</v>
      </c>
      <c r="RAQ23" s="229">
        <v>0</v>
      </c>
      <c r="RAR23" s="229">
        <v>0</v>
      </c>
      <c r="RAS23" s="229">
        <v>0</v>
      </c>
      <c r="RAT23" s="229">
        <v>0</v>
      </c>
      <c r="RAU23" s="229">
        <v>0</v>
      </c>
      <c r="RAV23" s="229">
        <v>0</v>
      </c>
      <c r="RAW23" s="229">
        <v>0</v>
      </c>
      <c r="RAX23" s="229">
        <v>0</v>
      </c>
      <c r="RAY23" s="229">
        <v>0</v>
      </c>
      <c r="RAZ23" s="229">
        <v>0</v>
      </c>
      <c r="RBA23" s="229">
        <v>0</v>
      </c>
      <c r="RBB23" s="229">
        <v>0</v>
      </c>
      <c r="RBC23" s="229">
        <v>0</v>
      </c>
      <c r="RBD23" s="229">
        <v>0</v>
      </c>
      <c r="RBE23" s="229">
        <v>0</v>
      </c>
      <c r="RBF23" s="229">
        <v>0</v>
      </c>
      <c r="RBG23" s="229">
        <v>0</v>
      </c>
      <c r="RBH23" s="229">
        <v>0</v>
      </c>
      <c r="RBI23" s="229">
        <v>0</v>
      </c>
      <c r="RBJ23" s="229">
        <v>0</v>
      </c>
      <c r="RBK23" s="229">
        <v>0</v>
      </c>
      <c r="RBL23" s="229">
        <v>0</v>
      </c>
      <c r="RBM23" s="229">
        <v>0</v>
      </c>
      <c r="RBN23" s="229">
        <v>0</v>
      </c>
      <c r="RBO23" s="229">
        <v>0</v>
      </c>
      <c r="RBP23" s="229">
        <v>0</v>
      </c>
      <c r="RBQ23" s="229">
        <v>0</v>
      </c>
      <c r="RBR23" s="229">
        <v>0</v>
      </c>
      <c r="RBS23" s="229">
        <v>0</v>
      </c>
      <c r="RBT23" s="229">
        <v>0</v>
      </c>
      <c r="RBU23" s="229">
        <v>0</v>
      </c>
      <c r="RBV23" s="229">
        <v>0</v>
      </c>
      <c r="RBW23" s="229">
        <v>0</v>
      </c>
      <c r="RBX23" s="229">
        <v>0</v>
      </c>
      <c r="RBY23" s="229">
        <v>0</v>
      </c>
      <c r="RBZ23" s="229">
        <v>0</v>
      </c>
      <c r="RCA23" s="229">
        <v>0</v>
      </c>
      <c r="RCB23" s="229">
        <v>0</v>
      </c>
      <c r="RCC23" s="229">
        <v>0</v>
      </c>
      <c r="RCD23" s="229">
        <v>0</v>
      </c>
      <c r="RCE23" s="229">
        <v>0</v>
      </c>
      <c r="RCF23" s="229">
        <v>0</v>
      </c>
      <c r="RCG23" s="229">
        <v>0</v>
      </c>
      <c r="RCH23" s="229">
        <v>0</v>
      </c>
      <c r="RCI23" s="229">
        <v>0</v>
      </c>
      <c r="RCJ23" s="229">
        <v>0</v>
      </c>
      <c r="RCK23" s="229">
        <v>0</v>
      </c>
      <c r="RCL23" s="229">
        <v>0</v>
      </c>
      <c r="RCM23" s="229">
        <v>0</v>
      </c>
      <c r="RCN23" s="229">
        <v>0</v>
      </c>
      <c r="RCO23" s="229">
        <v>0</v>
      </c>
      <c r="RCP23" s="229">
        <v>0</v>
      </c>
      <c r="RCQ23" s="229">
        <v>0</v>
      </c>
      <c r="RCR23" s="229">
        <v>0</v>
      </c>
      <c r="RCS23" s="229">
        <v>0</v>
      </c>
      <c r="RCT23" s="229">
        <v>0</v>
      </c>
      <c r="RCU23" s="229">
        <v>0</v>
      </c>
      <c r="RCV23" s="229">
        <v>0</v>
      </c>
      <c r="RCW23" s="229">
        <v>0</v>
      </c>
      <c r="RCX23" s="229">
        <v>0</v>
      </c>
      <c r="RCY23" s="229">
        <v>0</v>
      </c>
      <c r="RCZ23" s="229">
        <v>0</v>
      </c>
      <c r="RDA23" s="229">
        <v>0</v>
      </c>
      <c r="RDB23" s="229">
        <v>0</v>
      </c>
      <c r="RDC23" s="229">
        <v>0</v>
      </c>
      <c r="RDD23" s="229">
        <v>0</v>
      </c>
      <c r="RDE23" s="229">
        <v>0</v>
      </c>
      <c r="RDF23" s="229">
        <v>0</v>
      </c>
      <c r="RDG23" s="229">
        <v>0</v>
      </c>
      <c r="RDH23" s="229">
        <v>0</v>
      </c>
      <c r="RDI23" s="229">
        <v>0</v>
      </c>
      <c r="RDJ23" s="229">
        <v>0</v>
      </c>
      <c r="RDK23" s="229">
        <v>0</v>
      </c>
      <c r="RDL23" s="229">
        <v>0</v>
      </c>
      <c r="RDM23" s="229">
        <v>0</v>
      </c>
      <c r="RDN23" s="229">
        <v>0</v>
      </c>
      <c r="RDO23" s="229">
        <v>0</v>
      </c>
      <c r="RDP23" s="229">
        <v>0</v>
      </c>
      <c r="RDQ23" s="229">
        <v>0</v>
      </c>
      <c r="RDR23" s="229">
        <v>0</v>
      </c>
      <c r="RDS23" s="229">
        <v>0</v>
      </c>
      <c r="RDT23" s="229">
        <v>0</v>
      </c>
      <c r="RDU23" s="229">
        <v>0</v>
      </c>
      <c r="RDV23" s="229">
        <v>0</v>
      </c>
      <c r="RDW23" s="229">
        <v>0</v>
      </c>
      <c r="RDX23" s="229">
        <v>0</v>
      </c>
      <c r="RDY23" s="229">
        <v>0</v>
      </c>
      <c r="RDZ23" s="229">
        <v>0</v>
      </c>
      <c r="REA23" s="229">
        <v>0</v>
      </c>
      <c r="REB23" s="229">
        <v>0</v>
      </c>
      <c r="REC23" s="229">
        <v>0</v>
      </c>
      <c r="RED23" s="229">
        <v>0</v>
      </c>
      <c r="REE23" s="229">
        <v>0</v>
      </c>
      <c r="REF23" s="229">
        <v>0</v>
      </c>
      <c r="REG23" s="229">
        <v>0</v>
      </c>
      <c r="REH23" s="229">
        <v>0</v>
      </c>
      <c r="REI23" s="229">
        <v>0</v>
      </c>
      <c r="REJ23" s="229">
        <v>0</v>
      </c>
      <c r="REK23" s="229">
        <v>0</v>
      </c>
      <c r="REL23" s="229">
        <v>0</v>
      </c>
      <c r="REM23" s="229">
        <v>0</v>
      </c>
      <c r="REN23" s="229">
        <v>0</v>
      </c>
      <c r="REO23" s="229">
        <v>0</v>
      </c>
      <c r="REP23" s="229">
        <v>0</v>
      </c>
      <c r="REQ23" s="229">
        <v>0</v>
      </c>
      <c r="RER23" s="229">
        <v>0</v>
      </c>
      <c r="RES23" s="229">
        <v>0</v>
      </c>
      <c r="RET23" s="229">
        <v>0</v>
      </c>
      <c r="REU23" s="229">
        <v>0</v>
      </c>
      <c r="REV23" s="229">
        <v>0</v>
      </c>
      <c r="REW23" s="229">
        <v>0</v>
      </c>
      <c r="REX23" s="229">
        <v>0</v>
      </c>
      <c r="REY23" s="229">
        <v>0</v>
      </c>
      <c r="REZ23" s="229">
        <v>0</v>
      </c>
      <c r="RFA23" s="229">
        <v>0</v>
      </c>
      <c r="RFB23" s="229">
        <v>0</v>
      </c>
      <c r="RFC23" s="229">
        <v>0</v>
      </c>
      <c r="RFD23" s="229">
        <v>0</v>
      </c>
      <c r="RFE23" s="229">
        <v>0</v>
      </c>
      <c r="RFF23" s="229">
        <v>0</v>
      </c>
      <c r="RFG23" s="229">
        <v>0</v>
      </c>
      <c r="RFH23" s="229">
        <v>0</v>
      </c>
      <c r="RFI23" s="229">
        <v>0</v>
      </c>
      <c r="RFJ23" s="229">
        <v>0</v>
      </c>
      <c r="RFK23" s="229">
        <v>0</v>
      </c>
      <c r="RFL23" s="229">
        <v>0</v>
      </c>
      <c r="RFM23" s="229">
        <v>0</v>
      </c>
      <c r="RFN23" s="229">
        <v>0</v>
      </c>
      <c r="RFO23" s="229">
        <v>0</v>
      </c>
      <c r="RFP23" s="229">
        <v>0</v>
      </c>
      <c r="RFQ23" s="229">
        <v>0</v>
      </c>
      <c r="RFR23" s="229">
        <v>0</v>
      </c>
      <c r="RFS23" s="229">
        <v>0</v>
      </c>
      <c r="RFT23" s="229">
        <v>0</v>
      </c>
      <c r="RFU23" s="229">
        <v>0</v>
      </c>
      <c r="RFV23" s="229">
        <v>0</v>
      </c>
      <c r="RFW23" s="229">
        <v>0</v>
      </c>
      <c r="RFX23" s="229">
        <v>0</v>
      </c>
      <c r="RFY23" s="229">
        <v>0</v>
      </c>
      <c r="RFZ23" s="229">
        <v>0</v>
      </c>
      <c r="RGA23" s="229">
        <v>0</v>
      </c>
      <c r="RGB23" s="229">
        <v>0</v>
      </c>
      <c r="RGC23" s="229">
        <v>0</v>
      </c>
      <c r="RGD23" s="229">
        <v>0</v>
      </c>
      <c r="RGE23" s="229">
        <v>0</v>
      </c>
      <c r="RGF23" s="229">
        <v>0</v>
      </c>
      <c r="RGG23" s="229">
        <v>0</v>
      </c>
      <c r="RGH23" s="229">
        <v>0</v>
      </c>
      <c r="RGI23" s="229">
        <v>0</v>
      </c>
      <c r="RGJ23" s="229">
        <v>0</v>
      </c>
      <c r="RGK23" s="229">
        <v>0</v>
      </c>
      <c r="RGL23" s="229">
        <v>0</v>
      </c>
      <c r="RGM23" s="229">
        <v>0</v>
      </c>
      <c r="RGN23" s="229">
        <v>0</v>
      </c>
      <c r="RGO23" s="229">
        <v>0</v>
      </c>
      <c r="RGP23" s="229">
        <v>0</v>
      </c>
      <c r="RGQ23" s="229">
        <v>0</v>
      </c>
      <c r="RGR23" s="229">
        <v>0</v>
      </c>
      <c r="RGS23" s="229">
        <v>0</v>
      </c>
      <c r="RGT23" s="229">
        <v>0</v>
      </c>
      <c r="RGU23" s="229">
        <v>0</v>
      </c>
      <c r="RGV23" s="229">
        <v>0</v>
      </c>
      <c r="RGW23" s="229">
        <v>0</v>
      </c>
      <c r="RGX23" s="229">
        <v>0</v>
      </c>
      <c r="RGY23" s="229">
        <v>0</v>
      </c>
      <c r="RGZ23" s="229">
        <v>0</v>
      </c>
      <c r="RHA23" s="229">
        <v>0</v>
      </c>
      <c r="RHB23" s="229">
        <v>0</v>
      </c>
      <c r="RHC23" s="229">
        <v>0</v>
      </c>
      <c r="RHD23" s="229">
        <v>0</v>
      </c>
      <c r="RHE23" s="229">
        <v>0</v>
      </c>
      <c r="RHF23" s="229">
        <v>0</v>
      </c>
      <c r="RHG23" s="229">
        <v>0</v>
      </c>
      <c r="RHH23" s="229">
        <v>0</v>
      </c>
      <c r="RHI23" s="229">
        <v>0</v>
      </c>
      <c r="RHJ23" s="229">
        <v>0</v>
      </c>
      <c r="RHK23" s="229">
        <v>0</v>
      </c>
      <c r="RHL23" s="229">
        <v>0</v>
      </c>
      <c r="RHM23" s="229">
        <v>0</v>
      </c>
      <c r="RHN23" s="229">
        <v>0</v>
      </c>
      <c r="RHO23" s="229">
        <v>0</v>
      </c>
      <c r="RHP23" s="229">
        <v>0</v>
      </c>
      <c r="RHQ23" s="229">
        <v>0</v>
      </c>
      <c r="RHR23" s="229">
        <v>0</v>
      </c>
      <c r="RHS23" s="229">
        <v>0</v>
      </c>
      <c r="RHT23" s="229">
        <v>0</v>
      </c>
      <c r="RHU23" s="229">
        <v>0</v>
      </c>
      <c r="RHV23" s="229">
        <v>0</v>
      </c>
      <c r="RHW23" s="229">
        <v>0</v>
      </c>
      <c r="RHX23" s="229">
        <v>0</v>
      </c>
      <c r="RHY23" s="229">
        <v>0</v>
      </c>
      <c r="RHZ23" s="229">
        <v>0</v>
      </c>
      <c r="RIA23" s="229">
        <v>0</v>
      </c>
      <c r="RIB23" s="229">
        <v>0</v>
      </c>
      <c r="RIC23" s="229">
        <v>0</v>
      </c>
      <c r="RID23" s="229">
        <v>0</v>
      </c>
      <c r="RIE23" s="229">
        <v>0</v>
      </c>
      <c r="RIF23" s="229">
        <v>0</v>
      </c>
      <c r="RIG23" s="229">
        <v>0</v>
      </c>
      <c r="RIH23" s="229">
        <v>0</v>
      </c>
      <c r="RII23" s="229">
        <v>0</v>
      </c>
      <c r="RIJ23" s="229">
        <v>0</v>
      </c>
      <c r="RIK23" s="229">
        <v>0</v>
      </c>
      <c r="RIL23" s="229">
        <v>0</v>
      </c>
      <c r="RIM23" s="229">
        <v>0</v>
      </c>
      <c r="RIN23" s="229">
        <v>0</v>
      </c>
      <c r="RIO23" s="229">
        <v>0</v>
      </c>
      <c r="RIP23" s="229">
        <v>0</v>
      </c>
      <c r="RIQ23" s="229">
        <v>0</v>
      </c>
      <c r="RIR23" s="229">
        <v>0</v>
      </c>
      <c r="RIS23" s="229">
        <v>0</v>
      </c>
      <c r="RIT23" s="229">
        <v>0</v>
      </c>
      <c r="RIU23" s="229">
        <v>0</v>
      </c>
      <c r="RIV23" s="229">
        <v>0</v>
      </c>
      <c r="RIW23" s="229">
        <v>0</v>
      </c>
      <c r="RIX23" s="229">
        <v>0</v>
      </c>
      <c r="RIY23" s="229">
        <v>0</v>
      </c>
      <c r="RIZ23" s="229">
        <v>0</v>
      </c>
      <c r="RJA23" s="229">
        <v>0</v>
      </c>
      <c r="RJB23" s="229">
        <v>0</v>
      </c>
      <c r="RJC23" s="229">
        <v>0</v>
      </c>
      <c r="RJD23" s="229">
        <v>0</v>
      </c>
      <c r="RJE23" s="229">
        <v>0</v>
      </c>
      <c r="RJF23" s="229">
        <v>0</v>
      </c>
      <c r="RJG23" s="229">
        <v>0</v>
      </c>
      <c r="RJH23" s="229">
        <v>0</v>
      </c>
      <c r="RJI23" s="229">
        <v>0</v>
      </c>
      <c r="RJJ23" s="229">
        <v>0</v>
      </c>
      <c r="RJK23" s="229">
        <v>0</v>
      </c>
      <c r="RJL23" s="229">
        <v>0</v>
      </c>
      <c r="RJM23" s="229">
        <v>0</v>
      </c>
      <c r="RJN23" s="229">
        <v>0</v>
      </c>
      <c r="RJO23" s="229">
        <v>0</v>
      </c>
      <c r="RJP23" s="229">
        <v>0</v>
      </c>
      <c r="RJQ23" s="229">
        <v>0</v>
      </c>
      <c r="RJR23" s="229">
        <v>0</v>
      </c>
      <c r="RJS23" s="229">
        <v>0</v>
      </c>
      <c r="RJT23" s="229">
        <v>0</v>
      </c>
      <c r="RJU23" s="229">
        <v>0</v>
      </c>
      <c r="RJV23" s="229">
        <v>0</v>
      </c>
      <c r="RJW23" s="229">
        <v>0</v>
      </c>
      <c r="RJX23" s="229">
        <v>0</v>
      </c>
      <c r="RJY23" s="229">
        <v>0</v>
      </c>
      <c r="RJZ23" s="229">
        <v>0</v>
      </c>
      <c r="RKA23" s="229">
        <v>0</v>
      </c>
      <c r="RKB23" s="229">
        <v>0</v>
      </c>
      <c r="RKC23" s="229">
        <v>0</v>
      </c>
      <c r="RKD23" s="229">
        <v>0</v>
      </c>
      <c r="RKE23" s="229">
        <v>0</v>
      </c>
      <c r="RKF23" s="229">
        <v>0</v>
      </c>
      <c r="RKG23" s="229">
        <v>0</v>
      </c>
      <c r="RKH23" s="229">
        <v>0</v>
      </c>
      <c r="RKI23" s="229">
        <v>0</v>
      </c>
      <c r="RKJ23" s="229">
        <v>0</v>
      </c>
      <c r="RKK23" s="229">
        <v>0</v>
      </c>
      <c r="RKL23" s="229">
        <v>0</v>
      </c>
      <c r="RKM23" s="229">
        <v>0</v>
      </c>
      <c r="RKN23" s="229">
        <v>0</v>
      </c>
      <c r="RKO23" s="229">
        <v>0</v>
      </c>
      <c r="RKP23" s="229">
        <v>0</v>
      </c>
      <c r="RKQ23" s="229">
        <v>0</v>
      </c>
      <c r="RKR23" s="229">
        <v>0</v>
      </c>
      <c r="RKS23" s="229">
        <v>0</v>
      </c>
      <c r="RKT23" s="229">
        <v>0</v>
      </c>
      <c r="RKU23" s="229">
        <v>0</v>
      </c>
      <c r="RKV23" s="229">
        <v>0</v>
      </c>
      <c r="RKW23" s="229">
        <v>0</v>
      </c>
      <c r="RKX23" s="229">
        <v>0</v>
      </c>
      <c r="RKY23" s="229">
        <v>0</v>
      </c>
      <c r="RKZ23" s="229">
        <v>0</v>
      </c>
      <c r="RLA23" s="229">
        <v>0</v>
      </c>
      <c r="RLB23" s="229">
        <v>0</v>
      </c>
      <c r="RLC23" s="229">
        <v>0</v>
      </c>
      <c r="RLD23" s="229">
        <v>0</v>
      </c>
      <c r="RLE23" s="229">
        <v>0</v>
      </c>
      <c r="RLF23" s="229">
        <v>0</v>
      </c>
      <c r="RLG23" s="229">
        <v>0</v>
      </c>
      <c r="RLH23" s="229">
        <v>0</v>
      </c>
      <c r="RLI23" s="229">
        <v>0</v>
      </c>
      <c r="RLJ23" s="229">
        <v>0</v>
      </c>
      <c r="RLK23" s="229">
        <v>0</v>
      </c>
      <c r="RLL23" s="229">
        <v>0</v>
      </c>
      <c r="RLM23" s="229">
        <v>0</v>
      </c>
      <c r="RLN23" s="229">
        <v>0</v>
      </c>
      <c r="RLO23" s="229">
        <v>0</v>
      </c>
      <c r="RLP23" s="229">
        <v>0</v>
      </c>
      <c r="RLQ23" s="229">
        <v>0</v>
      </c>
      <c r="RLR23" s="229">
        <v>0</v>
      </c>
      <c r="RLS23" s="229">
        <v>0</v>
      </c>
      <c r="RLT23" s="229">
        <v>0</v>
      </c>
      <c r="RLU23" s="229">
        <v>0</v>
      </c>
      <c r="RLV23" s="229">
        <v>0</v>
      </c>
      <c r="RLW23" s="229">
        <v>0</v>
      </c>
      <c r="RLX23" s="229">
        <v>0</v>
      </c>
      <c r="RLY23" s="229">
        <v>0</v>
      </c>
      <c r="RLZ23" s="229">
        <v>0</v>
      </c>
      <c r="RMA23" s="229">
        <v>0</v>
      </c>
      <c r="RMB23" s="229">
        <v>0</v>
      </c>
      <c r="RMC23" s="229">
        <v>0</v>
      </c>
      <c r="RMD23" s="229">
        <v>0</v>
      </c>
      <c r="RME23" s="229">
        <v>0</v>
      </c>
      <c r="RMF23" s="229">
        <v>0</v>
      </c>
      <c r="RMG23" s="229">
        <v>0</v>
      </c>
      <c r="RMH23" s="229">
        <v>0</v>
      </c>
      <c r="RMI23" s="229">
        <v>0</v>
      </c>
      <c r="RMJ23" s="229">
        <v>0</v>
      </c>
      <c r="RMK23" s="229">
        <v>0</v>
      </c>
      <c r="RML23" s="229">
        <v>0</v>
      </c>
      <c r="RMM23" s="229">
        <v>0</v>
      </c>
      <c r="RMN23" s="229">
        <v>0</v>
      </c>
      <c r="RMO23" s="229">
        <v>0</v>
      </c>
      <c r="RMP23" s="229">
        <v>0</v>
      </c>
      <c r="RMQ23" s="229">
        <v>0</v>
      </c>
      <c r="RMR23" s="229">
        <v>0</v>
      </c>
      <c r="RMS23" s="229">
        <v>0</v>
      </c>
      <c r="RMT23" s="229">
        <v>0</v>
      </c>
      <c r="RMU23" s="229">
        <v>0</v>
      </c>
      <c r="RMV23" s="229">
        <v>0</v>
      </c>
      <c r="RMW23" s="229">
        <v>0</v>
      </c>
      <c r="RMX23" s="229">
        <v>0</v>
      </c>
      <c r="RMY23" s="229">
        <v>0</v>
      </c>
      <c r="RMZ23" s="229">
        <v>0</v>
      </c>
      <c r="RNA23" s="229">
        <v>0</v>
      </c>
      <c r="RNB23" s="229">
        <v>0</v>
      </c>
      <c r="RNC23" s="229">
        <v>0</v>
      </c>
      <c r="RND23" s="229">
        <v>0</v>
      </c>
      <c r="RNE23" s="229">
        <v>0</v>
      </c>
      <c r="RNF23" s="229">
        <v>0</v>
      </c>
      <c r="RNG23" s="229">
        <v>0</v>
      </c>
      <c r="RNH23" s="229">
        <v>0</v>
      </c>
      <c r="RNI23" s="229">
        <v>0</v>
      </c>
      <c r="RNJ23" s="229">
        <v>0</v>
      </c>
      <c r="RNK23" s="229">
        <v>0</v>
      </c>
      <c r="RNL23" s="229">
        <v>0</v>
      </c>
      <c r="RNM23" s="229">
        <v>0</v>
      </c>
      <c r="RNN23" s="229">
        <v>0</v>
      </c>
      <c r="RNO23" s="229">
        <v>0</v>
      </c>
      <c r="RNP23" s="229">
        <v>0</v>
      </c>
      <c r="RNQ23" s="229">
        <v>0</v>
      </c>
      <c r="RNR23" s="229">
        <v>0</v>
      </c>
      <c r="RNS23" s="229">
        <v>0</v>
      </c>
      <c r="RNT23" s="229">
        <v>0</v>
      </c>
      <c r="RNU23" s="229">
        <v>0</v>
      </c>
      <c r="RNV23" s="229">
        <v>0</v>
      </c>
      <c r="RNW23" s="229">
        <v>0</v>
      </c>
      <c r="RNX23" s="229">
        <v>0</v>
      </c>
      <c r="RNY23" s="229">
        <v>0</v>
      </c>
      <c r="RNZ23" s="229">
        <v>0</v>
      </c>
      <c r="ROA23" s="229">
        <v>0</v>
      </c>
      <c r="ROB23" s="229">
        <v>0</v>
      </c>
      <c r="ROC23" s="229">
        <v>0</v>
      </c>
      <c r="ROD23" s="229">
        <v>0</v>
      </c>
      <c r="ROE23" s="229">
        <v>0</v>
      </c>
      <c r="ROF23" s="229">
        <v>0</v>
      </c>
      <c r="ROG23" s="229">
        <v>0</v>
      </c>
      <c r="ROH23" s="229">
        <v>0</v>
      </c>
      <c r="ROI23" s="229">
        <v>0</v>
      </c>
      <c r="ROJ23" s="229">
        <v>0</v>
      </c>
      <c r="ROK23" s="229">
        <v>0</v>
      </c>
      <c r="ROL23" s="229">
        <v>0</v>
      </c>
      <c r="ROM23" s="229">
        <v>0</v>
      </c>
      <c r="RON23" s="229">
        <v>0</v>
      </c>
      <c r="ROO23" s="229">
        <v>0</v>
      </c>
      <c r="ROP23" s="229">
        <v>0</v>
      </c>
      <c r="ROQ23" s="229">
        <v>0</v>
      </c>
      <c r="ROR23" s="229">
        <v>0</v>
      </c>
      <c r="ROS23" s="229">
        <v>0</v>
      </c>
      <c r="ROT23" s="229">
        <v>0</v>
      </c>
      <c r="ROU23" s="229">
        <v>0</v>
      </c>
      <c r="ROV23" s="229">
        <v>0</v>
      </c>
      <c r="ROW23" s="229">
        <v>0</v>
      </c>
      <c r="ROX23" s="229">
        <v>0</v>
      </c>
      <c r="ROY23" s="229">
        <v>0</v>
      </c>
      <c r="ROZ23" s="229">
        <v>0</v>
      </c>
      <c r="RPA23" s="229">
        <v>0</v>
      </c>
      <c r="RPB23" s="229">
        <v>0</v>
      </c>
      <c r="RPC23" s="229">
        <v>0</v>
      </c>
      <c r="RPD23" s="229">
        <v>0</v>
      </c>
      <c r="RPE23" s="229">
        <v>0</v>
      </c>
      <c r="RPF23" s="229">
        <v>0</v>
      </c>
      <c r="RPG23" s="229">
        <v>0</v>
      </c>
      <c r="RPH23" s="229">
        <v>0</v>
      </c>
      <c r="RPI23" s="229">
        <v>0</v>
      </c>
      <c r="RPJ23" s="229">
        <v>0</v>
      </c>
      <c r="RPK23" s="229">
        <v>0</v>
      </c>
      <c r="RPL23" s="229">
        <v>0</v>
      </c>
      <c r="RPM23" s="229">
        <v>0</v>
      </c>
      <c r="RPN23" s="229">
        <v>0</v>
      </c>
      <c r="RPO23" s="229">
        <v>0</v>
      </c>
      <c r="RPP23" s="229">
        <v>0</v>
      </c>
      <c r="RPQ23" s="229">
        <v>0</v>
      </c>
      <c r="RPR23" s="229">
        <v>0</v>
      </c>
      <c r="RPS23" s="229">
        <v>0</v>
      </c>
      <c r="RPT23" s="229">
        <v>0</v>
      </c>
      <c r="RPU23" s="229">
        <v>0</v>
      </c>
      <c r="RPV23" s="229">
        <v>0</v>
      </c>
      <c r="RPW23" s="229">
        <v>0</v>
      </c>
      <c r="RPX23" s="229">
        <v>0</v>
      </c>
      <c r="RPY23" s="229">
        <v>0</v>
      </c>
      <c r="RPZ23" s="229">
        <v>0</v>
      </c>
      <c r="RQA23" s="229">
        <v>0</v>
      </c>
      <c r="RQB23" s="229">
        <v>0</v>
      </c>
      <c r="RQC23" s="229">
        <v>0</v>
      </c>
      <c r="RQD23" s="229">
        <v>0</v>
      </c>
      <c r="RQE23" s="229">
        <v>0</v>
      </c>
      <c r="RQF23" s="229">
        <v>0</v>
      </c>
      <c r="RQG23" s="229">
        <v>0</v>
      </c>
      <c r="RQH23" s="229">
        <v>0</v>
      </c>
      <c r="RQI23" s="229">
        <v>0</v>
      </c>
      <c r="RQJ23" s="229">
        <v>0</v>
      </c>
      <c r="RQK23" s="229">
        <v>0</v>
      </c>
      <c r="RQL23" s="229">
        <v>0</v>
      </c>
      <c r="RQM23" s="229">
        <v>0</v>
      </c>
      <c r="RQN23" s="229">
        <v>0</v>
      </c>
      <c r="RQO23" s="229">
        <v>0</v>
      </c>
      <c r="RQP23" s="229">
        <v>0</v>
      </c>
      <c r="RQQ23" s="229">
        <v>0</v>
      </c>
      <c r="RQR23" s="229">
        <v>0</v>
      </c>
      <c r="RQS23" s="229">
        <v>0</v>
      </c>
      <c r="RQT23" s="229">
        <v>0</v>
      </c>
      <c r="RQU23" s="229">
        <v>0</v>
      </c>
      <c r="RQV23" s="229">
        <v>0</v>
      </c>
      <c r="RQW23" s="229">
        <v>0</v>
      </c>
      <c r="RQX23" s="229">
        <v>0</v>
      </c>
      <c r="RQY23" s="229">
        <v>0</v>
      </c>
      <c r="RQZ23" s="229">
        <v>0</v>
      </c>
      <c r="RRA23" s="229">
        <v>0</v>
      </c>
      <c r="RRB23" s="229">
        <v>0</v>
      </c>
      <c r="RRC23" s="229">
        <v>0</v>
      </c>
      <c r="RRD23" s="229">
        <v>0</v>
      </c>
      <c r="RRE23" s="229">
        <v>0</v>
      </c>
      <c r="RRF23" s="229">
        <v>0</v>
      </c>
      <c r="RRG23" s="229">
        <v>0</v>
      </c>
      <c r="RRH23" s="229">
        <v>0</v>
      </c>
      <c r="RRI23" s="229">
        <v>0</v>
      </c>
      <c r="RRJ23" s="229">
        <v>0</v>
      </c>
      <c r="RRK23" s="229">
        <v>0</v>
      </c>
      <c r="RRL23" s="229">
        <v>0</v>
      </c>
      <c r="RRM23" s="229">
        <v>0</v>
      </c>
      <c r="RRN23" s="229">
        <v>0</v>
      </c>
      <c r="RRO23" s="229">
        <v>0</v>
      </c>
      <c r="RRP23" s="229">
        <v>0</v>
      </c>
      <c r="RRQ23" s="229">
        <v>0</v>
      </c>
      <c r="RRR23" s="229">
        <v>0</v>
      </c>
      <c r="RRS23" s="229">
        <v>0</v>
      </c>
      <c r="RRT23" s="229">
        <v>0</v>
      </c>
      <c r="RRU23" s="229">
        <v>0</v>
      </c>
      <c r="RRV23" s="229">
        <v>0</v>
      </c>
      <c r="RRW23" s="229">
        <v>0</v>
      </c>
      <c r="RRX23" s="229">
        <v>0</v>
      </c>
      <c r="RRY23" s="229">
        <v>0</v>
      </c>
      <c r="RRZ23" s="229">
        <v>0</v>
      </c>
      <c r="RSA23" s="229">
        <v>0</v>
      </c>
      <c r="RSB23" s="229">
        <v>0</v>
      </c>
      <c r="RSC23" s="229">
        <v>0</v>
      </c>
      <c r="RSD23" s="229">
        <v>0</v>
      </c>
      <c r="RSE23" s="229">
        <v>0</v>
      </c>
      <c r="RSF23" s="229">
        <v>0</v>
      </c>
      <c r="RSG23" s="229">
        <v>0</v>
      </c>
      <c r="RSH23" s="229">
        <v>0</v>
      </c>
      <c r="RSI23" s="229">
        <v>0</v>
      </c>
      <c r="RSJ23" s="229">
        <v>0</v>
      </c>
      <c r="RSK23" s="229">
        <v>0</v>
      </c>
      <c r="RSL23" s="229">
        <v>0</v>
      </c>
      <c r="RSM23" s="229">
        <v>0</v>
      </c>
      <c r="RSN23" s="229">
        <v>0</v>
      </c>
      <c r="RSO23" s="229">
        <v>0</v>
      </c>
      <c r="RSP23" s="229">
        <v>0</v>
      </c>
      <c r="RSQ23" s="229">
        <v>0</v>
      </c>
      <c r="RSR23" s="229">
        <v>0</v>
      </c>
      <c r="RSS23" s="229">
        <v>0</v>
      </c>
      <c r="RST23" s="229">
        <v>0</v>
      </c>
      <c r="RSU23" s="229">
        <v>0</v>
      </c>
      <c r="RSV23" s="229">
        <v>0</v>
      </c>
      <c r="RSW23" s="229">
        <v>0</v>
      </c>
      <c r="RSX23" s="229">
        <v>0</v>
      </c>
      <c r="RSY23" s="229">
        <v>0</v>
      </c>
      <c r="RSZ23" s="229">
        <v>0</v>
      </c>
      <c r="RTA23" s="229">
        <v>0</v>
      </c>
      <c r="RTB23" s="229">
        <v>0</v>
      </c>
      <c r="RTC23" s="229">
        <v>0</v>
      </c>
      <c r="RTD23" s="229">
        <v>0</v>
      </c>
      <c r="RTE23" s="229">
        <v>0</v>
      </c>
      <c r="RTF23" s="229">
        <v>0</v>
      </c>
      <c r="RTG23" s="229">
        <v>0</v>
      </c>
      <c r="RTH23" s="229">
        <v>0</v>
      </c>
      <c r="RTI23" s="229">
        <v>0</v>
      </c>
      <c r="RTJ23" s="229">
        <v>0</v>
      </c>
      <c r="RTK23" s="229">
        <v>0</v>
      </c>
      <c r="RTL23" s="229">
        <v>0</v>
      </c>
      <c r="RTM23" s="229">
        <v>0</v>
      </c>
      <c r="RTN23" s="229">
        <v>0</v>
      </c>
      <c r="RTO23" s="229">
        <v>0</v>
      </c>
      <c r="RTP23" s="229">
        <v>0</v>
      </c>
      <c r="RTQ23" s="229">
        <v>0</v>
      </c>
      <c r="RTR23" s="229">
        <v>0</v>
      </c>
      <c r="RTS23" s="229">
        <v>0</v>
      </c>
      <c r="RTT23" s="229">
        <v>0</v>
      </c>
      <c r="RTU23" s="229">
        <v>0</v>
      </c>
      <c r="RTV23" s="229">
        <v>0</v>
      </c>
      <c r="RTW23" s="229">
        <v>0</v>
      </c>
      <c r="RTX23" s="229">
        <v>0</v>
      </c>
      <c r="RTY23" s="229">
        <v>0</v>
      </c>
      <c r="RTZ23" s="229">
        <v>0</v>
      </c>
      <c r="RUA23" s="229">
        <v>0</v>
      </c>
      <c r="RUB23" s="229">
        <v>0</v>
      </c>
      <c r="RUC23" s="229">
        <v>0</v>
      </c>
      <c r="RUD23" s="229">
        <v>0</v>
      </c>
      <c r="RUE23" s="229">
        <v>0</v>
      </c>
      <c r="RUF23" s="229">
        <v>0</v>
      </c>
      <c r="RUG23" s="229">
        <v>0</v>
      </c>
      <c r="RUH23" s="229">
        <v>0</v>
      </c>
      <c r="RUI23" s="229">
        <v>0</v>
      </c>
      <c r="RUJ23" s="229">
        <v>0</v>
      </c>
      <c r="RUK23" s="229">
        <v>0</v>
      </c>
      <c r="RUL23" s="229">
        <v>0</v>
      </c>
      <c r="RUM23" s="229">
        <v>0</v>
      </c>
      <c r="RUN23" s="229">
        <v>0</v>
      </c>
      <c r="RUO23" s="229">
        <v>0</v>
      </c>
      <c r="RUP23" s="229">
        <v>0</v>
      </c>
      <c r="RUQ23" s="229">
        <v>0</v>
      </c>
      <c r="RUR23" s="229">
        <v>0</v>
      </c>
      <c r="RUS23" s="229">
        <v>0</v>
      </c>
      <c r="RUT23" s="229">
        <v>0</v>
      </c>
      <c r="RUU23" s="229">
        <v>0</v>
      </c>
      <c r="RUV23" s="229">
        <v>0</v>
      </c>
      <c r="RUW23" s="229">
        <v>0</v>
      </c>
      <c r="RUX23" s="229">
        <v>0</v>
      </c>
      <c r="RUY23" s="229">
        <v>0</v>
      </c>
      <c r="RUZ23" s="229">
        <v>0</v>
      </c>
      <c r="RVA23" s="229">
        <v>0</v>
      </c>
      <c r="RVB23" s="229">
        <v>0</v>
      </c>
      <c r="RVC23" s="229">
        <v>0</v>
      </c>
      <c r="RVD23" s="229">
        <v>0</v>
      </c>
      <c r="RVE23" s="229">
        <v>0</v>
      </c>
      <c r="RVF23" s="229">
        <v>0</v>
      </c>
      <c r="RVG23" s="229">
        <v>0</v>
      </c>
      <c r="RVH23" s="229">
        <v>0</v>
      </c>
      <c r="RVI23" s="229">
        <v>0</v>
      </c>
      <c r="RVJ23" s="229">
        <v>0</v>
      </c>
      <c r="RVK23" s="229">
        <v>0</v>
      </c>
      <c r="RVL23" s="229">
        <v>0</v>
      </c>
      <c r="RVM23" s="229">
        <v>0</v>
      </c>
      <c r="RVN23" s="229">
        <v>0</v>
      </c>
      <c r="RVO23" s="229">
        <v>0</v>
      </c>
      <c r="RVP23" s="229">
        <v>0</v>
      </c>
      <c r="RVQ23" s="229">
        <v>0</v>
      </c>
      <c r="RVR23" s="229">
        <v>0</v>
      </c>
      <c r="RVS23" s="229">
        <v>0</v>
      </c>
      <c r="RVT23" s="229">
        <v>0</v>
      </c>
      <c r="RVU23" s="229">
        <v>0</v>
      </c>
      <c r="RVV23" s="229">
        <v>0</v>
      </c>
      <c r="RVW23" s="229">
        <v>0</v>
      </c>
      <c r="RVX23" s="229">
        <v>0</v>
      </c>
      <c r="RVY23" s="229">
        <v>0</v>
      </c>
      <c r="RVZ23" s="229">
        <v>0</v>
      </c>
      <c r="RWA23" s="229">
        <v>0</v>
      </c>
      <c r="RWB23" s="229">
        <v>0</v>
      </c>
      <c r="RWC23" s="229">
        <v>0</v>
      </c>
      <c r="RWD23" s="229">
        <v>0</v>
      </c>
      <c r="RWE23" s="229">
        <v>0</v>
      </c>
      <c r="RWF23" s="229">
        <v>0</v>
      </c>
      <c r="RWG23" s="229">
        <v>0</v>
      </c>
      <c r="RWH23" s="229">
        <v>0</v>
      </c>
      <c r="RWI23" s="229">
        <v>0</v>
      </c>
      <c r="RWJ23" s="229">
        <v>0</v>
      </c>
      <c r="RWK23" s="229">
        <v>0</v>
      </c>
      <c r="RWL23" s="229">
        <v>0</v>
      </c>
      <c r="RWM23" s="229">
        <v>0</v>
      </c>
      <c r="RWN23" s="229">
        <v>0</v>
      </c>
      <c r="RWO23" s="229">
        <v>0</v>
      </c>
      <c r="RWP23" s="229">
        <v>0</v>
      </c>
      <c r="RWQ23" s="229">
        <v>0</v>
      </c>
      <c r="RWR23" s="229">
        <v>0</v>
      </c>
      <c r="RWS23" s="229">
        <v>0</v>
      </c>
      <c r="RWT23" s="229">
        <v>0</v>
      </c>
      <c r="RWU23" s="229">
        <v>0</v>
      </c>
      <c r="RWV23" s="229">
        <v>0</v>
      </c>
      <c r="RWW23" s="229">
        <v>0</v>
      </c>
      <c r="RWX23" s="229">
        <v>0</v>
      </c>
      <c r="RWY23" s="229">
        <v>0</v>
      </c>
      <c r="RWZ23" s="229">
        <v>0</v>
      </c>
      <c r="RXA23" s="229">
        <v>0</v>
      </c>
      <c r="RXB23" s="229">
        <v>0</v>
      </c>
      <c r="RXC23" s="229">
        <v>0</v>
      </c>
      <c r="RXD23" s="229">
        <v>0</v>
      </c>
      <c r="RXE23" s="229">
        <v>0</v>
      </c>
      <c r="RXF23" s="229">
        <v>0</v>
      </c>
      <c r="RXG23" s="229">
        <v>0</v>
      </c>
      <c r="RXH23" s="229">
        <v>0</v>
      </c>
      <c r="RXI23" s="229">
        <v>0</v>
      </c>
      <c r="RXJ23" s="229">
        <v>0</v>
      </c>
      <c r="RXK23" s="229">
        <v>0</v>
      </c>
      <c r="RXL23" s="229">
        <v>0</v>
      </c>
      <c r="RXM23" s="229">
        <v>0</v>
      </c>
      <c r="RXN23" s="229">
        <v>0</v>
      </c>
      <c r="RXO23" s="229">
        <v>0</v>
      </c>
      <c r="RXP23" s="229">
        <v>0</v>
      </c>
      <c r="RXQ23" s="229">
        <v>0</v>
      </c>
      <c r="RXR23" s="229">
        <v>0</v>
      </c>
      <c r="RXS23" s="229">
        <v>0</v>
      </c>
      <c r="RXT23" s="229">
        <v>0</v>
      </c>
      <c r="RXU23" s="229">
        <v>0</v>
      </c>
      <c r="RXV23" s="229">
        <v>0</v>
      </c>
      <c r="RXW23" s="229">
        <v>0</v>
      </c>
      <c r="RXX23" s="229">
        <v>0</v>
      </c>
      <c r="RXY23" s="229">
        <v>0</v>
      </c>
      <c r="RXZ23" s="229">
        <v>0</v>
      </c>
      <c r="RYA23" s="229">
        <v>0</v>
      </c>
      <c r="RYB23" s="229">
        <v>0</v>
      </c>
      <c r="RYC23" s="229">
        <v>0</v>
      </c>
      <c r="RYD23" s="229">
        <v>0</v>
      </c>
      <c r="RYE23" s="229">
        <v>0</v>
      </c>
      <c r="RYF23" s="229">
        <v>0</v>
      </c>
      <c r="RYG23" s="229">
        <v>0</v>
      </c>
      <c r="RYH23" s="229">
        <v>0</v>
      </c>
      <c r="RYI23" s="229">
        <v>0</v>
      </c>
      <c r="RYJ23" s="229">
        <v>0</v>
      </c>
      <c r="RYK23" s="229">
        <v>0</v>
      </c>
      <c r="RYL23" s="229">
        <v>0</v>
      </c>
      <c r="RYM23" s="229">
        <v>0</v>
      </c>
      <c r="RYN23" s="229">
        <v>0</v>
      </c>
      <c r="RYO23" s="229">
        <v>0</v>
      </c>
      <c r="RYP23" s="229">
        <v>0</v>
      </c>
      <c r="RYQ23" s="229">
        <v>0</v>
      </c>
      <c r="RYR23" s="229">
        <v>0</v>
      </c>
      <c r="RYS23" s="229">
        <v>0</v>
      </c>
      <c r="RYT23" s="229">
        <v>0</v>
      </c>
      <c r="RYU23" s="229">
        <v>0</v>
      </c>
      <c r="RYV23" s="229">
        <v>0</v>
      </c>
      <c r="RYW23" s="229">
        <v>0</v>
      </c>
      <c r="RYX23" s="229">
        <v>0</v>
      </c>
      <c r="RYY23" s="229">
        <v>0</v>
      </c>
      <c r="RYZ23" s="229">
        <v>0</v>
      </c>
      <c r="RZA23" s="229">
        <v>0</v>
      </c>
      <c r="RZB23" s="229">
        <v>0</v>
      </c>
      <c r="RZC23" s="229">
        <v>0</v>
      </c>
      <c r="RZD23" s="229">
        <v>0</v>
      </c>
      <c r="RZE23" s="229">
        <v>0</v>
      </c>
      <c r="RZF23" s="229">
        <v>0</v>
      </c>
      <c r="RZG23" s="229">
        <v>0</v>
      </c>
      <c r="RZH23" s="229">
        <v>0</v>
      </c>
      <c r="RZI23" s="229">
        <v>0</v>
      </c>
      <c r="RZJ23" s="229">
        <v>0</v>
      </c>
      <c r="RZK23" s="229">
        <v>0</v>
      </c>
      <c r="RZL23" s="229">
        <v>0</v>
      </c>
      <c r="RZM23" s="229">
        <v>0</v>
      </c>
      <c r="RZN23" s="229">
        <v>0</v>
      </c>
      <c r="RZO23" s="229">
        <v>0</v>
      </c>
      <c r="RZP23" s="229">
        <v>0</v>
      </c>
      <c r="RZQ23" s="229">
        <v>0</v>
      </c>
      <c r="RZR23" s="229">
        <v>0</v>
      </c>
      <c r="RZS23" s="229">
        <v>0</v>
      </c>
      <c r="RZT23" s="229">
        <v>0</v>
      </c>
      <c r="RZU23" s="229">
        <v>0</v>
      </c>
      <c r="RZV23" s="229">
        <v>0</v>
      </c>
      <c r="RZW23" s="229">
        <v>0</v>
      </c>
      <c r="RZX23" s="229">
        <v>0</v>
      </c>
      <c r="RZY23" s="229">
        <v>0</v>
      </c>
      <c r="RZZ23" s="229">
        <v>0</v>
      </c>
      <c r="SAA23" s="229">
        <v>0</v>
      </c>
      <c r="SAB23" s="229">
        <v>0</v>
      </c>
      <c r="SAC23" s="229">
        <v>0</v>
      </c>
      <c r="SAD23" s="229">
        <v>0</v>
      </c>
      <c r="SAE23" s="229">
        <v>0</v>
      </c>
      <c r="SAF23" s="229">
        <v>0</v>
      </c>
      <c r="SAG23" s="229">
        <v>0</v>
      </c>
      <c r="SAH23" s="229">
        <v>0</v>
      </c>
      <c r="SAI23" s="229">
        <v>0</v>
      </c>
      <c r="SAJ23" s="229">
        <v>0</v>
      </c>
      <c r="SAK23" s="229">
        <v>0</v>
      </c>
      <c r="SAL23" s="229">
        <v>0</v>
      </c>
      <c r="SAM23" s="229">
        <v>0</v>
      </c>
      <c r="SAN23" s="229">
        <v>0</v>
      </c>
      <c r="SAO23" s="229">
        <v>0</v>
      </c>
      <c r="SAP23" s="229">
        <v>0</v>
      </c>
      <c r="SAQ23" s="229">
        <v>0</v>
      </c>
      <c r="SAR23" s="229">
        <v>0</v>
      </c>
      <c r="SAS23" s="229">
        <v>0</v>
      </c>
      <c r="SAT23" s="229">
        <v>0</v>
      </c>
      <c r="SAU23" s="229">
        <v>0</v>
      </c>
      <c r="SAV23" s="229">
        <v>0</v>
      </c>
      <c r="SAW23" s="229">
        <v>0</v>
      </c>
      <c r="SAX23" s="229">
        <v>0</v>
      </c>
      <c r="SAY23" s="229">
        <v>0</v>
      </c>
      <c r="SAZ23" s="229">
        <v>0</v>
      </c>
      <c r="SBA23" s="229">
        <v>0</v>
      </c>
      <c r="SBB23" s="229">
        <v>0</v>
      </c>
      <c r="SBC23" s="229">
        <v>0</v>
      </c>
      <c r="SBD23" s="229">
        <v>0</v>
      </c>
      <c r="SBE23" s="229">
        <v>0</v>
      </c>
      <c r="SBF23" s="229">
        <v>0</v>
      </c>
      <c r="SBG23" s="229">
        <v>0</v>
      </c>
      <c r="SBH23" s="229">
        <v>0</v>
      </c>
      <c r="SBI23" s="229">
        <v>0</v>
      </c>
      <c r="SBJ23" s="229">
        <v>0</v>
      </c>
      <c r="SBK23" s="229">
        <v>0</v>
      </c>
      <c r="SBL23" s="229">
        <v>0</v>
      </c>
      <c r="SBM23" s="229">
        <v>0</v>
      </c>
      <c r="SBN23" s="229">
        <v>0</v>
      </c>
      <c r="SBO23" s="229">
        <v>0</v>
      </c>
      <c r="SBP23" s="229">
        <v>0</v>
      </c>
      <c r="SBQ23" s="229">
        <v>0</v>
      </c>
      <c r="SBR23" s="229">
        <v>0</v>
      </c>
      <c r="SBS23" s="229">
        <v>0</v>
      </c>
      <c r="SBT23" s="229">
        <v>0</v>
      </c>
      <c r="SBU23" s="229">
        <v>0</v>
      </c>
      <c r="SBV23" s="229">
        <v>0</v>
      </c>
      <c r="SBW23" s="229">
        <v>0</v>
      </c>
      <c r="SBX23" s="229">
        <v>0</v>
      </c>
      <c r="SBY23" s="229">
        <v>0</v>
      </c>
      <c r="SBZ23" s="229">
        <v>0</v>
      </c>
      <c r="SCA23" s="229">
        <v>0</v>
      </c>
      <c r="SCB23" s="229">
        <v>0</v>
      </c>
      <c r="SCC23" s="229">
        <v>0</v>
      </c>
      <c r="SCD23" s="229">
        <v>0</v>
      </c>
      <c r="SCE23" s="229">
        <v>0</v>
      </c>
      <c r="SCF23" s="229">
        <v>0</v>
      </c>
      <c r="SCG23" s="229">
        <v>0</v>
      </c>
      <c r="SCH23" s="229">
        <v>0</v>
      </c>
      <c r="SCI23" s="229">
        <v>0</v>
      </c>
      <c r="SCJ23" s="229">
        <v>0</v>
      </c>
      <c r="SCK23" s="229">
        <v>0</v>
      </c>
      <c r="SCL23" s="229">
        <v>0</v>
      </c>
      <c r="SCM23" s="229">
        <v>0</v>
      </c>
      <c r="SCN23" s="229">
        <v>0</v>
      </c>
      <c r="SCO23" s="229">
        <v>0</v>
      </c>
      <c r="SCP23" s="229">
        <v>0</v>
      </c>
      <c r="SCQ23" s="229">
        <v>0</v>
      </c>
      <c r="SCR23" s="229">
        <v>0</v>
      </c>
      <c r="SCS23" s="229">
        <v>0</v>
      </c>
      <c r="SCT23" s="229">
        <v>0</v>
      </c>
      <c r="SCU23" s="229">
        <v>0</v>
      </c>
      <c r="SCV23" s="229">
        <v>0</v>
      </c>
      <c r="SCW23" s="229">
        <v>0</v>
      </c>
      <c r="SCX23" s="229">
        <v>0</v>
      </c>
      <c r="SCY23" s="229">
        <v>0</v>
      </c>
      <c r="SCZ23" s="229">
        <v>0</v>
      </c>
      <c r="SDA23" s="229">
        <v>0</v>
      </c>
      <c r="SDB23" s="229">
        <v>0</v>
      </c>
      <c r="SDC23" s="229">
        <v>0</v>
      </c>
      <c r="SDD23" s="229">
        <v>0</v>
      </c>
      <c r="SDE23" s="229">
        <v>0</v>
      </c>
      <c r="SDF23" s="229">
        <v>0</v>
      </c>
      <c r="SDG23" s="229">
        <v>0</v>
      </c>
      <c r="SDH23" s="229">
        <v>0</v>
      </c>
      <c r="SDI23" s="229">
        <v>0</v>
      </c>
      <c r="SDJ23" s="229">
        <v>0</v>
      </c>
      <c r="SDK23" s="229">
        <v>0</v>
      </c>
      <c r="SDL23" s="229">
        <v>0</v>
      </c>
      <c r="SDM23" s="229">
        <v>0</v>
      </c>
      <c r="SDN23" s="229">
        <v>0</v>
      </c>
      <c r="SDO23" s="229">
        <v>0</v>
      </c>
      <c r="SDP23" s="229">
        <v>0</v>
      </c>
      <c r="SDQ23" s="229">
        <v>0</v>
      </c>
      <c r="SDR23" s="229">
        <v>0</v>
      </c>
      <c r="SDS23" s="229">
        <v>0</v>
      </c>
      <c r="SDT23" s="229">
        <v>0</v>
      </c>
      <c r="SDU23" s="229">
        <v>0</v>
      </c>
      <c r="SDV23" s="229">
        <v>0</v>
      </c>
      <c r="SDW23" s="229">
        <v>0</v>
      </c>
      <c r="SDX23" s="229">
        <v>0</v>
      </c>
      <c r="SDY23" s="229">
        <v>0</v>
      </c>
      <c r="SDZ23" s="229">
        <v>0</v>
      </c>
      <c r="SEA23" s="229">
        <v>0</v>
      </c>
      <c r="SEB23" s="229">
        <v>0</v>
      </c>
      <c r="SEC23" s="229">
        <v>0</v>
      </c>
      <c r="SED23" s="229">
        <v>0</v>
      </c>
      <c r="SEE23" s="229">
        <v>0</v>
      </c>
      <c r="SEF23" s="229">
        <v>0</v>
      </c>
      <c r="SEG23" s="229">
        <v>0</v>
      </c>
      <c r="SEH23" s="229">
        <v>0</v>
      </c>
      <c r="SEI23" s="229">
        <v>0</v>
      </c>
      <c r="SEJ23" s="229">
        <v>0</v>
      </c>
      <c r="SEK23" s="229">
        <v>0</v>
      </c>
      <c r="SEL23" s="229">
        <v>0</v>
      </c>
      <c r="SEM23" s="229">
        <v>0</v>
      </c>
      <c r="SEN23" s="229">
        <v>0</v>
      </c>
      <c r="SEO23" s="229">
        <v>0</v>
      </c>
      <c r="SEP23" s="229">
        <v>0</v>
      </c>
      <c r="SEQ23" s="229">
        <v>0</v>
      </c>
      <c r="SER23" s="229">
        <v>0</v>
      </c>
      <c r="SES23" s="229">
        <v>0</v>
      </c>
      <c r="SET23" s="229">
        <v>0</v>
      </c>
      <c r="SEU23" s="229">
        <v>0</v>
      </c>
      <c r="SEV23" s="229">
        <v>0</v>
      </c>
      <c r="SEW23" s="229">
        <v>0</v>
      </c>
      <c r="SEX23" s="229">
        <v>0</v>
      </c>
      <c r="SEY23" s="229">
        <v>0</v>
      </c>
      <c r="SEZ23" s="229">
        <v>0</v>
      </c>
      <c r="SFA23" s="229">
        <v>0</v>
      </c>
      <c r="SFB23" s="229">
        <v>0</v>
      </c>
      <c r="SFC23" s="229">
        <v>0</v>
      </c>
      <c r="SFD23" s="229">
        <v>0</v>
      </c>
      <c r="SFE23" s="229">
        <v>0</v>
      </c>
      <c r="SFF23" s="229">
        <v>0</v>
      </c>
      <c r="SFG23" s="229">
        <v>0</v>
      </c>
      <c r="SFH23" s="229">
        <v>0</v>
      </c>
      <c r="SFI23" s="229">
        <v>0</v>
      </c>
      <c r="SFJ23" s="229">
        <v>0</v>
      </c>
      <c r="SFK23" s="229">
        <v>0</v>
      </c>
      <c r="SFL23" s="229">
        <v>0</v>
      </c>
      <c r="SFM23" s="229">
        <v>0</v>
      </c>
      <c r="SFN23" s="229">
        <v>0</v>
      </c>
      <c r="SFO23" s="229">
        <v>0</v>
      </c>
      <c r="SFP23" s="229">
        <v>0</v>
      </c>
      <c r="SFQ23" s="229">
        <v>0</v>
      </c>
      <c r="SFR23" s="229">
        <v>0</v>
      </c>
      <c r="SFS23" s="229">
        <v>0</v>
      </c>
      <c r="SFT23" s="229">
        <v>0</v>
      </c>
      <c r="SFU23" s="229">
        <v>0</v>
      </c>
      <c r="SFV23" s="229">
        <v>0</v>
      </c>
      <c r="SFW23" s="229">
        <v>0</v>
      </c>
      <c r="SFX23" s="229">
        <v>0</v>
      </c>
      <c r="SFY23" s="229">
        <v>0</v>
      </c>
      <c r="SFZ23" s="229">
        <v>0</v>
      </c>
      <c r="SGA23" s="229">
        <v>0</v>
      </c>
      <c r="SGB23" s="229">
        <v>0</v>
      </c>
      <c r="SGC23" s="229">
        <v>0</v>
      </c>
      <c r="SGD23" s="229">
        <v>0</v>
      </c>
      <c r="SGE23" s="229">
        <v>0</v>
      </c>
      <c r="SGF23" s="229">
        <v>0</v>
      </c>
      <c r="SGG23" s="229">
        <v>0</v>
      </c>
      <c r="SGH23" s="229">
        <v>0</v>
      </c>
      <c r="SGI23" s="229">
        <v>0</v>
      </c>
      <c r="SGJ23" s="229">
        <v>0</v>
      </c>
      <c r="SGK23" s="229">
        <v>0</v>
      </c>
      <c r="SGL23" s="229">
        <v>0</v>
      </c>
      <c r="SGM23" s="229">
        <v>0</v>
      </c>
      <c r="SGN23" s="229">
        <v>0</v>
      </c>
      <c r="SGO23" s="229">
        <v>0</v>
      </c>
      <c r="SGP23" s="229">
        <v>0</v>
      </c>
      <c r="SGQ23" s="229">
        <v>0</v>
      </c>
      <c r="SGR23" s="229">
        <v>0</v>
      </c>
      <c r="SGS23" s="229">
        <v>0</v>
      </c>
      <c r="SGT23" s="229">
        <v>0</v>
      </c>
      <c r="SGU23" s="229">
        <v>0</v>
      </c>
      <c r="SGV23" s="229">
        <v>0</v>
      </c>
      <c r="SGW23" s="229">
        <v>0</v>
      </c>
      <c r="SGX23" s="229">
        <v>0</v>
      </c>
      <c r="SGY23" s="229">
        <v>0</v>
      </c>
      <c r="SGZ23" s="229">
        <v>0</v>
      </c>
      <c r="SHA23" s="229">
        <v>0</v>
      </c>
      <c r="SHB23" s="229">
        <v>0</v>
      </c>
      <c r="SHC23" s="229">
        <v>0</v>
      </c>
      <c r="SHD23" s="229">
        <v>0</v>
      </c>
      <c r="SHE23" s="229">
        <v>0</v>
      </c>
      <c r="SHF23" s="229">
        <v>0</v>
      </c>
      <c r="SHG23" s="229">
        <v>0</v>
      </c>
      <c r="SHH23" s="229">
        <v>0</v>
      </c>
      <c r="SHI23" s="229">
        <v>0</v>
      </c>
      <c r="SHJ23" s="229">
        <v>0</v>
      </c>
      <c r="SHK23" s="229">
        <v>0</v>
      </c>
      <c r="SHL23" s="229">
        <v>0</v>
      </c>
      <c r="SHM23" s="229">
        <v>0</v>
      </c>
      <c r="SHN23" s="229">
        <v>0</v>
      </c>
      <c r="SHO23" s="229">
        <v>0</v>
      </c>
      <c r="SHP23" s="229">
        <v>0</v>
      </c>
      <c r="SHQ23" s="229">
        <v>0</v>
      </c>
      <c r="SHR23" s="229">
        <v>0</v>
      </c>
      <c r="SHS23" s="229">
        <v>0</v>
      </c>
      <c r="SHT23" s="229">
        <v>0</v>
      </c>
      <c r="SHU23" s="229">
        <v>0</v>
      </c>
      <c r="SHV23" s="229">
        <v>0</v>
      </c>
      <c r="SHW23" s="229">
        <v>0</v>
      </c>
      <c r="SHX23" s="229">
        <v>0</v>
      </c>
      <c r="SHY23" s="229">
        <v>0</v>
      </c>
      <c r="SHZ23" s="229">
        <v>0</v>
      </c>
      <c r="SIA23" s="229">
        <v>0</v>
      </c>
      <c r="SIB23" s="229">
        <v>0</v>
      </c>
      <c r="SIC23" s="229">
        <v>0</v>
      </c>
      <c r="SID23" s="229">
        <v>0</v>
      </c>
      <c r="SIE23" s="229">
        <v>0</v>
      </c>
      <c r="SIF23" s="229">
        <v>0</v>
      </c>
      <c r="SIG23" s="229">
        <v>0</v>
      </c>
      <c r="SIH23" s="229">
        <v>0</v>
      </c>
      <c r="SII23" s="229">
        <v>0</v>
      </c>
      <c r="SIJ23" s="229">
        <v>0</v>
      </c>
      <c r="SIK23" s="229">
        <v>0</v>
      </c>
      <c r="SIL23" s="229">
        <v>0</v>
      </c>
      <c r="SIM23" s="229">
        <v>0</v>
      </c>
      <c r="SIN23" s="229">
        <v>0</v>
      </c>
      <c r="SIO23" s="229">
        <v>0</v>
      </c>
      <c r="SIP23" s="229">
        <v>0</v>
      </c>
      <c r="SIQ23" s="229">
        <v>0</v>
      </c>
      <c r="SIR23" s="229">
        <v>0</v>
      </c>
      <c r="SIS23" s="229">
        <v>0</v>
      </c>
      <c r="SIT23" s="229">
        <v>0</v>
      </c>
      <c r="SIU23" s="229">
        <v>0</v>
      </c>
      <c r="SIV23" s="229">
        <v>0</v>
      </c>
      <c r="SIW23" s="229">
        <v>0</v>
      </c>
      <c r="SIX23" s="229">
        <v>0</v>
      </c>
      <c r="SIY23" s="229">
        <v>0</v>
      </c>
      <c r="SIZ23" s="229">
        <v>0</v>
      </c>
      <c r="SJA23" s="229">
        <v>0</v>
      </c>
      <c r="SJB23" s="229">
        <v>0</v>
      </c>
      <c r="SJC23" s="229">
        <v>0</v>
      </c>
      <c r="SJD23" s="229">
        <v>0</v>
      </c>
      <c r="SJE23" s="229">
        <v>0</v>
      </c>
      <c r="SJF23" s="229">
        <v>0</v>
      </c>
      <c r="SJG23" s="229">
        <v>0</v>
      </c>
      <c r="SJH23" s="229">
        <v>0</v>
      </c>
      <c r="SJI23" s="229">
        <v>0</v>
      </c>
      <c r="SJJ23" s="229">
        <v>0</v>
      </c>
      <c r="SJK23" s="229">
        <v>0</v>
      </c>
      <c r="SJL23" s="229">
        <v>0</v>
      </c>
      <c r="SJM23" s="229">
        <v>0</v>
      </c>
      <c r="SJN23" s="229">
        <v>0</v>
      </c>
      <c r="SJO23" s="229">
        <v>0</v>
      </c>
      <c r="SJP23" s="229">
        <v>0</v>
      </c>
      <c r="SJQ23" s="229">
        <v>0</v>
      </c>
      <c r="SJR23" s="229">
        <v>0</v>
      </c>
      <c r="SJS23" s="229">
        <v>0</v>
      </c>
      <c r="SJT23" s="229">
        <v>0</v>
      </c>
      <c r="SJU23" s="229">
        <v>0</v>
      </c>
      <c r="SJV23" s="229">
        <v>0</v>
      </c>
      <c r="SJW23" s="229">
        <v>0</v>
      </c>
      <c r="SJX23" s="229">
        <v>0</v>
      </c>
      <c r="SJY23" s="229">
        <v>0</v>
      </c>
      <c r="SJZ23" s="229">
        <v>0</v>
      </c>
      <c r="SKA23" s="229">
        <v>0</v>
      </c>
      <c r="SKB23" s="229">
        <v>0</v>
      </c>
      <c r="SKC23" s="229">
        <v>0</v>
      </c>
      <c r="SKD23" s="229">
        <v>0</v>
      </c>
      <c r="SKE23" s="229">
        <v>0</v>
      </c>
      <c r="SKF23" s="229">
        <v>0</v>
      </c>
      <c r="SKG23" s="229">
        <v>0</v>
      </c>
      <c r="SKH23" s="229">
        <v>0</v>
      </c>
      <c r="SKI23" s="229">
        <v>0</v>
      </c>
      <c r="SKJ23" s="229">
        <v>0</v>
      </c>
      <c r="SKK23" s="229">
        <v>0</v>
      </c>
      <c r="SKL23" s="229">
        <v>0</v>
      </c>
      <c r="SKM23" s="229">
        <v>0</v>
      </c>
      <c r="SKN23" s="229">
        <v>0</v>
      </c>
      <c r="SKO23" s="229">
        <v>0</v>
      </c>
      <c r="SKP23" s="229">
        <v>0</v>
      </c>
      <c r="SKQ23" s="229">
        <v>0</v>
      </c>
      <c r="SKR23" s="229">
        <v>0</v>
      </c>
      <c r="SKS23" s="229">
        <v>0</v>
      </c>
      <c r="SKT23" s="229">
        <v>0</v>
      </c>
      <c r="SKU23" s="229">
        <v>0</v>
      </c>
      <c r="SKV23" s="229">
        <v>0</v>
      </c>
      <c r="SKW23" s="229">
        <v>0</v>
      </c>
      <c r="SKX23" s="229">
        <v>0</v>
      </c>
      <c r="SKY23" s="229">
        <v>0</v>
      </c>
      <c r="SKZ23" s="229">
        <v>0</v>
      </c>
      <c r="SLA23" s="229">
        <v>0</v>
      </c>
      <c r="SLB23" s="229">
        <v>0</v>
      </c>
      <c r="SLC23" s="229">
        <v>0</v>
      </c>
      <c r="SLD23" s="229">
        <v>0</v>
      </c>
      <c r="SLE23" s="229">
        <v>0</v>
      </c>
      <c r="SLF23" s="229">
        <v>0</v>
      </c>
      <c r="SLG23" s="229">
        <v>0</v>
      </c>
      <c r="SLH23" s="229">
        <v>0</v>
      </c>
      <c r="SLI23" s="229">
        <v>0</v>
      </c>
      <c r="SLJ23" s="229">
        <v>0</v>
      </c>
      <c r="SLK23" s="229">
        <v>0</v>
      </c>
      <c r="SLL23" s="229">
        <v>0</v>
      </c>
      <c r="SLM23" s="229">
        <v>0</v>
      </c>
      <c r="SLN23" s="229">
        <v>0</v>
      </c>
      <c r="SLO23" s="229">
        <v>0</v>
      </c>
      <c r="SLP23" s="229">
        <v>0</v>
      </c>
      <c r="SLQ23" s="229">
        <v>0</v>
      </c>
      <c r="SLR23" s="229">
        <v>0</v>
      </c>
      <c r="SLS23" s="229">
        <v>0</v>
      </c>
      <c r="SLT23" s="229">
        <v>0</v>
      </c>
      <c r="SLU23" s="229">
        <v>0</v>
      </c>
      <c r="SLV23" s="229">
        <v>0</v>
      </c>
      <c r="SLW23" s="229">
        <v>0</v>
      </c>
      <c r="SLX23" s="229">
        <v>0</v>
      </c>
      <c r="SLY23" s="229">
        <v>0</v>
      </c>
      <c r="SLZ23" s="229">
        <v>0</v>
      </c>
      <c r="SMA23" s="229">
        <v>0</v>
      </c>
      <c r="SMB23" s="229">
        <v>0</v>
      </c>
      <c r="SMC23" s="229">
        <v>0</v>
      </c>
      <c r="SMD23" s="229">
        <v>0</v>
      </c>
      <c r="SME23" s="229">
        <v>0</v>
      </c>
      <c r="SMF23" s="229">
        <v>0</v>
      </c>
      <c r="SMG23" s="229">
        <v>0</v>
      </c>
      <c r="SMH23" s="229">
        <v>0</v>
      </c>
      <c r="SMI23" s="229">
        <v>0</v>
      </c>
      <c r="SMJ23" s="229">
        <v>0</v>
      </c>
      <c r="SMK23" s="229">
        <v>0</v>
      </c>
      <c r="SML23" s="229">
        <v>0</v>
      </c>
      <c r="SMM23" s="229">
        <v>0</v>
      </c>
      <c r="SMN23" s="229">
        <v>0</v>
      </c>
      <c r="SMO23" s="229">
        <v>0</v>
      </c>
      <c r="SMP23" s="229">
        <v>0</v>
      </c>
      <c r="SMQ23" s="229">
        <v>0</v>
      </c>
      <c r="SMR23" s="229">
        <v>0</v>
      </c>
      <c r="SMS23" s="229">
        <v>0</v>
      </c>
      <c r="SMT23" s="229">
        <v>0</v>
      </c>
      <c r="SMU23" s="229">
        <v>0</v>
      </c>
      <c r="SMV23" s="229">
        <v>0</v>
      </c>
      <c r="SMW23" s="229">
        <v>0</v>
      </c>
      <c r="SMX23" s="229">
        <v>0</v>
      </c>
      <c r="SMY23" s="229">
        <v>0</v>
      </c>
      <c r="SMZ23" s="229">
        <v>0</v>
      </c>
      <c r="SNA23" s="229">
        <v>0</v>
      </c>
      <c r="SNB23" s="229">
        <v>0</v>
      </c>
      <c r="SNC23" s="229">
        <v>0</v>
      </c>
      <c r="SND23" s="229">
        <v>0</v>
      </c>
      <c r="SNE23" s="229">
        <v>0</v>
      </c>
      <c r="SNF23" s="229">
        <v>0</v>
      </c>
      <c r="SNG23" s="229">
        <v>0</v>
      </c>
      <c r="SNH23" s="229">
        <v>0</v>
      </c>
      <c r="SNI23" s="229">
        <v>0</v>
      </c>
      <c r="SNJ23" s="229">
        <v>0</v>
      </c>
      <c r="SNK23" s="229">
        <v>0</v>
      </c>
      <c r="SNL23" s="229">
        <v>0</v>
      </c>
      <c r="SNM23" s="229">
        <v>0</v>
      </c>
      <c r="SNN23" s="229">
        <v>0</v>
      </c>
      <c r="SNO23" s="229">
        <v>0</v>
      </c>
      <c r="SNP23" s="229">
        <v>0</v>
      </c>
      <c r="SNQ23" s="229">
        <v>0</v>
      </c>
      <c r="SNR23" s="229">
        <v>0</v>
      </c>
      <c r="SNS23" s="229">
        <v>0</v>
      </c>
      <c r="SNT23" s="229">
        <v>0</v>
      </c>
      <c r="SNU23" s="229">
        <v>0</v>
      </c>
      <c r="SNV23" s="229">
        <v>0</v>
      </c>
      <c r="SNW23" s="229">
        <v>0</v>
      </c>
      <c r="SNX23" s="229">
        <v>0</v>
      </c>
      <c r="SNY23" s="229">
        <v>0</v>
      </c>
      <c r="SNZ23" s="229">
        <v>0</v>
      </c>
      <c r="SOA23" s="229">
        <v>0</v>
      </c>
      <c r="SOB23" s="229">
        <v>0</v>
      </c>
      <c r="SOC23" s="229">
        <v>0</v>
      </c>
      <c r="SOD23" s="229">
        <v>0</v>
      </c>
      <c r="SOE23" s="229">
        <v>0</v>
      </c>
      <c r="SOF23" s="229">
        <v>0</v>
      </c>
      <c r="SOG23" s="229">
        <v>0</v>
      </c>
      <c r="SOH23" s="229">
        <v>0</v>
      </c>
      <c r="SOI23" s="229">
        <v>0</v>
      </c>
      <c r="SOJ23" s="229">
        <v>0</v>
      </c>
      <c r="SOK23" s="229">
        <v>0</v>
      </c>
      <c r="SOL23" s="229">
        <v>0</v>
      </c>
      <c r="SOM23" s="229">
        <v>0</v>
      </c>
      <c r="SON23" s="229">
        <v>0</v>
      </c>
      <c r="SOO23" s="229">
        <v>0</v>
      </c>
      <c r="SOP23" s="229">
        <v>0</v>
      </c>
      <c r="SOQ23" s="229">
        <v>0</v>
      </c>
      <c r="SOR23" s="229">
        <v>0</v>
      </c>
      <c r="SOS23" s="229">
        <v>0</v>
      </c>
      <c r="SOT23" s="229">
        <v>0</v>
      </c>
      <c r="SOU23" s="229">
        <v>0</v>
      </c>
      <c r="SOV23" s="229">
        <v>0</v>
      </c>
      <c r="SOW23" s="229">
        <v>0</v>
      </c>
      <c r="SOX23" s="229">
        <v>0</v>
      </c>
      <c r="SOY23" s="229">
        <v>0</v>
      </c>
      <c r="SOZ23" s="229">
        <v>0</v>
      </c>
      <c r="SPA23" s="229">
        <v>0</v>
      </c>
      <c r="SPB23" s="229">
        <v>0</v>
      </c>
      <c r="SPC23" s="229">
        <v>0</v>
      </c>
      <c r="SPD23" s="229">
        <v>0</v>
      </c>
      <c r="SPE23" s="229">
        <v>0</v>
      </c>
      <c r="SPF23" s="229">
        <v>0</v>
      </c>
      <c r="SPG23" s="229">
        <v>0</v>
      </c>
      <c r="SPH23" s="229">
        <v>0</v>
      </c>
      <c r="SPI23" s="229">
        <v>0</v>
      </c>
      <c r="SPJ23" s="229">
        <v>0</v>
      </c>
      <c r="SPK23" s="229">
        <v>0</v>
      </c>
      <c r="SPL23" s="229">
        <v>0</v>
      </c>
      <c r="SPM23" s="229">
        <v>0</v>
      </c>
      <c r="SPN23" s="229">
        <v>0</v>
      </c>
      <c r="SPO23" s="229">
        <v>0</v>
      </c>
      <c r="SPP23" s="229">
        <v>0</v>
      </c>
      <c r="SPQ23" s="229">
        <v>0</v>
      </c>
      <c r="SPR23" s="229">
        <v>0</v>
      </c>
      <c r="SPS23" s="229">
        <v>0</v>
      </c>
      <c r="SPT23" s="229">
        <v>0</v>
      </c>
      <c r="SPU23" s="229">
        <v>0</v>
      </c>
      <c r="SPV23" s="229">
        <v>0</v>
      </c>
      <c r="SPW23" s="229">
        <v>0</v>
      </c>
      <c r="SPX23" s="229">
        <v>0</v>
      </c>
      <c r="SPY23" s="229">
        <v>0</v>
      </c>
      <c r="SPZ23" s="229">
        <v>0</v>
      </c>
      <c r="SQA23" s="229">
        <v>0</v>
      </c>
      <c r="SQB23" s="229">
        <v>0</v>
      </c>
      <c r="SQC23" s="229">
        <v>0</v>
      </c>
      <c r="SQD23" s="229">
        <v>0</v>
      </c>
      <c r="SQE23" s="229">
        <v>0</v>
      </c>
      <c r="SQF23" s="229">
        <v>0</v>
      </c>
      <c r="SQG23" s="229">
        <v>0</v>
      </c>
      <c r="SQH23" s="229">
        <v>0</v>
      </c>
      <c r="SQI23" s="229">
        <v>0</v>
      </c>
      <c r="SQJ23" s="229">
        <v>0</v>
      </c>
      <c r="SQK23" s="229">
        <v>0</v>
      </c>
      <c r="SQL23" s="229">
        <v>0</v>
      </c>
      <c r="SQM23" s="229">
        <v>0</v>
      </c>
      <c r="SQN23" s="229">
        <v>0</v>
      </c>
      <c r="SQO23" s="229">
        <v>0</v>
      </c>
      <c r="SQP23" s="229">
        <v>0</v>
      </c>
      <c r="SQQ23" s="229">
        <v>0</v>
      </c>
      <c r="SQR23" s="229">
        <v>0</v>
      </c>
      <c r="SQS23" s="229">
        <v>0</v>
      </c>
      <c r="SQT23" s="229">
        <v>0</v>
      </c>
      <c r="SQU23" s="229">
        <v>0</v>
      </c>
      <c r="SQV23" s="229">
        <v>0</v>
      </c>
      <c r="SQW23" s="229">
        <v>0</v>
      </c>
      <c r="SQX23" s="229">
        <v>0</v>
      </c>
      <c r="SQY23" s="229">
        <v>0</v>
      </c>
      <c r="SQZ23" s="229">
        <v>0</v>
      </c>
      <c r="SRA23" s="229">
        <v>0</v>
      </c>
      <c r="SRB23" s="229">
        <v>0</v>
      </c>
      <c r="SRC23" s="229">
        <v>0</v>
      </c>
      <c r="SRD23" s="229">
        <v>0</v>
      </c>
      <c r="SRE23" s="229">
        <v>0</v>
      </c>
      <c r="SRF23" s="229">
        <v>0</v>
      </c>
      <c r="SRG23" s="229">
        <v>0</v>
      </c>
      <c r="SRH23" s="229">
        <v>0</v>
      </c>
      <c r="SRI23" s="229">
        <v>0</v>
      </c>
      <c r="SRJ23" s="229">
        <v>0</v>
      </c>
      <c r="SRK23" s="229">
        <v>0</v>
      </c>
      <c r="SRL23" s="229">
        <v>0</v>
      </c>
      <c r="SRM23" s="229">
        <v>0</v>
      </c>
      <c r="SRN23" s="229">
        <v>0</v>
      </c>
      <c r="SRO23" s="229">
        <v>0</v>
      </c>
      <c r="SRP23" s="229">
        <v>0</v>
      </c>
      <c r="SRQ23" s="229">
        <v>0</v>
      </c>
      <c r="SRR23" s="229">
        <v>0</v>
      </c>
      <c r="SRS23" s="229">
        <v>0</v>
      </c>
      <c r="SRT23" s="229">
        <v>0</v>
      </c>
      <c r="SRU23" s="229">
        <v>0</v>
      </c>
      <c r="SRV23" s="229">
        <v>0</v>
      </c>
      <c r="SRW23" s="229">
        <v>0</v>
      </c>
      <c r="SRX23" s="229">
        <v>0</v>
      </c>
      <c r="SRY23" s="229">
        <v>0</v>
      </c>
      <c r="SRZ23" s="229">
        <v>0</v>
      </c>
      <c r="SSA23" s="229">
        <v>0</v>
      </c>
      <c r="SSB23" s="229">
        <v>0</v>
      </c>
      <c r="SSC23" s="229">
        <v>0</v>
      </c>
      <c r="SSD23" s="229">
        <v>0</v>
      </c>
      <c r="SSE23" s="229">
        <v>0</v>
      </c>
      <c r="SSF23" s="229">
        <v>0</v>
      </c>
      <c r="SSG23" s="229">
        <v>0</v>
      </c>
      <c r="SSH23" s="229">
        <v>0</v>
      </c>
      <c r="SSI23" s="229">
        <v>0</v>
      </c>
      <c r="SSJ23" s="229">
        <v>0</v>
      </c>
      <c r="SSK23" s="229">
        <v>0</v>
      </c>
      <c r="SSL23" s="229">
        <v>0</v>
      </c>
      <c r="SSM23" s="229">
        <v>0</v>
      </c>
      <c r="SSN23" s="229">
        <v>0</v>
      </c>
      <c r="SSO23" s="229">
        <v>0</v>
      </c>
      <c r="SSP23" s="229">
        <v>0</v>
      </c>
      <c r="SSQ23" s="229">
        <v>0</v>
      </c>
      <c r="SSR23" s="229">
        <v>0</v>
      </c>
      <c r="SSS23" s="229">
        <v>0</v>
      </c>
      <c r="SST23" s="229">
        <v>0</v>
      </c>
      <c r="SSU23" s="229">
        <v>0</v>
      </c>
      <c r="SSV23" s="229">
        <v>0</v>
      </c>
      <c r="SSW23" s="229">
        <v>0</v>
      </c>
      <c r="SSX23" s="229">
        <v>0</v>
      </c>
      <c r="SSY23" s="229">
        <v>0</v>
      </c>
      <c r="SSZ23" s="229">
        <v>0</v>
      </c>
      <c r="STA23" s="229">
        <v>0</v>
      </c>
      <c r="STB23" s="229">
        <v>0</v>
      </c>
      <c r="STC23" s="229">
        <v>0</v>
      </c>
      <c r="STD23" s="229">
        <v>0</v>
      </c>
      <c r="STE23" s="229">
        <v>0</v>
      </c>
      <c r="STF23" s="229">
        <v>0</v>
      </c>
      <c r="STG23" s="229">
        <v>0</v>
      </c>
      <c r="STH23" s="229">
        <v>0</v>
      </c>
      <c r="STI23" s="229">
        <v>0</v>
      </c>
      <c r="STJ23" s="229">
        <v>0</v>
      </c>
      <c r="STK23" s="229">
        <v>0</v>
      </c>
      <c r="STL23" s="229">
        <v>0</v>
      </c>
      <c r="STM23" s="229">
        <v>0</v>
      </c>
      <c r="STN23" s="229">
        <v>0</v>
      </c>
      <c r="STO23" s="229">
        <v>0</v>
      </c>
      <c r="STP23" s="229">
        <v>0</v>
      </c>
      <c r="STQ23" s="229">
        <v>0</v>
      </c>
      <c r="STR23" s="229">
        <v>0</v>
      </c>
      <c r="STS23" s="229">
        <v>0</v>
      </c>
      <c r="STT23" s="229">
        <v>0</v>
      </c>
      <c r="STU23" s="229">
        <v>0</v>
      </c>
      <c r="STV23" s="229">
        <v>0</v>
      </c>
      <c r="STW23" s="229">
        <v>0</v>
      </c>
      <c r="STX23" s="229">
        <v>0</v>
      </c>
      <c r="STY23" s="229">
        <v>0</v>
      </c>
      <c r="STZ23" s="229">
        <v>0</v>
      </c>
      <c r="SUA23" s="229">
        <v>0</v>
      </c>
      <c r="SUB23" s="229">
        <v>0</v>
      </c>
      <c r="SUC23" s="229">
        <v>0</v>
      </c>
      <c r="SUD23" s="229">
        <v>0</v>
      </c>
      <c r="SUE23" s="229">
        <v>0</v>
      </c>
      <c r="SUF23" s="229">
        <v>0</v>
      </c>
      <c r="SUG23" s="229">
        <v>0</v>
      </c>
      <c r="SUH23" s="229">
        <v>0</v>
      </c>
      <c r="SUI23" s="229">
        <v>0</v>
      </c>
      <c r="SUJ23" s="229">
        <v>0</v>
      </c>
      <c r="SUK23" s="229">
        <v>0</v>
      </c>
      <c r="SUL23" s="229">
        <v>0</v>
      </c>
      <c r="SUM23" s="229">
        <v>0</v>
      </c>
      <c r="SUN23" s="229">
        <v>0</v>
      </c>
      <c r="SUO23" s="229">
        <v>0</v>
      </c>
      <c r="SUP23" s="229">
        <v>0</v>
      </c>
      <c r="SUQ23" s="229">
        <v>0</v>
      </c>
      <c r="SUR23" s="229">
        <v>0</v>
      </c>
      <c r="SUS23" s="229">
        <v>0</v>
      </c>
      <c r="SUT23" s="229">
        <v>0</v>
      </c>
      <c r="SUU23" s="229">
        <v>0</v>
      </c>
      <c r="SUV23" s="229">
        <v>0</v>
      </c>
      <c r="SUW23" s="229">
        <v>0</v>
      </c>
      <c r="SUX23" s="229">
        <v>0</v>
      </c>
      <c r="SUY23" s="229">
        <v>0</v>
      </c>
      <c r="SUZ23" s="229">
        <v>0</v>
      </c>
      <c r="SVA23" s="229">
        <v>0</v>
      </c>
      <c r="SVB23" s="229">
        <v>0</v>
      </c>
      <c r="SVC23" s="229">
        <v>0</v>
      </c>
      <c r="SVD23" s="229">
        <v>0</v>
      </c>
      <c r="SVE23" s="229">
        <v>0</v>
      </c>
      <c r="SVF23" s="229">
        <v>0</v>
      </c>
      <c r="SVG23" s="229">
        <v>0</v>
      </c>
      <c r="SVH23" s="229">
        <v>0</v>
      </c>
      <c r="SVI23" s="229">
        <v>0</v>
      </c>
      <c r="SVJ23" s="229">
        <v>0</v>
      </c>
      <c r="SVK23" s="229">
        <v>0</v>
      </c>
      <c r="SVL23" s="229">
        <v>0</v>
      </c>
      <c r="SVM23" s="229">
        <v>0</v>
      </c>
      <c r="SVN23" s="229">
        <v>0</v>
      </c>
      <c r="SVO23" s="229">
        <v>0</v>
      </c>
      <c r="SVP23" s="229">
        <v>0</v>
      </c>
      <c r="SVQ23" s="229">
        <v>0</v>
      </c>
      <c r="SVR23" s="229">
        <v>0</v>
      </c>
      <c r="SVS23" s="229">
        <v>0</v>
      </c>
      <c r="SVT23" s="229">
        <v>0</v>
      </c>
      <c r="SVU23" s="229">
        <v>0</v>
      </c>
      <c r="SVV23" s="229">
        <v>0</v>
      </c>
      <c r="SVW23" s="229">
        <v>0</v>
      </c>
      <c r="SVX23" s="229">
        <v>0</v>
      </c>
      <c r="SVY23" s="229">
        <v>0</v>
      </c>
      <c r="SVZ23" s="229">
        <v>0</v>
      </c>
      <c r="SWA23" s="229">
        <v>0</v>
      </c>
      <c r="SWB23" s="229">
        <v>0</v>
      </c>
      <c r="SWC23" s="229">
        <v>0</v>
      </c>
      <c r="SWD23" s="229">
        <v>0</v>
      </c>
      <c r="SWE23" s="229">
        <v>0</v>
      </c>
      <c r="SWF23" s="229">
        <v>0</v>
      </c>
      <c r="SWG23" s="229">
        <v>0</v>
      </c>
      <c r="SWH23" s="229">
        <v>0</v>
      </c>
      <c r="SWI23" s="229">
        <v>0</v>
      </c>
      <c r="SWJ23" s="229">
        <v>0</v>
      </c>
      <c r="SWK23" s="229">
        <v>0</v>
      </c>
      <c r="SWL23" s="229">
        <v>0</v>
      </c>
      <c r="SWM23" s="229">
        <v>0</v>
      </c>
      <c r="SWN23" s="229">
        <v>0</v>
      </c>
      <c r="SWO23" s="229">
        <v>0</v>
      </c>
      <c r="SWP23" s="229">
        <v>0</v>
      </c>
      <c r="SWQ23" s="229">
        <v>0</v>
      </c>
      <c r="SWR23" s="229">
        <v>0</v>
      </c>
      <c r="SWS23" s="229">
        <v>0</v>
      </c>
      <c r="SWT23" s="229">
        <v>0</v>
      </c>
      <c r="SWU23" s="229">
        <v>0</v>
      </c>
      <c r="SWV23" s="229">
        <v>0</v>
      </c>
      <c r="SWW23" s="229">
        <v>0</v>
      </c>
      <c r="SWX23" s="229">
        <v>0</v>
      </c>
      <c r="SWY23" s="229">
        <v>0</v>
      </c>
      <c r="SWZ23" s="229">
        <v>0</v>
      </c>
      <c r="SXA23" s="229">
        <v>0</v>
      </c>
      <c r="SXB23" s="229">
        <v>0</v>
      </c>
      <c r="SXC23" s="229">
        <v>0</v>
      </c>
      <c r="SXD23" s="229">
        <v>0</v>
      </c>
      <c r="SXE23" s="229">
        <v>0</v>
      </c>
      <c r="SXF23" s="229">
        <v>0</v>
      </c>
      <c r="SXG23" s="229">
        <v>0</v>
      </c>
      <c r="SXH23" s="229">
        <v>0</v>
      </c>
      <c r="SXI23" s="229">
        <v>0</v>
      </c>
      <c r="SXJ23" s="229">
        <v>0</v>
      </c>
      <c r="SXK23" s="229">
        <v>0</v>
      </c>
      <c r="SXL23" s="229">
        <v>0</v>
      </c>
      <c r="SXM23" s="229">
        <v>0</v>
      </c>
      <c r="SXN23" s="229">
        <v>0</v>
      </c>
      <c r="SXO23" s="229">
        <v>0</v>
      </c>
      <c r="SXP23" s="229">
        <v>0</v>
      </c>
      <c r="SXQ23" s="229">
        <v>0</v>
      </c>
      <c r="SXR23" s="229">
        <v>0</v>
      </c>
      <c r="SXS23" s="229">
        <v>0</v>
      </c>
      <c r="SXT23" s="229">
        <v>0</v>
      </c>
      <c r="SXU23" s="229">
        <v>0</v>
      </c>
      <c r="SXV23" s="229">
        <v>0</v>
      </c>
      <c r="SXW23" s="229">
        <v>0</v>
      </c>
      <c r="SXX23" s="229">
        <v>0</v>
      </c>
      <c r="SXY23" s="229">
        <v>0</v>
      </c>
      <c r="SXZ23" s="229">
        <v>0</v>
      </c>
      <c r="SYA23" s="229">
        <v>0</v>
      </c>
      <c r="SYB23" s="229">
        <v>0</v>
      </c>
      <c r="SYC23" s="229">
        <v>0</v>
      </c>
      <c r="SYD23" s="229">
        <v>0</v>
      </c>
      <c r="SYE23" s="229">
        <v>0</v>
      </c>
      <c r="SYF23" s="229">
        <v>0</v>
      </c>
      <c r="SYG23" s="229">
        <v>0</v>
      </c>
      <c r="SYH23" s="229">
        <v>0</v>
      </c>
      <c r="SYI23" s="229">
        <v>0</v>
      </c>
      <c r="SYJ23" s="229">
        <v>0</v>
      </c>
      <c r="SYK23" s="229">
        <v>0</v>
      </c>
      <c r="SYL23" s="229">
        <v>0</v>
      </c>
      <c r="SYM23" s="229">
        <v>0</v>
      </c>
      <c r="SYN23" s="229">
        <v>0</v>
      </c>
      <c r="SYO23" s="229">
        <v>0</v>
      </c>
      <c r="SYP23" s="229">
        <v>0</v>
      </c>
      <c r="SYQ23" s="229">
        <v>0</v>
      </c>
      <c r="SYR23" s="229">
        <v>0</v>
      </c>
      <c r="SYS23" s="229">
        <v>0</v>
      </c>
      <c r="SYT23" s="229">
        <v>0</v>
      </c>
      <c r="SYU23" s="229">
        <v>0</v>
      </c>
      <c r="SYV23" s="229">
        <v>0</v>
      </c>
      <c r="SYW23" s="229">
        <v>0</v>
      </c>
      <c r="SYX23" s="229">
        <v>0</v>
      </c>
      <c r="SYY23" s="229">
        <v>0</v>
      </c>
      <c r="SYZ23" s="229">
        <v>0</v>
      </c>
      <c r="SZA23" s="229">
        <v>0</v>
      </c>
      <c r="SZB23" s="229">
        <v>0</v>
      </c>
      <c r="SZC23" s="229">
        <v>0</v>
      </c>
      <c r="SZD23" s="229">
        <v>0</v>
      </c>
      <c r="SZE23" s="229">
        <v>0</v>
      </c>
      <c r="SZF23" s="229">
        <v>0</v>
      </c>
      <c r="SZG23" s="229">
        <v>0</v>
      </c>
      <c r="SZH23" s="229">
        <v>0</v>
      </c>
      <c r="SZI23" s="229">
        <v>0</v>
      </c>
      <c r="SZJ23" s="229">
        <v>0</v>
      </c>
      <c r="SZK23" s="229">
        <v>0</v>
      </c>
      <c r="SZL23" s="229">
        <v>0</v>
      </c>
      <c r="SZM23" s="229">
        <v>0</v>
      </c>
      <c r="SZN23" s="229">
        <v>0</v>
      </c>
      <c r="SZO23" s="229">
        <v>0</v>
      </c>
      <c r="SZP23" s="229">
        <v>0</v>
      </c>
      <c r="SZQ23" s="229">
        <v>0</v>
      </c>
      <c r="SZR23" s="229">
        <v>0</v>
      </c>
      <c r="SZS23" s="229">
        <v>0</v>
      </c>
      <c r="SZT23" s="229">
        <v>0</v>
      </c>
      <c r="SZU23" s="229">
        <v>0</v>
      </c>
      <c r="SZV23" s="229">
        <v>0</v>
      </c>
      <c r="SZW23" s="229">
        <v>0</v>
      </c>
      <c r="SZX23" s="229">
        <v>0</v>
      </c>
      <c r="SZY23" s="229">
        <v>0</v>
      </c>
      <c r="SZZ23" s="229">
        <v>0</v>
      </c>
      <c r="TAA23" s="229">
        <v>0</v>
      </c>
      <c r="TAB23" s="229">
        <v>0</v>
      </c>
      <c r="TAC23" s="229">
        <v>0</v>
      </c>
      <c r="TAD23" s="229">
        <v>0</v>
      </c>
      <c r="TAE23" s="229">
        <v>0</v>
      </c>
      <c r="TAF23" s="229">
        <v>0</v>
      </c>
      <c r="TAG23" s="229">
        <v>0</v>
      </c>
      <c r="TAH23" s="229">
        <v>0</v>
      </c>
      <c r="TAI23" s="229">
        <v>0</v>
      </c>
      <c r="TAJ23" s="229">
        <v>0</v>
      </c>
      <c r="TAK23" s="229">
        <v>0</v>
      </c>
      <c r="TAL23" s="229">
        <v>0</v>
      </c>
      <c r="TAM23" s="229">
        <v>0</v>
      </c>
      <c r="TAN23" s="229">
        <v>0</v>
      </c>
      <c r="TAO23" s="229">
        <v>0</v>
      </c>
      <c r="TAP23" s="229">
        <v>0</v>
      </c>
      <c r="TAQ23" s="229">
        <v>0</v>
      </c>
      <c r="TAR23" s="229">
        <v>0</v>
      </c>
      <c r="TAS23" s="229">
        <v>0</v>
      </c>
      <c r="TAT23" s="229">
        <v>0</v>
      </c>
      <c r="TAU23" s="229">
        <v>0</v>
      </c>
      <c r="TAV23" s="229">
        <v>0</v>
      </c>
      <c r="TAW23" s="229">
        <v>0</v>
      </c>
      <c r="TAX23" s="229">
        <v>0</v>
      </c>
      <c r="TAY23" s="229">
        <v>0</v>
      </c>
      <c r="TAZ23" s="229">
        <v>0</v>
      </c>
      <c r="TBA23" s="229">
        <v>0</v>
      </c>
      <c r="TBB23" s="229">
        <v>0</v>
      </c>
      <c r="TBC23" s="229">
        <v>0</v>
      </c>
      <c r="TBD23" s="229">
        <v>0</v>
      </c>
      <c r="TBE23" s="229">
        <v>0</v>
      </c>
      <c r="TBF23" s="229">
        <v>0</v>
      </c>
      <c r="TBG23" s="229">
        <v>0</v>
      </c>
      <c r="TBH23" s="229">
        <v>0</v>
      </c>
      <c r="TBI23" s="229">
        <v>0</v>
      </c>
      <c r="TBJ23" s="229">
        <v>0</v>
      </c>
      <c r="TBK23" s="229">
        <v>0</v>
      </c>
      <c r="TBL23" s="229">
        <v>0</v>
      </c>
      <c r="TBM23" s="229">
        <v>0</v>
      </c>
      <c r="TBN23" s="229">
        <v>0</v>
      </c>
      <c r="TBO23" s="229">
        <v>0</v>
      </c>
      <c r="TBP23" s="229">
        <v>0</v>
      </c>
      <c r="TBQ23" s="229">
        <v>0</v>
      </c>
      <c r="TBR23" s="229">
        <v>0</v>
      </c>
      <c r="TBS23" s="229">
        <v>0</v>
      </c>
      <c r="TBT23" s="229">
        <v>0</v>
      </c>
      <c r="TBU23" s="229">
        <v>0</v>
      </c>
      <c r="TBV23" s="229">
        <v>0</v>
      </c>
      <c r="TBW23" s="229">
        <v>0</v>
      </c>
      <c r="TBX23" s="229">
        <v>0</v>
      </c>
      <c r="TBY23" s="229">
        <v>0</v>
      </c>
      <c r="TBZ23" s="229">
        <v>0</v>
      </c>
      <c r="TCA23" s="229">
        <v>0</v>
      </c>
      <c r="TCB23" s="229">
        <v>0</v>
      </c>
      <c r="TCC23" s="229">
        <v>0</v>
      </c>
      <c r="TCD23" s="229">
        <v>0</v>
      </c>
      <c r="TCE23" s="229">
        <v>0</v>
      </c>
      <c r="TCF23" s="229">
        <v>0</v>
      </c>
      <c r="TCG23" s="229">
        <v>0</v>
      </c>
      <c r="TCH23" s="229">
        <v>0</v>
      </c>
      <c r="TCI23" s="229">
        <v>0</v>
      </c>
      <c r="TCJ23" s="229">
        <v>0</v>
      </c>
      <c r="TCK23" s="229">
        <v>0</v>
      </c>
      <c r="TCL23" s="229">
        <v>0</v>
      </c>
      <c r="TCM23" s="229">
        <v>0</v>
      </c>
      <c r="TCN23" s="229">
        <v>0</v>
      </c>
      <c r="TCO23" s="229">
        <v>0</v>
      </c>
      <c r="TCP23" s="229">
        <v>0</v>
      </c>
      <c r="TCQ23" s="229">
        <v>0</v>
      </c>
      <c r="TCR23" s="229">
        <v>0</v>
      </c>
      <c r="TCS23" s="229">
        <v>0</v>
      </c>
      <c r="TCT23" s="229">
        <v>0</v>
      </c>
      <c r="TCU23" s="229">
        <v>0</v>
      </c>
      <c r="TCV23" s="229">
        <v>0</v>
      </c>
      <c r="TCW23" s="229">
        <v>0</v>
      </c>
      <c r="TCX23" s="229">
        <v>0</v>
      </c>
      <c r="TCY23" s="229">
        <v>0</v>
      </c>
      <c r="TCZ23" s="229">
        <v>0</v>
      </c>
      <c r="TDA23" s="229">
        <v>0</v>
      </c>
      <c r="TDB23" s="229">
        <v>0</v>
      </c>
      <c r="TDC23" s="229">
        <v>0</v>
      </c>
      <c r="TDD23" s="229">
        <v>0</v>
      </c>
      <c r="TDE23" s="229">
        <v>0</v>
      </c>
      <c r="TDF23" s="229">
        <v>0</v>
      </c>
      <c r="TDG23" s="229">
        <v>0</v>
      </c>
      <c r="TDH23" s="229">
        <v>0</v>
      </c>
      <c r="TDI23" s="229">
        <v>0</v>
      </c>
      <c r="TDJ23" s="229">
        <v>0</v>
      </c>
      <c r="TDK23" s="229">
        <v>0</v>
      </c>
      <c r="TDL23" s="229">
        <v>0</v>
      </c>
      <c r="TDM23" s="229">
        <v>0</v>
      </c>
      <c r="TDN23" s="229">
        <v>0</v>
      </c>
      <c r="TDO23" s="229">
        <v>0</v>
      </c>
      <c r="TDP23" s="229">
        <v>0</v>
      </c>
      <c r="TDQ23" s="229">
        <v>0</v>
      </c>
      <c r="TDR23" s="229">
        <v>0</v>
      </c>
      <c r="TDS23" s="229">
        <v>0</v>
      </c>
      <c r="TDT23" s="229">
        <v>0</v>
      </c>
      <c r="TDU23" s="229">
        <v>0</v>
      </c>
      <c r="TDV23" s="229">
        <v>0</v>
      </c>
      <c r="TDW23" s="229">
        <v>0</v>
      </c>
      <c r="TDX23" s="229">
        <v>0</v>
      </c>
      <c r="TDY23" s="229">
        <v>0</v>
      </c>
      <c r="TDZ23" s="229">
        <v>0</v>
      </c>
      <c r="TEA23" s="229">
        <v>0</v>
      </c>
      <c r="TEB23" s="229">
        <v>0</v>
      </c>
      <c r="TEC23" s="229">
        <v>0</v>
      </c>
      <c r="TED23" s="229">
        <v>0</v>
      </c>
      <c r="TEE23" s="229">
        <v>0</v>
      </c>
      <c r="TEF23" s="229">
        <v>0</v>
      </c>
      <c r="TEG23" s="229">
        <v>0</v>
      </c>
      <c r="TEH23" s="229">
        <v>0</v>
      </c>
      <c r="TEI23" s="229">
        <v>0</v>
      </c>
      <c r="TEJ23" s="229">
        <v>0</v>
      </c>
      <c r="TEK23" s="229">
        <v>0</v>
      </c>
      <c r="TEL23" s="229">
        <v>0</v>
      </c>
      <c r="TEM23" s="229">
        <v>0</v>
      </c>
      <c r="TEN23" s="229">
        <v>0</v>
      </c>
      <c r="TEO23" s="229">
        <v>0</v>
      </c>
      <c r="TEP23" s="229">
        <v>0</v>
      </c>
      <c r="TEQ23" s="229">
        <v>0</v>
      </c>
      <c r="TER23" s="229">
        <v>0</v>
      </c>
      <c r="TES23" s="229">
        <v>0</v>
      </c>
      <c r="TET23" s="229">
        <v>0</v>
      </c>
      <c r="TEU23" s="229">
        <v>0</v>
      </c>
      <c r="TEV23" s="229">
        <v>0</v>
      </c>
      <c r="TEW23" s="229">
        <v>0</v>
      </c>
      <c r="TEX23" s="229">
        <v>0</v>
      </c>
      <c r="TEY23" s="229">
        <v>0</v>
      </c>
      <c r="TEZ23" s="229">
        <v>0</v>
      </c>
      <c r="TFA23" s="229">
        <v>0</v>
      </c>
      <c r="TFB23" s="229">
        <v>0</v>
      </c>
      <c r="TFC23" s="229">
        <v>0</v>
      </c>
      <c r="TFD23" s="229">
        <v>0</v>
      </c>
      <c r="TFE23" s="229">
        <v>0</v>
      </c>
      <c r="TFF23" s="229">
        <v>0</v>
      </c>
      <c r="TFG23" s="229">
        <v>0</v>
      </c>
      <c r="TFH23" s="229">
        <v>0</v>
      </c>
      <c r="TFI23" s="229">
        <v>0</v>
      </c>
      <c r="TFJ23" s="229">
        <v>0</v>
      </c>
      <c r="TFK23" s="229">
        <v>0</v>
      </c>
      <c r="TFL23" s="229">
        <v>0</v>
      </c>
      <c r="TFM23" s="229">
        <v>0</v>
      </c>
      <c r="TFN23" s="229">
        <v>0</v>
      </c>
      <c r="TFO23" s="229">
        <v>0</v>
      </c>
      <c r="TFP23" s="229">
        <v>0</v>
      </c>
      <c r="TFQ23" s="229">
        <v>0</v>
      </c>
      <c r="TFR23" s="229">
        <v>0</v>
      </c>
      <c r="TFS23" s="229">
        <v>0</v>
      </c>
      <c r="TFT23" s="229">
        <v>0</v>
      </c>
      <c r="TFU23" s="229">
        <v>0</v>
      </c>
      <c r="TFV23" s="229">
        <v>0</v>
      </c>
      <c r="TFW23" s="229">
        <v>0</v>
      </c>
      <c r="TFX23" s="229">
        <v>0</v>
      </c>
      <c r="TFY23" s="229">
        <v>0</v>
      </c>
      <c r="TFZ23" s="229">
        <v>0</v>
      </c>
      <c r="TGA23" s="229">
        <v>0</v>
      </c>
      <c r="TGB23" s="229">
        <v>0</v>
      </c>
      <c r="TGC23" s="229">
        <v>0</v>
      </c>
      <c r="TGD23" s="229">
        <v>0</v>
      </c>
      <c r="TGE23" s="229">
        <v>0</v>
      </c>
      <c r="TGF23" s="229">
        <v>0</v>
      </c>
      <c r="TGG23" s="229">
        <v>0</v>
      </c>
      <c r="TGH23" s="229">
        <v>0</v>
      </c>
      <c r="TGI23" s="229">
        <v>0</v>
      </c>
      <c r="TGJ23" s="229">
        <v>0</v>
      </c>
      <c r="TGK23" s="229">
        <v>0</v>
      </c>
      <c r="TGL23" s="229">
        <v>0</v>
      </c>
      <c r="TGM23" s="229">
        <v>0</v>
      </c>
      <c r="TGN23" s="229">
        <v>0</v>
      </c>
      <c r="TGO23" s="229">
        <v>0</v>
      </c>
      <c r="TGP23" s="229">
        <v>0</v>
      </c>
      <c r="TGQ23" s="229">
        <v>0</v>
      </c>
      <c r="TGR23" s="229">
        <v>0</v>
      </c>
      <c r="TGS23" s="229">
        <v>0</v>
      </c>
      <c r="TGT23" s="229">
        <v>0</v>
      </c>
      <c r="TGU23" s="229">
        <v>0</v>
      </c>
      <c r="TGV23" s="229">
        <v>0</v>
      </c>
      <c r="TGW23" s="229">
        <v>0</v>
      </c>
      <c r="TGX23" s="229">
        <v>0</v>
      </c>
      <c r="TGY23" s="229">
        <v>0</v>
      </c>
      <c r="TGZ23" s="229">
        <v>0</v>
      </c>
      <c r="THA23" s="229">
        <v>0</v>
      </c>
      <c r="THB23" s="229">
        <v>0</v>
      </c>
      <c r="THC23" s="229">
        <v>0</v>
      </c>
      <c r="THD23" s="229">
        <v>0</v>
      </c>
      <c r="THE23" s="229">
        <v>0</v>
      </c>
      <c r="THF23" s="229">
        <v>0</v>
      </c>
      <c r="THG23" s="229">
        <v>0</v>
      </c>
      <c r="THH23" s="229">
        <v>0</v>
      </c>
      <c r="THI23" s="229">
        <v>0</v>
      </c>
      <c r="THJ23" s="229">
        <v>0</v>
      </c>
      <c r="THK23" s="229">
        <v>0</v>
      </c>
      <c r="THL23" s="229">
        <v>0</v>
      </c>
      <c r="THM23" s="229">
        <v>0</v>
      </c>
      <c r="THN23" s="229">
        <v>0</v>
      </c>
      <c r="THO23" s="229">
        <v>0</v>
      </c>
      <c r="THP23" s="229">
        <v>0</v>
      </c>
      <c r="THQ23" s="229">
        <v>0</v>
      </c>
      <c r="THR23" s="229">
        <v>0</v>
      </c>
      <c r="THS23" s="229">
        <v>0</v>
      </c>
      <c r="THT23" s="229">
        <v>0</v>
      </c>
      <c r="THU23" s="229">
        <v>0</v>
      </c>
      <c r="THV23" s="229">
        <v>0</v>
      </c>
      <c r="THW23" s="229">
        <v>0</v>
      </c>
      <c r="THX23" s="229">
        <v>0</v>
      </c>
      <c r="THY23" s="229">
        <v>0</v>
      </c>
      <c r="THZ23" s="229">
        <v>0</v>
      </c>
      <c r="TIA23" s="229">
        <v>0</v>
      </c>
      <c r="TIB23" s="229">
        <v>0</v>
      </c>
      <c r="TIC23" s="229">
        <v>0</v>
      </c>
      <c r="TID23" s="229">
        <v>0</v>
      </c>
      <c r="TIE23" s="229">
        <v>0</v>
      </c>
      <c r="TIF23" s="229">
        <v>0</v>
      </c>
      <c r="TIG23" s="229">
        <v>0</v>
      </c>
      <c r="TIH23" s="229">
        <v>0</v>
      </c>
      <c r="TII23" s="229">
        <v>0</v>
      </c>
      <c r="TIJ23" s="229">
        <v>0</v>
      </c>
      <c r="TIK23" s="229">
        <v>0</v>
      </c>
      <c r="TIL23" s="229">
        <v>0</v>
      </c>
      <c r="TIM23" s="229">
        <v>0</v>
      </c>
      <c r="TIN23" s="229">
        <v>0</v>
      </c>
      <c r="TIO23" s="229">
        <v>0</v>
      </c>
      <c r="TIP23" s="229">
        <v>0</v>
      </c>
      <c r="TIQ23" s="229">
        <v>0</v>
      </c>
      <c r="TIR23" s="229">
        <v>0</v>
      </c>
      <c r="TIS23" s="229">
        <v>0</v>
      </c>
      <c r="TIT23" s="229">
        <v>0</v>
      </c>
      <c r="TIU23" s="229">
        <v>0</v>
      </c>
      <c r="TIV23" s="229">
        <v>0</v>
      </c>
      <c r="TIW23" s="229">
        <v>0</v>
      </c>
      <c r="TIX23" s="229">
        <v>0</v>
      </c>
      <c r="TIY23" s="229">
        <v>0</v>
      </c>
      <c r="TIZ23" s="229">
        <v>0</v>
      </c>
      <c r="TJA23" s="229">
        <v>0</v>
      </c>
      <c r="TJB23" s="229">
        <v>0</v>
      </c>
      <c r="TJC23" s="229">
        <v>0</v>
      </c>
      <c r="TJD23" s="229">
        <v>0</v>
      </c>
      <c r="TJE23" s="229">
        <v>0</v>
      </c>
      <c r="TJF23" s="229">
        <v>0</v>
      </c>
      <c r="TJG23" s="229">
        <v>0</v>
      </c>
      <c r="TJH23" s="229">
        <v>0</v>
      </c>
      <c r="TJI23" s="229">
        <v>0</v>
      </c>
      <c r="TJJ23" s="229">
        <v>0</v>
      </c>
      <c r="TJK23" s="229">
        <v>0</v>
      </c>
      <c r="TJL23" s="229">
        <v>0</v>
      </c>
      <c r="TJM23" s="229">
        <v>0</v>
      </c>
      <c r="TJN23" s="229">
        <v>0</v>
      </c>
      <c r="TJO23" s="229">
        <v>0</v>
      </c>
      <c r="TJP23" s="229">
        <v>0</v>
      </c>
      <c r="TJQ23" s="229">
        <v>0</v>
      </c>
      <c r="TJR23" s="229">
        <v>0</v>
      </c>
      <c r="TJS23" s="229">
        <v>0</v>
      </c>
      <c r="TJT23" s="229">
        <v>0</v>
      </c>
      <c r="TJU23" s="229">
        <v>0</v>
      </c>
      <c r="TJV23" s="229">
        <v>0</v>
      </c>
      <c r="TJW23" s="229">
        <v>0</v>
      </c>
      <c r="TJX23" s="229">
        <v>0</v>
      </c>
      <c r="TJY23" s="229">
        <v>0</v>
      </c>
      <c r="TJZ23" s="229">
        <v>0</v>
      </c>
      <c r="TKA23" s="229">
        <v>0</v>
      </c>
      <c r="TKB23" s="229">
        <v>0</v>
      </c>
      <c r="TKC23" s="229">
        <v>0</v>
      </c>
      <c r="TKD23" s="229">
        <v>0</v>
      </c>
      <c r="TKE23" s="229">
        <v>0</v>
      </c>
      <c r="TKF23" s="229">
        <v>0</v>
      </c>
      <c r="TKG23" s="229">
        <v>0</v>
      </c>
      <c r="TKH23" s="229">
        <v>0</v>
      </c>
      <c r="TKI23" s="229">
        <v>0</v>
      </c>
      <c r="TKJ23" s="229">
        <v>0</v>
      </c>
      <c r="TKK23" s="229">
        <v>0</v>
      </c>
      <c r="TKL23" s="229">
        <v>0</v>
      </c>
      <c r="TKM23" s="229">
        <v>0</v>
      </c>
      <c r="TKN23" s="229">
        <v>0</v>
      </c>
      <c r="TKO23" s="229">
        <v>0</v>
      </c>
      <c r="TKP23" s="229">
        <v>0</v>
      </c>
      <c r="TKQ23" s="229">
        <v>0</v>
      </c>
      <c r="TKR23" s="229">
        <v>0</v>
      </c>
      <c r="TKS23" s="229">
        <v>0</v>
      </c>
      <c r="TKT23" s="229">
        <v>0</v>
      </c>
      <c r="TKU23" s="229">
        <v>0</v>
      </c>
      <c r="TKV23" s="229">
        <v>0</v>
      </c>
      <c r="TKW23" s="229">
        <v>0</v>
      </c>
      <c r="TKX23" s="229">
        <v>0</v>
      </c>
      <c r="TKY23" s="229">
        <v>0</v>
      </c>
      <c r="TKZ23" s="229">
        <v>0</v>
      </c>
      <c r="TLA23" s="229">
        <v>0</v>
      </c>
      <c r="TLB23" s="229">
        <v>0</v>
      </c>
      <c r="TLC23" s="229">
        <v>0</v>
      </c>
      <c r="TLD23" s="229">
        <v>0</v>
      </c>
      <c r="TLE23" s="229">
        <v>0</v>
      </c>
      <c r="TLF23" s="229">
        <v>0</v>
      </c>
      <c r="TLG23" s="229">
        <v>0</v>
      </c>
      <c r="TLH23" s="229">
        <v>0</v>
      </c>
      <c r="TLI23" s="229">
        <v>0</v>
      </c>
      <c r="TLJ23" s="229">
        <v>0</v>
      </c>
      <c r="TLK23" s="229">
        <v>0</v>
      </c>
      <c r="TLL23" s="229">
        <v>0</v>
      </c>
      <c r="TLM23" s="229">
        <v>0</v>
      </c>
      <c r="TLN23" s="229">
        <v>0</v>
      </c>
      <c r="TLO23" s="229">
        <v>0</v>
      </c>
      <c r="TLP23" s="229">
        <v>0</v>
      </c>
      <c r="TLQ23" s="229">
        <v>0</v>
      </c>
      <c r="TLR23" s="229">
        <v>0</v>
      </c>
      <c r="TLS23" s="229">
        <v>0</v>
      </c>
      <c r="TLT23" s="229">
        <v>0</v>
      </c>
      <c r="TLU23" s="229">
        <v>0</v>
      </c>
      <c r="TLV23" s="229">
        <v>0</v>
      </c>
      <c r="TLW23" s="229">
        <v>0</v>
      </c>
      <c r="TLX23" s="229">
        <v>0</v>
      </c>
      <c r="TLY23" s="229">
        <v>0</v>
      </c>
      <c r="TLZ23" s="229">
        <v>0</v>
      </c>
      <c r="TMA23" s="229">
        <v>0</v>
      </c>
      <c r="TMB23" s="229">
        <v>0</v>
      </c>
      <c r="TMC23" s="229">
        <v>0</v>
      </c>
      <c r="TMD23" s="229">
        <v>0</v>
      </c>
      <c r="TME23" s="229">
        <v>0</v>
      </c>
      <c r="TMF23" s="229">
        <v>0</v>
      </c>
      <c r="TMG23" s="229">
        <v>0</v>
      </c>
      <c r="TMH23" s="229">
        <v>0</v>
      </c>
      <c r="TMI23" s="229">
        <v>0</v>
      </c>
      <c r="TMJ23" s="229">
        <v>0</v>
      </c>
      <c r="TMK23" s="229">
        <v>0</v>
      </c>
      <c r="TML23" s="229">
        <v>0</v>
      </c>
      <c r="TMM23" s="229">
        <v>0</v>
      </c>
      <c r="TMN23" s="229">
        <v>0</v>
      </c>
      <c r="TMO23" s="229">
        <v>0</v>
      </c>
      <c r="TMP23" s="229">
        <v>0</v>
      </c>
      <c r="TMQ23" s="229">
        <v>0</v>
      </c>
      <c r="TMR23" s="229">
        <v>0</v>
      </c>
      <c r="TMS23" s="229">
        <v>0</v>
      </c>
      <c r="TMT23" s="229">
        <v>0</v>
      </c>
      <c r="TMU23" s="229">
        <v>0</v>
      </c>
      <c r="TMV23" s="229">
        <v>0</v>
      </c>
      <c r="TMW23" s="229">
        <v>0</v>
      </c>
      <c r="TMX23" s="229">
        <v>0</v>
      </c>
      <c r="TMY23" s="229">
        <v>0</v>
      </c>
      <c r="TMZ23" s="229">
        <v>0</v>
      </c>
      <c r="TNA23" s="229">
        <v>0</v>
      </c>
      <c r="TNB23" s="229">
        <v>0</v>
      </c>
      <c r="TNC23" s="229">
        <v>0</v>
      </c>
      <c r="TND23" s="229">
        <v>0</v>
      </c>
      <c r="TNE23" s="229">
        <v>0</v>
      </c>
      <c r="TNF23" s="229">
        <v>0</v>
      </c>
      <c r="TNG23" s="229">
        <v>0</v>
      </c>
      <c r="TNH23" s="229">
        <v>0</v>
      </c>
      <c r="TNI23" s="229">
        <v>0</v>
      </c>
      <c r="TNJ23" s="229">
        <v>0</v>
      </c>
      <c r="TNK23" s="229">
        <v>0</v>
      </c>
      <c r="TNL23" s="229">
        <v>0</v>
      </c>
      <c r="TNM23" s="229">
        <v>0</v>
      </c>
      <c r="TNN23" s="229">
        <v>0</v>
      </c>
      <c r="TNO23" s="229">
        <v>0</v>
      </c>
      <c r="TNP23" s="229">
        <v>0</v>
      </c>
      <c r="TNQ23" s="229">
        <v>0</v>
      </c>
      <c r="TNR23" s="229">
        <v>0</v>
      </c>
      <c r="TNS23" s="229">
        <v>0</v>
      </c>
      <c r="TNT23" s="229">
        <v>0</v>
      </c>
      <c r="TNU23" s="229">
        <v>0</v>
      </c>
      <c r="TNV23" s="229">
        <v>0</v>
      </c>
      <c r="TNW23" s="229">
        <v>0</v>
      </c>
      <c r="TNX23" s="229">
        <v>0</v>
      </c>
      <c r="TNY23" s="229">
        <v>0</v>
      </c>
      <c r="TNZ23" s="229">
        <v>0</v>
      </c>
      <c r="TOA23" s="229">
        <v>0</v>
      </c>
      <c r="TOB23" s="229">
        <v>0</v>
      </c>
      <c r="TOC23" s="229">
        <v>0</v>
      </c>
      <c r="TOD23" s="229">
        <v>0</v>
      </c>
      <c r="TOE23" s="229">
        <v>0</v>
      </c>
      <c r="TOF23" s="229">
        <v>0</v>
      </c>
      <c r="TOG23" s="229">
        <v>0</v>
      </c>
      <c r="TOH23" s="229">
        <v>0</v>
      </c>
      <c r="TOI23" s="229">
        <v>0</v>
      </c>
      <c r="TOJ23" s="229">
        <v>0</v>
      </c>
      <c r="TOK23" s="229">
        <v>0</v>
      </c>
      <c r="TOL23" s="229">
        <v>0</v>
      </c>
      <c r="TOM23" s="229">
        <v>0</v>
      </c>
      <c r="TON23" s="229">
        <v>0</v>
      </c>
      <c r="TOO23" s="229">
        <v>0</v>
      </c>
      <c r="TOP23" s="229">
        <v>0</v>
      </c>
      <c r="TOQ23" s="229">
        <v>0</v>
      </c>
      <c r="TOR23" s="229">
        <v>0</v>
      </c>
      <c r="TOS23" s="229">
        <v>0</v>
      </c>
      <c r="TOT23" s="229">
        <v>0</v>
      </c>
      <c r="TOU23" s="229">
        <v>0</v>
      </c>
      <c r="TOV23" s="229">
        <v>0</v>
      </c>
      <c r="TOW23" s="229">
        <v>0</v>
      </c>
      <c r="TOX23" s="229">
        <v>0</v>
      </c>
      <c r="TOY23" s="229">
        <v>0</v>
      </c>
      <c r="TOZ23" s="229">
        <v>0</v>
      </c>
      <c r="TPA23" s="229">
        <v>0</v>
      </c>
      <c r="TPB23" s="229">
        <v>0</v>
      </c>
      <c r="TPC23" s="229">
        <v>0</v>
      </c>
      <c r="TPD23" s="229">
        <v>0</v>
      </c>
      <c r="TPE23" s="229">
        <v>0</v>
      </c>
      <c r="TPF23" s="229">
        <v>0</v>
      </c>
      <c r="TPG23" s="229">
        <v>0</v>
      </c>
      <c r="TPH23" s="229">
        <v>0</v>
      </c>
      <c r="TPI23" s="229">
        <v>0</v>
      </c>
      <c r="TPJ23" s="229">
        <v>0</v>
      </c>
      <c r="TPK23" s="229">
        <v>0</v>
      </c>
      <c r="TPL23" s="229">
        <v>0</v>
      </c>
      <c r="TPM23" s="229">
        <v>0</v>
      </c>
      <c r="TPN23" s="229">
        <v>0</v>
      </c>
      <c r="TPO23" s="229">
        <v>0</v>
      </c>
      <c r="TPP23" s="229">
        <v>0</v>
      </c>
      <c r="TPQ23" s="229">
        <v>0</v>
      </c>
      <c r="TPR23" s="229">
        <v>0</v>
      </c>
      <c r="TPS23" s="229">
        <v>0</v>
      </c>
      <c r="TPT23" s="229">
        <v>0</v>
      </c>
      <c r="TPU23" s="229">
        <v>0</v>
      </c>
      <c r="TPV23" s="229">
        <v>0</v>
      </c>
      <c r="TPW23" s="229">
        <v>0</v>
      </c>
      <c r="TPX23" s="229">
        <v>0</v>
      </c>
      <c r="TPY23" s="229">
        <v>0</v>
      </c>
      <c r="TPZ23" s="229">
        <v>0</v>
      </c>
      <c r="TQA23" s="229">
        <v>0</v>
      </c>
      <c r="TQB23" s="229">
        <v>0</v>
      </c>
      <c r="TQC23" s="229">
        <v>0</v>
      </c>
      <c r="TQD23" s="229">
        <v>0</v>
      </c>
      <c r="TQE23" s="229">
        <v>0</v>
      </c>
      <c r="TQF23" s="229">
        <v>0</v>
      </c>
      <c r="TQG23" s="229">
        <v>0</v>
      </c>
      <c r="TQH23" s="229">
        <v>0</v>
      </c>
      <c r="TQI23" s="229">
        <v>0</v>
      </c>
      <c r="TQJ23" s="229">
        <v>0</v>
      </c>
      <c r="TQK23" s="229">
        <v>0</v>
      </c>
      <c r="TQL23" s="229">
        <v>0</v>
      </c>
      <c r="TQM23" s="229">
        <v>0</v>
      </c>
      <c r="TQN23" s="229">
        <v>0</v>
      </c>
      <c r="TQO23" s="229">
        <v>0</v>
      </c>
      <c r="TQP23" s="229">
        <v>0</v>
      </c>
      <c r="TQQ23" s="229">
        <v>0</v>
      </c>
      <c r="TQR23" s="229">
        <v>0</v>
      </c>
      <c r="TQS23" s="229">
        <v>0</v>
      </c>
      <c r="TQT23" s="229">
        <v>0</v>
      </c>
      <c r="TQU23" s="229">
        <v>0</v>
      </c>
      <c r="TQV23" s="229">
        <v>0</v>
      </c>
      <c r="TQW23" s="229">
        <v>0</v>
      </c>
      <c r="TQX23" s="229">
        <v>0</v>
      </c>
      <c r="TQY23" s="229">
        <v>0</v>
      </c>
      <c r="TQZ23" s="229">
        <v>0</v>
      </c>
      <c r="TRA23" s="229">
        <v>0</v>
      </c>
      <c r="TRB23" s="229">
        <v>0</v>
      </c>
      <c r="TRC23" s="229">
        <v>0</v>
      </c>
      <c r="TRD23" s="229">
        <v>0</v>
      </c>
      <c r="TRE23" s="229">
        <v>0</v>
      </c>
      <c r="TRF23" s="229">
        <v>0</v>
      </c>
      <c r="TRG23" s="229">
        <v>0</v>
      </c>
      <c r="TRH23" s="229">
        <v>0</v>
      </c>
      <c r="TRI23" s="229">
        <v>0</v>
      </c>
      <c r="TRJ23" s="229">
        <v>0</v>
      </c>
      <c r="TRK23" s="229">
        <v>0</v>
      </c>
      <c r="TRL23" s="229">
        <v>0</v>
      </c>
      <c r="TRM23" s="229">
        <v>0</v>
      </c>
      <c r="TRN23" s="229">
        <v>0</v>
      </c>
      <c r="TRO23" s="229">
        <v>0</v>
      </c>
      <c r="TRP23" s="229">
        <v>0</v>
      </c>
      <c r="TRQ23" s="229">
        <v>0</v>
      </c>
      <c r="TRR23" s="229">
        <v>0</v>
      </c>
      <c r="TRS23" s="229">
        <v>0</v>
      </c>
      <c r="TRT23" s="229">
        <v>0</v>
      </c>
      <c r="TRU23" s="229">
        <v>0</v>
      </c>
      <c r="TRV23" s="229">
        <v>0</v>
      </c>
      <c r="TRW23" s="229">
        <v>0</v>
      </c>
      <c r="TRX23" s="229">
        <v>0</v>
      </c>
      <c r="TRY23" s="229">
        <v>0</v>
      </c>
      <c r="TRZ23" s="229">
        <v>0</v>
      </c>
      <c r="TSA23" s="229">
        <v>0</v>
      </c>
      <c r="TSB23" s="229">
        <v>0</v>
      </c>
      <c r="TSC23" s="229">
        <v>0</v>
      </c>
      <c r="TSD23" s="229">
        <v>0</v>
      </c>
      <c r="TSE23" s="229">
        <v>0</v>
      </c>
      <c r="TSF23" s="229">
        <v>0</v>
      </c>
      <c r="TSG23" s="229">
        <v>0</v>
      </c>
      <c r="TSH23" s="229">
        <v>0</v>
      </c>
      <c r="TSI23" s="229">
        <v>0</v>
      </c>
      <c r="TSJ23" s="229">
        <v>0</v>
      </c>
      <c r="TSK23" s="229">
        <v>0</v>
      </c>
      <c r="TSL23" s="229">
        <v>0</v>
      </c>
      <c r="TSM23" s="229">
        <v>0</v>
      </c>
      <c r="TSN23" s="229">
        <v>0</v>
      </c>
      <c r="TSO23" s="229">
        <v>0</v>
      </c>
      <c r="TSP23" s="229">
        <v>0</v>
      </c>
      <c r="TSQ23" s="229">
        <v>0</v>
      </c>
      <c r="TSR23" s="229">
        <v>0</v>
      </c>
      <c r="TSS23" s="229">
        <v>0</v>
      </c>
      <c r="TST23" s="229">
        <v>0</v>
      </c>
      <c r="TSU23" s="229">
        <v>0</v>
      </c>
      <c r="TSV23" s="229">
        <v>0</v>
      </c>
      <c r="TSW23" s="229">
        <v>0</v>
      </c>
      <c r="TSX23" s="229">
        <v>0</v>
      </c>
      <c r="TSY23" s="229">
        <v>0</v>
      </c>
      <c r="TSZ23" s="229">
        <v>0</v>
      </c>
      <c r="TTA23" s="229">
        <v>0</v>
      </c>
      <c r="TTB23" s="229">
        <v>0</v>
      </c>
      <c r="TTC23" s="229">
        <v>0</v>
      </c>
      <c r="TTD23" s="229">
        <v>0</v>
      </c>
      <c r="TTE23" s="229">
        <v>0</v>
      </c>
      <c r="TTF23" s="229">
        <v>0</v>
      </c>
      <c r="TTG23" s="229">
        <v>0</v>
      </c>
      <c r="TTH23" s="229">
        <v>0</v>
      </c>
      <c r="TTI23" s="229">
        <v>0</v>
      </c>
      <c r="TTJ23" s="229">
        <v>0</v>
      </c>
      <c r="TTK23" s="229">
        <v>0</v>
      </c>
      <c r="TTL23" s="229">
        <v>0</v>
      </c>
      <c r="TTM23" s="229">
        <v>0</v>
      </c>
      <c r="TTN23" s="229">
        <v>0</v>
      </c>
      <c r="TTO23" s="229">
        <v>0</v>
      </c>
      <c r="TTP23" s="229">
        <v>0</v>
      </c>
      <c r="TTQ23" s="229">
        <v>0</v>
      </c>
      <c r="TTR23" s="229">
        <v>0</v>
      </c>
      <c r="TTS23" s="229">
        <v>0</v>
      </c>
      <c r="TTT23" s="229">
        <v>0</v>
      </c>
      <c r="TTU23" s="229">
        <v>0</v>
      </c>
      <c r="TTV23" s="229">
        <v>0</v>
      </c>
      <c r="TTW23" s="229">
        <v>0</v>
      </c>
      <c r="TTX23" s="229">
        <v>0</v>
      </c>
      <c r="TTY23" s="229">
        <v>0</v>
      </c>
      <c r="TTZ23" s="229">
        <v>0</v>
      </c>
      <c r="TUA23" s="229">
        <v>0</v>
      </c>
      <c r="TUB23" s="229">
        <v>0</v>
      </c>
      <c r="TUC23" s="229">
        <v>0</v>
      </c>
      <c r="TUD23" s="229">
        <v>0</v>
      </c>
      <c r="TUE23" s="229">
        <v>0</v>
      </c>
      <c r="TUF23" s="229">
        <v>0</v>
      </c>
      <c r="TUG23" s="229">
        <v>0</v>
      </c>
      <c r="TUH23" s="229">
        <v>0</v>
      </c>
      <c r="TUI23" s="229">
        <v>0</v>
      </c>
      <c r="TUJ23" s="229">
        <v>0</v>
      </c>
      <c r="TUK23" s="229">
        <v>0</v>
      </c>
      <c r="TUL23" s="229">
        <v>0</v>
      </c>
      <c r="TUM23" s="229">
        <v>0</v>
      </c>
      <c r="TUN23" s="229">
        <v>0</v>
      </c>
      <c r="TUO23" s="229">
        <v>0</v>
      </c>
      <c r="TUP23" s="229">
        <v>0</v>
      </c>
      <c r="TUQ23" s="229">
        <v>0</v>
      </c>
      <c r="TUR23" s="229">
        <v>0</v>
      </c>
      <c r="TUS23" s="229">
        <v>0</v>
      </c>
      <c r="TUT23" s="229">
        <v>0</v>
      </c>
      <c r="TUU23" s="229">
        <v>0</v>
      </c>
      <c r="TUV23" s="229">
        <v>0</v>
      </c>
      <c r="TUW23" s="229">
        <v>0</v>
      </c>
      <c r="TUX23" s="229">
        <v>0</v>
      </c>
      <c r="TUY23" s="229">
        <v>0</v>
      </c>
      <c r="TUZ23" s="229">
        <v>0</v>
      </c>
      <c r="TVA23" s="229">
        <v>0</v>
      </c>
      <c r="TVB23" s="229">
        <v>0</v>
      </c>
      <c r="TVC23" s="229">
        <v>0</v>
      </c>
      <c r="TVD23" s="229">
        <v>0</v>
      </c>
      <c r="TVE23" s="229">
        <v>0</v>
      </c>
      <c r="TVF23" s="229">
        <v>0</v>
      </c>
      <c r="TVG23" s="229">
        <v>0</v>
      </c>
      <c r="TVH23" s="229">
        <v>0</v>
      </c>
      <c r="TVI23" s="229">
        <v>0</v>
      </c>
      <c r="TVJ23" s="229">
        <v>0</v>
      </c>
      <c r="TVK23" s="229">
        <v>0</v>
      </c>
      <c r="TVL23" s="229">
        <v>0</v>
      </c>
      <c r="TVM23" s="229">
        <v>0</v>
      </c>
      <c r="TVN23" s="229">
        <v>0</v>
      </c>
      <c r="TVO23" s="229">
        <v>0</v>
      </c>
      <c r="TVP23" s="229">
        <v>0</v>
      </c>
      <c r="TVQ23" s="229">
        <v>0</v>
      </c>
      <c r="TVR23" s="229">
        <v>0</v>
      </c>
      <c r="TVS23" s="229">
        <v>0</v>
      </c>
      <c r="TVT23" s="229">
        <v>0</v>
      </c>
      <c r="TVU23" s="229">
        <v>0</v>
      </c>
      <c r="TVV23" s="229">
        <v>0</v>
      </c>
      <c r="TVW23" s="229">
        <v>0</v>
      </c>
      <c r="TVX23" s="229">
        <v>0</v>
      </c>
      <c r="TVY23" s="229">
        <v>0</v>
      </c>
      <c r="TVZ23" s="229">
        <v>0</v>
      </c>
      <c r="TWA23" s="229">
        <v>0</v>
      </c>
      <c r="TWB23" s="229">
        <v>0</v>
      </c>
      <c r="TWC23" s="229">
        <v>0</v>
      </c>
      <c r="TWD23" s="229">
        <v>0</v>
      </c>
      <c r="TWE23" s="229">
        <v>0</v>
      </c>
      <c r="TWF23" s="229">
        <v>0</v>
      </c>
      <c r="TWG23" s="229">
        <v>0</v>
      </c>
      <c r="TWH23" s="229">
        <v>0</v>
      </c>
      <c r="TWI23" s="229">
        <v>0</v>
      </c>
      <c r="TWJ23" s="229">
        <v>0</v>
      </c>
      <c r="TWK23" s="229">
        <v>0</v>
      </c>
      <c r="TWL23" s="229">
        <v>0</v>
      </c>
      <c r="TWM23" s="229">
        <v>0</v>
      </c>
      <c r="TWN23" s="229">
        <v>0</v>
      </c>
      <c r="TWO23" s="229">
        <v>0</v>
      </c>
      <c r="TWP23" s="229">
        <v>0</v>
      </c>
      <c r="TWQ23" s="229">
        <v>0</v>
      </c>
      <c r="TWR23" s="229">
        <v>0</v>
      </c>
      <c r="TWS23" s="229">
        <v>0</v>
      </c>
      <c r="TWT23" s="229">
        <v>0</v>
      </c>
      <c r="TWU23" s="229">
        <v>0</v>
      </c>
      <c r="TWV23" s="229">
        <v>0</v>
      </c>
      <c r="TWW23" s="229">
        <v>0</v>
      </c>
      <c r="TWX23" s="229">
        <v>0</v>
      </c>
      <c r="TWY23" s="229">
        <v>0</v>
      </c>
      <c r="TWZ23" s="229">
        <v>0</v>
      </c>
      <c r="TXA23" s="229">
        <v>0</v>
      </c>
      <c r="TXB23" s="229">
        <v>0</v>
      </c>
      <c r="TXC23" s="229">
        <v>0</v>
      </c>
      <c r="TXD23" s="229">
        <v>0</v>
      </c>
      <c r="TXE23" s="229">
        <v>0</v>
      </c>
      <c r="TXF23" s="229">
        <v>0</v>
      </c>
      <c r="TXG23" s="229">
        <v>0</v>
      </c>
      <c r="TXH23" s="229">
        <v>0</v>
      </c>
      <c r="TXI23" s="229">
        <v>0</v>
      </c>
      <c r="TXJ23" s="229">
        <v>0</v>
      </c>
      <c r="TXK23" s="229">
        <v>0</v>
      </c>
      <c r="TXL23" s="229">
        <v>0</v>
      </c>
      <c r="TXM23" s="229">
        <v>0</v>
      </c>
      <c r="TXN23" s="229">
        <v>0</v>
      </c>
      <c r="TXO23" s="229">
        <v>0</v>
      </c>
      <c r="TXP23" s="229">
        <v>0</v>
      </c>
      <c r="TXQ23" s="229">
        <v>0</v>
      </c>
      <c r="TXR23" s="229">
        <v>0</v>
      </c>
      <c r="TXS23" s="229">
        <v>0</v>
      </c>
      <c r="TXT23" s="229">
        <v>0</v>
      </c>
      <c r="TXU23" s="229">
        <v>0</v>
      </c>
      <c r="TXV23" s="229">
        <v>0</v>
      </c>
      <c r="TXW23" s="229">
        <v>0</v>
      </c>
      <c r="TXX23" s="229">
        <v>0</v>
      </c>
      <c r="TXY23" s="229">
        <v>0</v>
      </c>
      <c r="TXZ23" s="229">
        <v>0</v>
      </c>
      <c r="TYA23" s="229">
        <v>0</v>
      </c>
      <c r="TYB23" s="229">
        <v>0</v>
      </c>
      <c r="TYC23" s="229">
        <v>0</v>
      </c>
      <c r="TYD23" s="229">
        <v>0</v>
      </c>
      <c r="TYE23" s="229">
        <v>0</v>
      </c>
      <c r="TYF23" s="229">
        <v>0</v>
      </c>
      <c r="TYG23" s="229">
        <v>0</v>
      </c>
      <c r="TYH23" s="229">
        <v>0</v>
      </c>
      <c r="TYI23" s="229">
        <v>0</v>
      </c>
      <c r="TYJ23" s="229">
        <v>0</v>
      </c>
      <c r="TYK23" s="229">
        <v>0</v>
      </c>
      <c r="TYL23" s="229">
        <v>0</v>
      </c>
      <c r="TYM23" s="229">
        <v>0</v>
      </c>
      <c r="TYN23" s="229">
        <v>0</v>
      </c>
      <c r="TYO23" s="229">
        <v>0</v>
      </c>
      <c r="TYP23" s="229">
        <v>0</v>
      </c>
      <c r="TYQ23" s="229">
        <v>0</v>
      </c>
      <c r="TYR23" s="229">
        <v>0</v>
      </c>
      <c r="TYS23" s="229">
        <v>0</v>
      </c>
      <c r="TYT23" s="229">
        <v>0</v>
      </c>
      <c r="TYU23" s="229">
        <v>0</v>
      </c>
      <c r="TYV23" s="229">
        <v>0</v>
      </c>
      <c r="TYW23" s="229">
        <v>0</v>
      </c>
      <c r="TYX23" s="229">
        <v>0</v>
      </c>
      <c r="TYY23" s="229">
        <v>0</v>
      </c>
      <c r="TYZ23" s="229">
        <v>0</v>
      </c>
      <c r="TZA23" s="229">
        <v>0</v>
      </c>
      <c r="TZB23" s="229">
        <v>0</v>
      </c>
      <c r="TZC23" s="229">
        <v>0</v>
      </c>
      <c r="TZD23" s="229">
        <v>0</v>
      </c>
      <c r="TZE23" s="229">
        <v>0</v>
      </c>
      <c r="TZF23" s="229">
        <v>0</v>
      </c>
      <c r="TZG23" s="229">
        <v>0</v>
      </c>
      <c r="TZH23" s="229">
        <v>0</v>
      </c>
      <c r="TZI23" s="229">
        <v>0</v>
      </c>
      <c r="TZJ23" s="229">
        <v>0</v>
      </c>
      <c r="TZK23" s="229">
        <v>0</v>
      </c>
      <c r="TZL23" s="229">
        <v>0</v>
      </c>
      <c r="TZM23" s="229">
        <v>0</v>
      </c>
      <c r="TZN23" s="229">
        <v>0</v>
      </c>
      <c r="TZO23" s="229">
        <v>0</v>
      </c>
      <c r="TZP23" s="229">
        <v>0</v>
      </c>
      <c r="TZQ23" s="229">
        <v>0</v>
      </c>
      <c r="TZR23" s="229">
        <v>0</v>
      </c>
      <c r="TZS23" s="229">
        <v>0</v>
      </c>
      <c r="TZT23" s="229">
        <v>0</v>
      </c>
      <c r="TZU23" s="229">
        <v>0</v>
      </c>
      <c r="TZV23" s="229">
        <v>0</v>
      </c>
      <c r="TZW23" s="229">
        <v>0</v>
      </c>
      <c r="TZX23" s="229">
        <v>0</v>
      </c>
      <c r="TZY23" s="229">
        <v>0</v>
      </c>
      <c r="TZZ23" s="229">
        <v>0</v>
      </c>
      <c r="UAA23" s="229">
        <v>0</v>
      </c>
      <c r="UAB23" s="229">
        <v>0</v>
      </c>
      <c r="UAC23" s="229">
        <v>0</v>
      </c>
      <c r="UAD23" s="229">
        <v>0</v>
      </c>
      <c r="UAE23" s="229">
        <v>0</v>
      </c>
      <c r="UAF23" s="229">
        <v>0</v>
      </c>
      <c r="UAG23" s="229">
        <v>0</v>
      </c>
      <c r="UAH23" s="229">
        <v>0</v>
      </c>
      <c r="UAI23" s="229">
        <v>0</v>
      </c>
      <c r="UAJ23" s="229">
        <v>0</v>
      </c>
      <c r="UAK23" s="229">
        <v>0</v>
      </c>
      <c r="UAL23" s="229">
        <v>0</v>
      </c>
      <c r="UAM23" s="229">
        <v>0</v>
      </c>
      <c r="UAN23" s="229">
        <v>0</v>
      </c>
      <c r="UAO23" s="229">
        <v>0</v>
      </c>
      <c r="UAP23" s="229">
        <v>0</v>
      </c>
      <c r="UAQ23" s="229">
        <v>0</v>
      </c>
      <c r="UAR23" s="229">
        <v>0</v>
      </c>
      <c r="UAS23" s="229">
        <v>0</v>
      </c>
      <c r="UAT23" s="229">
        <v>0</v>
      </c>
      <c r="UAU23" s="229">
        <v>0</v>
      </c>
      <c r="UAV23" s="229">
        <v>0</v>
      </c>
      <c r="UAW23" s="229">
        <v>0</v>
      </c>
      <c r="UAX23" s="229">
        <v>0</v>
      </c>
      <c r="UAY23" s="229">
        <v>0</v>
      </c>
      <c r="UAZ23" s="229">
        <v>0</v>
      </c>
      <c r="UBA23" s="229">
        <v>0</v>
      </c>
      <c r="UBB23" s="229">
        <v>0</v>
      </c>
      <c r="UBC23" s="229">
        <v>0</v>
      </c>
      <c r="UBD23" s="229">
        <v>0</v>
      </c>
      <c r="UBE23" s="229">
        <v>0</v>
      </c>
      <c r="UBF23" s="229">
        <v>0</v>
      </c>
      <c r="UBG23" s="229">
        <v>0</v>
      </c>
      <c r="UBH23" s="229">
        <v>0</v>
      </c>
      <c r="UBI23" s="229">
        <v>0</v>
      </c>
      <c r="UBJ23" s="229">
        <v>0</v>
      </c>
      <c r="UBK23" s="229">
        <v>0</v>
      </c>
      <c r="UBL23" s="229">
        <v>0</v>
      </c>
      <c r="UBM23" s="229">
        <v>0</v>
      </c>
      <c r="UBN23" s="229">
        <v>0</v>
      </c>
      <c r="UBO23" s="229">
        <v>0</v>
      </c>
      <c r="UBP23" s="229">
        <v>0</v>
      </c>
      <c r="UBQ23" s="229">
        <v>0</v>
      </c>
      <c r="UBR23" s="229">
        <v>0</v>
      </c>
      <c r="UBS23" s="229">
        <v>0</v>
      </c>
      <c r="UBT23" s="229">
        <v>0</v>
      </c>
      <c r="UBU23" s="229">
        <v>0</v>
      </c>
      <c r="UBV23" s="229">
        <v>0</v>
      </c>
      <c r="UBW23" s="229">
        <v>0</v>
      </c>
      <c r="UBX23" s="229">
        <v>0</v>
      </c>
      <c r="UBY23" s="229">
        <v>0</v>
      </c>
      <c r="UBZ23" s="229">
        <v>0</v>
      </c>
      <c r="UCA23" s="229">
        <v>0</v>
      </c>
      <c r="UCB23" s="229">
        <v>0</v>
      </c>
      <c r="UCC23" s="229">
        <v>0</v>
      </c>
      <c r="UCD23" s="229">
        <v>0</v>
      </c>
      <c r="UCE23" s="229">
        <v>0</v>
      </c>
      <c r="UCF23" s="229">
        <v>0</v>
      </c>
      <c r="UCG23" s="229">
        <v>0</v>
      </c>
      <c r="UCH23" s="229">
        <v>0</v>
      </c>
      <c r="UCI23" s="229">
        <v>0</v>
      </c>
      <c r="UCJ23" s="229">
        <v>0</v>
      </c>
      <c r="UCK23" s="229">
        <v>0</v>
      </c>
      <c r="UCL23" s="229">
        <v>0</v>
      </c>
      <c r="UCM23" s="229">
        <v>0</v>
      </c>
      <c r="UCN23" s="229">
        <v>0</v>
      </c>
      <c r="UCO23" s="229">
        <v>0</v>
      </c>
      <c r="UCP23" s="229">
        <v>0</v>
      </c>
      <c r="UCQ23" s="229">
        <v>0</v>
      </c>
      <c r="UCR23" s="229">
        <v>0</v>
      </c>
      <c r="UCS23" s="229">
        <v>0</v>
      </c>
      <c r="UCT23" s="229">
        <v>0</v>
      </c>
      <c r="UCU23" s="229">
        <v>0</v>
      </c>
      <c r="UCV23" s="229">
        <v>0</v>
      </c>
      <c r="UCW23" s="229">
        <v>0</v>
      </c>
      <c r="UCX23" s="229">
        <v>0</v>
      </c>
      <c r="UCY23" s="229">
        <v>0</v>
      </c>
      <c r="UCZ23" s="229">
        <v>0</v>
      </c>
      <c r="UDA23" s="229">
        <v>0</v>
      </c>
      <c r="UDB23" s="229">
        <v>0</v>
      </c>
      <c r="UDC23" s="229">
        <v>0</v>
      </c>
      <c r="UDD23" s="229">
        <v>0</v>
      </c>
      <c r="UDE23" s="229">
        <v>0</v>
      </c>
      <c r="UDF23" s="229">
        <v>0</v>
      </c>
      <c r="UDG23" s="229">
        <v>0</v>
      </c>
      <c r="UDH23" s="229">
        <v>0</v>
      </c>
      <c r="UDI23" s="229">
        <v>0</v>
      </c>
      <c r="UDJ23" s="229">
        <v>0</v>
      </c>
      <c r="UDK23" s="229">
        <v>0</v>
      </c>
      <c r="UDL23" s="229">
        <v>0</v>
      </c>
      <c r="UDM23" s="229">
        <v>0</v>
      </c>
      <c r="UDN23" s="229">
        <v>0</v>
      </c>
      <c r="UDO23" s="229">
        <v>0</v>
      </c>
      <c r="UDP23" s="229">
        <v>0</v>
      </c>
      <c r="UDQ23" s="229">
        <v>0</v>
      </c>
      <c r="UDR23" s="229">
        <v>0</v>
      </c>
      <c r="UDS23" s="229">
        <v>0</v>
      </c>
      <c r="UDT23" s="229">
        <v>0</v>
      </c>
      <c r="UDU23" s="229">
        <v>0</v>
      </c>
      <c r="UDV23" s="229">
        <v>0</v>
      </c>
      <c r="UDW23" s="229">
        <v>0</v>
      </c>
      <c r="UDX23" s="229">
        <v>0</v>
      </c>
      <c r="UDY23" s="229">
        <v>0</v>
      </c>
      <c r="UDZ23" s="229">
        <v>0</v>
      </c>
      <c r="UEA23" s="229">
        <v>0</v>
      </c>
      <c r="UEB23" s="229">
        <v>0</v>
      </c>
      <c r="UEC23" s="229">
        <v>0</v>
      </c>
      <c r="UED23" s="229">
        <v>0</v>
      </c>
      <c r="UEE23" s="229">
        <v>0</v>
      </c>
      <c r="UEF23" s="229">
        <v>0</v>
      </c>
      <c r="UEG23" s="229">
        <v>0</v>
      </c>
      <c r="UEH23" s="229">
        <v>0</v>
      </c>
      <c r="UEI23" s="229">
        <v>0</v>
      </c>
      <c r="UEJ23" s="229">
        <v>0</v>
      </c>
      <c r="UEK23" s="229">
        <v>0</v>
      </c>
      <c r="UEL23" s="229">
        <v>0</v>
      </c>
      <c r="UEM23" s="229">
        <v>0</v>
      </c>
      <c r="UEN23" s="229">
        <v>0</v>
      </c>
      <c r="UEO23" s="229">
        <v>0</v>
      </c>
      <c r="UEP23" s="229">
        <v>0</v>
      </c>
      <c r="UEQ23" s="229">
        <v>0</v>
      </c>
      <c r="UER23" s="229">
        <v>0</v>
      </c>
      <c r="UES23" s="229">
        <v>0</v>
      </c>
      <c r="UET23" s="229">
        <v>0</v>
      </c>
      <c r="UEU23" s="229">
        <v>0</v>
      </c>
      <c r="UEV23" s="229">
        <v>0</v>
      </c>
      <c r="UEW23" s="229">
        <v>0</v>
      </c>
      <c r="UEX23" s="229">
        <v>0</v>
      </c>
      <c r="UEY23" s="229">
        <v>0</v>
      </c>
      <c r="UEZ23" s="229">
        <v>0</v>
      </c>
      <c r="UFA23" s="229">
        <v>0</v>
      </c>
      <c r="UFB23" s="229">
        <v>0</v>
      </c>
      <c r="UFC23" s="229">
        <v>0</v>
      </c>
      <c r="UFD23" s="229">
        <v>0</v>
      </c>
      <c r="UFE23" s="229">
        <v>0</v>
      </c>
      <c r="UFF23" s="229">
        <v>0</v>
      </c>
      <c r="UFG23" s="229">
        <v>0</v>
      </c>
      <c r="UFH23" s="229">
        <v>0</v>
      </c>
      <c r="UFI23" s="229">
        <v>0</v>
      </c>
      <c r="UFJ23" s="229">
        <v>0</v>
      </c>
      <c r="UFK23" s="229">
        <v>0</v>
      </c>
      <c r="UFL23" s="229">
        <v>0</v>
      </c>
      <c r="UFM23" s="229">
        <v>0</v>
      </c>
      <c r="UFN23" s="229">
        <v>0</v>
      </c>
      <c r="UFO23" s="229">
        <v>0</v>
      </c>
      <c r="UFP23" s="229">
        <v>0</v>
      </c>
      <c r="UFQ23" s="229">
        <v>0</v>
      </c>
      <c r="UFR23" s="229">
        <v>0</v>
      </c>
      <c r="UFS23" s="229">
        <v>0</v>
      </c>
      <c r="UFT23" s="229">
        <v>0</v>
      </c>
      <c r="UFU23" s="229">
        <v>0</v>
      </c>
      <c r="UFV23" s="229">
        <v>0</v>
      </c>
      <c r="UFW23" s="229">
        <v>0</v>
      </c>
      <c r="UFX23" s="229">
        <v>0</v>
      </c>
      <c r="UFY23" s="229">
        <v>0</v>
      </c>
      <c r="UFZ23" s="229">
        <v>0</v>
      </c>
      <c r="UGA23" s="229">
        <v>0</v>
      </c>
      <c r="UGB23" s="229">
        <v>0</v>
      </c>
      <c r="UGC23" s="229">
        <v>0</v>
      </c>
      <c r="UGD23" s="229">
        <v>0</v>
      </c>
      <c r="UGE23" s="229">
        <v>0</v>
      </c>
      <c r="UGF23" s="229">
        <v>0</v>
      </c>
      <c r="UGG23" s="229">
        <v>0</v>
      </c>
      <c r="UGH23" s="229">
        <v>0</v>
      </c>
      <c r="UGI23" s="229">
        <v>0</v>
      </c>
      <c r="UGJ23" s="229">
        <v>0</v>
      </c>
      <c r="UGK23" s="229">
        <v>0</v>
      </c>
      <c r="UGL23" s="229">
        <v>0</v>
      </c>
      <c r="UGM23" s="229">
        <v>0</v>
      </c>
      <c r="UGN23" s="229">
        <v>0</v>
      </c>
      <c r="UGO23" s="229">
        <v>0</v>
      </c>
      <c r="UGP23" s="229">
        <v>0</v>
      </c>
      <c r="UGQ23" s="229">
        <v>0</v>
      </c>
      <c r="UGR23" s="229">
        <v>0</v>
      </c>
      <c r="UGS23" s="229">
        <v>0</v>
      </c>
      <c r="UGT23" s="229">
        <v>0</v>
      </c>
      <c r="UGU23" s="229">
        <v>0</v>
      </c>
      <c r="UGV23" s="229">
        <v>0</v>
      </c>
      <c r="UGW23" s="229">
        <v>0</v>
      </c>
      <c r="UGX23" s="229">
        <v>0</v>
      </c>
      <c r="UGY23" s="229">
        <v>0</v>
      </c>
      <c r="UGZ23" s="229">
        <v>0</v>
      </c>
      <c r="UHA23" s="229">
        <v>0</v>
      </c>
      <c r="UHB23" s="229">
        <v>0</v>
      </c>
      <c r="UHC23" s="229">
        <v>0</v>
      </c>
      <c r="UHD23" s="229">
        <v>0</v>
      </c>
      <c r="UHE23" s="229">
        <v>0</v>
      </c>
      <c r="UHF23" s="229">
        <v>0</v>
      </c>
      <c r="UHG23" s="229">
        <v>0</v>
      </c>
      <c r="UHH23" s="229">
        <v>0</v>
      </c>
      <c r="UHI23" s="229">
        <v>0</v>
      </c>
      <c r="UHJ23" s="229">
        <v>0</v>
      </c>
      <c r="UHK23" s="229">
        <v>0</v>
      </c>
      <c r="UHL23" s="229">
        <v>0</v>
      </c>
      <c r="UHM23" s="229">
        <v>0</v>
      </c>
      <c r="UHN23" s="229">
        <v>0</v>
      </c>
      <c r="UHO23" s="229">
        <v>0</v>
      </c>
      <c r="UHP23" s="229">
        <v>0</v>
      </c>
      <c r="UHQ23" s="229">
        <v>0</v>
      </c>
      <c r="UHR23" s="229">
        <v>0</v>
      </c>
      <c r="UHS23" s="229">
        <v>0</v>
      </c>
      <c r="UHT23" s="229">
        <v>0</v>
      </c>
      <c r="UHU23" s="229">
        <v>0</v>
      </c>
      <c r="UHV23" s="229">
        <v>0</v>
      </c>
      <c r="UHW23" s="229">
        <v>0</v>
      </c>
      <c r="UHX23" s="229">
        <v>0</v>
      </c>
      <c r="UHY23" s="229">
        <v>0</v>
      </c>
      <c r="UHZ23" s="229">
        <v>0</v>
      </c>
      <c r="UIA23" s="229">
        <v>0</v>
      </c>
      <c r="UIB23" s="229">
        <v>0</v>
      </c>
      <c r="UIC23" s="229">
        <v>0</v>
      </c>
      <c r="UID23" s="229">
        <v>0</v>
      </c>
      <c r="UIE23" s="229">
        <v>0</v>
      </c>
      <c r="UIF23" s="229">
        <v>0</v>
      </c>
      <c r="UIG23" s="229">
        <v>0</v>
      </c>
      <c r="UIH23" s="229">
        <v>0</v>
      </c>
      <c r="UII23" s="229">
        <v>0</v>
      </c>
      <c r="UIJ23" s="229">
        <v>0</v>
      </c>
      <c r="UIK23" s="229">
        <v>0</v>
      </c>
      <c r="UIL23" s="229">
        <v>0</v>
      </c>
      <c r="UIM23" s="229">
        <v>0</v>
      </c>
      <c r="UIN23" s="229">
        <v>0</v>
      </c>
      <c r="UIO23" s="229">
        <v>0</v>
      </c>
      <c r="UIP23" s="229">
        <v>0</v>
      </c>
      <c r="UIQ23" s="229">
        <v>0</v>
      </c>
      <c r="UIR23" s="229">
        <v>0</v>
      </c>
      <c r="UIS23" s="229">
        <v>0</v>
      </c>
      <c r="UIT23" s="229">
        <v>0</v>
      </c>
      <c r="UIU23" s="229">
        <v>0</v>
      </c>
      <c r="UIV23" s="229">
        <v>0</v>
      </c>
      <c r="UIW23" s="229">
        <v>0</v>
      </c>
      <c r="UIX23" s="229">
        <v>0</v>
      </c>
      <c r="UIY23" s="229">
        <v>0</v>
      </c>
      <c r="UIZ23" s="229">
        <v>0</v>
      </c>
      <c r="UJA23" s="229">
        <v>0</v>
      </c>
      <c r="UJB23" s="229">
        <v>0</v>
      </c>
      <c r="UJC23" s="229">
        <v>0</v>
      </c>
      <c r="UJD23" s="229">
        <v>0</v>
      </c>
      <c r="UJE23" s="229">
        <v>0</v>
      </c>
      <c r="UJF23" s="229">
        <v>0</v>
      </c>
      <c r="UJG23" s="229">
        <v>0</v>
      </c>
      <c r="UJH23" s="229">
        <v>0</v>
      </c>
      <c r="UJI23" s="229">
        <v>0</v>
      </c>
      <c r="UJJ23" s="229">
        <v>0</v>
      </c>
      <c r="UJK23" s="229">
        <v>0</v>
      </c>
      <c r="UJL23" s="229">
        <v>0</v>
      </c>
      <c r="UJM23" s="229">
        <v>0</v>
      </c>
      <c r="UJN23" s="229">
        <v>0</v>
      </c>
      <c r="UJO23" s="229">
        <v>0</v>
      </c>
      <c r="UJP23" s="229">
        <v>0</v>
      </c>
      <c r="UJQ23" s="229">
        <v>0</v>
      </c>
      <c r="UJR23" s="229">
        <v>0</v>
      </c>
      <c r="UJS23" s="229">
        <v>0</v>
      </c>
      <c r="UJT23" s="229">
        <v>0</v>
      </c>
      <c r="UJU23" s="229">
        <v>0</v>
      </c>
      <c r="UJV23" s="229">
        <v>0</v>
      </c>
      <c r="UJW23" s="229">
        <v>0</v>
      </c>
      <c r="UJX23" s="229">
        <v>0</v>
      </c>
      <c r="UJY23" s="229">
        <v>0</v>
      </c>
      <c r="UJZ23" s="229">
        <v>0</v>
      </c>
      <c r="UKA23" s="229">
        <v>0</v>
      </c>
      <c r="UKB23" s="229">
        <v>0</v>
      </c>
      <c r="UKC23" s="229">
        <v>0</v>
      </c>
      <c r="UKD23" s="229">
        <v>0</v>
      </c>
      <c r="UKE23" s="229">
        <v>0</v>
      </c>
      <c r="UKF23" s="229">
        <v>0</v>
      </c>
      <c r="UKG23" s="229">
        <v>0</v>
      </c>
      <c r="UKH23" s="229">
        <v>0</v>
      </c>
      <c r="UKI23" s="229">
        <v>0</v>
      </c>
      <c r="UKJ23" s="229">
        <v>0</v>
      </c>
      <c r="UKK23" s="229">
        <v>0</v>
      </c>
      <c r="UKL23" s="229">
        <v>0</v>
      </c>
      <c r="UKM23" s="229">
        <v>0</v>
      </c>
      <c r="UKN23" s="229">
        <v>0</v>
      </c>
      <c r="UKO23" s="229">
        <v>0</v>
      </c>
      <c r="UKP23" s="229">
        <v>0</v>
      </c>
      <c r="UKQ23" s="229">
        <v>0</v>
      </c>
      <c r="UKR23" s="229">
        <v>0</v>
      </c>
      <c r="UKS23" s="229">
        <v>0</v>
      </c>
      <c r="UKT23" s="229">
        <v>0</v>
      </c>
      <c r="UKU23" s="229">
        <v>0</v>
      </c>
      <c r="UKV23" s="229">
        <v>0</v>
      </c>
      <c r="UKW23" s="229">
        <v>0</v>
      </c>
      <c r="UKX23" s="229">
        <v>0</v>
      </c>
      <c r="UKY23" s="229">
        <v>0</v>
      </c>
      <c r="UKZ23" s="229">
        <v>0</v>
      </c>
      <c r="ULA23" s="229">
        <v>0</v>
      </c>
      <c r="ULB23" s="229">
        <v>0</v>
      </c>
      <c r="ULC23" s="229">
        <v>0</v>
      </c>
      <c r="ULD23" s="229">
        <v>0</v>
      </c>
      <c r="ULE23" s="229">
        <v>0</v>
      </c>
      <c r="ULF23" s="229">
        <v>0</v>
      </c>
      <c r="ULG23" s="229">
        <v>0</v>
      </c>
      <c r="ULH23" s="229">
        <v>0</v>
      </c>
      <c r="ULI23" s="229">
        <v>0</v>
      </c>
      <c r="ULJ23" s="229">
        <v>0</v>
      </c>
      <c r="ULK23" s="229">
        <v>0</v>
      </c>
      <c r="ULL23" s="229">
        <v>0</v>
      </c>
      <c r="ULM23" s="229">
        <v>0</v>
      </c>
      <c r="ULN23" s="229">
        <v>0</v>
      </c>
      <c r="ULO23" s="229">
        <v>0</v>
      </c>
      <c r="ULP23" s="229">
        <v>0</v>
      </c>
      <c r="ULQ23" s="229">
        <v>0</v>
      </c>
      <c r="ULR23" s="229">
        <v>0</v>
      </c>
      <c r="ULS23" s="229">
        <v>0</v>
      </c>
      <c r="ULT23" s="229">
        <v>0</v>
      </c>
      <c r="ULU23" s="229">
        <v>0</v>
      </c>
      <c r="ULV23" s="229">
        <v>0</v>
      </c>
      <c r="ULW23" s="229">
        <v>0</v>
      </c>
      <c r="ULX23" s="229">
        <v>0</v>
      </c>
      <c r="ULY23" s="229">
        <v>0</v>
      </c>
      <c r="ULZ23" s="229">
        <v>0</v>
      </c>
      <c r="UMA23" s="229">
        <v>0</v>
      </c>
      <c r="UMB23" s="229">
        <v>0</v>
      </c>
      <c r="UMC23" s="229">
        <v>0</v>
      </c>
      <c r="UMD23" s="229">
        <v>0</v>
      </c>
      <c r="UME23" s="229">
        <v>0</v>
      </c>
      <c r="UMF23" s="229">
        <v>0</v>
      </c>
      <c r="UMG23" s="229">
        <v>0</v>
      </c>
      <c r="UMH23" s="229">
        <v>0</v>
      </c>
      <c r="UMI23" s="229">
        <v>0</v>
      </c>
      <c r="UMJ23" s="229">
        <v>0</v>
      </c>
      <c r="UMK23" s="229">
        <v>0</v>
      </c>
      <c r="UML23" s="229">
        <v>0</v>
      </c>
      <c r="UMM23" s="229">
        <v>0</v>
      </c>
      <c r="UMN23" s="229">
        <v>0</v>
      </c>
      <c r="UMO23" s="229">
        <v>0</v>
      </c>
      <c r="UMP23" s="229">
        <v>0</v>
      </c>
      <c r="UMQ23" s="229">
        <v>0</v>
      </c>
      <c r="UMR23" s="229">
        <v>0</v>
      </c>
      <c r="UMS23" s="229">
        <v>0</v>
      </c>
      <c r="UMT23" s="229">
        <v>0</v>
      </c>
      <c r="UMU23" s="229">
        <v>0</v>
      </c>
      <c r="UMV23" s="229">
        <v>0</v>
      </c>
      <c r="UMW23" s="229">
        <v>0</v>
      </c>
      <c r="UMX23" s="229">
        <v>0</v>
      </c>
      <c r="UMY23" s="229">
        <v>0</v>
      </c>
      <c r="UMZ23" s="229">
        <v>0</v>
      </c>
      <c r="UNA23" s="229">
        <v>0</v>
      </c>
      <c r="UNB23" s="229">
        <v>0</v>
      </c>
      <c r="UNC23" s="229">
        <v>0</v>
      </c>
      <c r="UND23" s="229">
        <v>0</v>
      </c>
      <c r="UNE23" s="229">
        <v>0</v>
      </c>
      <c r="UNF23" s="229">
        <v>0</v>
      </c>
      <c r="UNG23" s="229">
        <v>0</v>
      </c>
      <c r="UNH23" s="229">
        <v>0</v>
      </c>
      <c r="UNI23" s="229">
        <v>0</v>
      </c>
      <c r="UNJ23" s="229">
        <v>0</v>
      </c>
      <c r="UNK23" s="229">
        <v>0</v>
      </c>
      <c r="UNL23" s="229">
        <v>0</v>
      </c>
      <c r="UNM23" s="229">
        <v>0</v>
      </c>
      <c r="UNN23" s="229">
        <v>0</v>
      </c>
      <c r="UNO23" s="229">
        <v>0</v>
      </c>
      <c r="UNP23" s="229">
        <v>0</v>
      </c>
      <c r="UNQ23" s="229">
        <v>0</v>
      </c>
      <c r="UNR23" s="229">
        <v>0</v>
      </c>
      <c r="UNS23" s="229">
        <v>0</v>
      </c>
      <c r="UNT23" s="229">
        <v>0</v>
      </c>
      <c r="UNU23" s="229">
        <v>0</v>
      </c>
      <c r="UNV23" s="229">
        <v>0</v>
      </c>
      <c r="UNW23" s="229">
        <v>0</v>
      </c>
      <c r="UNX23" s="229">
        <v>0</v>
      </c>
      <c r="UNY23" s="229">
        <v>0</v>
      </c>
      <c r="UNZ23" s="229">
        <v>0</v>
      </c>
      <c r="UOA23" s="229">
        <v>0</v>
      </c>
      <c r="UOB23" s="229">
        <v>0</v>
      </c>
      <c r="UOC23" s="229">
        <v>0</v>
      </c>
      <c r="UOD23" s="229">
        <v>0</v>
      </c>
      <c r="UOE23" s="229">
        <v>0</v>
      </c>
      <c r="UOF23" s="229">
        <v>0</v>
      </c>
      <c r="UOG23" s="229">
        <v>0</v>
      </c>
      <c r="UOH23" s="229">
        <v>0</v>
      </c>
      <c r="UOI23" s="229">
        <v>0</v>
      </c>
      <c r="UOJ23" s="229">
        <v>0</v>
      </c>
      <c r="UOK23" s="229">
        <v>0</v>
      </c>
      <c r="UOL23" s="229">
        <v>0</v>
      </c>
      <c r="UOM23" s="229">
        <v>0</v>
      </c>
      <c r="UON23" s="229">
        <v>0</v>
      </c>
      <c r="UOO23" s="229">
        <v>0</v>
      </c>
      <c r="UOP23" s="229">
        <v>0</v>
      </c>
      <c r="UOQ23" s="229">
        <v>0</v>
      </c>
      <c r="UOR23" s="229">
        <v>0</v>
      </c>
      <c r="UOS23" s="229">
        <v>0</v>
      </c>
      <c r="UOT23" s="229">
        <v>0</v>
      </c>
      <c r="UOU23" s="229">
        <v>0</v>
      </c>
      <c r="UOV23" s="229">
        <v>0</v>
      </c>
      <c r="UOW23" s="229">
        <v>0</v>
      </c>
      <c r="UOX23" s="229">
        <v>0</v>
      </c>
      <c r="UOY23" s="229">
        <v>0</v>
      </c>
      <c r="UOZ23" s="229">
        <v>0</v>
      </c>
      <c r="UPA23" s="229">
        <v>0</v>
      </c>
      <c r="UPB23" s="229">
        <v>0</v>
      </c>
      <c r="UPC23" s="229">
        <v>0</v>
      </c>
      <c r="UPD23" s="229">
        <v>0</v>
      </c>
      <c r="UPE23" s="229">
        <v>0</v>
      </c>
      <c r="UPF23" s="229">
        <v>0</v>
      </c>
      <c r="UPG23" s="229">
        <v>0</v>
      </c>
      <c r="UPH23" s="229">
        <v>0</v>
      </c>
      <c r="UPI23" s="229">
        <v>0</v>
      </c>
      <c r="UPJ23" s="229">
        <v>0</v>
      </c>
      <c r="UPK23" s="229">
        <v>0</v>
      </c>
      <c r="UPL23" s="229">
        <v>0</v>
      </c>
      <c r="UPM23" s="229">
        <v>0</v>
      </c>
      <c r="UPN23" s="229">
        <v>0</v>
      </c>
      <c r="UPO23" s="229">
        <v>0</v>
      </c>
      <c r="UPP23" s="229">
        <v>0</v>
      </c>
      <c r="UPQ23" s="229">
        <v>0</v>
      </c>
      <c r="UPR23" s="229">
        <v>0</v>
      </c>
      <c r="UPS23" s="229">
        <v>0</v>
      </c>
      <c r="UPT23" s="229">
        <v>0</v>
      </c>
      <c r="UPU23" s="229">
        <v>0</v>
      </c>
      <c r="UPV23" s="229">
        <v>0</v>
      </c>
      <c r="UPW23" s="229">
        <v>0</v>
      </c>
      <c r="UPX23" s="229">
        <v>0</v>
      </c>
      <c r="UPY23" s="229">
        <v>0</v>
      </c>
      <c r="UPZ23" s="229">
        <v>0</v>
      </c>
      <c r="UQA23" s="229">
        <v>0</v>
      </c>
      <c r="UQB23" s="229">
        <v>0</v>
      </c>
      <c r="UQC23" s="229">
        <v>0</v>
      </c>
      <c r="UQD23" s="229">
        <v>0</v>
      </c>
      <c r="UQE23" s="229">
        <v>0</v>
      </c>
      <c r="UQF23" s="229">
        <v>0</v>
      </c>
      <c r="UQG23" s="229">
        <v>0</v>
      </c>
      <c r="UQH23" s="229">
        <v>0</v>
      </c>
      <c r="UQI23" s="229">
        <v>0</v>
      </c>
      <c r="UQJ23" s="229">
        <v>0</v>
      </c>
      <c r="UQK23" s="229">
        <v>0</v>
      </c>
      <c r="UQL23" s="229">
        <v>0</v>
      </c>
      <c r="UQM23" s="229">
        <v>0</v>
      </c>
      <c r="UQN23" s="229">
        <v>0</v>
      </c>
      <c r="UQO23" s="229">
        <v>0</v>
      </c>
      <c r="UQP23" s="229">
        <v>0</v>
      </c>
      <c r="UQQ23" s="229">
        <v>0</v>
      </c>
      <c r="UQR23" s="229">
        <v>0</v>
      </c>
      <c r="UQS23" s="229">
        <v>0</v>
      </c>
      <c r="UQT23" s="229">
        <v>0</v>
      </c>
      <c r="UQU23" s="229">
        <v>0</v>
      </c>
      <c r="UQV23" s="229">
        <v>0</v>
      </c>
      <c r="UQW23" s="229">
        <v>0</v>
      </c>
      <c r="UQX23" s="229">
        <v>0</v>
      </c>
      <c r="UQY23" s="229">
        <v>0</v>
      </c>
      <c r="UQZ23" s="229">
        <v>0</v>
      </c>
      <c r="URA23" s="229">
        <v>0</v>
      </c>
      <c r="URB23" s="229">
        <v>0</v>
      </c>
      <c r="URC23" s="229">
        <v>0</v>
      </c>
      <c r="URD23" s="229">
        <v>0</v>
      </c>
      <c r="URE23" s="229">
        <v>0</v>
      </c>
      <c r="URF23" s="229">
        <v>0</v>
      </c>
      <c r="URG23" s="229">
        <v>0</v>
      </c>
      <c r="URH23" s="229">
        <v>0</v>
      </c>
      <c r="URI23" s="229">
        <v>0</v>
      </c>
      <c r="URJ23" s="229">
        <v>0</v>
      </c>
      <c r="URK23" s="229">
        <v>0</v>
      </c>
      <c r="URL23" s="229">
        <v>0</v>
      </c>
      <c r="URM23" s="229">
        <v>0</v>
      </c>
      <c r="URN23" s="229">
        <v>0</v>
      </c>
      <c r="URO23" s="229">
        <v>0</v>
      </c>
      <c r="URP23" s="229">
        <v>0</v>
      </c>
      <c r="URQ23" s="229">
        <v>0</v>
      </c>
      <c r="URR23" s="229">
        <v>0</v>
      </c>
      <c r="URS23" s="229">
        <v>0</v>
      </c>
      <c r="URT23" s="229">
        <v>0</v>
      </c>
      <c r="URU23" s="229">
        <v>0</v>
      </c>
      <c r="URV23" s="229">
        <v>0</v>
      </c>
      <c r="URW23" s="229">
        <v>0</v>
      </c>
      <c r="URX23" s="229">
        <v>0</v>
      </c>
      <c r="URY23" s="229">
        <v>0</v>
      </c>
      <c r="URZ23" s="229">
        <v>0</v>
      </c>
      <c r="USA23" s="229">
        <v>0</v>
      </c>
      <c r="USB23" s="229">
        <v>0</v>
      </c>
      <c r="USC23" s="229">
        <v>0</v>
      </c>
      <c r="USD23" s="229">
        <v>0</v>
      </c>
      <c r="USE23" s="229">
        <v>0</v>
      </c>
      <c r="USF23" s="229">
        <v>0</v>
      </c>
      <c r="USG23" s="229">
        <v>0</v>
      </c>
      <c r="USH23" s="229">
        <v>0</v>
      </c>
      <c r="USI23" s="229">
        <v>0</v>
      </c>
      <c r="USJ23" s="229">
        <v>0</v>
      </c>
      <c r="USK23" s="229">
        <v>0</v>
      </c>
      <c r="USL23" s="229">
        <v>0</v>
      </c>
      <c r="USM23" s="229">
        <v>0</v>
      </c>
      <c r="USN23" s="229">
        <v>0</v>
      </c>
      <c r="USO23" s="229">
        <v>0</v>
      </c>
      <c r="USP23" s="229">
        <v>0</v>
      </c>
      <c r="USQ23" s="229">
        <v>0</v>
      </c>
      <c r="USR23" s="229">
        <v>0</v>
      </c>
      <c r="USS23" s="229">
        <v>0</v>
      </c>
      <c r="UST23" s="229">
        <v>0</v>
      </c>
      <c r="USU23" s="229">
        <v>0</v>
      </c>
      <c r="USV23" s="229">
        <v>0</v>
      </c>
      <c r="USW23" s="229">
        <v>0</v>
      </c>
      <c r="USX23" s="229">
        <v>0</v>
      </c>
      <c r="USY23" s="229">
        <v>0</v>
      </c>
      <c r="USZ23" s="229">
        <v>0</v>
      </c>
      <c r="UTA23" s="229">
        <v>0</v>
      </c>
      <c r="UTB23" s="229">
        <v>0</v>
      </c>
      <c r="UTC23" s="229">
        <v>0</v>
      </c>
      <c r="UTD23" s="229">
        <v>0</v>
      </c>
      <c r="UTE23" s="229">
        <v>0</v>
      </c>
      <c r="UTF23" s="229">
        <v>0</v>
      </c>
      <c r="UTG23" s="229">
        <v>0</v>
      </c>
      <c r="UTH23" s="229">
        <v>0</v>
      </c>
      <c r="UTI23" s="229">
        <v>0</v>
      </c>
      <c r="UTJ23" s="229">
        <v>0</v>
      </c>
      <c r="UTK23" s="229">
        <v>0</v>
      </c>
      <c r="UTL23" s="229">
        <v>0</v>
      </c>
      <c r="UTM23" s="229">
        <v>0</v>
      </c>
      <c r="UTN23" s="229">
        <v>0</v>
      </c>
      <c r="UTO23" s="229">
        <v>0</v>
      </c>
      <c r="UTP23" s="229">
        <v>0</v>
      </c>
      <c r="UTQ23" s="229">
        <v>0</v>
      </c>
      <c r="UTR23" s="229">
        <v>0</v>
      </c>
      <c r="UTS23" s="229">
        <v>0</v>
      </c>
      <c r="UTT23" s="229">
        <v>0</v>
      </c>
      <c r="UTU23" s="229">
        <v>0</v>
      </c>
      <c r="UTV23" s="229">
        <v>0</v>
      </c>
      <c r="UTW23" s="229">
        <v>0</v>
      </c>
      <c r="UTX23" s="229">
        <v>0</v>
      </c>
      <c r="UTY23" s="229">
        <v>0</v>
      </c>
      <c r="UTZ23" s="229">
        <v>0</v>
      </c>
      <c r="UUA23" s="229">
        <v>0</v>
      </c>
      <c r="UUB23" s="229">
        <v>0</v>
      </c>
      <c r="UUC23" s="229">
        <v>0</v>
      </c>
      <c r="UUD23" s="229">
        <v>0</v>
      </c>
      <c r="UUE23" s="229">
        <v>0</v>
      </c>
      <c r="UUF23" s="229">
        <v>0</v>
      </c>
      <c r="UUG23" s="229">
        <v>0</v>
      </c>
      <c r="UUH23" s="229">
        <v>0</v>
      </c>
      <c r="UUI23" s="229">
        <v>0</v>
      </c>
      <c r="UUJ23" s="229">
        <v>0</v>
      </c>
      <c r="UUK23" s="229">
        <v>0</v>
      </c>
      <c r="UUL23" s="229">
        <v>0</v>
      </c>
      <c r="UUM23" s="229">
        <v>0</v>
      </c>
      <c r="UUN23" s="229">
        <v>0</v>
      </c>
      <c r="UUO23" s="229">
        <v>0</v>
      </c>
      <c r="UUP23" s="229">
        <v>0</v>
      </c>
      <c r="UUQ23" s="229">
        <v>0</v>
      </c>
      <c r="UUR23" s="229">
        <v>0</v>
      </c>
      <c r="UUS23" s="229">
        <v>0</v>
      </c>
      <c r="UUT23" s="229">
        <v>0</v>
      </c>
      <c r="UUU23" s="229">
        <v>0</v>
      </c>
      <c r="UUV23" s="229">
        <v>0</v>
      </c>
      <c r="UUW23" s="229">
        <v>0</v>
      </c>
      <c r="UUX23" s="229">
        <v>0</v>
      </c>
      <c r="UUY23" s="229">
        <v>0</v>
      </c>
      <c r="UUZ23" s="229">
        <v>0</v>
      </c>
      <c r="UVA23" s="229">
        <v>0</v>
      </c>
      <c r="UVB23" s="229">
        <v>0</v>
      </c>
      <c r="UVC23" s="229">
        <v>0</v>
      </c>
      <c r="UVD23" s="229">
        <v>0</v>
      </c>
      <c r="UVE23" s="229">
        <v>0</v>
      </c>
      <c r="UVF23" s="229">
        <v>0</v>
      </c>
      <c r="UVG23" s="229">
        <v>0</v>
      </c>
      <c r="UVH23" s="229">
        <v>0</v>
      </c>
      <c r="UVI23" s="229">
        <v>0</v>
      </c>
      <c r="UVJ23" s="229">
        <v>0</v>
      </c>
      <c r="UVK23" s="229">
        <v>0</v>
      </c>
      <c r="UVL23" s="229">
        <v>0</v>
      </c>
      <c r="UVM23" s="229">
        <v>0</v>
      </c>
      <c r="UVN23" s="229">
        <v>0</v>
      </c>
      <c r="UVO23" s="229">
        <v>0</v>
      </c>
      <c r="UVP23" s="229">
        <v>0</v>
      </c>
      <c r="UVQ23" s="229">
        <v>0</v>
      </c>
      <c r="UVR23" s="229">
        <v>0</v>
      </c>
      <c r="UVS23" s="229">
        <v>0</v>
      </c>
      <c r="UVT23" s="229">
        <v>0</v>
      </c>
      <c r="UVU23" s="229">
        <v>0</v>
      </c>
      <c r="UVV23" s="229">
        <v>0</v>
      </c>
      <c r="UVW23" s="229">
        <v>0</v>
      </c>
      <c r="UVX23" s="229">
        <v>0</v>
      </c>
      <c r="UVY23" s="229">
        <v>0</v>
      </c>
      <c r="UVZ23" s="229">
        <v>0</v>
      </c>
      <c r="UWA23" s="229">
        <v>0</v>
      </c>
      <c r="UWB23" s="229">
        <v>0</v>
      </c>
      <c r="UWC23" s="229">
        <v>0</v>
      </c>
      <c r="UWD23" s="229">
        <v>0</v>
      </c>
      <c r="UWE23" s="229">
        <v>0</v>
      </c>
      <c r="UWF23" s="229">
        <v>0</v>
      </c>
      <c r="UWG23" s="229">
        <v>0</v>
      </c>
      <c r="UWH23" s="229">
        <v>0</v>
      </c>
      <c r="UWI23" s="229">
        <v>0</v>
      </c>
      <c r="UWJ23" s="229">
        <v>0</v>
      </c>
      <c r="UWK23" s="229">
        <v>0</v>
      </c>
      <c r="UWL23" s="229">
        <v>0</v>
      </c>
      <c r="UWM23" s="229">
        <v>0</v>
      </c>
      <c r="UWN23" s="229">
        <v>0</v>
      </c>
      <c r="UWO23" s="229">
        <v>0</v>
      </c>
      <c r="UWP23" s="229">
        <v>0</v>
      </c>
      <c r="UWQ23" s="229">
        <v>0</v>
      </c>
      <c r="UWR23" s="229">
        <v>0</v>
      </c>
      <c r="UWS23" s="229">
        <v>0</v>
      </c>
      <c r="UWT23" s="229">
        <v>0</v>
      </c>
      <c r="UWU23" s="229">
        <v>0</v>
      </c>
      <c r="UWV23" s="229">
        <v>0</v>
      </c>
      <c r="UWW23" s="229">
        <v>0</v>
      </c>
      <c r="UWX23" s="229">
        <v>0</v>
      </c>
      <c r="UWY23" s="229">
        <v>0</v>
      </c>
      <c r="UWZ23" s="229">
        <v>0</v>
      </c>
      <c r="UXA23" s="229">
        <v>0</v>
      </c>
      <c r="UXB23" s="229">
        <v>0</v>
      </c>
      <c r="UXC23" s="229">
        <v>0</v>
      </c>
      <c r="UXD23" s="229">
        <v>0</v>
      </c>
      <c r="UXE23" s="229">
        <v>0</v>
      </c>
      <c r="UXF23" s="229">
        <v>0</v>
      </c>
      <c r="UXG23" s="229">
        <v>0</v>
      </c>
      <c r="UXH23" s="229">
        <v>0</v>
      </c>
      <c r="UXI23" s="229">
        <v>0</v>
      </c>
      <c r="UXJ23" s="229">
        <v>0</v>
      </c>
      <c r="UXK23" s="229">
        <v>0</v>
      </c>
      <c r="UXL23" s="229">
        <v>0</v>
      </c>
      <c r="UXM23" s="229">
        <v>0</v>
      </c>
      <c r="UXN23" s="229">
        <v>0</v>
      </c>
      <c r="UXO23" s="229">
        <v>0</v>
      </c>
      <c r="UXP23" s="229">
        <v>0</v>
      </c>
      <c r="UXQ23" s="229">
        <v>0</v>
      </c>
      <c r="UXR23" s="229">
        <v>0</v>
      </c>
      <c r="UXS23" s="229">
        <v>0</v>
      </c>
      <c r="UXT23" s="229">
        <v>0</v>
      </c>
      <c r="UXU23" s="229">
        <v>0</v>
      </c>
      <c r="UXV23" s="229">
        <v>0</v>
      </c>
      <c r="UXW23" s="229">
        <v>0</v>
      </c>
      <c r="UXX23" s="229">
        <v>0</v>
      </c>
      <c r="UXY23" s="229">
        <v>0</v>
      </c>
      <c r="UXZ23" s="229">
        <v>0</v>
      </c>
      <c r="UYA23" s="229">
        <v>0</v>
      </c>
      <c r="UYB23" s="229">
        <v>0</v>
      </c>
      <c r="UYC23" s="229">
        <v>0</v>
      </c>
      <c r="UYD23" s="229">
        <v>0</v>
      </c>
      <c r="UYE23" s="229">
        <v>0</v>
      </c>
      <c r="UYF23" s="229">
        <v>0</v>
      </c>
      <c r="UYG23" s="229">
        <v>0</v>
      </c>
      <c r="UYH23" s="229">
        <v>0</v>
      </c>
      <c r="UYI23" s="229">
        <v>0</v>
      </c>
      <c r="UYJ23" s="229">
        <v>0</v>
      </c>
      <c r="UYK23" s="229">
        <v>0</v>
      </c>
      <c r="UYL23" s="229">
        <v>0</v>
      </c>
      <c r="UYM23" s="229">
        <v>0</v>
      </c>
      <c r="UYN23" s="229">
        <v>0</v>
      </c>
      <c r="UYO23" s="229">
        <v>0</v>
      </c>
      <c r="UYP23" s="229">
        <v>0</v>
      </c>
      <c r="UYQ23" s="229">
        <v>0</v>
      </c>
      <c r="UYR23" s="229">
        <v>0</v>
      </c>
      <c r="UYS23" s="229">
        <v>0</v>
      </c>
      <c r="UYT23" s="229">
        <v>0</v>
      </c>
      <c r="UYU23" s="229">
        <v>0</v>
      </c>
      <c r="UYV23" s="229">
        <v>0</v>
      </c>
      <c r="UYW23" s="229">
        <v>0</v>
      </c>
      <c r="UYX23" s="229">
        <v>0</v>
      </c>
      <c r="UYY23" s="229">
        <v>0</v>
      </c>
      <c r="UYZ23" s="229">
        <v>0</v>
      </c>
      <c r="UZA23" s="229">
        <v>0</v>
      </c>
      <c r="UZB23" s="229">
        <v>0</v>
      </c>
      <c r="UZC23" s="229">
        <v>0</v>
      </c>
      <c r="UZD23" s="229">
        <v>0</v>
      </c>
      <c r="UZE23" s="229">
        <v>0</v>
      </c>
      <c r="UZF23" s="229">
        <v>0</v>
      </c>
      <c r="UZG23" s="229">
        <v>0</v>
      </c>
      <c r="UZH23" s="229">
        <v>0</v>
      </c>
      <c r="UZI23" s="229">
        <v>0</v>
      </c>
      <c r="UZJ23" s="229">
        <v>0</v>
      </c>
      <c r="UZK23" s="229">
        <v>0</v>
      </c>
      <c r="UZL23" s="229">
        <v>0</v>
      </c>
      <c r="UZM23" s="229">
        <v>0</v>
      </c>
      <c r="UZN23" s="229">
        <v>0</v>
      </c>
      <c r="UZO23" s="229">
        <v>0</v>
      </c>
      <c r="UZP23" s="229">
        <v>0</v>
      </c>
      <c r="UZQ23" s="229">
        <v>0</v>
      </c>
      <c r="UZR23" s="229">
        <v>0</v>
      </c>
      <c r="UZS23" s="229">
        <v>0</v>
      </c>
      <c r="UZT23" s="229">
        <v>0</v>
      </c>
      <c r="UZU23" s="229">
        <v>0</v>
      </c>
      <c r="UZV23" s="229">
        <v>0</v>
      </c>
      <c r="UZW23" s="229">
        <v>0</v>
      </c>
      <c r="UZX23" s="229">
        <v>0</v>
      </c>
      <c r="UZY23" s="229">
        <v>0</v>
      </c>
      <c r="UZZ23" s="229">
        <v>0</v>
      </c>
      <c r="VAA23" s="229">
        <v>0</v>
      </c>
      <c r="VAB23" s="229">
        <v>0</v>
      </c>
      <c r="VAC23" s="229">
        <v>0</v>
      </c>
      <c r="VAD23" s="229">
        <v>0</v>
      </c>
      <c r="VAE23" s="229">
        <v>0</v>
      </c>
      <c r="VAF23" s="229">
        <v>0</v>
      </c>
      <c r="VAG23" s="229">
        <v>0</v>
      </c>
      <c r="VAH23" s="229">
        <v>0</v>
      </c>
      <c r="VAI23" s="229">
        <v>0</v>
      </c>
      <c r="VAJ23" s="229">
        <v>0</v>
      </c>
      <c r="VAK23" s="229">
        <v>0</v>
      </c>
      <c r="VAL23" s="229">
        <v>0</v>
      </c>
      <c r="VAM23" s="229">
        <v>0</v>
      </c>
      <c r="VAN23" s="229">
        <v>0</v>
      </c>
      <c r="VAO23" s="229">
        <v>0</v>
      </c>
      <c r="VAP23" s="229">
        <v>0</v>
      </c>
      <c r="VAQ23" s="229">
        <v>0</v>
      </c>
      <c r="VAR23" s="229">
        <v>0</v>
      </c>
      <c r="VAS23" s="229">
        <v>0</v>
      </c>
      <c r="VAT23" s="229">
        <v>0</v>
      </c>
      <c r="VAU23" s="229">
        <v>0</v>
      </c>
      <c r="VAV23" s="229">
        <v>0</v>
      </c>
      <c r="VAW23" s="229">
        <v>0</v>
      </c>
      <c r="VAX23" s="229">
        <v>0</v>
      </c>
      <c r="VAY23" s="229">
        <v>0</v>
      </c>
      <c r="VAZ23" s="229">
        <v>0</v>
      </c>
      <c r="VBA23" s="229">
        <v>0</v>
      </c>
      <c r="VBB23" s="229">
        <v>0</v>
      </c>
      <c r="VBC23" s="229">
        <v>0</v>
      </c>
      <c r="VBD23" s="229">
        <v>0</v>
      </c>
      <c r="VBE23" s="229">
        <v>0</v>
      </c>
      <c r="VBF23" s="229">
        <v>0</v>
      </c>
      <c r="VBG23" s="229">
        <v>0</v>
      </c>
      <c r="VBH23" s="229">
        <v>0</v>
      </c>
      <c r="VBI23" s="229">
        <v>0</v>
      </c>
      <c r="VBJ23" s="229">
        <v>0</v>
      </c>
      <c r="VBK23" s="229">
        <v>0</v>
      </c>
      <c r="VBL23" s="229">
        <v>0</v>
      </c>
      <c r="VBM23" s="229">
        <v>0</v>
      </c>
      <c r="VBN23" s="229">
        <v>0</v>
      </c>
      <c r="VBO23" s="229">
        <v>0</v>
      </c>
      <c r="VBP23" s="229">
        <v>0</v>
      </c>
      <c r="VBQ23" s="229">
        <v>0</v>
      </c>
      <c r="VBR23" s="229">
        <v>0</v>
      </c>
      <c r="VBS23" s="229">
        <v>0</v>
      </c>
      <c r="VBT23" s="229">
        <v>0</v>
      </c>
      <c r="VBU23" s="229">
        <v>0</v>
      </c>
      <c r="VBV23" s="229">
        <v>0</v>
      </c>
      <c r="VBW23" s="229">
        <v>0</v>
      </c>
      <c r="VBX23" s="229">
        <v>0</v>
      </c>
      <c r="VBY23" s="229">
        <v>0</v>
      </c>
      <c r="VBZ23" s="229">
        <v>0</v>
      </c>
      <c r="VCA23" s="229">
        <v>0</v>
      </c>
      <c r="VCB23" s="229">
        <v>0</v>
      </c>
      <c r="VCC23" s="229">
        <v>0</v>
      </c>
      <c r="VCD23" s="229">
        <v>0</v>
      </c>
      <c r="VCE23" s="229">
        <v>0</v>
      </c>
      <c r="VCF23" s="229">
        <v>0</v>
      </c>
      <c r="VCG23" s="229">
        <v>0</v>
      </c>
      <c r="VCH23" s="229">
        <v>0</v>
      </c>
      <c r="VCI23" s="229">
        <v>0</v>
      </c>
      <c r="VCJ23" s="229">
        <v>0</v>
      </c>
      <c r="VCK23" s="229">
        <v>0</v>
      </c>
      <c r="VCL23" s="229">
        <v>0</v>
      </c>
      <c r="VCM23" s="229">
        <v>0</v>
      </c>
      <c r="VCN23" s="229">
        <v>0</v>
      </c>
      <c r="VCO23" s="229">
        <v>0</v>
      </c>
      <c r="VCP23" s="229">
        <v>0</v>
      </c>
      <c r="VCQ23" s="229">
        <v>0</v>
      </c>
      <c r="VCR23" s="229">
        <v>0</v>
      </c>
      <c r="VCS23" s="229">
        <v>0</v>
      </c>
      <c r="VCT23" s="229">
        <v>0</v>
      </c>
      <c r="VCU23" s="229">
        <v>0</v>
      </c>
      <c r="VCV23" s="229">
        <v>0</v>
      </c>
      <c r="VCW23" s="229">
        <v>0</v>
      </c>
      <c r="VCX23" s="229">
        <v>0</v>
      </c>
      <c r="VCY23" s="229">
        <v>0</v>
      </c>
      <c r="VCZ23" s="229">
        <v>0</v>
      </c>
      <c r="VDA23" s="229">
        <v>0</v>
      </c>
      <c r="VDB23" s="229">
        <v>0</v>
      </c>
      <c r="VDC23" s="229">
        <v>0</v>
      </c>
      <c r="VDD23" s="229">
        <v>0</v>
      </c>
      <c r="VDE23" s="229">
        <v>0</v>
      </c>
      <c r="VDF23" s="229">
        <v>0</v>
      </c>
      <c r="VDG23" s="229">
        <v>0</v>
      </c>
      <c r="VDH23" s="229">
        <v>0</v>
      </c>
      <c r="VDI23" s="229">
        <v>0</v>
      </c>
      <c r="VDJ23" s="229">
        <v>0</v>
      </c>
      <c r="VDK23" s="229">
        <v>0</v>
      </c>
      <c r="VDL23" s="229">
        <v>0</v>
      </c>
      <c r="VDM23" s="229">
        <v>0</v>
      </c>
      <c r="VDN23" s="229">
        <v>0</v>
      </c>
      <c r="VDO23" s="229">
        <v>0</v>
      </c>
      <c r="VDP23" s="229">
        <v>0</v>
      </c>
      <c r="VDQ23" s="229">
        <v>0</v>
      </c>
      <c r="VDR23" s="229">
        <v>0</v>
      </c>
      <c r="VDS23" s="229">
        <v>0</v>
      </c>
      <c r="VDT23" s="229">
        <v>0</v>
      </c>
      <c r="VDU23" s="229">
        <v>0</v>
      </c>
      <c r="VDV23" s="229">
        <v>0</v>
      </c>
      <c r="VDW23" s="229">
        <v>0</v>
      </c>
      <c r="VDX23" s="229">
        <v>0</v>
      </c>
      <c r="VDY23" s="229">
        <v>0</v>
      </c>
      <c r="VDZ23" s="229">
        <v>0</v>
      </c>
      <c r="VEA23" s="229">
        <v>0</v>
      </c>
      <c r="VEB23" s="229">
        <v>0</v>
      </c>
      <c r="VEC23" s="229">
        <v>0</v>
      </c>
      <c r="VED23" s="229">
        <v>0</v>
      </c>
      <c r="VEE23" s="229">
        <v>0</v>
      </c>
      <c r="VEF23" s="229">
        <v>0</v>
      </c>
      <c r="VEG23" s="229">
        <v>0</v>
      </c>
      <c r="VEH23" s="229">
        <v>0</v>
      </c>
      <c r="VEI23" s="229">
        <v>0</v>
      </c>
      <c r="VEJ23" s="229">
        <v>0</v>
      </c>
      <c r="VEK23" s="229">
        <v>0</v>
      </c>
      <c r="VEL23" s="229">
        <v>0</v>
      </c>
      <c r="VEM23" s="229">
        <v>0</v>
      </c>
      <c r="VEN23" s="229">
        <v>0</v>
      </c>
      <c r="VEO23" s="229">
        <v>0</v>
      </c>
      <c r="VEP23" s="229">
        <v>0</v>
      </c>
      <c r="VEQ23" s="229">
        <v>0</v>
      </c>
      <c r="VER23" s="229">
        <v>0</v>
      </c>
      <c r="VES23" s="229">
        <v>0</v>
      </c>
      <c r="VET23" s="229">
        <v>0</v>
      </c>
      <c r="VEU23" s="229">
        <v>0</v>
      </c>
      <c r="VEV23" s="229">
        <v>0</v>
      </c>
      <c r="VEW23" s="229">
        <v>0</v>
      </c>
      <c r="VEX23" s="229">
        <v>0</v>
      </c>
      <c r="VEY23" s="229">
        <v>0</v>
      </c>
      <c r="VEZ23" s="229">
        <v>0</v>
      </c>
      <c r="VFA23" s="229">
        <v>0</v>
      </c>
      <c r="VFB23" s="229">
        <v>0</v>
      </c>
      <c r="VFC23" s="229">
        <v>0</v>
      </c>
      <c r="VFD23" s="229">
        <v>0</v>
      </c>
      <c r="VFE23" s="229">
        <v>0</v>
      </c>
      <c r="VFF23" s="229">
        <v>0</v>
      </c>
      <c r="VFG23" s="229">
        <v>0</v>
      </c>
      <c r="VFH23" s="229">
        <v>0</v>
      </c>
      <c r="VFI23" s="229">
        <v>0</v>
      </c>
      <c r="VFJ23" s="229">
        <v>0</v>
      </c>
      <c r="VFK23" s="229">
        <v>0</v>
      </c>
      <c r="VFL23" s="229">
        <v>0</v>
      </c>
      <c r="VFM23" s="229">
        <v>0</v>
      </c>
      <c r="VFN23" s="229">
        <v>0</v>
      </c>
      <c r="VFO23" s="229">
        <v>0</v>
      </c>
      <c r="VFP23" s="229">
        <v>0</v>
      </c>
      <c r="VFQ23" s="229">
        <v>0</v>
      </c>
      <c r="VFR23" s="229">
        <v>0</v>
      </c>
      <c r="VFS23" s="229">
        <v>0</v>
      </c>
      <c r="VFT23" s="229">
        <v>0</v>
      </c>
      <c r="VFU23" s="229">
        <v>0</v>
      </c>
      <c r="VFV23" s="229">
        <v>0</v>
      </c>
      <c r="VFW23" s="229">
        <v>0</v>
      </c>
      <c r="VFX23" s="229">
        <v>0</v>
      </c>
      <c r="VFY23" s="229">
        <v>0</v>
      </c>
      <c r="VFZ23" s="229">
        <v>0</v>
      </c>
      <c r="VGA23" s="229">
        <v>0</v>
      </c>
      <c r="VGB23" s="229">
        <v>0</v>
      </c>
      <c r="VGC23" s="229">
        <v>0</v>
      </c>
      <c r="VGD23" s="229">
        <v>0</v>
      </c>
      <c r="VGE23" s="229">
        <v>0</v>
      </c>
      <c r="VGF23" s="229">
        <v>0</v>
      </c>
      <c r="VGG23" s="229">
        <v>0</v>
      </c>
      <c r="VGH23" s="229">
        <v>0</v>
      </c>
      <c r="VGI23" s="229">
        <v>0</v>
      </c>
      <c r="VGJ23" s="229">
        <v>0</v>
      </c>
      <c r="VGK23" s="229">
        <v>0</v>
      </c>
      <c r="VGL23" s="229">
        <v>0</v>
      </c>
      <c r="VGM23" s="229">
        <v>0</v>
      </c>
      <c r="VGN23" s="229">
        <v>0</v>
      </c>
      <c r="VGO23" s="229">
        <v>0</v>
      </c>
      <c r="VGP23" s="229">
        <v>0</v>
      </c>
      <c r="VGQ23" s="229">
        <v>0</v>
      </c>
      <c r="VGR23" s="229">
        <v>0</v>
      </c>
      <c r="VGS23" s="229">
        <v>0</v>
      </c>
      <c r="VGT23" s="229">
        <v>0</v>
      </c>
      <c r="VGU23" s="229">
        <v>0</v>
      </c>
      <c r="VGV23" s="229">
        <v>0</v>
      </c>
      <c r="VGW23" s="229">
        <v>0</v>
      </c>
      <c r="VGX23" s="229">
        <v>0</v>
      </c>
      <c r="VGY23" s="229">
        <v>0</v>
      </c>
      <c r="VGZ23" s="229">
        <v>0</v>
      </c>
      <c r="VHA23" s="229">
        <v>0</v>
      </c>
      <c r="VHB23" s="229">
        <v>0</v>
      </c>
      <c r="VHC23" s="229">
        <v>0</v>
      </c>
      <c r="VHD23" s="229">
        <v>0</v>
      </c>
      <c r="VHE23" s="229">
        <v>0</v>
      </c>
      <c r="VHF23" s="229">
        <v>0</v>
      </c>
      <c r="VHG23" s="229">
        <v>0</v>
      </c>
      <c r="VHH23" s="229">
        <v>0</v>
      </c>
      <c r="VHI23" s="229">
        <v>0</v>
      </c>
      <c r="VHJ23" s="229">
        <v>0</v>
      </c>
      <c r="VHK23" s="229">
        <v>0</v>
      </c>
      <c r="VHL23" s="229">
        <v>0</v>
      </c>
      <c r="VHM23" s="229">
        <v>0</v>
      </c>
      <c r="VHN23" s="229">
        <v>0</v>
      </c>
      <c r="VHO23" s="229">
        <v>0</v>
      </c>
      <c r="VHP23" s="229">
        <v>0</v>
      </c>
      <c r="VHQ23" s="229">
        <v>0</v>
      </c>
      <c r="VHR23" s="229">
        <v>0</v>
      </c>
      <c r="VHS23" s="229">
        <v>0</v>
      </c>
      <c r="VHT23" s="229">
        <v>0</v>
      </c>
      <c r="VHU23" s="229">
        <v>0</v>
      </c>
      <c r="VHV23" s="229">
        <v>0</v>
      </c>
      <c r="VHW23" s="229">
        <v>0</v>
      </c>
      <c r="VHX23" s="229">
        <v>0</v>
      </c>
      <c r="VHY23" s="229">
        <v>0</v>
      </c>
      <c r="VHZ23" s="229">
        <v>0</v>
      </c>
      <c r="VIA23" s="229">
        <v>0</v>
      </c>
      <c r="VIB23" s="229">
        <v>0</v>
      </c>
      <c r="VIC23" s="229">
        <v>0</v>
      </c>
      <c r="VID23" s="229">
        <v>0</v>
      </c>
      <c r="VIE23" s="229">
        <v>0</v>
      </c>
      <c r="VIF23" s="229">
        <v>0</v>
      </c>
      <c r="VIG23" s="229">
        <v>0</v>
      </c>
      <c r="VIH23" s="229">
        <v>0</v>
      </c>
      <c r="VII23" s="229">
        <v>0</v>
      </c>
      <c r="VIJ23" s="229">
        <v>0</v>
      </c>
      <c r="VIK23" s="229">
        <v>0</v>
      </c>
      <c r="VIL23" s="229">
        <v>0</v>
      </c>
      <c r="VIM23" s="229">
        <v>0</v>
      </c>
      <c r="VIN23" s="229">
        <v>0</v>
      </c>
      <c r="VIO23" s="229">
        <v>0</v>
      </c>
      <c r="VIP23" s="229">
        <v>0</v>
      </c>
      <c r="VIQ23" s="229">
        <v>0</v>
      </c>
      <c r="VIR23" s="229">
        <v>0</v>
      </c>
      <c r="VIS23" s="229">
        <v>0</v>
      </c>
      <c r="VIT23" s="229">
        <v>0</v>
      </c>
      <c r="VIU23" s="229">
        <v>0</v>
      </c>
      <c r="VIV23" s="229">
        <v>0</v>
      </c>
      <c r="VIW23" s="229">
        <v>0</v>
      </c>
      <c r="VIX23" s="229">
        <v>0</v>
      </c>
      <c r="VIY23" s="229">
        <v>0</v>
      </c>
      <c r="VIZ23" s="229">
        <v>0</v>
      </c>
      <c r="VJA23" s="229">
        <v>0</v>
      </c>
      <c r="VJB23" s="229">
        <v>0</v>
      </c>
      <c r="VJC23" s="229">
        <v>0</v>
      </c>
      <c r="VJD23" s="229">
        <v>0</v>
      </c>
      <c r="VJE23" s="229">
        <v>0</v>
      </c>
      <c r="VJF23" s="229">
        <v>0</v>
      </c>
      <c r="VJG23" s="229">
        <v>0</v>
      </c>
      <c r="VJH23" s="229">
        <v>0</v>
      </c>
      <c r="VJI23" s="229">
        <v>0</v>
      </c>
      <c r="VJJ23" s="229">
        <v>0</v>
      </c>
      <c r="VJK23" s="229">
        <v>0</v>
      </c>
      <c r="VJL23" s="229">
        <v>0</v>
      </c>
      <c r="VJM23" s="229">
        <v>0</v>
      </c>
      <c r="VJN23" s="229">
        <v>0</v>
      </c>
      <c r="VJO23" s="229">
        <v>0</v>
      </c>
      <c r="VJP23" s="229">
        <v>0</v>
      </c>
      <c r="VJQ23" s="229">
        <v>0</v>
      </c>
      <c r="VJR23" s="229">
        <v>0</v>
      </c>
      <c r="VJS23" s="229">
        <v>0</v>
      </c>
      <c r="VJT23" s="229">
        <v>0</v>
      </c>
      <c r="VJU23" s="229">
        <v>0</v>
      </c>
      <c r="VJV23" s="229">
        <v>0</v>
      </c>
      <c r="VJW23" s="229">
        <v>0</v>
      </c>
      <c r="VJX23" s="229">
        <v>0</v>
      </c>
      <c r="VJY23" s="229">
        <v>0</v>
      </c>
      <c r="VJZ23" s="229">
        <v>0</v>
      </c>
      <c r="VKA23" s="229">
        <v>0</v>
      </c>
      <c r="VKB23" s="229">
        <v>0</v>
      </c>
      <c r="VKC23" s="229">
        <v>0</v>
      </c>
      <c r="VKD23" s="229">
        <v>0</v>
      </c>
      <c r="VKE23" s="229">
        <v>0</v>
      </c>
      <c r="VKF23" s="229">
        <v>0</v>
      </c>
      <c r="VKG23" s="229">
        <v>0</v>
      </c>
      <c r="VKH23" s="229">
        <v>0</v>
      </c>
      <c r="VKI23" s="229">
        <v>0</v>
      </c>
      <c r="VKJ23" s="229">
        <v>0</v>
      </c>
      <c r="VKK23" s="229">
        <v>0</v>
      </c>
      <c r="VKL23" s="229">
        <v>0</v>
      </c>
      <c r="VKM23" s="229">
        <v>0</v>
      </c>
      <c r="VKN23" s="229">
        <v>0</v>
      </c>
      <c r="VKO23" s="229">
        <v>0</v>
      </c>
      <c r="VKP23" s="229">
        <v>0</v>
      </c>
      <c r="VKQ23" s="229">
        <v>0</v>
      </c>
      <c r="VKR23" s="229">
        <v>0</v>
      </c>
      <c r="VKS23" s="229">
        <v>0</v>
      </c>
      <c r="VKT23" s="229">
        <v>0</v>
      </c>
      <c r="VKU23" s="229">
        <v>0</v>
      </c>
      <c r="VKV23" s="229">
        <v>0</v>
      </c>
      <c r="VKW23" s="229">
        <v>0</v>
      </c>
      <c r="VKX23" s="229">
        <v>0</v>
      </c>
      <c r="VKY23" s="229">
        <v>0</v>
      </c>
      <c r="VKZ23" s="229">
        <v>0</v>
      </c>
      <c r="VLA23" s="229">
        <v>0</v>
      </c>
      <c r="VLB23" s="229">
        <v>0</v>
      </c>
      <c r="VLC23" s="229">
        <v>0</v>
      </c>
      <c r="VLD23" s="229">
        <v>0</v>
      </c>
      <c r="VLE23" s="229">
        <v>0</v>
      </c>
      <c r="VLF23" s="229">
        <v>0</v>
      </c>
      <c r="VLG23" s="229">
        <v>0</v>
      </c>
      <c r="VLH23" s="229">
        <v>0</v>
      </c>
      <c r="VLI23" s="229">
        <v>0</v>
      </c>
      <c r="VLJ23" s="229">
        <v>0</v>
      </c>
      <c r="VLK23" s="229">
        <v>0</v>
      </c>
      <c r="VLL23" s="229">
        <v>0</v>
      </c>
      <c r="VLM23" s="229">
        <v>0</v>
      </c>
      <c r="VLN23" s="229">
        <v>0</v>
      </c>
      <c r="VLO23" s="229">
        <v>0</v>
      </c>
      <c r="VLP23" s="229">
        <v>0</v>
      </c>
      <c r="VLQ23" s="229">
        <v>0</v>
      </c>
      <c r="VLR23" s="229">
        <v>0</v>
      </c>
      <c r="VLS23" s="229">
        <v>0</v>
      </c>
      <c r="VLT23" s="229">
        <v>0</v>
      </c>
      <c r="VLU23" s="229">
        <v>0</v>
      </c>
      <c r="VLV23" s="229">
        <v>0</v>
      </c>
      <c r="VLW23" s="229">
        <v>0</v>
      </c>
      <c r="VLX23" s="229">
        <v>0</v>
      </c>
      <c r="VLY23" s="229">
        <v>0</v>
      </c>
      <c r="VLZ23" s="229">
        <v>0</v>
      </c>
      <c r="VMA23" s="229">
        <v>0</v>
      </c>
      <c r="VMB23" s="229">
        <v>0</v>
      </c>
      <c r="VMC23" s="229">
        <v>0</v>
      </c>
      <c r="VMD23" s="229">
        <v>0</v>
      </c>
      <c r="VME23" s="229">
        <v>0</v>
      </c>
      <c r="VMF23" s="229">
        <v>0</v>
      </c>
      <c r="VMG23" s="229">
        <v>0</v>
      </c>
      <c r="VMH23" s="229">
        <v>0</v>
      </c>
      <c r="VMI23" s="229">
        <v>0</v>
      </c>
      <c r="VMJ23" s="229">
        <v>0</v>
      </c>
      <c r="VMK23" s="229">
        <v>0</v>
      </c>
      <c r="VML23" s="229">
        <v>0</v>
      </c>
      <c r="VMM23" s="229">
        <v>0</v>
      </c>
      <c r="VMN23" s="229">
        <v>0</v>
      </c>
      <c r="VMO23" s="229">
        <v>0</v>
      </c>
      <c r="VMP23" s="229">
        <v>0</v>
      </c>
      <c r="VMQ23" s="229">
        <v>0</v>
      </c>
      <c r="VMR23" s="229">
        <v>0</v>
      </c>
      <c r="VMS23" s="229">
        <v>0</v>
      </c>
      <c r="VMT23" s="229">
        <v>0</v>
      </c>
      <c r="VMU23" s="229">
        <v>0</v>
      </c>
      <c r="VMV23" s="229">
        <v>0</v>
      </c>
      <c r="VMW23" s="229">
        <v>0</v>
      </c>
      <c r="VMX23" s="229">
        <v>0</v>
      </c>
      <c r="VMY23" s="229">
        <v>0</v>
      </c>
      <c r="VMZ23" s="229">
        <v>0</v>
      </c>
      <c r="VNA23" s="229">
        <v>0</v>
      </c>
      <c r="VNB23" s="229">
        <v>0</v>
      </c>
      <c r="VNC23" s="229">
        <v>0</v>
      </c>
      <c r="VND23" s="229">
        <v>0</v>
      </c>
      <c r="VNE23" s="229">
        <v>0</v>
      </c>
      <c r="VNF23" s="229">
        <v>0</v>
      </c>
      <c r="VNG23" s="229">
        <v>0</v>
      </c>
      <c r="VNH23" s="229">
        <v>0</v>
      </c>
      <c r="VNI23" s="229">
        <v>0</v>
      </c>
      <c r="VNJ23" s="229">
        <v>0</v>
      </c>
      <c r="VNK23" s="229">
        <v>0</v>
      </c>
      <c r="VNL23" s="229">
        <v>0</v>
      </c>
      <c r="VNM23" s="229">
        <v>0</v>
      </c>
      <c r="VNN23" s="229">
        <v>0</v>
      </c>
      <c r="VNO23" s="229">
        <v>0</v>
      </c>
      <c r="VNP23" s="229">
        <v>0</v>
      </c>
      <c r="VNQ23" s="229">
        <v>0</v>
      </c>
      <c r="VNR23" s="229">
        <v>0</v>
      </c>
      <c r="VNS23" s="229">
        <v>0</v>
      </c>
      <c r="VNT23" s="229">
        <v>0</v>
      </c>
      <c r="VNU23" s="229">
        <v>0</v>
      </c>
      <c r="VNV23" s="229">
        <v>0</v>
      </c>
      <c r="VNW23" s="229">
        <v>0</v>
      </c>
      <c r="VNX23" s="229">
        <v>0</v>
      </c>
      <c r="VNY23" s="229">
        <v>0</v>
      </c>
      <c r="VNZ23" s="229">
        <v>0</v>
      </c>
      <c r="VOA23" s="229">
        <v>0</v>
      </c>
      <c r="VOB23" s="229">
        <v>0</v>
      </c>
      <c r="VOC23" s="229">
        <v>0</v>
      </c>
      <c r="VOD23" s="229">
        <v>0</v>
      </c>
      <c r="VOE23" s="229">
        <v>0</v>
      </c>
      <c r="VOF23" s="229">
        <v>0</v>
      </c>
      <c r="VOG23" s="229">
        <v>0</v>
      </c>
      <c r="VOH23" s="229">
        <v>0</v>
      </c>
      <c r="VOI23" s="229">
        <v>0</v>
      </c>
      <c r="VOJ23" s="229">
        <v>0</v>
      </c>
      <c r="VOK23" s="229">
        <v>0</v>
      </c>
      <c r="VOL23" s="229">
        <v>0</v>
      </c>
      <c r="VOM23" s="229">
        <v>0</v>
      </c>
      <c r="VON23" s="229">
        <v>0</v>
      </c>
      <c r="VOO23" s="229">
        <v>0</v>
      </c>
      <c r="VOP23" s="229">
        <v>0</v>
      </c>
      <c r="VOQ23" s="229">
        <v>0</v>
      </c>
      <c r="VOR23" s="229">
        <v>0</v>
      </c>
      <c r="VOS23" s="229">
        <v>0</v>
      </c>
      <c r="VOT23" s="229">
        <v>0</v>
      </c>
      <c r="VOU23" s="229">
        <v>0</v>
      </c>
      <c r="VOV23" s="229">
        <v>0</v>
      </c>
      <c r="VOW23" s="229">
        <v>0</v>
      </c>
      <c r="VOX23" s="229">
        <v>0</v>
      </c>
      <c r="VOY23" s="229">
        <v>0</v>
      </c>
      <c r="VOZ23" s="229">
        <v>0</v>
      </c>
      <c r="VPA23" s="229">
        <v>0</v>
      </c>
      <c r="VPB23" s="229">
        <v>0</v>
      </c>
      <c r="VPC23" s="229">
        <v>0</v>
      </c>
      <c r="VPD23" s="229">
        <v>0</v>
      </c>
      <c r="VPE23" s="229">
        <v>0</v>
      </c>
      <c r="VPF23" s="229">
        <v>0</v>
      </c>
      <c r="VPG23" s="229">
        <v>0</v>
      </c>
      <c r="VPH23" s="229">
        <v>0</v>
      </c>
      <c r="VPI23" s="229">
        <v>0</v>
      </c>
      <c r="VPJ23" s="229">
        <v>0</v>
      </c>
      <c r="VPK23" s="229">
        <v>0</v>
      </c>
      <c r="VPL23" s="229">
        <v>0</v>
      </c>
      <c r="VPM23" s="229">
        <v>0</v>
      </c>
      <c r="VPN23" s="229">
        <v>0</v>
      </c>
      <c r="VPO23" s="229">
        <v>0</v>
      </c>
      <c r="VPP23" s="229">
        <v>0</v>
      </c>
      <c r="VPQ23" s="229">
        <v>0</v>
      </c>
      <c r="VPR23" s="229">
        <v>0</v>
      </c>
      <c r="VPS23" s="229">
        <v>0</v>
      </c>
      <c r="VPT23" s="229">
        <v>0</v>
      </c>
      <c r="VPU23" s="229">
        <v>0</v>
      </c>
      <c r="VPV23" s="229">
        <v>0</v>
      </c>
      <c r="VPW23" s="229">
        <v>0</v>
      </c>
      <c r="VPX23" s="229">
        <v>0</v>
      </c>
      <c r="VPY23" s="229">
        <v>0</v>
      </c>
      <c r="VPZ23" s="229">
        <v>0</v>
      </c>
      <c r="VQA23" s="229">
        <v>0</v>
      </c>
      <c r="VQB23" s="229">
        <v>0</v>
      </c>
      <c r="VQC23" s="229">
        <v>0</v>
      </c>
      <c r="VQD23" s="229">
        <v>0</v>
      </c>
      <c r="VQE23" s="229">
        <v>0</v>
      </c>
      <c r="VQF23" s="229">
        <v>0</v>
      </c>
      <c r="VQG23" s="229">
        <v>0</v>
      </c>
      <c r="VQH23" s="229">
        <v>0</v>
      </c>
      <c r="VQI23" s="229">
        <v>0</v>
      </c>
      <c r="VQJ23" s="229">
        <v>0</v>
      </c>
      <c r="VQK23" s="229">
        <v>0</v>
      </c>
      <c r="VQL23" s="229">
        <v>0</v>
      </c>
      <c r="VQM23" s="229">
        <v>0</v>
      </c>
      <c r="VQN23" s="229">
        <v>0</v>
      </c>
      <c r="VQO23" s="229">
        <v>0</v>
      </c>
      <c r="VQP23" s="229">
        <v>0</v>
      </c>
      <c r="VQQ23" s="229">
        <v>0</v>
      </c>
      <c r="VQR23" s="229">
        <v>0</v>
      </c>
      <c r="VQS23" s="229">
        <v>0</v>
      </c>
      <c r="VQT23" s="229">
        <v>0</v>
      </c>
      <c r="VQU23" s="229">
        <v>0</v>
      </c>
      <c r="VQV23" s="229">
        <v>0</v>
      </c>
      <c r="VQW23" s="229">
        <v>0</v>
      </c>
      <c r="VQX23" s="229">
        <v>0</v>
      </c>
      <c r="VQY23" s="229">
        <v>0</v>
      </c>
      <c r="VQZ23" s="229">
        <v>0</v>
      </c>
      <c r="VRA23" s="229">
        <v>0</v>
      </c>
      <c r="VRB23" s="229">
        <v>0</v>
      </c>
      <c r="VRC23" s="229">
        <v>0</v>
      </c>
      <c r="VRD23" s="229">
        <v>0</v>
      </c>
      <c r="VRE23" s="229">
        <v>0</v>
      </c>
      <c r="VRF23" s="229">
        <v>0</v>
      </c>
      <c r="VRG23" s="229">
        <v>0</v>
      </c>
      <c r="VRH23" s="229">
        <v>0</v>
      </c>
      <c r="VRI23" s="229">
        <v>0</v>
      </c>
      <c r="VRJ23" s="229">
        <v>0</v>
      </c>
      <c r="VRK23" s="229">
        <v>0</v>
      </c>
      <c r="VRL23" s="229">
        <v>0</v>
      </c>
      <c r="VRM23" s="229">
        <v>0</v>
      </c>
      <c r="VRN23" s="229">
        <v>0</v>
      </c>
      <c r="VRO23" s="229">
        <v>0</v>
      </c>
      <c r="VRP23" s="229">
        <v>0</v>
      </c>
      <c r="VRQ23" s="229">
        <v>0</v>
      </c>
      <c r="VRR23" s="229">
        <v>0</v>
      </c>
      <c r="VRS23" s="229">
        <v>0</v>
      </c>
      <c r="VRT23" s="229">
        <v>0</v>
      </c>
      <c r="VRU23" s="229">
        <v>0</v>
      </c>
      <c r="VRV23" s="229">
        <v>0</v>
      </c>
      <c r="VRW23" s="229">
        <v>0</v>
      </c>
      <c r="VRX23" s="229">
        <v>0</v>
      </c>
      <c r="VRY23" s="229">
        <v>0</v>
      </c>
      <c r="VRZ23" s="229">
        <v>0</v>
      </c>
      <c r="VSA23" s="229">
        <v>0</v>
      </c>
      <c r="VSB23" s="229">
        <v>0</v>
      </c>
      <c r="VSC23" s="229">
        <v>0</v>
      </c>
      <c r="VSD23" s="229">
        <v>0</v>
      </c>
      <c r="VSE23" s="229">
        <v>0</v>
      </c>
      <c r="VSF23" s="229">
        <v>0</v>
      </c>
      <c r="VSG23" s="229">
        <v>0</v>
      </c>
      <c r="VSH23" s="229">
        <v>0</v>
      </c>
      <c r="VSI23" s="229">
        <v>0</v>
      </c>
      <c r="VSJ23" s="229">
        <v>0</v>
      </c>
      <c r="VSK23" s="229">
        <v>0</v>
      </c>
      <c r="VSL23" s="229">
        <v>0</v>
      </c>
      <c r="VSM23" s="229">
        <v>0</v>
      </c>
      <c r="VSN23" s="229">
        <v>0</v>
      </c>
      <c r="VSO23" s="229">
        <v>0</v>
      </c>
      <c r="VSP23" s="229">
        <v>0</v>
      </c>
      <c r="VSQ23" s="229">
        <v>0</v>
      </c>
      <c r="VSR23" s="229">
        <v>0</v>
      </c>
      <c r="VSS23" s="229">
        <v>0</v>
      </c>
      <c r="VST23" s="229">
        <v>0</v>
      </c>
      <c r="VSU23" s="229">
        <v>0</v>
      </c>
      <c r="VSV23" s="229">
        <v>0</v>
      </c>
      <c r="VSW23" s="229">
        <v>0</v>
      </c>
      <c r="VSX23" s="229">
        <v>0</v>
      </c>
      <c r="VSY23" s="229">
        <v>0</v>
      </c>
      <c r="VSZ23" s="229">
        <v>0</v>
      </c>
      <c r="VTA23" s="229">
        <v>0</v>
      </c>
      <c r="VTB23" s="229">
        <v>0</v>
      </c>
      <c r="VTC23" s="229">
        <v>0</v>
      </c>
      <c r="VTD23" s="229">
        <v>0</v>
      </c>
      <c r="VTE23" s="229">
        <v>0</v>
      </c>
      <c r="VTF23" s="229">
        <v>0</v>
      </c>
      <c r="VTG23" s="229">
        <v>0</v>
      </c>
      <c r="VTH23" s="229">
        <v>0</v>
      </c>
      <c r="VTI23" s="229">
        <v>0</v>
      </c>
      <c r="VTJ23" s="229">
        <v>0</v>
      </c>
      <c r="VTK23" s="229">
        <v>0</v>
      </c>
      <c r="VTL23" s="229">
        <v>0</v>
      </c>
      <c r="VTM23" s="229">
        <v>0</v>
      </c>
      <c r="VTN23" s="229">
        <v>0</v>
      </c>
      <c r="VTO23" s="229">
        <v>0</v>
      </c>
      <c r="VTP23" s="229">
        <v>0</v>
      </c>
      <c r="VTQ23" s="229">
        <v>0</v>
      </c>
      <c r="VTR23" s="229">
        <v>0</v>
      </c>
      <c r="VTS23" s="229">
        <v>0</v>
      </c>
      <c r="VTT23" s="229">
        <v>0</v>
      </c>
      <c r="VTU23" s="229">
        <v>0</v>
      </c>
      <c r="VTV23" s="229">
        <v>0</v>
      </c>
      <c r="VTW23" s="229">
        <v>0</v>
      </c>
      <c r="VTX23" s="229">
        <v>0</v>
      </c>
      <c r="VTY23" s="229">
        <v>0</v>
      </c>
      <c r="VTZ23" s="229">
        <v>0</v>
      </c>
      <c r="VUA23" s="229">
        <v>0</v>
      </c>
      <c r="VUB23" s="229">
        <v>0</v>
      </c>
      <c r="VUC23" s="229">
        <v>0</v>
      </c>
      <c r="VUD23" s="229">
        <v>0</v>
      </c>
      <c r="VUE23" s="229">
        <v>0</v>
      </c>
      <c r="VUF23" s="229">
        <v>0</v>
      </c>
      <c r="VUG23" s="229">
        <v>0</v>
      </c>
      <c r="VUH23" s="229">
        <v>0</v>
      </c>
      <c r="VUI23" s="229">
        <v>0</v>
      </c>
      <c r="VUJ23" s="229">
        <v>0</v>
      </c>
      <c r="VUK23" s="229">
        <v>0</v>
      </c>
      <c r="VUL23" s="229">
        <v>0</v>
      </c>
      <c r="VUM23" s="229">
        <v>0</v>
      </c>
      <c r="VUN23" s="229">
        <v>0</v>
      </c>
      <c r="VUO23" s="229">
        <v>0</v>
      </c>
      <c r="VUP23" s="229">
        <v>0</v>
      </c>
      <c r="VUQ23" s="229">
        <v>0</v>
      </c>
      <c r="VUR23" s="229">
        <v>0</v>
      </c>
      <c r="VUS23" s="229">
        <v>0</v>
      </c>
      <c r="VUT23" s="229">
        <v>0</v>
      </c>
      <c r="VUU23" s="229">
        <v>0</v>
      </c>
      <c r="VUV23" s="229">
        <v>0</v>
      </c>
      <c r="VUW23" s="229">
        <v>0</v>
      </c>
      <c r="VUX23" s="229">
        <v>0</v>
      </c>
      <c r="VUY23" s="229">
        <v>0</v>
      </c>
      <c r="VUZ23" s="229">
        <v>0</v>
      </c>
      <c r="VVA23" s="229">
        <v>0</v>
      </c>
      <c r="VVB23" s="229">
        <v>0</v>
      </c>
      <c r="VVC23" s="229">
        <v>0</v>
      </c>
      <c r="VVD23" s="229">
        <v>0</v>
      </c>
      <c r="VVE23" s="229">
        <v>0</v>
      </c>
      <c r="VVF23" s="229">
        <v>0</v>
      </c>
      <c r="VVG23" s="229">
        <v>0</v>
      </c>
      <c r="VVH23" s="229">
        <v>0</v>
      </c>
      <c r="VVI23" s="229">
        <v>0</v>
      </c>
      <c r="VVJ23" s="229">
        <v>0</v>
      </c>
      <c r="VVK23" s="229">
        <v>0</v>
      </c>
      <c r="VVL23" s="229">
        <v>0</v>
      </c>
      <c r="VVM23" s="229">
        <v>0</v>
      </c>
      <c r="VVN23" s="229">
        <v>0</v>
      </c>
      <c r="VVO23" s="229">
        <v>0</v>
      </c>
      <c r="VVP23" s="229">
        <v>0</v>
      </c>
      <c r="VVQ23" s="229">
        <v>0</v>
      </c>
      <c r="VVR23" s="229">
        <v>0</v>
      </c>
      <c r="VVS23" s="229">
        <v>0</v>
      </c>
      <c r="VVT23" s="229">
        <v>0</v>
      </c>
      <c r="VVU23" s="229">
        <v>0</v>
      </c>
      <c r="VVV23" s="229">
        <v>0</v>
      </c>
      <c r="VVW23" s="229">
        <v>0</v>
      </c>
      <c r="VVX23" s="229">
        <v>0</v>
      </c>
      <c r="VVY23" s="229">
        <v>0</v>
      </c>
      <c r="VVZ23" s="229">
        <v>0</v>
      </c>
      <c r="VWA23" s="229">
        <v>0</v>
      </c>
      <c r="VWB23" s="229">
        <v>0</v>
      </c>
      <c r="VWC23" s="229">
        <v>0</v>
      </c>
      <c r="VWD23" s="229">
        <v>0</v>
      </c>
      <c r="VWE23" s="229">
        <v>0</v>
      </c>
      <c r="VWF23" s="229">
        <v>0</v>
      </c>
      <c r="VWG23" s="229">
        <v>0</v>
      </c>
      <c r="VWH23" s="229">
        <v>0</v>
      </c>
      <c r="VWI23" s="229">
        <v>0</v>
      </c>
      <c r="VWJ23" s="229">
        <v>0</v>
      </c>
      <c r="VWK23" s="229">
        <v>0</v>
      </c>
      <c r="VWL23" s="229">
        <v>0</v>
      </c>
      <c r="VWM23" s="229">
        <v>0</v>
      </c>
      <c r="VWN23" s="229">
        <v>0</v>
      </c>
      <c r="VWO23" s="229">
        <v>0</v>
      </c>
      <c r="VWP23" s="229">
        <v>0</v>
      </c>
      <c r="VWQ23" s="229">
        <v>0</v>
      </c>
      <c r="VWR23" s="229">
        <v>0</v>
      </c>
      <c r="VWS23" s="229">
        <v>0</v>
      </c>
      <c r="VWT23" s="229">
        <v>0</v>
      </c>
      <c r="VWU23" s="229">
        <v>0</v>
      </c>
      <c r="VWV23" s="229">
        <v>0</v>
      </c>
      <c r="VWW23" s="229">
        <v>0</v>
      </c>
      <c r="VWX23" s="229">
        <v>0</v>
      </c>
      <c r="VWY23" s="229">
        <v>0</v>
      </c>
      <c r="VWZ23" s="229">
        <v>0</v>
      </c>
      <c r="VXA23" s="229">
        <v>0</v>
      </c>
      <c r="VXB23" s="229">
        <v>0</v>
      </c>
      <c r="VXC23" s="229">
        <v>0</v>
      </c>
      <c r="VXD23" s="229">
        <v>0</v>
      </c>
      <c r="VXE23" s="229">
        <v>0</v>
      </c>
      <c r="VXF23" s="229">
        <v>0</v>
      </c>
      <c r="VXG23" s="229">
        <v>0</v>
      </c>
      <c r="VXH23" s="229">
        <v>0</v>
      </c>
      <c r="VXI23" s="229">
        <v>0</v>
      </c>
      <c r="VXJ23" s="229">
        <v>0</v>
      </c>
      <c r="VXK23" s="229">
        <v>0</v>
      </c>
      <c r="VXL23" s="229">
        <v>0</v>
      </c>
      <c r="VXM23" s="229">
        <v>0</v>
      </c>
      <c r="VXN23" s="229">
        <v>0</v>
      </c>
      <c r="VXO23" s="229">
        <v>0</v>
      </c>
      <c r="VXP23" s="229">
        <v>0</v>
      </c>
      <c r="VXQ23" s="229">
        <v>0</v>
      </c>
      <c r="VXR23" s="229">
        <v>0</v>
      </c>
      <c r="VXS23" s="229">
        <v>0</v>
      </c>
      <c r="VXT23" s="229">
        <v>0</v>
      </c>
      <c r="VXU23" s="229">
        <v>0</v>
      </c>
      <c r="VXV23" s="229">
        <v>0</v>
      </c>
      <c r="VXW23" s="229">
        <v>0</v>
      </c>
      <c r="VXX23" s="229">
        <v>0</v>
      </c>
      <c r="VXY23" s="229">
        <v>0</v>
      </c>
      <c r="VXZ23" s="229">
        <v>0</v>
      </c>
      <c r="VYA23" s="229">
        <v>0</v>
      </c>
      <c r="VYB23" s="229">
        <v>0</v>
      </c>
      <c r="VYC23" s="229">
        <v>0</v>
      </c>
      <c r="VYD23" s="229">
        <v>0</v>
      </c>
      <c r="VYE23" s="229">
        <v>0</v>
      </c>
      <c r="VYF23" s="229">
        <v>0</v>
      </c>
      <c r="VYG23" s="229">
        <v>0</v>
      </c>
      <c r="VYH23" s="229">
        <v>0</v>
      </c>
      <c r="VYI23" s="229">
        <v>0</v>
      </c>
      <c r="VYJ23" s="229">
        <v>0</v>
      </c>
      <c r="VYK23" s="229">
        <v>0</v>
      </c>
      <c r="VYL23" s="229">
        <v>0</v>
      </c>
      <c r="VYM23" s="229">
        <v>0</v>
      </c>
      <c r="VYN23" s="229">
        <v>0</v>
      </c>
      <c r="VYO23" s="229">
        <v>0</v>
      </c>
      <c r="VYP23" s="229">
        <v>0</v>
      </c>
      <c r="VYQ23" s="229">
        <v>0</v>
      </c>
      <c r="VYR23" s="229">
        <v>0</v>
      </c>
      <c r="VYS23" s="229">
        <v>0</v>
      </c>
      <c r="VYT23" s="229">
        <v>0</v>
      </c>
      <c r="VYU23" s="229">
        <v>0</v>
      </c>
      <c r="VYV23" s="229">
        <v>0</v>
      </c>
      <c r="VYW23" s="229">
        <v>0</v>
      </c>
      <c r="VYX23" s="229">
        <v>0</v>
      </c>
      <c r="VYY23" s="229">
        <v>0</v>
      </c>
      <c r="VYZ23" s="229">
        <v>0</v>
      </c>
      <c r="VZA23" s="229">
        <v>0</v>
      </c>
      <c r="VZB23" s="229">
        <v>0</v>
      </c>
      <c r="VZC23" s="229">
        <v>0</v>
      </c>
      <c r="VZD23" s="229">
        <v>0</v>
      </c>
      <c r="VZE23" s="229">
        <v>0</v>
      </c>
      <c r="VZF23" s="229">
        <v>0</v>
      </c>
      <c r="VZG23" s="229">
        <v>0</v>
      </c>
      <c r="VZH23" s="229">
        <v>0</v>
      </c>
      <c r="VZI23" s="229">
        <v>0</v>
      </c>
      <c r="VZJ23" s="229">
        <v>0</v>
      </c>
      <c r="VZK23" s="229">
        <v>0</v>
      </c>
      <c r="VZL23" s="229">
        <v>0</v>
      </c>
      <c r="VZM23" s="229">
        <v>0</v>
      </c>
      <c r="VZN23" s="229">
        <v>0</v>
      </c>
      <c r="VZO23" s="229">
        <v>0</v>
      </c>
      <c r="VZP23" s="229">
        <v>0</v>
      </c>
      <c r="VZQ23" s="229">
        <v>0</v>
      </c>
      <c r="VZR23" s="229">
        <v>0</v>
      </c>
      <c r="VZS23" s="229">
        <v>0</v>
      </c>
      <c r="VZT23" s="229">
        <v>0</v>
      </c>
      <c r="VZU23" s="229">
        <v>0</v>
      </c>
      <c r="VZV23" s="229">
        <v>0</v>
      </c>
      <c r="VZW23" s="229">
        <v>0</v>
      </c>
      <c r="VZX23" s="229">
        <v>0</v>
      </c>
      <c r="VZY23" s="229">
        <v>0</v>
      </c>
      <c r="VZZ23" s="229">
        <v>0</v>
      </c>
      <c r="WAA23" s="229">
        <v>0</v>
      </c>
      <c r="WAB23" s="229">
        <v>0</v>
      </c>
      <c r="WAC23" s="229">
        <v>0</v>
      </c>
      <c r="WAD23" s="229">
        <v>0</v>
      </c>
      <c r="WAE23" s="229">
        <v>0</v>
      </c>
      <c r="WAF23" s="229">
        <v>0</v>
      </c>
      <c r="WAG23" s="229">
        <v>0</v>
      </c>
      <c r="WAH23" s="229">
        <v>0</v>
      </c>
      <c r="WAI23" s="229">
        <v>0</v>
      </c>
      <c r="WAJ23" s="229">
        <v>0</v>
      </c>
      <c r="WAK23" s="229">
        <v>0</v>
      </c>
      <c r="WAL23" s="229">
        <v>0</v>
      </c>
      <c r="WAM23" s="229">
        <v>0</v>
      </c>
      <c r="WAN23" s="229">
        <v>0</v>
      </c>
      <c r="WAO23" s="229">
        <v>0</v>
      </c>
      <c r="WAP23" s="229">
        <v>0</v>
      </c>
      <c r="WAQ23" s="229">
        <v>0</v>
      </c>
      <c r="WAR23" s="229">
        <v>0</v>
      </c>
      <c r="WAS23" s="229">
        <v>0</v>
      </c>
      <c r="WAT23" s="229">
        <v>0</v>
      </c>
      <c r="WAU23" s="229">
        <v>0</v>
      </c>
      <c r="WAV23" s="229">
        <v>0</v>
      </c>
      <c r="WAW23" s="229">
        <v>0</v>
      </c>
      <c r="WAX23" s="229">
        <v>0</v>
      </c>
      <c r="WAY23" s="229">
        <v>0</v>
      </c>
      <c r="WAZ23" s="229">
        <v>0</v>
      </c>
      <c r="WBA23" s="229">
        <v>0</v>
      </c>
      <c r="WBB23" s="229">
        <v>0</v>
      </c>
      <c r="WBC23" s="229">
        <v>0</v>
      </c>
      <c r="WBD23" s="229">
        <v>0</v>
      </c>
      <c r="WBE23" s="229">
        <v>0</v>
      </c>
      <c r="WBF23" s="229">
        <v>0</v>
      </c>
      <c r="WBG23" s="229">
        <v>0</v>
      </c>
      <c r="WBH23" s="229">
        <v>0</v>
      </c>
      <c r="WBI23" s="229">
        <v>0</v>
      </c>
      <c r="WBJ23" s="229">
        <v>0</v>
      </c>
      <c r="WBK23" s="229">
        <v>0</v>
      </c>
      <c r="WBL23" s="229">
        <v>0</v>
      </c>
      <c r="WBM23" s="229">
        <v>0</v>
      </c>
      <c r="WBN23" s="229">
        <v>0</v>
      </c>
      <c r="WBO23" s="229">
        <v>0</v>
      </c>
      <c r="WBP23" s="229">
        <v>0</v>
      </c>
      <c r="WBQ23" s="229">
        <v>0</v>
      </c>
      <c r="WBR23" s="229">
        <v>0</v>
      </c>
      <c r="WBS23" s="229">
        <v>0</v>
      </c>
      <c r="WBT23" s="229">
        <v>0</v>
      </c>
      <c r="WBU23" s="229">
        <v>0</v>
      </c>
      <c r="WBV23" s="229">
        <v>0</v>
      </c>
      <c r="WBW23" s="229">
        <v>0</v>
      </c>
      <c r="WBX23" s="229">
        <v>0</v>
      </c>
      <c r="WBY23" s="229">
        <v>0</v>
      </c>
      <c r="WBZ23" s="229">
        <v>0</v>
      </c>
      <c r="WCA23" s="229">
        <v>0</v>
      </c>
      <c r="WCB23" s="229">
        <v>0</v>
      </c>
      <c r="WCC23" s="229">
        <v>0</v>
      </c>
      <c r="WCD23" s="229">
        <v>0</v>
      </c>
      <c r="WCE23" s="229">
        <v>0</v>
      </c>
      <c r="WCF23" s="229">
        <v>0</v>
      </c>
      <c r="WCG23" s="229">
        <v>0</v>
      </c>
      <c r="WCH23" s="229">
        <v>0</v>
      </c>
      <c r="WCI23" s="229">
        <v>0</v>
      </c>
      <c r="WCJ23" s="229">
        <v>0</v>
      </c>
      <c r="WCK23" s="229">
        <v>0</v>
      </c>
      <c r="WCL23" s="229">
        <v>0</v>
      </c>
      <c r="WCM23" s="229">
        <v>0</v>
      </c>
      <c r="WCN23" s="229">
        <v>0</v>
      </c>
      <c r="WCO23" s="229">
        <v>0</v>
      </c>
      <c r="WCP23" s="229">
        <v>0</v>
      </c>
      <c r="WCQ23" s="229">
        <v>0</v>
      </c>
      <c r="WCR23" s="229">
        <v>0</v>
      </c>
      <c r="WCS23" s="229">
        <v>0</v>
      </c>
      <c r="WCT23" s="229">
        <v>0</v>
      </c>
      <c r="WCU23" s="229">
        <v>0</v>
      </c>
      <c r="WCV23" s="229">
        <v>0</v>
      </c>
      <c r="WCW23" s="229">
        <v>0</v>
      </c>
      <c r="WCX23" s="229">
        <v>0</v>
      </c>
      <c r="WCY23" s="229">
        <v>0</v>
      </c>
      <c r="WCZ23" s="229">
        <v>0</v>
      </c>
      <c r="WDA23" s="229">
        <v>0</v>
      </c>
      <c r="WDB23" s="229">
        <v>0</v>
      </c>
      <c r="WDC23" s="229">
        <v>0</v>
      </c>
      <c r="WDD23" s="229">
        <v>0</v>
      </c>
      <c r="WDE23" s="229">
        <v>0</v>
      </c>
      <c r="WDF23" s="229">
        <v>0</v>
      </c>
      <c r="WDG23" s="229">
        <v>0</v>
      </c>
      <c r="WDH23" s="229">
        <v>0</v>
      </c>
      <c r="WDI23" s="229">
        <v>0</v>
      </c>
      <c r="WDJ23" s="229">
        <v>0</v>
      </c>
      <c r="WDK23" s="229">
        <v>0</v>
      </c>
      <c r="WDL23" s="229">
        <v>0</v>
      </c>
      <c r="WDM23" s="229">
        <v>0</v>
      </c>
      <c r="WDN23" s="229">
        <v>0</v>
      </c>
      <c r="WDO23" s="229">
        <v>0</v>
      </c>
      <c r="WDP23" s="229">
        <v>0</v>
      </c>
      <c r="WDQ23" s="229">
        <v>0</v>
      </c>
      <c r="WDR23" s="229">
        <v>0</v>
      </c>
      <c r="WDS23" s="229">
        <v>0</v>
      </c>
      <c r="WDT23" s="229">
        <v>0</v>
      </c>
      <c r="WDU23" s="229">
        <v>0</v>
      </c>
      <c r="WDV23" s="229">
        <v>0</v>
      </c>
      <c r="WDW23" s="229">
        <v>0</v>
      </c>
      <c r="WDX23" s="229">
        <v>0</v>
      </c>
      <c r="WDY23" s="229">
        <v>0</v>
      </c>
      <c r="WDZ23" s="229">
        <v>0</v>
      </c>
      <c r="WEA23" s="229">
        <v>0</v>
      </c>
      <c r="WEB23" s="229">
        <v>0</v>
      </c>
      <c r="WEC23" s="229">
        <v>0</v>
      </c>
      <c r="WED23" s="229">
        <v>0</v>
      </c>
      <c r="WEE23" s="229">
        <v>0</v>
      </c>
      <c r="WEF23" s="229">
        <v>0</v>
      </c>
      <c r="WEG23" s="229">
        <v>0</v>
      </c>
      <c r="WEH23" s="229">
        <v>0</v>
      </c>
      <c r="WEI23" s="229">
        <v>0</v>
      </c>
      <c r="WEJ23" s="229">
        <v>0</v>
      </c>
      <c r="WEK23" s="229">
        <v>0</v>
      </c>
      <c r="WEL23" s="229">
        <v>0</v>
      </c>
      <c r="WEM23" s="229">
        <v>0</v>
      </c>
      <c r="WEN23" s="229">
        <v>0</v>
      </c>
      <c r="WEO23" s="229">
        <v>0</v>
      </c>
      <c r="WEP23" s="229">
        <v>0</v>
      </c>
      <c r="WEQ23" s="229">
        <v>0</v>
      </c>
      <c r="WER23" s="229">
        <v>0</v>
      </c>
      <c r="WES23" s="229">
        <v>0</v>
      </c>
      <c r="WET23" s="229">
        <v>0</v>
      </c>
      <c r="WEU23" s="229">
        <v>0</v>
      </c>
      <c r="WEV23" s="229">
        <v>0</v>
      </c>
      <c r="WEW23" s="229">
        <v>0</v>
      </c>
      <c r="WEX23" s="229">
        <v>0</v>
      </c>
      <c r="WEY23" s="229">
        <v>0</v>
      </c>
      <c r="WEZ23" s="229">
        <v>0</v>
      </c>
      <c r="WFA23" s="229">
        <v>0</v>
      </c>
      <c r="WFB23" s="229">
        <v>0</v>
      </c>
      <c r="WFC23" s="229">
        <v>0</v>
      </c>
      <c r="WFD23" s="229">
        <v>0</v>
      </c>
      <c r="WFE23" s="229">
        <v>0</v>
      </c>
      <c r="WFF23" s="229">
        <v>0</v>
      </c>
      <c r="WFG23" s="229">
        <v>0</v>
      </c>
      <c r="WFH23" s="229">
        <v>0</v>
      </c>
      <c r="WFI23" s="229">
        <v>0</v>
      </c>
      <c r="WFJ23" s="229">
        <v>0</v>
      </c>
      <c r="WFK23" s="229">
        <v>0</v>
      </c>
      <c r="WFL23" s="229">
        <v>0</v>
      </c>
      <c r="WFM23" s="229">
        <v>0</v>
      </c>
      <c r="WFN23" s="229">
        <v>0</v>
      </c>
      <c r="WFO23" s="229">
        <v>0</v>
      </c>
      <c r="WFP23" s="229">
        <v>0</v>
      </c>
      <c r="WFQ23" s="229">
        <v>0</v>
      </c>
      <c r="WFR23" s="229">
        <v>0</v>
      </c>
      <c r="WFS23" s="229">
        <v>0</v>
      </c>
      <c r="WFT23" s="229">
        <v>0</v>
      </c>
      <c r="WFU23" s="229">
        <v>0</v>
      </c>
      <c r="WFV23" s="229">
        <v>0</v>
      </c>
      <c r="WFW23" s="229">
        <v>0</v>
      </c>
      <c r="WFX23" s="229">
        <v>0</v>
      </c>
      <c r="WFY23" s="229">
        <v>0</v>
      </c>
      <c r="WFZ23" s="229">
        <v>0</v>
      </c>
      <c r="WGA23" s="229">
        <v>0</v>
      </c>
      <c r="WGB23" s="229">
        <v>0</v>
      </c>
      <c r="WGC23" s="229">
        <v>0</v>
      </c>
      <c r="WGD23" s="229">
        <v>0</v>
      </c>
      <c r="WGE23" s="229">
        <v>0</v>
      </c>
      <c r="WGF23" s="229">
        <v>0</v>
      </c>
      <c r="WGG23" s="229">
        <v>0</v>
      </c>
      <c r="WGH23" s="229">
        <v>0</v>
      </c>
      <c r="WGI23" s="229">
        <v>0</v>
      </c>
      <c r="WGJ23" s="229">
        <v>0</v>
      </c>
      <c r="WGK23" s="229">
        <v>0</v>
      </c>
      <c r="WGL23" s="229">
        <v>0</v>
      </c>
      <c r="WGM23" s="229">
        <v>0</v>
      </c>
      <c r="WGN23" s="229">
        <v>0</v>
      </c>
      <c r="WGO23" s="229">
        <v>0</v>
      </c>
      <c r="WGP23" s="229">
        <v>0</v>
      </c>
      <c r="WGQ23" s="229">
        <v>0</v>
      </c>
      <c r="WGR23" s="229">
        <v>0</v>
      </c>
      <c r="WGS23" s="229">
        <v>0</v>
      </c>
      <c r="WGT23" s="229">
        <v>0</v>
      </c>
      <c r="WGU23" s="229">
        <v>0</v>
      </c>
      <c r="WGV23" s="229">
        <v>0</v>
      </c>
      <c r="WGW23" s="229">
        <v>0</v>
      </c>
      <c r="WGX23" s="229">
        <v>0</v>
      </c>
      <c r="WGY23" s="229">
        <v>0</v>
      </c>
      <c r="WGZ23" s="229">
        <v>0</v>
      </c>
      <c r="WHA23" s="229">
        <v>0</v>
      </c>
      <c r="WHB23" s="229">
        <v>0</v>
      </c>
      <c r="WHC23" s="229">
        <v>0</v>
      </c>
      <c r="WHD23" s="229">
        <v>0</v>
      </c>
      <c r="WHE23" s="229">
        <v>0</v>
      </c>
      <c r="WHF23" s="229">
        <v>0</v>
      </c>
      <c r="WHG23" s="229">
        <v>0</v>
      </c>
      <c r="WHH23" s="229">
        <v>0</v>
      </c>
      <c r="WHI23" s="229">
        <v>0</v>
      </c>
      <c r="WHJ23" s="229">
        <v>0</v>
      </c>
      <c r="WHK23" s="229">
        <v>0</v>
      </c>
      <c r="WHL23" s="229">
        <v>0</v>
      </c>
      <c r="WHM23" s="229">
        <v>0</v>
      </c>
      <c r="WHN23" s="229">
        <v>0</v>
      </c>
      <c r="WHO23" s="229">
        <v>0</v>
      </c>
      <c r="WHP23" s="229">
        <v>0</v>
      </c>
      <c r="WHQ23" s="229">
        <v>0</v>
      </c>
      <c r="WHR23" s="229">
        <v>0</v>
      </c>
      <c r="WHS23" s="229">
        <v>0</v>
      </c>
      <c r="WHT23" s="229">
        <v>0</v>
      </c>
      <c r="WHU23" s="229">
        <v>0</v>
      </c>
      <c r="WHV23" s="229">
        <v>0</v>
      </c>
      <c r="WHW23" s="229">
        <v>0</v>
      </c>
      <c r="WHX23" s="229">
        <v>0</v>
      </c>
      <c r="WHY23" s="229">
        <v>0</v>
      </c>
      <c r="WHZ23" s="229">
        <v>0</v>
      </c>
      <c r="WIA23" s="229">
        <v>0</v>
      </c>
      <c r="WIB23" s="229">
        <v>0</v>
      </c>
      <c r="WIC23" s="229">
        <v>0</v>
      </c>
      <c r="WID23" s="229">
        <v>0</v>
      </c>
      <c r="WIE23" s="229">
        <v>0</v>
      </c>
      <c r="WIF23" s="229">
        <v>0</v>
      </c>
      <c r="WIG23" s="229">
        <v>0</v>
      </c>
      <c r="WIH23" s="229">
        <v>0</v>
      </c>
      <c r="WII23" s="229">
        <v>0</v>
      </c>
      <c r="WIJ23" s="229">
        <v>0</v>
      </c>
      <c r="WIK23" s="229">
        <v>0</v>
      </c>
      <c r="WIL23" s="229">
        <v>0</v>
      </c>
      <c r="WIM23" s="229">
        <v>0</v>
      </c>
      <c r="WIN23" s="229">
        <v>0</v>
      </c>
      <c r="WIO23" s="229">
        <v>0</v>
      </c>
      <c r="WIP23" s="229">
        <v>0</v>
      </c>
      <c r="WIQ23" s="229">
        <v>0</v>
      </c>
      <c r="WIR23" s="229">
        <v>0</v>
      </c>
      <c r="WIS23" s="229">
        <v>0</v>
      </c>
      <c r="WIT23" s="229">
        <v>0</v>
      </c>
      <c r="WIU23" s="229">
        <v>0</v>
      </c>
      <c r="WIV23" s="229">
        <v>0</v>
      </c>
      <c r="WIW23" s="229">
        <v>0</v>
      </c>
      <c r="WIX23" s="229">
        <v>0</v>
      </c>
      <c r="WIY23" s="229">
        <v>0</v>
      </c>
      <c r="WIZ23" s="229">
        <v>0</v>
      </c>
      <c r="WJA23" s="229">
        <v>0</v>
      </c>
      <c r="WJB23" s="229">
        <v>0</v>
      </c>
      <c r="WJC23" s="229">
        <v>0</v>
      </c>
      <c r="WJD23" s="229">
        <v>0</v>
      </c>
      <c r="WJE23" s="229">
        <v>0</v>
      </c>
      <c r="WJF23" s="229">
        <v>0</v>
      </c>
      <c r="WJG23" s="229">
        <v>0</v>
      </c>
      <c r="WJH23" s="229">
        <v>0</v>
      </c>
      <c r="WJI23" s="229">
        <v>0</v>
      </c>
      <c r="WJJ23" s="229">
        <v>0</v>
      </c>
      <c r="WJK23" s="229">
        <v>0</v>
      </c>
      <c r="WJL23" s="229">
        <v>0</v>
      </c>
      <c r="WJM23" s="229">
        <v>0</v>
      </c>
      <c r="WJN23" s="229">
        <v>0</v>
      </c>
      <c r="WJO23" s="229">
        <v>0</v>
      </c>
      <c r="WJP23" s="229">
        <v>0</v>
      </c>
      <c r="WJQ23" s="229">
        <v>0</v>
      </c>
      <c r="WJR23" s="229">
        <v>0</v>
      </c>
      <c r="WJS23" s="229">
        <v>0</v>
      </c>
      <c r="WJT23" s="229">
        <v>0</v>
      </c>
      <c r="WJU23" s="229">
        <v>0</v>
      </c>
      <c r="WJV23" s="229">
        <v>0</v>
      </c>
      <c r="WJW23" s="229">
        <v>0</v>
      </c>
      <c r="WJX23" s="229">
        <v>0</v>
      </c>
      <c r="WJY23" s="229">
        <v>0</v>
      </c>
      <c r="WJZ23" s="229">
        <v>0</v>
      </c>
      <c r="WKA23" s="229">
        <v>0</v>
      </c>
      <c r="WKB23" s="229">
        <v>0</v>
      </c>
      <c r="WKC23" s="229">
        <v>0</v>
      </c>
      <c r="WKD23" s="229">
        <v>0</v>
      </c>
      <c r="WKE23" s="229">
        <v>0</v>
      </c>
      <c r="WKF23" s="229">
        <v>0</v>
      </c>
      <c r="WKG23" s="229">
        <v>0</v>
      </c>
      <c r="WKH23" s="229">
        <v>0</v>
      </c>
      <c r="WKI23" s="229">
        <v>0</v>
      </c>
      <c r="WKJ23" s="229">
        <v>0</v>
      </c>
      <c r="WKK23" s="229">
        <v>0</v>
      </c>
      <c r="WKL23" s="229">
        <v>0</v>
      </c>
      <c r="WKM23" s="229">
        <v>0</v>
      </c>
      <c r="WKN23" s="229">
        <v>0</v>
      </c>
      <c r="WKO23" s="229">
        <v>0</v>
      </c>
      <c r="WKP23" s="229">
        <v>0</v>
      </c>
      <c r="WKQ23" s="229">
        <v>0</v>
      </c>
      <c r="WKR23" s="229">
        <v>0</v>
      </c>
      <c r="WKS23" s="229">
        <v>0</v>
      </c>
      <c r="WKT23" s="229">
        <v>0</v>
      </c>
      <c r="WKU23" s="229">
        <v>0</v>
      </c>
      <c r="WKV23" s="229">
        <v>0</v>
      </c>
      <c r="WKW23" s="229">
        <v>0</v>
      </c>
      <c r="WKX23" s="229">
        <v>0</v>
      </c>
      <c r="WKY23" s="229">
        <v>0</v>
      </c>
      <c r="WKZ23" s="229">
        <v>0</v>
      </c>
      <c r="WLA23" s="229">
        <v>0</v>
      </c>
      <c r="WLB23" s="229">
        <v>0</v>
      </c>
      <c r="WLC23" s="229">
        <v>0</v>
      </c>
      <c r="WLD23" s="229">
        <v>0</v>
      </c>
      <c r="WLE23" s="229">
        <v>0</v>
      </c>
      <c r="WLF23" s="229">
        <v>0</v>
      </c>
      <c r="WLG23" s="229">
        <v>0</v>
      </c>
      <c r="WLH23" s="229">
        <v>0</v>
      </c>
      <c r="WLI23" s="229">
        <v>0</v>
      </c>
      <c r="WLJ23" s="229">
        <v>0</v>
      </c>
      <c r="WLK23" s="229">
        <v>0</v>
      </c>
      <c r="WLL23" s="229">
        <v>0</v>
      </c>
      <c r="WLM23" s="229">
        <v>0</v>
      </c>
      <c r="WLN23" s="229">
        <v>0</v>
      </c>
      <c r="WLO23" s="229">
        <v>0</v>
      </c>
      <c r="WLP23" s="229">
        <v>0</v>
      </c>
      <c r="WLQ23" s="229">
        <v>0</v>
      </c>
      <c r="WLR23" s="229">
        <v>0</v>
      </c>
      <c r="WLS23" s="229">
        <v>0</v>
      </c>
      <c r="WLT23" s="229">
        <v>0</v>
      </c>
      <c r="WLU23" s="229">
        <v>0</v>
      </c>
      <c r="WLV23" s="229">
        <v>0</v>
      </c>
      <c r="WLW23" s="229">
        <v>0</v>
      </c>
      <c r="WLX23" s="229">
        <v>0</v>
      </c>
      <c r="WLY23" s="229">
        <v>0</v>
      </c>
      <c r="WLZ23" s="229">
        <v>0</v>
      </c>
      <c r="WMA23" s="229">
        <v>0</v>
      </c>
      <c r="WMB23" s="229">
        <v>0</v>
      </c>
      <c r="WMC23" s="229">
        <v>0</v>
      </c>
      <c r="WMD23" s="229">
        <v>0</v>
      </c>
      <c r="WME23" s="229">
        <v>0</v>
      </c>
      <c r="WMF23" s="229">
        <v>0</v>
      </c>
      <c r="WMG23" s="229">
        <v>0</v>
      </c>
      <c r="WMH23" s="229">
        <v>0</v>
      </c>
      <c r="WMI23" s="229">
        <v>0</v>
      </c>
      <c r="WMJ23" s="229">
        <v>0</v>
      </c>
      <c r="WMK23" s="229">
        <v>0</v>
      </c>
      <c r="WML23" s="229">
        <v>0</v>
      </c>
      <c r="WMM23" s="229">
        <v>0</v>
      </c>
      <c r="WMN23" s="229">
        <v>0</v>
      </c>
      <c r="WMO23" s="229">
        <v>0</v>
      </c>
      <c r="WMP23" s="229">
        <v>0</v>
      </c>
      <c r="WMQ23" s="229">
        <v>0</v>
      </c>
      <c r="WMR23" s="229">
        <v>0</v>
      </c>
      <c r="WMS23" s="229">
        <v>0</v>
      </c>
      <c r="WMT23" s="229">
        <v>0</v>
      </c>
      <c r="WMU23" s="229">
        <v>0</v>
      </c>
      <c r="WMV23" s="229">
        <v>0</v>
      </c>
      <c r="WMW23" s="229">
        <v>0</v>
      </c>
      <c r="WMX23" s="229">
        <v>0</v>
      </c>
      <c r="WMY23" s="229">
        <v>0</v>
      </c>
      <c r="WMZ23" s="229">
        <v>0</v>
      </c>
      <c r="WNA23" s="229">
        <v>0</v>
      </c>
      <c r="WNB23" s="229">
        <v>0</v>
      </c>
      <c r="WNC23" s="229">
        <v>0</v>
      </c>
      <c r="WND23" s="229">
        <v>0</v>
      </c>
      <c r="WNE23" s="229">
        <v>0</v>
      </c>
      <c r="WNF23" s="229">
        <v>0</v>
      </c>
      <c r="WNG23" s="229">
        <v>0</v>
      </c>
      <c r="WNH23" s="229">
        <v>0</v>
      </c>
      <c r="WNI23" s="229">
        <v>0</v>
      </c>
      <c r="WNJ23" s="229">
        <v>0</v>
      </c>
      <c r="WNK23" s="229">
        <v>0</v>
      </c>
      <c r="WNL23" s="229">
        <v>0</v>
      </c>
      <c r="WNM23" s="229">
        <v>0</v>
      </c>
      <c r="WNN23" s="229">
        <v>0</v>
      </c>
      <c r="WNO23" s="229">
        <v>0</v>
      </c>
      <c r="WNP23" s="229">
        <v>0</v>
      </c>
      <c r="WNQ23" s="229">
        <v>0</v>
      </c>
      <c r="WNR23" s="229">
        <v>0</v>
      </c>
      <c r="WNS23" s="229">
        <v>0</v>
      </c>
      <c r="WNT23" s="229">
        <v>0</v>
      </c>
      <c r="WNU23" s="229">
        <v>0</v>
      </c>
      <c r="WNV23" s="229">
        <v>0</v>
      </c>
      <c r="WNW23" s="229">
        <v>0</v>
      </c>
      <c r="WNX23" s="229">
        <v>0</v>
      </c>
      <c r="WNY23" s="229">
        <v>0</v>
      </c>
      <c r="WNZ23" s="229">
        <v>0</v>
      </c>
      <c r="WOA23" s="229">
        <v>0</v>
      </c>
      <c r="WOB23" s="229">
        <v>0</v>
      </c>
      <c r="WOC23" s="229">
        <v>0</v>
      </c>
      <c r="WOD23" s="229">
        <v>0</v>
      </c>
      <c r="WOE23" s="229">
        <v>0</v>
      </c>
      <c r="WOF23" s="229">
        <v>0</v>
      </c>
      <c r="WOG23" s="229">
        <v>0</v>
      </c>
      <c r="WOH23" s="229">
        <v>0</v>
      </c>
      <c r="WOI23" s="229">
        <v>0</v>
      </c>
      <c r="WOJ23" s="229">
        <v>0</v>
      </c>
      <c r="WOK23" s="229">
        <v>0</v>
      </c>
      <c r="WOL23" s="229">
        <v>0</v>
      </c>
      <c r="WOM23" s="229">
        <v>0</v>
      </c>
      <c r="WON23" s="229">
        <v>0</v>
      </c>
      <c r="WOO23" s="229">
        <v>0</v>
      </c>
      <c r="WOP23" s="229">
        <v>0</v>
      </c>
      <c r="WOQ23" s="229">
        <v>0</v>
      </c>
      <c r="WOR23" s="229">
        <v>0</v>
      </c>
      <c r="WOS23" s="229">
        <v>0</v>
      </c>
      <c r="WOT23" s="229">
        <v>0</v>
      </c>
      <c r="WOU23" s="229">
        <v>0</v>
      </c>
      <c r="WOV23" s="229">
        <v>0</v>
      </c>
      <c r="WOW23" s="229">
        <v>0</v>
      </c>
      <c r="WOX23" s="229">
        <v>0</v>
      </c>
      <c r="WOY23" s="229">
        <v>0</v>
      </c>
      <c r="WOZ23" s="229">
        <v>0</v>
      </c>
      <c r="WPA23" s="229">
        <v>0</v>
      </c>
      <c r="WPB23" s="229">
        <v>0</v>
      </c>
      <c r="WPC23" s="229">
        <v>0</v>
      </c>
      <c r="WPD23" s="229">
        <v>0</v>
      </c>
      <c r="WPE23" s="229">
        <v>0</v>
      </c>
      <c r="WPF23" s="229">
        <v>0</v>
      </c>
      <c r="WPG23" s="229">
        <v>0</v>
      </c>
      <c r="WPH23" s="229">
        <v>0</v>
      </c>
      <c r="WPI23" s="229">
        <v>0</v>
      </c>
      <c r="WPJ23" s="229">
        <v>0</v>
      </c>
      <c r="WPK23" s="229">
        <v>0</v>
      </c>
      <c r="WPL23" s="229">
        <v>0</v>
      </c>
      <c r="WPM23" s="229">
        <v>0</v>
      </c>
      <c r="WPN23" s="229">
        <v>0</v>
      </c>
      <c r="WPO23" s="229">
        <v>0</v>
      </c>
      <c r="WPP23" s="229">
        <v>0</v>
      </c>
      <c r="WPQ23" s="229">
        <v>0</v>
      </c>
      <c r="WPR23" s="229">
        <v>0</v>
      </c>
      <c r="WPS23" s="229">
        <v>0</v>
      </c>
      <c r="WPT23" s="229">
        <v>0</v>
      </c>
      <c r="WPU23" s="229">
        <v>0</v>
      </c>
      <c r="WPV23" s="229">
        <v>0</v>
      </c>
      <c r="WPW23" s="229">
        <v>0</v>
      </c>
      <c r="WPX23" s="229">
        <v>0</v>
      </c>
      <c r="WPY23" s="229">
        <v>0</v>
      </c>
      <c r="WPZ23" s="229">
        <v>0</v>
      </c>
      <c r="WQA23" s="229">
        <v>0</v>
      </c>
      <c r="WQB23" s="229">
        <v>0</v>
      </c>
      <c r="WQC23" s="229">
        <v>0</v>
      </c>
      <c r="WQD23" s="229">
        <v>0</v>
      </c>
      <c r="WQE23" s="229">
        <v>0</v>
      </c>
      <c r="WQF23" s="229">
        <v>0</v>
      </c>
      <c r="WQG23" s="229">
        <v>0</v>
      </c>
      <c r="WQH23" s="229">
        <v>0</v>
      </c>
      <c r="WQI23" s="229">
        <v>0</v>
      </c>
      <c r="WQJ23" s="229">
        <v>0</v>
      </c>
      <c r="WQK23" s="229">
        <v>0</v>
      </c>
      <c r="WQL23" s="229">
        <v>0</v>
      </c>
      <c r="WQM23" s="229">
        <v>0</v>
      </c>
      <c r="WQN23" s="229">
        <v>0</v>
      </c>
      <c r="WQO23" s="229">
        <v>0</v>
      </c>
      <c r="WQP23" s="229">
        <v>0</v>
      </c>
      <c r="WQQ23" s="229">
        <v>0</v>
      </c>
      <c r="WQR23" s="229">
        <v>0</v>
      </c>
      <c r="WQS23" s="229">
        <v>0</v>
      </c>
      <c r="WQT23" s="229">
        <v>0</v>
      </c>
      <c r="WQU23" s="229">
        <v>0</v>
      </c>
      <c r="WQV23" s="229">
        <v>0</v>
      </c>
      <c r="WQW23" s="229">
        <v>0</v>
      </c>
      <c r="WQX23" s="229">
        <v>0</v>
      </c>
      <c r="WQY23" s="229">
        <v>0</v>
      </c>
      <c r="WQZ23" s="229">
        <v>0</v>
      </c>
      <c r="WRA23" s="229">
        <v>0</v>
      </c>
      <c r="WRB23" s="229">
        <v>0</v>
      </c>
      <c r="WRC23" s="229">
        <v>0</v>
      </c>
      <c r="WRD23" s="229">
        <v>0</v>
      </c>
      <c r="WRE23" s="229">
        <v>0</v>
      </c>
      <c r="WRF23" s="229">
        <v>0</v>
      </c>
      <c r="WRG23" s="229">
        <v>0</v>
      </c>
      <c r="WRH23" s="229">
        <v>0</v>
      </c>
      <c r="WRI23" s="229">
        <v>0</v>
      </c>
      <c r="WRJ23" s="229">
        <v>0</v>
      </c>
      <c r="WRK23" s="229">
        <v>0</v>
      </c>
      <c r="WRL23" s="229">
        <v>0</v>
      </c>
      <c r="WRM23" s="229">
        <v>0</v>
      </c>
      <c r="WRN23" s="229">
        <v>0</v>
      </c>
      <c r="WRO23" s="229">
        <v>0</v>
      </c>
      <c r="WRP23" s="229">
        <v>0</v>
      </c>
      <c r="WRQ23" s="229">
        <v>0</v>
      </c>
      <c r="WRR23" s="229">
        <v>0</v>
      </c>
      <c r="WRS23" s="229">
        <v>0</v>
      </c>
      <c r="WRT23" s="229">
        <v>0</v>
      </c>
      <c r="WRU23" s="229">
        <v>0</v>
      </c>
      <c r="WRV23" s="229">
        <v>0</v>
      </c>
      <c r="WRW23" s="229">
        <v>0</v>
      </c>
      <c r="WRX23" s="229">
        <v>0</v>
      </c>
      <c r="WRY23" s="229">
        <v>0</v>
      </c>
      <c r="WRZ23" s="229">
        <v>0</v>
      </c>
      <c r="WSA23" s="229">
        <v>0</v>
      </c>
      <c r="WSB23" s="229">
        <v>0</v>
      </c>
      <c r="WSC23" s="229">
        <v>0</v>
      </c>
      <c r="WSD23" s="229">
        <v>0</v>
      </c>
      <c r="WSE23" s="229">
        <v>0</v>
      </c>
      <c r="WSF23" s="229">
        <v>0</v>
      </c>
      <c r="WSG23" s="229">
        <v>0</v>
      </c>
      <c r="WSH23" s="229">
        <v>0</v>
      </c>
      <c r="WSI23" s="229">
        <v>0</v>
      </c>
      <c r="WSJ23" s="229">
        <v>0</v>
      </c>
      <c r="WSK23" s="229">
        <v>0</v>
      </c>
      <c r="WSL23" s="229">
        <v>0</v>
      </c>
      <c r="WSM23" s="229">
        <v>0</v>
      </c>
      <c r="WSN23" s="229">
        <v>0</v>
      </c>
      <c r="WSO23" s="229">
        <v>0</v>
      </c>
      <c r="WSP23" s="229">
        <v>0</v>
      </c>
      <c r="WSQ23" s="229">
        <v>0</v>
      </c>
      <c r="WSR23" s="229">
        <v>0</v>
      </c>
      <c r="WSS23" s="229">
        <v>0</v>
      </c>
      <c r="WST23" s="229">
        <v>0</v>
      </c>
      <c r="WSU23" s="229">
        <v>0</v>
      </c>
      <c r="WSV23" s="229">
        <v>0</v>
      </c>
      <c r="WSW23" s="229">
        <v>0</v>
      </c>
      <c r="WSX23" s="229">
        <v>0</v>
      </c>
      <c r="WSY23" s="229">
        <v>0</v>
      </c>
      <c r="WSZ23" s="229">
        <v>0</v>
      </c>
      <c r="WTA23" s="229">
        <v>0</v>
      </c>
      <c r="WTB23" s="229">
        <v>0</v>
      </c>
      <c r="WTC23" s="229">
        <v>0</v>
      </c>
      <c r="WTD23" s="229">
        <v>0</v>
      </c>
      <c r="WTE23" s="229">
        <v>0</v>
      </c>
      <c r="WTF23" s="229">
        <v>0</v>
      </c>
      <c r="WTG23" s="229">
        <v>0</v>
      </c>
      <c r="WTH23" s="229">
        <v>0</v>
      </c>
      <c r="WTI23" s="229">
        <v>0</v>
      </c>
      <c r="WTJ23" s="229">
        <v>0</v>
      </c>
      <c r="WTK23" s="229">
        <v>0</v>
      </c>
      <c r="WTL23" s="229">
        <v>0</v>
      </c>
      <c r="WTM23" s="229">
        <v>0</v>
      </c>
      <c r="WTN23" s="229">
        <v>0</v>
      </c>
      <c r="WTO23" s="229">
        <v>0</v>
      </c>
      <c r="WTP23" s="229">
        <v>0</v>
      </c>
      <c r="WTQ23" s="229">
        <v>0</v>
      </c>
      <c r="WTR23" s="229">
        <v>0</v>
      </c>
      <c r="WTS23" s="229">
        <v>0</v>
      </c>
      <c r="WTT23" s="229">
        <v>0</v>
      </c>
      <c r="WTU23" s="229">
        <v>0</v>
      </c>
      <c r="WTV23" s="229">
        <v>0</v>
      </c>
      <c r="WTW23" s="229">
        <v>0</v>
      </c>
      <c r="WTX23" s="229">
        <v>0</v>
      </c>
      <c r="WTY23" s="229">
        <v>0</v>
      </c>
      <c r="WTZ23" s="229">
        <v>0</v>
      </c>
      <c r="WUA23" s="229">
        <v>0</v>
      </c>
      <c r="WUB23" s="229">
        <v>0</v>
      </c>
      <c r="WUC23" s="229">
        <v>0</v>
      </c>
      <c r="WUD23" s="229">
        <v>0</v>
      </c>
      <c r="WUE23" s="229">
        <v>0</v>
      </c>
      <c r="WUF23" s="229">
        <v>0</v>
      </c>
      <c r="WUG23" s="229">
        <v>0</v>
      </c>
      <c r="WUH23" s="229">
        <v>0</v>
      </c>
      <c r="WUI23" s="229">
        <v>0</v>
      </c>
      <c r="WUJ23" s="229">
        <v>0</v>
      </c>
      <c r="WUK23" s="229">
        <v>0</v>
      </c>
      <c r="WUL23" s="229">
        <v>0</v>
      </c>
      <c r="WUM23" s="229">
        <v>0</v>
      </c>
      <c r="WUN23" s="229">
        <v>0</v>
      </c>
      <c r="WUO23" s="229">
        <v>0</v>
      </c>
      <c r="WUP23" s="229">
        <v>0</v>
      </c>
      <c r="WUQ23" s="229">
        <v>0</v>
      </c>
      <c r="WUR23" s="229">
        <v>0</v>
      </c>
      <c r="WUS23" s="229">
        <v>0</v>
      </c>
      <c r="WUT23" s="229">
        <v>0</v>
      </c>
      <c r="WUU23" s="229">
        <v>0</v>
      </c>
      <c r="WUV23" s="229">
        <v>0</v>
      </c>
      <c r="WUW23" s="229">
        <v>0</v>
      </c>
      <c r="WUX23" s="229">
        <v>0</v>
      </c>
      <c r="WUY23" s="229">
        <v>0</v>
      </c>
      <c r="WUZ23" s="229">
        <v>0</v>
      </c>
      <c r="WVA23" s="229">
        <v>0</v>
      </c>
      <c r="WVB23" s="229">
        <v>0</v>
      </c>
      <c r="WVC23" s="229">
        <v>0</v>
      </c>
      <c r="WVD23" s="229">
        <v>0</v>
      </c>
      <c r="WVE23" s="229">
        <v>0</v>
      </c>
      <c r="WVF23" s="229">
        <v>0</v>
      </c>
      <c r="WVG23" s="229">
        <v>0</v>
      </c>
      <c r="WVH23" s="229">
        <v>0</v>
      </c>
      <c r="WVI23" s="229">
        <v>0</v>
      </c>
      <c r="WVJ23" s="229">
        <v>0</v>
      </c>
      <c r="WVK23" s="229">
        <v>0</v>
      </c>
      <c r="WVL23" s="229">
        <v>0</v>
      </c>
      <c r="WVM23" s="229">
        <v>0</v>
      </c>
      <c r="WVN23" s="229">
        <v>0</v>
      </c>
      <c r="WVO23" s="229">
        <v>0</v>
      </c>
      <c r="WVP23" s="229">
        <v>0</v>
      </c>
      <c r="WVQ23" s="229">
        <v>0</v>
      </c>
      <c r="WVR23" s="229">
        <v>0</v>
      </c>
      <c r="WVS23" s="229">
        <v>0</v>
      </c>
      <c r="WVT23" s="229">
        <v>0</v>
      </c>
      <c r="WVU23" s="229">
        <v>0</v>
      </c>
      <c r="WVV23" s="229">
        <v>0</v>
      </c>
      <c r="WVW23" s="229">
        <v>0</v>
      </c>
      <c r="WVX23" s="229">
        <v>0</v>
      </c>
      <c r="WVY23" s="229">
        <v>0</v>
      </c>
      <c r="WVZ23" s="229">
        <v>0</v>
      </c>
      <c r="WWA23" s="229">
        <v>0</v>
      </c>
      <c r="WWB23" s="229">
        <v>0</v>
      </c>
      <c r="WWC23" s="229">
        <v>0</v>
      </c>
      <c r="WWD23" s="229">
        <v>0</v>
      </c>
      <c r="WWE23" s="229">
        <v>0</v>
      </c>
      <c r="WWF23" s="229">
        <v>0</v>
      </c>
      <c r="WWG23" s="229">
        <v>0</v>
      </c>
      <c r="WWH23" s="229">
        <v>0</v>
      </c>
      <c r="WWI23" s="229">
        <v>0</v>
      </c>
      <c r="WWJ23" s="229">
        <v>0</v>
      </c>
      <c r="WWK23" s="229">
        <v>0</v>
      </c>
      <c r="WWL23" s="229">
        <v>0</v>
      </c>
      <c r="WWM23" s="229">
        <v>0</v>
      </c>
      <c r="WWN23" s="229">
        <v>0</v>
      </c>
      <c r="WWO23" s="229">
        <v>0</v>
      </c>
      <c r="WWP23" s="229">
        <v>0</v>
      </c>
      <c r="WWQ23" s="229">
        <v>0</v>
      </c>
      <c r="WWR23" s="229">
        <v>0</v>
      </c>
      <c r="WWS23" s="229">
        <v>0</v>
      </c>
      <c r="WWT23" s="229">
        <v>0</v>
      </c>
      <c r="WWU23" s="229">
        <v>0</v>
      </c>
      <c r="WWV23" s="229">
        <v>0</v>
      </c>
      <c r="WWW23" s="229">
        <v>0</v>
      </c>
      <c r="WWX23" s="229">
        <v>0</v>
      </c>
      <c r="WWY23" s="229">
        <v>0</v>
      </c>
      <c r="WWZ23" s="229">
        <v>0</v>
      </c>
      <c r="WXA23" s="229">
        <v>0</v>
      </c>
      <c r="WXB23" s="229">
        <v>0</v>
      </c>
      <c r="WXC23" s="229">
        <v>0</v>
      </c>
      <c r="WXD23" s="229">
        <v>0</v>
      </c>
      <c r="WXE23" s="229">
        <v>0</v>
      </c>
      <c r="WXF23" s="229">
        <v>0</v>
      </c>
      <c r="WXG23" s="229">
        <v>0</v>
      </c>
      <c r="WXH23" s="229">
        <v>0</v>
      </c>
      <c r="WXI23" s="229">
        <v>0</v>
      </c>
      <c r="WXJ23" s="229">
        <v>0</v>
      </c>
      <c r="WXK23" s="229">
        <v>0</v>
      </c>
      <c r="WXL23" s="229">
        <v>0</v>
      </c>
      <c r="WXM23" s="229">
        <v>0</v>
      </c>
      <c r="WXN23" s="229">
        <v>0</v>
      </c>
      <c r="WXO23" s="229">
        <v>0</v>
      </c>
      <c r="WXP23" s="229">
        <v>0</v>
      </c>
      <c r="WXQ23" s="229">
        <v>0</v>
      </c>
      <c r="WXR23" s="229">
        <v>0</v>
      </c>
      <c r="WXS23" s="229">
        <v>0</v>
      </c>
      <c r="WXT23" s="229">
        <v>0</v>
      </c>
      <c r="WXU23" s="229">
        <v>0</v>
      </c>
      <c r="WXV23" s="229">
        <v>0</v>
      </c>
      <c r="WXW23" s="229">
        <v>0</v>
      </c>
      <c r="WXX23" s="229">
        <v>0</v>
      </c>
      <c r="WXY23" s="229">
        <v>0</v>
      </c>
      <c r="WXZ23" s="229">
        <v>0</v>
      </c>
      <c r="WYA23" s="229">
        <v>0</v>
      </c>
      <c r="WYB23" s="229">
        <v>0</v>
      </c>
      <c r="WYC23" s="229">
        <v>0</v>
      </c>
      <c r="WYD23" s="229">
        <v>0</v>
      </c>
      <c r="WYE23" s="229">
        <v>0</v>
      </c>
      <c r="WYF23" s="229">
        <v>0</v>
      </c>
      <c r="WYG23" s="229">
        <v>0</v>
      </c>
      <c r="WYH23" s="229">
        <v>0</v>
      </c>
      <c r="WYI23" s="229">
        <v>0</v>
      </c>
      <c r="WYJ23" s="229">
        <v>0</v>
      </c>
      <c r="WYK23" s="229">
        <v>0</v>
      </c>
      <c r="WYL23" s="229">
        <v>0</v>
      </c>
      <c r="WYM23" s="229">
        <v>0</v>
      </c>
      <c r="WYN23" s="229">
        <v>0</v>
      </c>
      <c r="WYO23" s="229">
        <v>0</v>
      </c>
      <c r="WYP23" s="229">
        <v>0</v>
      </c>
      <c r="WYQ23" s="229">
        <v>0</v>
      </c>
      <c r="WYR23" s="229">
        <v>0</v>
      </c>
      <c r="WYS23" s="229">
        <v>0</v>
      </c>
      <c r="WYT23" s="229">
        <v>0</v>
      </c>
      <c r="WYU23" s="229">
        <v>0</v>
      </c>
      <c r="WYV23" s="229">
        <v>0</v>
      </c>
      <c r="WYW23" s="229">
        <v>0</v>
      </c>
      <c r="WYX23" s="229">
        <v>0</v>
      </c>
      <c r="WYY23" s="229">
        <v>0</v>
      </c>
      <c r="WYZ23" s="229">
        <v>0</v>
      </c>
      <c r="WZA23" s="229">
        <v>0</v>
      </c>
      <c r="WZB23" s="229">
        <v>0</v>
      </c>
      <c r="WZC23" s="229">
        <v>0</v>
      </c>
      <c r="WZD23" s="229">
        <v>0</v>
      </c>
      <c r="WZE23" s="229">
        <v>0</v>
      </c>
      <c r="WZF23" s="229">
        <v>0</v>
      </c>
      <c r="WZG23" s="229">
        <v>0</v>
      </c>
      <c r="WZH23" s="229">
        <v>0</v>
      </c>
      <c r="WZI23" s="229">
        <v>0</v>
      </c>
      <c r="WZJ23" s="229">
        <v>0</v>
      </c>
      <c r="WZK23" s="229">
        <v>0</v>
      </c>
      <c r="WZL23" s="229">
        <v>0</v>
      </c>
      <c r="WZM23" s="229">
        <v>0</v>
      </c>
      <c r="WZN23" s="229">
        <v>0</v>
      </c>
      <c r="WZO23" s="229">
        <v>0</v>
      </c>
      <c r="WZP23" s="229">
        <v>0</v>
      </c>
      <c r="WZQ23" s="229">
        <v>0</v>
      </c>
      <c r="WZR23" s="229">
        <v>0</v>
      </c>
      <c r="WZS23" s="229">
        <v>0</v>
      </c>
      <c r="WZT23" s="229">
        <v>0</v>
      </c>
      <c r="WZU23" s="229">
        <v>0</v>
      </c>
      <c r="WZV23" s="229">
        <v>0</v>
      </c>
      <c r="WZW23" s="229">
        <v>0</v>
      </c>
      <c r="WZX23" s="229">
        <v>0</v>
      </c>
      <c r="WZY23" s="229">
        <v>0</v>
      </c>
      <c r="WZZ23" s="229">
        <v>0</v>
      </c>
      <c r="XAA23" s="229">
        <v>0</v>
      </c>
      <c r="XAB23" s="229">
        <v>0</v>
      </c>
      <c r="XAC23" s="229">
        <v>0</v>
      </c>
      <c r="XAD23" s="229">
        <v>0</v>
      </c>
      <c r="XAE23" s="229">
        <v>0</v>
      </c>
      <c r="XAF23" s="229">
        <v>0</v>
      </c>
      <c r="XAG23" s="229">
        <v>0</v>
      </c>
      <c r="XAH23" s="229">
        <v>0</v>
      </c>
      <c r="XAI23" s="229">
        <v>0</v>
      </c>
      <c r="XAJ23" s="229">
        <v>0</v>
      </c>
      <c r="XAK23" s="229">
        <v>0</v>
      </c>
      <c r="XAL23" s="229">
        <v>0</v>
      </c>
      <c r="XAM23" s="229">
        <v>0</v>
      </c>
      <c r="XAN23" s="229">
        <v>0</v>
      </c>
      <c r="XAO23" s="229">
        <v>0</v>
      </c>
      <c r="XAP23" s="229">
        <v>0</v>
      </c>
      <c r="XAQ23" s="229">
        <v>0</v>
      </c>
      <c r="XAR23" s="229">
        <v>0</v>
      </c>
      <c r="XAS23" s="229">
        <v>0</v>
      </c>
      <c r="XAT23" s="229">
        <v>0</v>
      </c>
      <c r="XAU23" s="229">
        <v>0</v>
      </c>
      <c r="XAV23" s="229">
        <v>0</v>
      </c>
      <c r="XAW23" s="229">
        <v>0</v>
      </c>
      <c r="XAX23" s="229">
        <v>0</v>
      </c>
      <c r="XAY23" s="229">
        <v>0</v>
      </c>
      <c r="XAZ23" s="229">
        <v>0</v>
      </c>
      <c r="XBA23" s="229">
        <v>0</v>
      </c>
      <c r="XBB23" s="229">
        <v>0</v>
      </c>
      <c r="XBC23" s="229">
        <v>0</v>
      </c>
      <c r="XBD23" s="229">
        <v>0</v>
      </c>
      <c r="XBE23" s="229">
        <v>0</v>
      </c>
      <c r="XBF23" s="229">
        <v>0</v>
      </c>
      <c r="XBG23" s="229">
        <v>0</v>
      </c>
      <c r="XBH23" s="229">
        <v>0</v>
      </c>
      <c r="XBI23" s="229">
        <v>0</v>
      </c>
      <c r="XBJ23" s="229">
        <v>0</v>
      </c>
      <c r="XBK23" s="229">
        <v>0</v>
      </c>
      <c r="XBL23" s="229">
        <v>0</v>
      </c>
      <c r="XBM23" s="229">
        <v>0</v>
      </c>
      <c r="XBN23" s="229">
        <v>0</v>
      </c>
      <c r="XBO23" s="229">
        <v>0</v>
      </c>
      <c r="XBP23" s="229">
        <v>0</v>
      </c>
      <c r="XBQ23" s="229">
        <v>0</v>
      </c>
      <c r="XBR23" s="229">
        <v>0</v>
      </c>
      <c r="XBS23" s="229">
        <v>0</v>
      </c>
      <c r="XBT23" s="229">
        <v>0</v>
      </c>
      <c r="XBU23" s="229">
        <v>0</v>
      </c>
      <c r="XBV23" s="229">
        <v>0</v>
      </c>
      <c r="XBW23" s="229">
        <v>0</v>
      </c>
      <c r="XBX23" s="229">
        <v>0</v>
      </c>
      <c r="XBY23" s="229">
        <v>0</v>
      </c>
      <c r="XBZ23" s="229">
        <v>0</v>
      </c>
      <c r="XCA23" s="229">
        <v>0</v>
      </c>
      <c r="XCB23" s="229">
        <v>0</v>
      </c>
      <c r="XCC23" s="229">
        <v>0</v>
      </c>
      <c r="XCD23" s="229">
        <v>0</v>
      </c>
      <c r="XCE23" s="229">
        <v>0</v>
      </c>
      <c r="XCF23" s="229">
        <v>0</v>
      </c>
      <c r="XCG23" s="229">
        <v>0</v>
      </c>
      <c r="XCH23" s="229">
        <v>0</v>
      </c>
      <c r="XCI23" s="229">
        <v>0</v>
      </c>
      <c r="XCJ23" s="229">
        <v>0</v>
      </c>
      <c r="XCK23" s="229">
        <v>0</v>
      </c>
      <c r="XCL23" s="229">
        <v>0</v>
      </c>
      <c r="XCM23" s="229">
        <v>0</v>
      </c>
      <c r="XCN23" s="229">
        <v>0</v>
      </c>
      <c r="XCO23" s="229">
        <v>0</v>
      </c>
      <c r="XCP23" s="229">
        <v>0</v>
      </c>
      <c r="XCQ23" s="229">
        <v>0</v>
      </c>
      <c r="XCR23" s="229">
        <v>0</v>
      </c>
      <c r="XCS23" s="229">
        <v>0</v>
      </c>
      <c r="XCT23" s="229">
        <v>0</v>
      </c>
      <c r="XCU23" s="229">
        <v>0</v>
      </c>
      <c r="XCV23" s="229">
        <v>0</v>
      </c>
      <c r="XCW23" s="229">
        <v>0</v>
      </c>
      <c r="XCX23" s="229">
        <v>0</v>
      </c>
      <c r="XCY23" s="229">
        <v>0</v>
      </c>
      <c r="XCZ23" s="229">
        <v>0</v>
      </c>
      <c r="XDA23" s="229">
        <v>0</v>
      </c>
      <c r="XDB23" s="229">
        <v>0</v>
      </c>
      <c r="XDC23" s="229">
        <v>0</v>
      </c>
      <c r="XDD23" s="229">
        <v>0</v>
      </c>
      <c r="XDE23" s="229">
        <v>0</v>
      </c>
      <c r="XDF23" s="229">
        <v>0</v>
      </c>
      <c r="XDG23" s="229">
        <v>0</v>
      </c>
      <c r="XDH23" s="229">
        <v>0</v>
      </c>
      <c r="XDI23" s="229">
        <v>0</v>
      </c>
      <c r="XDJ23" s="229">
        <v>0</v>
      </c>
      <c r="XDK23" s="229">
        <v>0</v>
      </c>
      <c r="XDL23" s="229">
        <v>0</v>
      </c>
      <c r="XDM23" s="229">
        <v>0</v>
      </c>
      <c r="XDN23" s="229">
        <v>0</v>
      </c>
      <c r="XDO23" s="229">
        <v>0</v>
      </c>
      <c r="XDP23" s="229">
        <v>0</v>
      </c>
      <c r="XDQ23" s="229">
        <v>0</v>
      </c>
      <c r="XDR23" s="229">
        <v>0</v>
      </c>
      <c r="XDS23" s="229">
        <v>0</v>
      </c>
      <c r="XDT23" s="229">
        <v>0</v>
      </c>
      <c r="XDU23" s="229">
        <v>0</v>
      </c>
      <c r="XDV23" s="229">
        <v>0</v>
      </c>
      <c r="XDW23" s="229">
        <v>0</v>
      </c>
      <c r="XDX23" s="229">
        <v>0</v>
      </c>
      <c r="XDY23" s="229">
        <v>0</v>
      </c>
      <c r="XDZ23" s="229">
        <v>0</v>
      </c>
      <c r="XEA23" s="229">
        <v>0</v>
      </c>
      <c r="XEB23" s="229">
        <v>0</v>
      </c>
      <c r="XEC23" s="229">
        <v>0</v>
      </c>
      <c r="XED23" s="229">
        <v>0</v>
      </c>
      <c r="XEE23" s="229">
        <v>0</v>
      </c>
      <c r="XEF23" s="229">
        <v>0</v>
      </c>
      <c r="XEG23" s="229">
        <v>0</v>
      </c>
      <c r="XEH23" s="229">
        <v>0</v>
      </c>
      <c r="XEI23" s="229">
        <v>0</v>
      </c>
      <c r="XEJ23" s="229">
        <v>0</v>
      </c>
      <c r="XEK23" s="229">
        <v>0</v>
      </c>
      <c r="XEL23" s="229">
        <v>0</v>
      </c>
      <c r="XEM23" s="229">
        <v>0</v>
      </c>
      <c r="XEN23" s="229">
        <v>0</v>
      </c>
      <c r="XEO23" s="229">
        <v>0</v>
      </c>
      <c r="XEP23" s="229">
        <v>0</v>
      </c>
      <c r="XEQ23" s="229">
        <v>0</v>
      </c>
      <c r="XER23" s="229">
        <v>0</v>
      </c>
      <c r="XES23" s="229">
        <v>0</v>
      </c>
      <c r="XET23" s="229">
        <v>0</v>
      </c>
      <c r="XEU23" s="229">
        <v>0</v>
      </c>
      <c r="XEV23" s="229">
        <v>0</v>
      </c>
      <c r="XEW23" s="229">
        <v>0</v>
      </c>
      <c r="XEX23" s="229">
        <v>0</v>
      </c>
      <c r="XEY23" s="229">
        <v>0</v>
      </c>
      <c r="XEZ23" s="229">
        <v>0</v>
      </c>
      <c r="XFA23" s="229">
        <v>0</v>
      </c>
      <c r="XFB23" s="229">
        <v>0</v>
      </c>
    </row>
    <row r="24" spans="1:16382" s="226" customFormat="1" x14ac:dyDescent="0.25">
      <c r="A24" s="224" t="s">
        <v>1041</v>
      </c>
      <c r="B24" s="225"/>
      <c r="C24" s="225"/>
      <c r="D24" s="225"/>
      <c r="E24" s="225"/>
      <c r="F24" s="225"/>
      <c r="G24" s="225"/>
      <c r="H24" s="225"/>
      <c r="I24" s="225"/>
      <c r="J24" s="225"/>
      <c r="K24" s="225"/>
      <c r="L24" s="225"/>
      <c r="M24" s="225"/>
      <c r="N24" s="225"/>
      <c r="O24" s="225"/>
      <c r="P24" s="225"/>
      <c r="Q24" s="225"/>
      <c r="R24" s="225"/>
      <c r="S24" s="225"/>
      <c r="T24" s="225"/>
      <c r="U24" s="225"/>
      <c r="V24" s="225"/>
      <c r="W24" s="225"/>
      <c r="X24" s="225"/>
      <c r="Y24" s="225"/>
      <c r="Z24" s="225"/>
      <c r="AA24" s="225"/>
      <c r="AB24" s="225"/>
      <c r="AC24" s="225"/>
      <c r="AD24" s="225"/>
      <c r="AE24" s="225"/>
      <c r="AF24" s="225"/>
      <c r="AG24" s="225"/>
      <c r="AH24" s="225"/>
      <c r="AI24" s="225"/>
      <c r="AJ24" s="225"/>
      <c r="AK24" s="225"/>
      <c r="AL24" s="225"/>
      <c r="AM24" s="225"/>
      <c r="AN24" s="225"/>
      <c r="AO24" s="225"/>
      <c r="AP24" s="225"/>
      <c r="AQ24" s="225"/>
      <c r="AR24" s="225"/>
      <c r="AS24" s="225"/>
      <c r="AT24" s="225"/>
      <c r="AU24" s="225"/>
      <c r="AV24" s="225"/>
      <c r="AW24" s="225"/>
      <c r="AX24" s="225"/>
      <c r="AY24" s="225"/>
      <c r="AZ24" s="225"/>
      <c r="BA24" s="225"/>
      <c r="BB24" s="225"/>
      <c r="BC24" s="225"/>
      <c r="BD24" s="225"/>
      <c r="BE24" s="225"/>
      <c r="BF24" s="225"/>
      <c r="BG24" s="225"/>
      <c r="BH24" s="225"/>
    </row>
    <row r="25" spans="1:16382" s="223" customFormat="1" x14ac:dyDescent="0.25">
      <c r="A25" s="40" t="s">
        <v>121</v>
      </c>
      <c r="B25" s="223">
        <v>1</v>
      </c>
      <c r="C25" s="223">
        <v>5</v>
      </c>
      <c r="D25" s="223">
        <v>1</v>
      </c>
      <c r="E25" s="223">
        <v>2</v>
      </c>
      <c r="F25" s="223">
        <v>18</v>
      </c>
      <c r="G25" s="223">
        <v>2</v>
      </c>
      <c r="H25" s="223">
        <v>1</v>
      </c>
      <c r="I25" s="223">
        <v>2</v>
      </c>
      <c r="J25" s="223">
        <v>1</v>
      </c>
      <c r="K25" s="223">
        <v>10</v>
      </c>
      <c r="L25" s="223">
        <v>2</v>
      </c>
      <c r="M25" s="223">
        <v>12</v>
      </c>
      <c r="N25" s="223">
        <v>2</v>
      </c>
      <c r="O25" s="223">
        <v>1</v>
      </c>
      <c r="P25" s="223">
        <v>1</v>
      </c>
      <c r="Q25" s="223">
        <v>6</v>
      </c>
      <c r="R25" s="223">
        <v>3</v>
      </c>
      <c r="S25" s="223">
        <v>1</v>
      </c>
      <c r="T25" s="223">
        <v>1</v>
      </c>
      <c r="U25" s="223">
        <v>2</v>
      </c>
      <c r="V25" s="223">
        <v>2</v>
      </c>
      <c r="W25" s="223">
        <v>5</v>
      </c>
      <c r="X25" s="223">
        <v>6</v>
      </c>
      <c r="Y25" s="223">
        <v>3</v>
      </c>
      <c r="Z25" s="223">
        <v>1</v>
      </c>
      <c r="AA25" s="223">
        <v>7</v>
      </c>
      <c r="AB25" s="223">
        <v>1</v>
      </c>
      <c r="AC25" s="223">
        <v>1</v>
      </c>
      <c r="AD25" s="223">
        <v>2</v>
      </c>
      <c r="AE25" s="223">
        <v>1</v>
      </c>
      <c r="AF25" s="223">
        <v>1</v>
      </c>
      <c r="AG25" s="223">
        <v>1</v>
      </c>
      <c r="AH25" s="223">
        <v>1</v>
      </c>
      <c r="AI25" s="223">
        <v>1</v>
      </c>
      <c r="AJ25" s="223">
        <v>1</v>
      </c>
      <c r="AK25" s="223">
        <v>1</v>
      </c>
      <c r="AL25" s="223">
        <v>1</v>
      </c>
      <c r="AM25" s="223">
        <v>1</v>
      </c>
      <c r="AN25" s="223">
        <v>1</v>
      </c>
      <c r="AO25" s="223">
        <v>1</v>
      </c>
      <c r="AP25" s="223">
        <v>1</v>
      </c>
      <c r="AQ25" s="223">
        <v>1</v>
      </c>
      <c r="AR25" s="223">
        <v>1</v>
      </c>
      <c r="AS25" s="223">
        <v>1</v>
      </c>
      <c r="AT25" s="223">
        <v>1</v>
      </c>
      <c r="AU25" s="223">
        <v>1</v>
      </c>
      <c r="AV25" s="223">
        <v>1</v>
      </c>
      <c r="AW25" s="223">
        <v>1</v>
      </c>
      <c r="AX25" s="223">
        <v>1</v>
      </c>
      <c r="AY25" s="223">
        <v>1</v>
      </c>
      <c r="AZ25" s="223">
        <v>1</v>
      </c>
    </row>
    <row r="26" spans="1:16382" s="228" customFormat="1" x14ac:dyDescent="0.25">
      <c r="A26" s="40" t="s">
        <v>1034</v>
      </c>
    </row>
    <row r="27" spans="1:16382" hidden="1" x14ac:dyDescent="0.25">
      <c r="A27" s="40" t="s">
        <v>384</v>
      </c>
    </row>
    <row r="28" spans="1:16382" x14ac:dyDescent="0.25">
      <c r="A28" s="40" t="s">
        <v>121</v>
      </c>
    </row>
    <row r="29" spans="1:16382" s="113" customFormat="1" x14ac:dyDescent="0.25">
      <c r="A29" s="112" t="s">
        <v>644</v>
      </c>
    </row>
    <row r="30" spans="1:16382" s="14" customFormat="1" hidden="1" outlineLevel="1" x14ac:dyDescent="0.25">
      <c r="A30" s="122" t="s">
        <v>394</v>
      </c>
      <c r="B30" s="123" cm="1">
        <f t="array" ref="B30">INDEX(INDEX(MVs!$B:$B,INDEX(MVs!$V$2:$Z$4,2,MATCH(B$32,MVs!$V$2:$Z$2,0))):INDEX(MVs!$U:$U,INDEX(MVs!$V$2:$Z$4,3,MATCH(B$32,MVs!$V$2:$Z$2,0))),MATCH(B$2,INDEX(MVs!$B:$B,INDEX(MVs!$V$2:$Z$4,2,MATCH(B$32,MVs!$V$2:$Z$2,0))):INDEX(MVs!$B:$B,INDEX(MVs!$V$2:$Z$4,3,MATCH(B$32,MVs!$V$2:$Z$2,0))),0),IFERROR(MATCH(B$7, MVs!$B$1:$T$1, 0), 2))</f>
        <v>2.2440000000000002</v>
      </c>
      <c r="C30" s="123" cm="1">
        <f t="array" ref="C30">INDEX(INDEX(MVs!$B:$B,INDEX(MVs!$V$2:$Z$4,2,MATCH(C$32,MVs!$V$2:$Z$2,0))):INDEX(MVs!$U:$U,INDEX(MVs!$V$2:$Z$4,3,MATCH(C$32,MVs!$V$2:$Z$2,0))),MATCH(C$2,INDEX(MVs!$B:$B,INDEX(MVs!$V$2:$Z$4,2,MATCH(C$32,MVs!$V$2:$Z$2,0))):INDEX(MVs!$B:$B,INDEX(MVs!$V$2:$Z$4,3,MATCH(C$32,MVs!$V$2:$Z$2,0))),0),IFERROR(MATCH(C$7, MVs!$B$1:$T$1, 0), 2))</f>
        <v>0.54400000000000004</v>
      </c>
      <c r="D30" s="123" cm="1">
        <f t="array" ref="D30">INDEX(INDEX(MVs!$B:$B,INDEX(MVs!$V$2:$Z$4,2,MATCH(D$32,MVs!$V$2:$Z$2,0))):INDEX(MVs!$U:$U,INDEX(MVs!$V$2:$Z$4,3,MATCH(D$32,MVs!$V$2:$Z$2,0))),MATCH(D$2,INDEX(MVs!$B:$B,INDEX(MVs!$V$2:$Z$4,2,MATCH(D$32,MVs!$V$2:$Z$2,0))):INDEX(MVs!$B:$B,INDEX(MVs!$V$2:$Z$4,3,MATCH(D$32,MVs!$V$2:$Z$2,0))),0),IFERROR(MATCH(D$7, MVs!$B$1:$T$1, 0), 2))</f>
        <v>4.6920000000000002</v>
      </c>
      <c r="E30" s="123" cm="1">
        <f t="array" ref="E30">INDEX(INDEX(MVs!$B:$B,INDEX(MVs!$V$2:$Z$4,2,MATCH(E$32,MVs!$V$2:$Z$2,0))):INDEX(MVs!$U:$U,INDEX(MVs!$V$2:$Z$4,3,MATCH(E$32,MVs!$V$2:$Z$2,0))),MATCH(E$2,INDEX(MVs!$B:$B,INDEX(MVs!$V$2:$Z$4,2,MATCH(E$32,MVs!$V$2:$Z$2,0))):INDEX(MVs!$B:$B,INDEX(MVs!$V$2:$Z$4,3,MATCH(E$32,MVs!$V$2:$Z$2,0))),0),IFERROR(MATCH(E$7, MVs!$B$1:$T$1, 0), 2))</f>
        <v>0</v>
      </c>
      <c r="F30" s="123" cm="1">
        <f t="array" ref="F30">INDEX(INDEX(MVs!$B:$B,INDEX(MVs!$V$2:$Z$4,2,MATCH(F$32,MVs!$V$2:$Z$2,0))):INDEX(MVs!$U:$U,INDEX(MVs!$V$2:$Z$4,3,MATCH(F$32,MVs!$V$2:$Z$2,0))),MATCH(F$2,INDEX(MVs!$B:$B,INDEX(MVs!$V$2:$Z$4,2,MATCH(F$32,MVs!$V$2:$Z$2,0))):INDEX(MVs!$B:$B,INDEX(MVs!$V$2:$Z$4,3,MATCH(F$32,MVs!$V$2:$Z$2,0))),0),IFERROR(MATCH(F$7, MVs!$B$1:$T$1, 0), 2))</f>
        <v>0.63919999999999999</v>
      </c>
      <c r="G30" s="123" cm="1">
        <f t="array" ref="G30">INDEX(INDEX(MVs!$B:$B,INDEX(MVs!$V$2:$Z$4,2,MATCH(G$32,MVs!$V$2:$Z$2,0))):INDEX(MVs!$U:$U,INDEX(MVs!$V$2:$Z$4,3,MATCH(G$32,MVs!$V$2:$Z$2,0))),MATCH(G$2,INDEX(MVs!$B:$B,INDEX(MVs!$V$2:$Z$4,2,MATCH(G$32,MVs!$V$2:$Z$2,0))):INDEX(MVs!$B:$B,INDEX(MVs!$V$2:$Z$4,3,MATCH(G$32,MVs!$V$2:$Z$2,0))),0),IFERROR(MATCH(G$7, MVs!$B$1:$T$1, 0), 2))</f>
        <v>0.3196</v>
      </c>
      <c r="H30" s="123" cm="1">
        <f t="array" ref="H30">INDEX(INDEX(MVs!$B:$B,INDEX(MVs!$V$2:$Z$4,2,MATCH(H$32,MVs!$V$2:$Z$2,0))):INDEX(MVs!$U:$U,INDEX(MVs!$V$2:$Z$4,3,MATCH(H$32,MVs!$V$2:$Z$2,0))),MATCH(H$2,INDEX(MVs!$B:$B,INDEX(MVs!$V$2:$Z$4,2,MATCH(H$32,MVs!$V$2:$Z$2,0))):INDEX(MVs!$B:$B,INDEX(MVs!$V$2:$Z$4,3,MATCH(H$32,MVs!$V$2:$Z$2,0))),0),IFERROR(MATCH(H$7, MVs!$B$1:$T$1, 0), 2))</f>
        <v>2.3664000000000001</v>
      </c>
      <c r="I30" s="123" cm="1">
        <f t="array" ref="I30">INDEX(INDEX(MVs!$B:$B,INDEX(MVs!$V$2:$Z$4,2,MATCH(I$32,MVs!$V$2:$Z$2,0))):INDEX(MVs!$U:$U,INDEX(MVs!$V$2:$Z$4,3,MATCH(I$32,MVs!$V$2:$Z$2,0))),MATCH(I$2,INDEX(MVs!$B:$B,INDEX(MVs!$V$2:$Z$4,2,MATCH(I$32,MVs!$V$2:$Z$2,0))):INDEX(MVs!$B:$B,INDEX(MVs!$V$2:$Z$4,3,MATCH(I$32,MVs!$V$2:$Z$2,0))),0),IFERROR(MATCH(I$7, MVs!$B$1:$T$1, 0), 2))</f>
        <v>0.3196</v>
      </c>
      <c r="J30" s="123" cm="1">
        <f t="array" ref="J30">INDEX(INDEX(MVs!$B:$B,INDEX(MVs!$V$2:$Z$4,2,MATCH(J$32,MVs!$V$2:$Z$2,0))):INDEX(MVs!$U:$U,INDEX(MVs!$V$2:$Z$4,3,MATCH(J$32,MVs!$V$2:$Z$2,0))),MATCH(J$2,INDEX(MVs!$B:$B,INDEX(MVs!$V$2:$Z$4,2,MATCH(J$32,MVs!$V$2:$Z$2,0))):INDEX(MVs!$B:$B,INDEX(MVs!$V$2:$Z$4,3,MATCH(J$32,MVs!$V$2:$Z$2,0))),0),IFERROR(MATCH(J$7, MVs!$B$1:$T$1, 0), 2))</f>
        <v>0.3196</v>
      </c>
      <c r="K30" s="123" cm="1">
        <f t="array" ref="K30">INDEX(INDEX(MVs!$B:$B,INDEX(MVs!$V$2:$Z$4,2,MATCH(K$32,MVs!$V$2:$Z$2,0))):INDEX(MVs!$U:$U,INDEX(MVs!$V$2:$Z$4,3,MATCH(K$32,MVs!$V$2:$Z$2,0))),MATCH(K$2,INDEX(MVs!$B:$B,INDEX(MVs!$V$2:$Z$4,2,MATCH(K$32,MVs!$V$2:$Z$2,0))):INDEX(MVs!$B:$B,INDEX(MVs!$V$2:$Z$4,3,MATCH(K$32,MVs!$V$2:$Z$2,0))),0),IFERROR(MATCH(K$7, MVs!$B$1:$T$1, 0), 2))</f>
        <v>0.3196</v>
      </c>
      <c r="L30" s="123" cm="1">
        <f t="array" ref="L30">INDEX(INDEX(MVs!$B:$B,INDEX(MVs!$V$2:$Z$4,2,MATCH(L$32,MVs!$V$2:$Z$2,0))):INDEX(MVs!$U:$U,INDEX(MVs!$V$2:$Z$4,3,MATCH(L$32,MVs!$V$2:$Z$2,0))),MATCH(L$2,INDEX(MVs!$B:$B,INDEX(MVs!$V$2:$Z$4,2,MATCH(L$32,MVs!$V$2:$Z$2,0))):INDEX(MVs!$B:$B,INDEX(MVs!$V$2:$Z$4,3,MATCH(L$32,MVs!$V$2:$Z$2,0))),0),IFERROR(MATCH(L$7, MVs!$B$1:$T$1, 0), 2))</f>
        <v>0.63919999999999999</v>
      </c>
      <c r="M30" s="123" cm="1">
        <f t="array" ref="M30">INDEX(INDEX(MVs!$B:$B,INDEX(MVs!$V$2:$Z$4,2,MATCH(M$32,MVs!$V$2:$Z$2,0))):INDEX(MVs!$U:$U,INDEX(MVs!$V$2:$Z$4,3,MATCH(M$32,MVs!$V$2:$Z$2,0))),MATCH(M$2,INDEX(MVs!$B:$B,INDEX(MVs!$V$2:$Z$4,2,MATCH(M$32,MVs!$V$2:$Z$2,0))):INDEX(MVs!$B:$B,INDEX(MVs!$V$2:$Z$4,3,MATCH(M$32,MVs!$V$2:$Z$2,0))),0),IFERROR(MATCH(M$7, MVs!$B$1:$T$1, 0), 2))</f>
        <v>0</v>
      </c>
      <c r="N30" s="123" cm="1">
        <f t="array" ref="N30">INDEX(INDEX(MVs!$B:$B,INDEX(MVs!$V$2:$Z$4,2,MATCH(N$32,MVs!$V$2:$Z$2,0))):INDEX(MVs!$U:$U,INDEX(MVs!$V$2:$Z$4,3,MATCH(N$32,MVs!$V$2:$Z$2,0))),MATCH(N$2,INDEX(MVs!$B:$B,INDEX(MVs!$V$2:$Z$4,2,MATCH(N$32,MVs!$V$2:$Z$2,0))):INDEX(MVs!$B:$B,INDEX(MVs!$V$2:$Z$4,3,MATCH(N$32,MVs!$V$2:$Z$2,0))),0),IFERROR(MATCH(N$7, MVs!$B$1:$T$1, 0), 2))</f>
        <v>0</v>
      </c>
      <c r="O30" s="123" cm="1">
        <f t="array" ref="O30">INDEX(INDEX(MVs!$B:$B,INDEX(MVs!$V$2:$Z$4,2,MATCH(O$32,MVs!$V$2:$Z$2,0))):INDEX(MVs!$U:$U,INDEX(MVs!$V$2:$Z$4,3,MATCH(O$32,MVs!$V$2:$Z$2,0))),MATCH(O$2,INDEX(MVs!$B:$B,INDEX(MVs!$V$2:$Z$4,2,MATCH(O$32,MVs!$V$2:$Z$2,0))):INDEX(MVs!$B:$B,INDEX(MVs!$V$2:$Z$4,3,MATCH(O$32,MVs!$V$2:$Z$2,0))),0),IFERROR(MATCH(O$7, MVs!$B$1:$T$1, 0), 2))</f>
        <v>1.7136</v>
      </c>
      <c r="P30" s="123" cm="1">
        <f t="array" ref="P30">INDEX(INDEX(MVs!$B:$B,INDEX(MVs!$V$2:$Z$4,2,MATCH(P$32,MVs!$V$2:$Z$2,0))):INDEX(MVs!$U:$U,INDEX(MVs!$V$2:$Z$4,3,MATCH(P$32,MVs!$V$2:$Z$2,0))),MATCH(P$2,INDEX(MVs!$B:$B,INDEX(MVs!$V$2:$Z$4,2,MATCH(P$32,MVs!$V$2:$Z$2,0))):INDEX(MVs!$B:$B,INDEX(MVs!$V$2:$Z$4,3,MATCH(P$32,MVs!$V$2:$Z$2,0))),0),IFERROR(MATCH(P$7, MVs!$B$1:$T$1, 0), 2))</f>
        <v>0.56299999999999994</v>
      </c>
      <c r="Q30" s="123" cm="1">
        <f t="array" ref="Q30">INDEX(INDEX(MVs!$B:$B,INDEX(MVs!$V$2:$Z$4,2,MATCH(Q$32,MVs!$V$2:$Z$2,0))):INDEX(MVs!$U:$U,INDEX(MVs!$V$2:$Z$4,3,MATCH(Q$32,MVs!$V$2:$Z$2,0))),MATCH(Q$2,INDEX(MVs!$B:$B,INDEX(MVs!$V$2:$Z$4,2,MATCH(Q$32,MVs!$V$2:$Z$2,0))):INDEX(MVs!$B:$B,INDEX(MVs!$V$2:$Z$4,3,MATCH(Q$32,MVs!$V$2:$Z$2,0))),0),IFERROR(MATCH(Q$7, MVs!$B$1:$T$1, 0), 2))</f>
        <v>0.56299999999999994</v>
      </c>
      <c r="R30" s="123" cm="1">
        <f t="array" ref="R30">INDEX(INDEX(MVs!$B:$B,INDEX(MVs!$V$2:$Z$4,2,MATCH(R$32,MVs!$V$2:$Z$2,0))):INDEX(MVs!$U:$U,INDEX(MVs!$V$2:$Z$4,3,MATCH(R$32,MVs!$V$2:$Z$2,0))),MATCH(R$2,INDEX(MVs!$B:$B,INDEX(MVs!$V$2:$Z$4,2,MATCH(R$32,MVs!$V$2:$Z$2,0))):INDEX(MVs!$B:$B,INDEX(MVs!$V$2:$Z$4,3,MATCH(R$32,MVs!$V$2:$Z$2,0))),0),IFERROR(MATCH(R$7, MVs!$B$1:$T$1, 0), 2))</f>
        <v>0.56299999999999994</v>
      </c>
      <c r="S30" s="123" cm="1">
        <f t="array" ref="S30">INDEX(INDEX(MVs!$B:$B,INDEX(MVs!$V$2:$Z$4,2,MATCH(S$32,MVs!$V$2:$Z$2,0))):INDEX(MVs!$U:$U,INDEX(MVs!$V$2:$Z$4,3,MATCH(S$32,MVs!$V$2:$Z$2,0))),MATCH(S$2,INDEX(MVs!$B:$B,INDEX(MVs!$V$2:$Z$4,2,MATCH(S$32,MVs!$V$2:$Z$2,0))):INDEX(MVs!$B:$B,INDEX(MVs!$V$2:$Z$4,3,MATCH(S$32,MVs!$V$2:$Z$2,0))),0),IFERROR(MATCH(S$7, MVs!$B$1:$T$1, 0), 2))</f>
        <v>2.2440000000000002</v>
      </c>
      <c r="T30" s="123" cm="1">
        <f t="array" ref="T30">INDEX(INDEX(MVs!$B:$B,INDEX(MVs!$V$2:$Z$4,2,MATCH(T$32,MVs!$V$2:$Z$2,0))):INDEX(MVs!$U:$U,INDEX(MVs!$V$2:$Z$4,3,MATCH(T$32,MVs!$V$2:$Z$2,0))),MATCH(T$2,INDEX(MVs!$B:$B,INDEX(MVs!$V$2:$Z$4,2,MATCH(T$32,MVs!$V$2:$Z$2,0))):INDEX(MVs!$B:$B,INDEX(MVs!$V$2:$Z$4,3,MATCH(T$32,MVs!$V$2:$Z$2,0))),0),IFERROR(MATCH(T$7, MVs!$B$1:$T$1, 0), 2))</f>
        <v>2.2576000000000001</v>
      </c>
      <c r="U30" s="123" cm="1">
        <f t="array" ref="U30">INDEX(INDEX(MVs!$B:$B,INDEX(MVs!$V$2:$Z$4,2,MATCH(U$32,MVs!$V$2:$Z$2,0))):INDEX(MVs!$U:$U,INDEX(MVs!$V$2:$Z$4,3,MATCH(U$32,MVs!$V$2:$Z$2,0))),MATCH(U$2,INDEX(MVs!$B:$B,INDEX(MVs!$V$2:$Z$4,2,MATCH(U$32,MVs!$V$2:$Z$2,0))):INDEX(MVs!$B:$B,INDEX(MVs!$V$2:$Z$4,3,MATCH(U$32,MVs!$V$2:$Z$2,0))),0),IFERROR(MATCH(U$7, MVs!$B$1:$T$1, 0), 2))</f>
        <v>1.1946000000000001</v>
      </c>
      <c r="V30" s="123" cm="1">
        <f t="array" ref="V30">INDEX(INDEX(MVs!$B:$B,INDEX(MVs!$V$2:$Z$4,2,MATCH(V$32,MVs!$V$2:$Z$2,0))):INDEX(MVs!$U:$U,INDEX(MVs!$V$2:$Z$4,3,MATCH(V$32,MVs!$V$2:$Z$2,0))),MATCH(V$2,INDEX(MVs!$B:$B,INDEX(MVs!$V$2:$Z$4,2,MATCH(V$32,MVs!$V$2:$Z$2,0))):INDEX(MVs!$B:$B,INDEX(MVs!$V$2:$Z$4,3,MATCH(V$32,MVs!$V$2:$Z$2,0))),0),IFERROR(MATCH(V$7, MVs!$B$1:$T$1, 0), 2))</f>
        <v>1.1946000000000001</v>
      </c>
      <c r="W30" s="123" cm="1">
        <f t="array" ref="W30">INDEX(INDEX(MVs!$B:$B,INDEX(MVs!$V$2:$Z$4,2,MATCH(W$32,MVs!$V$2:$Z$2,0))):INDEX(MVs!$U:$U,INDEX(MVs!$V$2:$Z$4,3,MATCH(W$32,MVs!$V$2:$Z$2,0))),MATCH(W$2,INDEX(MVs!$B:$B,INDEX(MVs!$V$2:$Z$4,2,MATCH(W$32,MVs!$V$2:$Z$2,0))):INDEX(MVs!$B:$B,INDEX(MVs!$V$2:$Z$4,3,MATCH(W$32,MVs!$V$2:$Z$2,0))),0),IFERROR(MATCH(W$7, MVs!$B$1:$T$1, 0), 2))</f>
        <v>1.1946000000000001</v>
      </c>
      <c r="X30" s="123" cm="1">
        <f t="array" ref="X30">INDEX(INDEX(MVs!$B:$B,INDEX(MVs!$V$2:$Z$4,2,MATCH(X$32,MVs!$V$2:$Z$2,0))):INDEX(MVs!$U:$U,INDEX(MVs!$V$2:$Z$4,3,MATCH(X$32,MVs!$V$2:$Z$2,0))),MATCH(X$2,INDEX(MVs!$B:$B,INDEX(MVs!$V$2:$Z$4,2,MATCH(X$32,MVs!$V$2:$Z$2,0))):INDEX(MVs!$B:$B,INDEX(MVs!$V$2:$Z$4,3,MATCH(X$32,MVs!$V$2:$Z$2,0))),0),IFERROR(MATCH(X$7, MVs!$B$1:$T$1, 0), 2))</f>
        <v>1.1946000000000001</v>
      </c>
      <c r="Y30" s="123" cm="1">
        <f t="array" ref="Y30">INDEX(INDEX(MVs!$B:$B,INDEX(MVs!$V$2:$Z$4,2,MATCH(Y$32,MVs!$V$2:$Z$2,0))):INDEX(MVs!$U:$U,INDEX(MVs!$V$2:$Z$4,3,MATCH(Y$32,MVs!$V$2:$Z$2,0))),MATCH(Y$2,INDEX(MVs!$B:$B,INDEX(MVs!$V$2:$Z$4,2,MATCH(Y$32,MVs!$V$2:$Z$2,0))):INDEX(MVs!$B:$B,INDEX(MVs!$V$2:$Z$4,3,MATCH(Y$32,MVs!$V$2:$Z$2,0))),0),IFERROR(MATCH(Y$7, MVs!$B$1:$T$1, 0), 2))</f>
        <v>1.1946000000000001</v>
      </c>
      <c r="Z30" s="123" cm="1">
        <f t="array" ref="Z30">INDEX(INDEX(MVs!$B:$B,INDEX(MVs!$V$2:$Z$4,2,MATCH(Z$32,MVs!$V$2:$Z$2,0))):INDEX(MVs!$U:$U,INDEX(MVs!$V$2:$Z$4,3,MATCH(Z$32,MVs!$V$2:$Z$2,0))),MATCH(Z$2,INDEX(MVs!$B:$B,INDEX(MVs!$V$2:$Z$4,2,MATCH(Z$32,MVs!$V$2:$Z$2,0))):INDEX(MVs!$B:$B,INDEX(MVs!$V$2:$Z$4,3,MATCH(Z$32,MVs!$V$2:$Z$2,0))),0),IFERROR(MATCH(Z$7, MVs!$B$1:$T$1, 0), 2))</f>
        <v>1.1946000000000001</v>
      </c>
      <c r="AA30" s="123" cm="1">
        <f t="array" ref="AA30">INDEX(INDEX(MVs!$B:$B,INDEX(MVs!$V$2:$Z$4,2,MATCH(AA$32,MVs!$V$2:$Z$2,0))):INDEX(MVs!$U:$U,INDEX(MVs!$V$2:$Z$4,3,MATCH(AA$32,MVs!$V$2:$Z$2,0))),MATCH(AA$2,INDEX(MVs!$B:$B,INDEX(MVs!$V$2:$Z$4,2,MATCH(AA$32,MVs!$V$2:$Z$2,0))):INDEX(MVs!$B:$B,INDEX(MVs!$V$2:$Z$4,3,MATCH(AA$32,MVs!$V$2:$Z$2,0))),0),IFERROR(MATCH(AA$7, MVs!$B$1:$T$1, 0), 2))</f>
        <v>1.1946000000000001</v>
      </c>
      <c r="AB30" s="123" cm="1">
        <f t="array" ref="AB30">INDEX(INDEX(MVs!$B:$B,INDEX(MVs!$V$2:$Z$4,2,MATCH(AB$32,MVs!$V$2:$Z$2,0))):INDEX(MVs!$U:$U,INDEX(MVs!$V$2:$Z$4,3,MATCH(AB$32,MVs!$V$2:$Z$2,0))),MATCH(AB$2,INDEX(MVs!$B:$B,INDEX(MVs!$V$2:$Z$4,2,MATCH(AB$32,MVs!$V$2:$Z$2,0))):INDEX(MVs!$B:$B,INDEX(MVs!$V$2:$Z$4,3,MATCH(AB$32,MVs!$V$2:$Z$2,0))),0),IFERROR(MATCH(AB$7, MVs!$B$1:$T$1, 0), 2))</f>
        <v>7.5208000000000004</v>
      </c>
      <c r="AC30" s="123" cm="1">
        <f t="array" ref="AC30">INDEX(INDEX(MVs!$B:$B,INDEX(MVs!$V$2:$Z$4,2,MATCH(AC$32,MVs!$V$2:$Z$2,0))):INDEX(MVs!$U:$U,INDEX(MVs!$V$2:$Z$4,3,MATCH(AC$32,MVs!$V$2:$Z$2,0))),MATCH(AC$2,INDEX(MVs!$B:$B,INDEX(MVs!$V$2:$Z$4,2,MATCH(AC$32,MVs!$V$2:$Z$2,0))):INDEX(MVs!$B:$B,INDEX(MVs!$V$2:$Z$4,3,MATCH(AC$32,MVs!$V$2:$Z$2,0))),0),IFERROR(MATCH(AC$7, MVs!$B$1:$T$1, 0), 2))</f>
        <v>4.6920000000000002</v>
      </c>
      <c r="AD30" s="123" cm="1">
        <f t="array" ref="AD30">INDEX(INDEX(MVs!$B:$B,INDEX(MVs!$V$2:$Z$4,2,MATCH(AD$32,MVs!$V$2:$Z$2,0))):INDEX(MVs!$U:$U,INDEX(MVs!$V$2:$Z$4,3,MATCH(AD$32,MVs!$V$2:$Z$2,0))),MATCH(AD$2,INDEX(MVs!$B:$B,INDEX(MVs!$V$2:$Z$4,2,MATCH(AD$32,MVs!$V$2:$Z$2,0))):INDEX(MVs!$B:$B,INDEX(MVs!$V$2:$Z$4,3,MATCH(AD$32,MVs!$V$2:$Z$2,0))),0),IFERROR(MATCH(AD$7, MVs!$B$1:$T$1, 0), 2))</f>
        <v>0</v>
      </c>
      <c r="AE30" s="123" cm="1">
        <f t="array" ref="AE30">INDEX(INDEX(MVs!$B:$B,INDEX(MVs!$V$2:$Z$4,2,MATCH(AE$32,MVs!$V$2:$Z$2,0))):INDEX(MVs!$U:$U,INDEX(MVs!$V$2:$Z$4,3,MATCH(AE$32,MVs!$V$2:$Z$2,0))),MATCH(AE$2,INDEX(MVs!$B:$B,INDEX(MVs!$V$2:$Z$4,2,MATCH(AE$32,MVs!$V$2:$Z$2,0))):INDEX(MVs!$B:$B,INDEX(MVs!$V$2:$Z$4,3,MATCH(AE$32,MVs!$V$2:$Z$2,0))),0),IFERROR(MATCH(AE$7, MVs!$B$1:$T$1, 0), 2))</f>
        <v>2.3664000000000001</v>
      </c>
      <c r="AF30" s="123" cm="1">
        <f t="array" ref="AF30">INDEX(INDEX(MVs!$B:$B,INDEX(MVs!$V$2:$Z$4,2,MATCH(AF$32,MVs!$V$2:$Z$2,0))):INDEX(MVs!$U:$U,INDEX(MVs!$V$2:$Z$4,3,MATCH(AF$32,MVs!$V$2:$Z$2,0))),MATCH(AF$2,INDEX(MVs!$B:$B,INDEX(MVs!$V$2:$Z$4,2,MATCH(AF$32,MVs!$V$2:$Z$2,0))):INDEX(MVs!$B:$B,INDEX(MVs!$V$2:$Z$4,3,MATCH(AF$32,MVs!$V$2:$Z$2,0))),0),IFERROR(MATCH(AF$7, MVs!$B$1:$T$1, 0), 2))</f>
        <v>2.1760000000000002</v>
      </c>
      <c r="AG30" s="123" cm="1">
        <f t="array" ref="AG30">INDEX(INDEX(MVs!$B:$B,INDEX(MVs!$V$2:$Z$4,2,MATCH(AG$32,MVs!$V$2:$Z$2,0))):INDEX(MVs!$U:$U,INDEX(MVs!$V$2:$Z$4,3,MATCH(AG$32,MVs!$V$2:$Z$2,0))),MATCH(AG$2,INDEX(MVs!$B:$B,INDEX(MVs!$V$2:$Z$4,2,MATCH(AG$32,MVs!$V$2:$Z$2,0))):INDEX(MVs!$B:$B,INDEX(MVs!$V$2:$Z$4,3,MATCH(AG$32,MVs!$V$2:$Z$2,0))),0),IFERROR(MATCH(AG$7, MVs!$B$1:$T$1, 0), 2))</f>
        <v>3.6991999999999998</v>
      </c>
      <c r="AH30" s="123" cm="1">
        <f t="array" ref="AH30">INDEX(INDEX(MVs!$B:$B,INDEX(MVs!$V$2:$Z$4,2,MATCH(AH$32,MVs!$V$2:$Z$2,0))):INDEX(MVs!$U:$U,INDEX(MVs!$V$2:$Z$4,3,MATCH(AH$32,MVs!$V$2:$Z$2,0))),MATCH(AH$2,INDEX(MVs!$B:$B,INDEX(MVs!$V$2:$Z$4,2,MATCH(AH$32,MVs!$V$2:$Z$2,0))):INDEX(MVs!$B:$B,INDEX(MVs!$V$2:$Z$4,3,MATCH(AH$32,MVs!$V$2:$Z$2,0))),0),IFERROR(MATCH(AH$7, MVs!$B$1:$T$1, 0), 2))</f>
        <v>2.1760000000000002</v>
      </c>
      <c r="AI30" s="123" cm="1">
        <f t="array" ref="AI30">INDEX(INDEX(MVs!$B:$B,INDEX(MVs!$V$2:$Z$4,2,MATCH(AI$32,MVs!$V$2:$Z$2,0))):INDEX(MVs!$U:$U,INDEX(MVs!$V$2:$Z$4,3,MATCH(AI$32,MVs!$V$2:$Z$2,0))),MATCH(AI$2,INDEX(MVs!$B:$B,INDEX(MVs!$V$2:$Z$4,2,MATCH(AI$32,MVs!$V$2:$Z$2,0))):INDEX(MVs!$B:$B,INDEX(MVs!$V$2:$Z$4,3,MATCH(AI$32,MVs!$V$2:$Z$2,0))),0),IFERROR(MATCH(AI$7, MVs!$B$1:$T$1, 0), 2))</f>
        <v>3.6991999999999998</v>
      </c>
      <c r="AJ30" s="123" t="e" cm="1">
        <f t="array" ref="AJ30">INDEX(INDEX(MVs!$B:$B,INDEX(MVs!$V$2:$Z$4,2,MATCH(AJ$32,MVs!$V$2:$Z$2,0))):INDEX(MVs!$U:$U,INDEX(MVs!$V$2:$Z$4,3,MATCH(AJ$32,MVs!$V$2:$Z$2,0))),MATCH(AJ$2,INDEX(MVs!$B:$B,INDEX(MVs!$V$2:$Z$4,2,MATCH(AJ$32,MVs!$V$2:$Z$2,0))):INDEX(MVs!$B:$B,INDEX(MVs!$V$2:$Z$4,3,MATCH(AJ$32,MVs!$V$2:$Z$2,0))),0),IFERROR(MATCH(AJ$7, MVs!$B$1:$T$1, 0), 2))</f>
        <v>#N/A</v>
      </c>
      <c r="AK30" s="123" t="e" cm="1">
        <f t="array" ref="AK30">INDEX(INDEX(MVs!$B:$B,INDEX(MVs!$V$2:$Z$4,2,MATCH(AK$32,MVs!$V$2:$Z$2,0))):INDEX(MVs!$U:$U,INDEX(MVs!$V$2:$Z$4,3,MATCH(AK$32,MVs!$V$2:$Z$2,0))),MATCH(AK$2,INDEX(MVs!$B:$B,INDEX(MVs!$V$2:$Z$4,2,MATCH(AK$32,MVs!$V$2:$Z$2,0))):INDEX(MVs!$B:$B,INDEX(MVs!$V$2:$Z$4,3,MATCH(AK$32,MVs!$V$2:$Z$2,0))),0),IFERROR(MATCH(AK$7, MVs!$B$1:$T$1, 0), 2))</f>
        <v>#N/A</v>
      </c>
      <c r="AL30" s="123" t="e" cm="1">
        <f t="array" ref="AL30">INDEX(INDEX(MVs!$B:$B,INDEX(MVs!$V$2:$Z$4,2,MATCH(AL$32,MVs!$V$2:$Z$2,0))):INDEX(MVs!$U:$U,INDEX(MVs!$V$2:$Z$4,3,MATCH(AL$32,MVs!$V$2:$Z$2,0))),MATCH(AL$2,INDEX(MVs!$B:$B,INDEX(MVs!$V$2:$Z$4,2,MATCH(AL$32,MVs!$V$2:$Z$2,0))):INDEX(MVs!$B:$B,INDEX(MVs!$V$2:$Z$4,3,MATCH(AL$32,MVs!$V$2:$Z$2,0))),0),IFERROR(MATCH(AL$7, MVs!$B$1:$T$1, 0), 2))</f>
        <v>#N/A</v>
      </c>
      <c r="AM30" s="123" t="e" cm="1">
        <f t="array" ref="AM30">INDEX(INDEX(MVs!$B:$B,INDEX(MVs!$V$2:$Z$4,2,MATCH(AM$32,MVs!$V$2:$Z$2,0))):INDEX(MVs!$U:$U,INDEX(MVs!$V$2:$Z$4,3,MATCH(AM$32,MVs!$V$2:$Z$2,0))),MATCH(AM$2,INDEX(MVs!$B:$B,INDEX(MVs!$V$2:$Z$4,2,MATCH(AM$32,MVs!$V$2:$Z$2,0))):INDEX(MVs!$B:$B,INDEX(MVs!$V$2:$Z$4,3,MATCH(AM$32,MVs!$V$2:$Z$2,0))),0),IFERROR(MATCH(AM$7, MVs!$B$1:$T$1, 0), 2))</f>
        <v>#N/A</v>
      </c>
      <c r="AN30" s="123" t="e" cm="1">
        <f t="array" ref="AN30">INDEX(INDEX(MVs!$B:$B,INDEX(MVs!$V$2:$Z$4,2,MATCH(AN$32,MVs!$V$2:$Z$2,0))):INDEX(MVs!$U:$U,INDEX(MVs!$V$2:$Z$4,3,MATCH(AN$32,MVs!$V$2:$Z$2,0))),MATCH(AN$2,INDEX(MVs!$B:$B,INDEX(MVs!$V$2:$Z$4,2,MATCH(AN$32,MVs!$V$2:$Z$2,0))):INDEX(MVs!$B:$B,INDEX(MVs!$V$2:$Z$4,3,MATCH(AN$32,MVs!$V$2:$Z$2,0))),0),IFERROR(MATCH(AN$7, MVs!$B$1:$T$1, 0), 2))</f>
        <v>#N/A</v>
      </c>
      <c r="AO30" s="123" t="e" cm="1">
        <f t="array" ref="AO30">INDEX(INDEX(MVs!$B:$B,INDEX(MVs!$V$2:$Z$4,2,MATCH(AO$32,MVs!$V$2:$Z$2,0))):INDEX(MVs!$U:$U,INDEX(MVs!$V$2:$Z$4,3,MATCH(AO$32,MVs!$V$2:$Z$2,0))),MATCH(AO$2,INDEX(MVs!$B:$B,INDEX(MVs!$V$2:$Z$4,2,MATCH(AO$32,MVs!$V$2:$Z$2,0))):INDEX(MVs!$B:$B,INDEX(MVs!$V$2:$Z$4,3,MATCH(AO$32,MVs!$V$2:$Z$2,0))),0),IFERROR(MATCH(AO$7, MVs!$B$1:$T$1, 0), 2))</f>
        <v>#N/A</v>
      </c>
      <c r="AP30" s="123" t="e" cm="1">
        <f t="array" ref="AP30">INDEX(INDEX(MVs!$B:$B,INDEX(MVs!$V$2:$Z$4,2,MATCH(AP$32,MVs!$V$2:$Z$2,0))):INDEX(MVs!$U:$U,INDEX(MVs!$V$2:$Z$4,3,MATCH(AP$32,MVs!$V$2:$Z$2,0))),MATCH(AP$2,INDEX(MVs!$B:$B,INDEX(MVs!$V$2:$Z$4,2,MATCH(AP$32,MVs!$V$2:$Z$2,0))):INDEX(MVs!$B:$B,INDEX(MVs!$V$2:$Z$4,3,MATCH(AP$32,MVs!$V$2:$Z$2,0))),0),IFERROR(MATCH(AP$7, MVs!$B$1:$T$1, 0), 2))</f>
        <v>#N/A</v>
      </c>
      <c r="AQ30" s="123" t="e" cm="1">
        <f t="array" ref="AQ30">INDEX(INDEX(MVs!$B:$B,INDEX(MVs!$V$2:$Z$4,2,MATCH(AQ$32,MVs!$V$2:$Z$2,0))):INDEX(MVs!$U:$U,INDEX(MVs!$V$2:$Z$4,3,MATCH(AQ$32,MVs!$V$2:$Z$2,0))),MATCH(AQ$2,INDEX(MVs!$B:$B,INDEX(MVs!$V$2:$Z$4,2,MATCH(AQ$32,MVs!$V$2:$Z$2,0))):INDEX(MVs!$B:$B,INDEX(MVs!$V$2:$Z$4,3,MATCH(AQ$32,MVs!$V$2:$Z$2,0))),0),IFERROR(MATCH(AQ$7, MVs!$B$1:$T$1, 0), 2))</f>
        <v>#N/A</v>
      </c>
      <c r="AR30" s="123" t="e" cm="1">
        <f t="array" ref="AR30">INDEX(INDEX(MVs!$B:$B,INDEX(MVs!$V$2:$Z$4,2,MATCH(AR$32,MVs!$V$2:$Z$2,0))):INDEX(MVs!$U:$U,INDEX(MVs!$V$2:$Z$4,3,MATCH(AR$32,MVs!$V$2:$Z$2,0))),MATCH(AR$2,INDEX(MVs!$B:$B,INDEX(MVs!$V$2:$Z$4,2,MATCH(AR$32,MVs!$V$2:$Z$2,0))):INDEX(MVs!$B:$B,INDEX(MVs!$V$2:$Z$4,3,MATCH(AR$32,MVs!$V$2:$Z$2,0))),0),IFERROR(MATCH(AR$7, MVs!$B$1:$T$1, 0), 2))</f>
        <v>#N/A</v>
      </c>
      <c r="AS30" s="123" t="e" cm="1">
        <f t="array" ref="AS30">INDEX(INDEX(MVs!$B:$B,INDEX(MVs!$V$2:$Z$4,2,MATCH(AS$32,MVs!$V$2:$Z$2,0))):INDEX(MVs!$U:$U,INDEX(MVs!$V$2:$Z$4,3,MATCH(AS$32,MVs!$V$2:$Z$2,0))),MATCH(AS$2,INDEX(MVs!$B:$B,INDEX(MVs!$V$2:$Z$4,2,MATCH(AS$32,MVs!$V$2:$Z$2,0))):INDEX(MVs!$B:$B,INDEX(MVs!$V$2:$Z$4,3,MATCH(AS$32,MVs!$V$2:$Z$2,0))),0),IFERROR(MATCH(AS$7, MVs!$B$1:$T$1, 0), 2))</f>
        <v>#N/A</v>
      </c>
      <c r="AT30" s="123" t="e" cm="1">
        <f t="array" ref="AT30">INDEX(INDEX(MVs!$B:$B,INDEX(MVs!$V$2:$Z$4,2,MATCH(AT$32,MVs!$V$2:$Z$2,0))):INDEX(MVs!$U:$U,INDEX(MVs!$V$2:$Z$4,3,MATCH(AT$32,MVs!$V$2:$Z$2,0))),MATCH(AT$2,INDEX(MVs!$B:$B,INDEX(MVs!$V$2:$Z$4,2,MATCH(AT$32,MVs!$V$2:$Z$2,0))):INDEX(MVs!$B:$B,INDEX(MVs!$V$2:$Z$4,3,MATCH(AT$32,MVs!$V$2:$Z$2,0))),0),IFERROR(MATCH(AT$7, MVs!$B$1:$T$1, 0), 2))</f>
        <v>#N/A</v>
      </c>
      <c r="AU30" s="123" t="e" cm="1">
        <f t="array" ref="AU30">INDEX(INDEX(MVs!$B:$B,INDEX(MVs!$V$2:$Z$4,2,MATCH(AU$32,MVs!$V$2:$Z$2,0))):INDEX(MVs!$U:$U,INDEX(MVs!$V$2:$Z$4,3,MATCH(AU$32,MVs!$V$2:$Z$2,0))),MATCH(AU$2,INDEX(MVs!$B:$B,INDEX(MVs!$V$2:$Z$4,2,MATCH(AU$32,MVs!$V$2:$Z$2,0))):INDEX(MVs!$B:$B,INDEX(MVs!$V$2:$Z$4,3,MATCH(AU$32,MVs!$V$2:$Z$2,0))),0),IFERROR(MATCH(AU$7, MVs!$B$1:$T$1, 0), 2))</f>
        <v>#N/A</v>
      </c>
      <c r="AV30" s="123" t="e" cm="1">
        <f t="array" ref="AV30">INDEX(INDEX(MVs!$B:$B,INDEX(MVs!$V$2:$Z$4,2,MATCH(AV$32,MVs!$V$2:$Z$2,0))):INDEX(MVs!$U:$U,INDEX(MVs!$V$2:$Z$4,3,MATCH(AV$32,MVs!$V$2:$Z$2,0))),MATCH(AV$2,INDEX(MVs!$B:$B,INDEX(MVs!$V$2:$Z$4,2,MATCH(AV$32,MVs!$V$2:$Z$2,0))):INDEX(MVs!$B:$B,INDEX(MVs!$V$2:$Z$4,3,MATCH(AV$32,MVs!$V$2:$Z$2,0))),0),IFERROR(MATCH(AV$7, MVs!$B$1:$T$1, 0), 2))</f>
        <v>#N/A</v>
      </c>
      <c r="AW30" s="123" t="e" cm="1">
        <f t="array" ref="AW30">INDEX(INDEX(MVs!$B:$B,INDEX(MVs!$V$2:$Z$4,2,MATCH(AW$32,MVs!$V$2:$Z$2,0))):INDEX(MVs!$U:$U,INDEX(MVs!$V$2:$Z$4,3,MATCH(AW$32,MVs!$V$2:$Z$2,0))),MATCH(AW$2,INDEX(MVs!$B:$B,INDEX(MVs!$V$2:$Z$4,2,MATCH(AW$32,MVs!$V$2:$Z$2,0))):INDEX(MVs!$B:$B,INDEX(MVs!$V$2:$Z$4,3,MATCH(AW$32,MVs!$V$2:$Z$2,0))),0),IFERROR(MATCH(AW$7, MVs!$B$1:$T$1, 0), 2))</f>
        <v>#N/A</v>
      </c>
      <c r="AX30" s="123" t="e" cm="1">
        <f t="array" ref="AX30">INDEX(INDEX(MVs!$B:$B,INDEX(MVs!$V$2:$Z$4,2,MATCH(AX$32,MVs!$V$2:$Z$2,0))):INDEX(MVs!$U:$U,INDEX(MVs!$V$2:$Z$4,3,MATCH(AX$32,MVs!$V$2:$Z$2,0))),MATCH(AX$2,INDEX(MVs!$B:$B,INDEX(MVs!$V$2:$Z$4,2,MATCH(AX$32,MVs!$V$2:$Z$2,0))):INDEX(MVs!$B:$B,INDEX(MVs!$V$2:$Z$4,3,MATCH(AX$32,MVs!$V$2:$Z$2,0))),0),IFERROR(MATCH(AX$7, MVs!$B$1:$T$1, 0), 2))</f>
        <v>#N/A</v>
      </c>
      <c r="AY30" s="123" t="e" cm="1">
        <f t="array" ref="AY30">INDEX(INDEX(MVs!$B:$B,INDEX(MVs!$V$2:$Z$4,2,MATCH(AY$32,MVs!$V$2:$Z$2,0))):INDEX(MVs!$U:$U,INDEX(MVs!$V$2:$Z$4,3,MATCH(AY$32,MVs!$V$2:$Z$2,0))),MATCH(AY$2,INDEX(MVs!$B:$B,INDEX(MVs!$V$2:$Z$4,2,MATCH(AY$32,MVs!$V$2:$Z$2,0))):INDEX(MVs!$B:$B,INDEX(MVs!$V$2:$Z$4,3,MATCH(AY$32,MVs!$V$2:$Z$2,0))),0),IFERROR(MATCH(AY$7, MVs!$B$1:$T$1, 0), 2))</f>
        <v>#N/A</v>
      </c>
      <c r="AZ30" s="123" t="e" cm="1">
        <f t="array" ref="AZ30">INDEX(INDEX(MVs!$B:$B,INDEX(MVs!$V$2:$Z$4,2,MATCH(AZ$32,MVs!$V$2:$Z$2,0))):INDEX(MVs!$U:$U,INDEX(MVs!$V$2:$Z$4,3,MATCH(AZ$32,MVs!$V$2:$Z$2,0))),MATCH(AZ$2,INDEX(MVs!$B:$B,INDEX(MVs!$V$2:$Z$4,2,MATCH(AZ$32,MVs!$V$2:$Z$2,0))):INDEX(MVs!$B:$B,INDEX(MVs!$V$2:$Z$4,3,MATCH(AZ$32,MVs!$V$2:$Z$2,0))),0),IFERROR(MATCH(AZ$7, MVs!$B$1:$T$1, 0), 2))</f>
        <v>#N/A</v>
      </c>
      <c r="BA30" s="123" t="e" cm="1">
        <f t="array" ref="BA30">INDEX(INDEX(MVs!$B:$B,INDEX(MVs!$V$2:$Z$4,2,MATCH(BA$32,MVs!$V$2:$Z$2,0))):INDEX(MVs!$U:$U,INDEX(MVs!$V$2:$Z$4,3,MATCH(BA$32,MVs!$V$2:$Z$2,0))),MATCH(BA$2,INDEX(MVs!$B:$B,INDEX(MVs!$V$2:$Z$4,2,MATCH(BA$32,MVs!$V$2:$Z$2,0))):INDEX(MVs!$B:$B,INDEX(MVs!$V$2:$Z$4,3,MATCH(BA$32,MVs!$V$2:$Z$2,0))),0),IFERROR(MATCH(BA$7, MVs!$B$1:$T$1, 0), 2))</f>
        <v>#N/A</v>
      </c>
      <c r="BB30" s="123" t="e" cm="1">
        <f t="array" ref="BB30">INDEX(INDEX(MVs!$B:$B,INDEX(MVs!$V$2:$Z$4,2,MATCH(BB$32,MVs!$V$2:$Z$2,0))):INDEX(MVs!$U:$U,INDEX(MVs!$V$2:$Z$4,3,MATCH(BB$32,MVs!$V$2:$Z$2,0))),MATCH(BB$2,INDEX(MVs!$B:$B,INDEX(MVs!$V$2:$Z$4,2,MATCH(BB$32,MVs!$V$2:$Z$2,0))):INDEX(MVs!$B:$B,INDEX(MVs!$V$2:$Z$4,3,MATCH(BB$32,MVs!$V$2:$Z$2,0))),0),IFERROR(MATCH(BB$7, MVs!$B$1:$T$1, 0), 2))</f>
        <v>#N/A</v>
      </c>
      <c r="BC30" s="123" t="e" cm="1">
        <f t="array" ref="BC30">INDEX(INDEX(MVs!$B:$B,INDEX(MVs!$V$2:$Z$4,2,MATCH(BC$32,MVs!$V$2:$Z$2,0))):INDEX(MVs!$U:$U,INDEX(MVs!$V$2:$Z$4,3,MATCH(BC$32,MVs!$V$2:$Z$2,0))),MATCH(BC$2,INDEX(MVs!$B:$B,INDEX(MVs!$V$2:$Z$4,2,MATCH(BC$32,MVs!$V$2:$Z$2,0))):INDEX(MVs!$B:$B,INDEX(MVs!$V$2:$Z$4,3,MATCH(BC$32,MVs!$V$2:$Z$2,0))),0),IFERROR(MATCH(BC$7, MVs!$B$1:$T$1, 0), 2))</f>
        <v>#N/A</v>
      </c>
      <c r="BD30" s="123" t="e" cm="1">
        <f t="array" ref="BD30">INDEX(INDEX(MVs!$B:$B,INDEX(MVs!$V$2:$Z$4,2,MATCH(BD$32,MVs!$V$2:$Z$2,0))):INDEX(MVs!$U:$U,INDEX(MVs!$V$2:$Z$4,3,MATCH(BD$32,MVs!$V$2:$Z$2,0))),MATCH(BD$2,INDEX(MVs!$B:$B,INDEX(MVs!$V$2:$Z$4,2,MATCH(BD$32,MVs!$V$2:$Z$2,0))):INDEX(MVs!$B:$B,INDEX(MVs!$V$2:$Z$4,3,MATCH(BD$32,MVs!$V$2:$Z$2,0))),0),IFERROR(MATCH(BD$7, MVs!$B$1:$T$1, 0), 2))</f>
        <v>#N/A</v>
      </c>
      <c r="BE30" s="123" t="e" cm="1">
        <f t="array" ref="BE30">INDEX(INDEX(MVs!$B:$B,INDEX(MVs!$V$2:$Z$4,2,MATCH(BE$32,MVs!$V$2:$Z$2,0))):INDEX(MVs!$U:$U,INDEX(MVs!$V$2:$Z$4,3,MATCH(BE$32,MVs!$V$2:$Z$2,0))),MATCH(BE$2,INDEX(MVs!$B:$B,INDEX(MVs!$V$2:$Z$4,2,MATCH(BE$32,MVs!$V$2:$Z$2,0))):INDEX(MVs!$B:$B,INDEX(MVs!$V$2:$Z$4,3,MATCH(BE$32,MVs!$V$2:$Z$2,0))),0),IFERROR(MATCH(BE$7, MVs!$B$1:$T$1, 0), 2))</f>
        <v>#N/A</v>
      </c>
      <c r="BF30" s="123" t="e" cm="1">
        <f t="array" ref="BF30">INDEX(INDEX(MVs!$B:$B,INDEX(MVs!$V$2:$Z$4,2,MATCH(BF$32,MVs!$V$2:$Z$2,0))):INDEX(MVs!$U:$U,INDEX(MVs!$V$2:$Z$4,3,MATCH(BF$32,MVs!$V$2:$Z$2,0))),MATCH(BF$2,INDEX(MVs!$B:$B,INDEX(MVs!$V$2:$Z$4,2,MATCH(BF$32,MVs!$V$2:$Z$2,0))):INDEX(MVs!$B:$B,INDEX(MVs!$V$2:$Z$4,3,MATCH(BF$32,MVs!$V$2:$Z$2,0))),0),IFERROR(MATCH(BF$7, MVs!$B$1:$T$1, 0), 2))</f>
        <v>#N/A</v>
      </c>
      <c r="BG30" s="123" t="e" cm="1">
        <f t="array" ref="BG30">INDEX(INDEX(MVs!$B:$B,INDEX(MVs!$V$2:$Z$4,2,MATCH(BG$32,MVs!$V$2:$Z$2,0))):INDEX(MVs!$U:$U,INDEX(MVs!$V$2:$Z$4,3,MATCH(BG$32,MVs!$V$2:$Z$2,0))),MATCH(BG$2,INDEX(MVs!$B:$B,INDEX(MVs!$V$2:$Z$4,2,MATCH(BG$32,MVs!$V$2:$Z$2,0))):INDEX(MVs!$B:$B,INDEX(MVs!$V$2:$Z$4,3,MATCH(BG$32,MVs!$V$2:$Z$2,0))),0),IFERROR(MATCH(BG$7, MVs!$B$1:$T$1, 0), 2))</f>
        <v>#N/A</v>
      </c>
      <c r="BH30" s="123" t="e" cm="1">
        <f t="array" ref="BH30">INDEX(INDEX(MVs!$B:$B,INDEX(MVs!$V$2:$Z$4,2,MATCH(BH$32,MVs!$V$2:$Z$2,0))):INDEX(MVs!$U:$U,INDEX(MVs!$V$2:$Z$4,3,MATCH(BH$32,MVs!$V$2:$Z$2,0))),MATCH(BH$2,INDEX(MVs!$B:$B,INDEX(MVs!$V$2:$Z$4,2,MATCH(BH$32,MVs!$V$2:$Z$2,0))):INDEX(MVs!$B:$B,INDEX(MVs!$V$2:$Z$4,3,MATCH(BH$32,MVs!$V$2:$Z$2,0))),0),IFERROR(MATCH(BH$7, MVs!$B$1:$T$1, 0), 2))</f>
        <v>#N/A</v>
      </c>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row>
    <row r="31" spans="1:16382" hidden="1" outlineLevel="1" x14ac:dyDescent="0.25">
      <c r="A31" s="124" t="s">
        <v>628</v>
      </c>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25"/>
      <c r="AS31" s="125"/>
      <c r="AT31" s="125"/>
      <c r="AU31" s="125"/>
      <c r="AV31" s="125"/>
      <c r="AW31" s="125"/>
      <c r="AX31" s="125"/>
      <c r="AY31" s="125"/>
      <c r="AZ31" s="125"/>
      <c r="BA31" s="125"/>
      <c r="BB31" s="125"/>
      <c r="BC31" s="125"/>
      <c r="BD31" s="125"/>
      <c r="BE31" s="125"/>
      <c r="BF31" s="125"/>
      <c r="BG31" s="125"/>
      <c r="BH31" s="125"/>
      <c r="CJ31" s="125"/>
      <c r="CK31" s="125"/>
      <c r="CL31" s="125"/>
      <c r="CM31" s="125"/>
      <c r="CN31" s="125"/>
      <c r="CO31" s="125"/>
      <c r="CP31" s="125"/>
      <c r="CQ31" s="125"/>
      <c r="CR31" s="125"/>
      <c r="CS31" s="125"/>
      <c r="CT31" s="125"/>
      <c r="CU31" s="125"/>
      <c r="CV31" s="125"/>
      <c r="CW31" s="125"/>
      <c r="CX31" s="125"/>
      <c r="CY31" s="125"/>
      <c r="CZ31" s="125"/>
      <c r="DA31" s="125"/>
      <c r="DB31" s="125"/>
      <c r="DC31" s="125"/>
    </row>
    <row r="32" spans="1:16382" hidden="1" outlineLevel="1" x14ac:dyDescent="0.25">
      <c r="A32" s="122" t="s">
        <v>623</v>
      </c>
      <c r="B32" s="125" t="str">
        <f>IFERROR(VLOOKUP(B1,'Data Val'!$A$2:$B$5, 2, 0),"")</f>
        <v>char2</v>
      </c>
      <c r="C32" s="125" t="str">
        <f>IFERROR(VLOOKUP(C1,'Data Val'!$A$2:$B$5, 2, 0),"")</f>
        <v>char3</v>
      </c>
      <c r="D32" s="125" t="str">
        <f>IFERROR(VLOOKUP(D1,'Data Val'!$A$2:$B$5, 2, 0),"")</f>
        <v>char4</v>
      </c>
      <c r="E32" s="125" t="str">
        <f>IFERROR(VLOOKUP(E1,'Data Val'!$A$2:$B$5, 2, 0),"")</f>
        <v>char4</v>
      </c>
      <c r="F32" s="125" t="str">
        <f>IFERROR(VLOOKUP(F1,'Data Val'!$A$2:$B$5, 2, 0),"")</f>
        <v>char4</v>
      </c>
      <c r="G32" s="125" t="str">
        <f>IFERROR(VLOOKUP(G1,'Data Val'!$A$2:$B$5, 2, 0),"")</f>
        <v>char4</v>
      </c>
      <c r="H32" s="125" t="str">
        <f>IFERROR(VLOOKUP(H1,'Data Val'!$A$2:$B$5, 2, 0),"")</f>
        <v>char1</v>
      </c>
      <c r="I32" s="125" t="str">
        <f>IFERROR(VLOOKUP(I1,'Data Val'!$A$2:$B$5, 2, 0),"")</f>
        <v>char4</v>
      </c>
      <c r="J32" s="125" t="str">
        <f>IFERROR(VLOOKUP(J1,'Data Val'!$A$2:$B$5, 2, 0),"")</f>
        <v>char4</v>
      </c>
      <c r="K32" s="125" t="str">
        <f>IFERROR(VLOOKUP(K1,'Data Val'!$A$2:$B$5, 2, 0),"")</f>
        <v>char4</v>
      </c>
      <c r="L32" s="125" t="str">
        <f>IFERROR(VLOOKUP(L1,'Data Val'!$A$2:$B$5, 2, 0),"")</f>
        <v>char4</v>
      </c>
      <c r="M32" s="125" t="str">
        <f>IFERROR(VLOOKUP(M1,'Data Val'!$A$2:$B$5, 2, 0),"")</f>
        <v>char4</v>
      </c>
      <c r="N32" s="125" t="str">
        <f>IFERROR(VLOOKUP(N1,'Data Val'!$A$2:$B$5, 2, 0),"")</f>
        <v>char4</v>
      </c>
      <c r="O32" s="125" t="str">
        <f>IFERROR(VLOOKUP(O1,'Data Val'!$A$2:$B$5, 2, 0),"")</f>
        <v>char1</v>
      </c>
      <c r="P32" s="125" t="str">
        <f>IFERROR(VLOOKUP(P1,'Data Val'!$A$2:$B$5, 2, 0),"")</f>
        <v>char1</v>
      </c>
      <c r="Q32" s="125" t="str">
        <f>IFERROR(VLOOKUP(Q1,'Data Val'!$A$2:$B$5, 2, 0),"")</f>
        <v>char1</v>
      </c>
      <c r="R32" s="125" t="str">
        <f>IFERROR(VLOOKUP(R1,'Data Val'!$A$2:$B$5, 2, 0),"")</f>
        <v>char1</v>
      </c>
      <c r="S32" s="125" t="str">
        <f>IFERROR(VLOOKUP(S1,'Data Val'!$A$2:$B$5, 2, 0),"")</f>
        <v>char2</v>
      </c>
      <c r="T32" s="125" t="str">
        <f>IFERROR(VLOOKUP(T1,'Data Val'!$A$2:$B$5, 2, 0),"")</f>
        <v>char3</v>
      </c>
      <c r="U32" s="125" t="str">
        <f>IFERROR(VLOOKUP(U1,'Data Val'!$A$2:$B$5, 2, 0),"")</f>
        <v>char2</v>
      </c>
      <c r="V32" s="125" t="str">
        <f>IFERROR(VLOOKUP(V1,'Data Val'!$A$2:$B$5, 2, 0),"")</f>
        <v>char2</v>
      </c>
      <c r="W32" s="125" t="str">
        <f>IFERROR(VLOOKUP(W1,'Data Val'!$A$2:$B$5, 2, 0),"")</f>
        <v>char2</v>
      </c>
      <c r="X32" s="125" t="str">
        <f>IFERROR(VLOOKUP(X1,'Data Val'!$A$2:$B$5, 2, 0),"")</f>
        <v>char2</v>
      </c>
      <c r="Y32" s="125" t="str">
        <f>IFERROR(VLOOKUP(Y1,'Data Val'!$A$2:$B$5, 2, 0),"")</f>
        <v>char2</v>
      </c>
      <c r="Z32" s="125" t="str">
        <f>IFERROR(VLOOKUP(Z1,'Data Val'!$A$2:$B$5, 2, 0),"")</f>
        <v>char2</v>
      </c>
      <c r="AA32" s="125" t="str">
        <f>IFERROR(VLOOKUP(AA1,'Data Val'!$A$2:$B$5, 2, 0),"")</f>
        <v>char2</v>
      </c>
      <c r="AB32" s="125" t="str">
        <f>IFERROR(VLOOKUP(AB1,'Data Val'!$A$2:$B$5, 2, 0),"")</f>
        <v>char3</v>
      </c>
      <c r="AC32" s="125" t="str">
        <f>IFERROR(VLOOKUP(AC1,'Data Val'!$A$2:$B$5, 2, 0),"")</f>
        <v>char4</v>
      </c>
      <c r="AD32" s="125" t="str">
        <f>IFERROR(VLOOKUP(AD1,'Data Val'!$A$2:$B$5, 2, 0),"")</f>
        <v>char4</v>
      </c>
      <c r="AE32" s="125" t="str">
        <f>IFERROR(VLOOKUP(AE1,'Data Val'!$A$2:$B$5, 2, 0),"")</f>
        <v>char1</v>
      </c>
      <c r="AF32" s="125" t="str">
        <f>IFERROR(VLOOKUP(AF1,'Data Val'!$A$2:$B$5, 2, 0),"")</f>
        <v>char2</v>
      </c>
      <c r="AG32" s="125" t="str">
        <f>IFERROR(VLOOKUP(AG1,'Data Val'!$A$2:$B$5, 2, 0),"")</f>
        <v>char2</v>
      </c>
      <c r="AH32" s="125" t="str">
        <f>IFERROR(VLOOKUP(AH1,'Data Val'!$A$2:$B$5, 2, 0),"")</f>
        <v>char2</v>
      </c>
      <c r="AI32" s="125" t="str">
        <f>IFERROR(VLOOKUP(AI1,'Data Val'!$A$2:$B$5, 2, 0),"")</f>
        <v>char2</v>
      </c>
      <c r="AJ32" s="125" t="str">
        <f>IFERROR(VLOOKUP(AJ1,'Data Val'!$A$2:$B$5, 2, 0),"")</f>
        <v/>
      </c>
      <c r="AK32" s="125" t="str">
        <f>IFERROR(VLOOKUP(AK1,'Data Val'!$A$2:$B$5, 2, 0),"")</f>
        <v/>
      </c>
      <c r="AL32" s="125" t="str">
        <f>IFERROR(VLOOKUP(AL1,'Data Val'!$A$2:$B$5, 2, 0),"")</f>
        <v/>
      </c>
      <c r="AM32" s="125" t="str">
        <f>IFERROR(VLOOKUP(AM1,'Data Val'!$A$2:$B$5, 2, 0),"")</f>
        <v/>
      </c>
      <c r="AN32" s="125" t="str">
        <f>IFERROR(VLOOKUP(AN1,'Data Val'!$A$2:$B$5, 2, 0),"")</f>
        <v/>
      </c>
      <c r="AO32" s="125" t="str">
        <f>IFERROR(VLOOKUP(AO1,'Data Val'!$A$2:$B$5, 2, 0),"")</f>
        <v/>
      </c>
      <c r="AP32" s="125" t="str">
        <f>IFERROR(VLOOKUP(AP1,'Data Val'!$A$2:$B$5, 2, 0),"")</f>
        <v/>
      </c>
      <c r="AQ32" s="125" t="str">
        <f>IFERROR(VLOOKUP(AQ1,'Data Val'!$A$2:$B$5, 2, 0),"")</f>
        <v/>
      </c>
      <c r="AR32" s="125" t="str">
        <f>IFERROR(VLOOKUP(AR1,'Data Val'!$A$2:$B$5, 2, 0),"")</f>
        <v/>
      </c>
      <c r="AS32" s="125" t="str">
        <f>IFERROR(VLOOKUP(AS1,'Data Val'!$A$2:$B$5, 2, 0),"")</f>
        <v/>
      </c>
      <c r="AT32" s="125" t="str">
        <f>IFERROR(VLOOKUP(AT1,'Data Val'!$A$2:$B$5, 2, 0),"")</f>
        <v/>
      </c>
      <c r="AU32" s="125" t="str">
        <f>IFERROR(VLOOKUP(AU1,'Data Val'!$A$2:$B$5, 2, 0),"")</f>
        <v/>
      </c>
      <c r="AV32" s="125" t="str">
        <f>IFERROR(VLOOKUP(AV1,'Data Val'!$A$2:$B$5, 2, 0),"")</f>
        <v/>
      </c>
      <c r="AW32" s="125" t="str">
        <f>IFERROR(VLOOKUP(AW1,'Data Val'!$A$2:$B$5, 2, 0),"")</f>
        <v/>
      </c>
      <c r="AX32" s="125" t="str">
        <f>IFERROR(VLOOKUP(AX1,'Data Val'!$A$2:$B$5, 2, 0),"")</f>
        <v/>
      </c>
      <c r="AY32" s="125" t="str">
        <f>IFERROR(VLOOKUP(AY1,'Data Val'!$A$2:$B$5, 2, 0),"")</f>
        <v/>
      </c>
      <c r="AZ32" s="125" t="str">
        <f>IFERROR(VLOOKUP(AZ1,'Data Val'!$A$2:$B$5, 2, 0),"")</f>
        <v/>
      </c>
      <c r="BA32" s="125" t="str">
        <f>IFERROR(VLOOKUP(BA1,'Data Val'!$A$2:$B$5, 2, 0),"")</f>
        <v/>
      </c>
      <c r="BB32" s="125" t="str">
        <f>IFERROR(VLOOKUP(BB1,'Data Val'!$A$2:$B$5, 2, 0),"")</f>
        <v/>
      </c>
      <c r="BC32" s="125" t="str">
        <f>IFERROR(VLOOKUP(BC1,'Data Val'!$A$2:$B$5, 2, 0),"")</f>
        <v/>
      </c>
      <c r="BD32" s="125" t="str">
        <f>IFERROR(VLOOKUP(BD1,'Data Val'!$A$2:$B$5, 2, 0),"")</f>
        <v/>
      </c>
      <c r="BE32" s="125" t="str">
        <f>IFERROR(VLOOKUP(BE1,'Data Val'!$A$2:$B$5, 2, 0),"")</f>
        <v/>
      </c>
      <c r="BF32" s="125" t="str">
        <f>IFERROR(VLOOKUP(BF1,'Data Val'!$A$2:$B$5, 2, 0),"")</f>
        <v/>
      </c>
      <c r="BG32" s="125" t="str">
        <f>IFERROR(VLOOKUP(BG1,'Data Val'!$A$2:$B$5, 2, 0),"")</f>
        <v/>
      </c>
      <c r="BH32" s="125" t="str">
        <f>IFERROR(VLOOKUP(BH1,'Data Val'!$A$2:$B$5, 2, 0),"")</f>
        <v/>
      </c>
      <c r="CJ32" s="125"/>
      <c r="CK32" s="125"/>
      <c r="CL32" s="125"/>
      <c r="CM32" s="125"/>
      <c r="CN32" s="125"/>
      <c r="CO32" s="125"/>
      <c r="CP32" s="125"/>
      <c r="CQ32" s="125"/>
      <c r="CR32" s="125"/>
      <c r="CS32" s="125"/>
      <c r="CT32" s="125"/>
      <c r="CU32" s="125"/>
      <c r="CV32" s="125"/>
      <c r="CW32" s="125"/>
      <c r="CX32" s="125"/>
      <c r="CY32" s="125"/>
      <c r="CZ32" s="125"/>
      <c r="DA32" s="125"/>
      <c r="DB32" s="125"/>
      <c r="DC32" s="125"/>
    </row>
    <row r="33" spans="1:107" hidden="1" outlineLevel="1" x14ac:dyDescent="0.25">
      <c r="A33" s="122" t="s">
        <v>62</v>
      </c>
      <c r="B33" s="125">
        <f>INDEX(Calcs!$AC$5:$AG$51, MATCH('Rotation Assembler'!$A33, Calcs!$AC$5:$AC$51, 0), MATCH('Rotation Assembler'!B$32, Calcs!$AC$5:$AG$5, 0))</f>
        <v>344.08</v>
      </c>
      <c r="C33" s="125">
        <f>INDEX(Calcs!$AC$5:$AG$51, MATCH('Rotation Assembler'!$A33, Calcs!$AC$5:$AC$51, 0), MATCH('Rotation Assembler'!C$32, Calcs!$AC$5:$AG$5, 0))</f>
        <v>344.08</v>
      </c>
      <c r="D33" s="125">
        <f>INDEX(Calcs!$AC$5:$AG$51, MATCH('Rotation Assembler'!$A33, Calcs!$AC$5:$AC$51, 0), MATCH('Rotation Assembler'!D$32, Calcs!$AC$5:$AG$5, 0))</f>
        <v>344.08</v>
      </c>
      <c r="E33" s="125">
        <f>INDEX(Calcs!$AC$5:$AG$51, MATCH('Rotation Assembler'!$A33, Calcs!$AC$5:$AC$51, 0), MATCH('Rotation Assembler'!E$32, Calcs!$AC$5:$AG$5, 0))</f>
        <v>344.08</v>
      </c>
      <c r="F33" s="125">
        <f>INDEX(Calcs!$AC$5:$AG$51, MATCH('Rotation Assembler'!$A33, Calcs!$AC$5:$AC$51, 0), MATCH('Rotation Assembler'!F$32, Calcs!$AC$5:$AG$5, 0))</f>
        <v>344.08</v>
      </c>
      <c r="G33" s="125">
        <f>INDEX(Calcs!$AC$5:$AG$51, MATCH('Rotation Assembler'!$A33, Calcs!$AC$5:$AC$51, 0), MATCH('Rotation Assembler'!G$32, Calcs!$AC$5:$AG$5, 0))</f>
        <v>344.08</v>
      </c>
      <c r="H33" s="125">
        <f>INDEX(Calcs!$AC$5:$AG$51, MATCH('Rotation Assembler'!$A33, Calcs!$AC$5:$AC$51, 0), MATCH('Rotation Assembler'!H$32, Calcs!$AC$5:$AG$5, 0))</f>
        <v>344.08</v>
      </c>
      <c r="I33" s="125">
        <f>INDEX(Calcs!$AC$5:$AG$51, MATCH('Rotation Assembler'!$A33, Calcs!$AC$5:$AC$51, 0), MATCH('Rotation Assembler'!I$32, Calcs!$AC$5:$AG$5, 0))</f>
        <v>344.08</v>
      </c>
      <c r="J33" s="125">
        <f>INDEX(Calcs!$AC$5:$AG$51, MATCH('Rotation Assembler'!$A33, Calcs!$AC$5:$AC$51, 0), MATCH('Rotation Assembler'!J$32, Calcs!$AC$5:$AG$5, 0))</f>
        <v>344.08</v>
      </c>
      <c r="K33" s="125">
        <f>INDEX(Calcs!$AC$5:$AG$51, MATCH('Rotation Assembler'!$A33, Calcs!$AC$5:$AC$51, 0), MATCH('Rotation Assembler'!K$32, Calcs!$AC$5:$AG$5, 0))</f>
        <v>344.08</v>
      </c>
      <c r="L33" s="125">
        <f>INDEX(Calcs!$AC$5:$AG$51, MATCH('Rotation Assembler'!$A33, Calcs!$AC$5:$AC$51, 0), MATCH('Rotation Assembler'!L$32, Calcs!$AC$5:$AG$5, 0))</f>
        <v>344.08</v>
      </c>
      <c r="M33" s="125">
        <f>INDEX(Calcs!$AC$5:$AG$51, MATCH('Rotation Assembler'!$A33, Calcs!$AC$5:$AC$51, 0), MATCH('Rotation Assembler'!M$32, Calcs!$AC$5:$AG$5, 0))</f>
        <v>344.08</v>
      </c>
      <c r="N33" s="125">
        <f>INDEX(Calcs!$AC$5:$AG$51, MATCH('Rotation Assembler'!$A33, Calcs!$AC$5:$AC$51, 0), MATCH('Rotation Assembler'!N$32, Calcs!$AC$5:$AG$5, 0))</f>
        <v>344.08</v>
      </c>
      <c r="O33" s="125">
        <f>INDEX(Calcs!$AC$5:$AG$51, MATCH('Rotation Assembler'!$A33, Calcs!$AC$5:$AC$51, 0), MATCH('Rotation Assembler'!O$32, Calcs!$AC$5:$AG$5, 0))</f>
        <v>344.08</v>
      </c>
      <c r="P33" s="125">
        <f>INDEX(Calcs!$AC$5:$AG$51, MATCH('Rotation Assembler'!$A33, Calcs!$AC$5:$AC$51, 0), MATCH('Rotation Assembler'!P$32, Calcs!$AC$5:$AG$5, 0))</f>
        <v>344.08</v>
      </c>
      <c r="Q33" s="125">
        <f>INDEX(Calcs!$AC$5:$AG$51, MATCH('Rotation Assembler'!$A33, Calcs!$AC$5:$AC$51, 0), MATCH('Rotation Assembler'!Q$32, Calcs!$AC$5:$AG$5, 0))</f>
        <v>344.08</v>
      </c>
      <c r="R33" s="125">
        <f>INDEX(Calcs!$AC$5:$AG$51, MATCH('Rotation Assembler'!$A33, Calcs!$AC$5:$AC$51, 0), MATCH('Rotation Assembler'!R$32, Calcs!$AC$5:$AG$5, 0))</f>
        <v>344.08</v>
      </c>
      <c r="S33" s="125">
        <f>INDEX(Calcs!$AC$5:$AG$51, MATCH('Rotation Assembler'!$A33, Calcs!$AC$5:$AC$51, 0), MATCH('Rotation Assembler'!S$32, Calcs!$AC$5:$AG$5, 0))</f>
        <v>344.08</v>
      </c>
      <c r="T33" s="125">
        <f>INDEX(Calcs!$AC$5:$AG$51, MATCH('Rotation Assembler'!$A33, Calcs!$AC$5:$AC$51, 0), MATCH('Rotation Assembler'!T$32, Calcs!$AC$5:$AG$5, 0))</f>
        <v>344.08</v>
      </c>
      <c r="U33" s="125">
        <f>INDEX(Calcs!$AC$5:$AG$51, MATCH('Rotation Assembler'!$A33, Calcs!$AC$5:$AC$51, 0), MATCH('Rotation Assembler'!U$32, Calcs!$AC$5:$AG$5, 0))</f>
        <v>344.08</v>
      </c>
      <c r="V33" s="125">
        <f>INDEX(Calcs!$AC$5:$AG$51, MATCH('Rotation Assembler'!$A33, Calcs!$AC$5:$AC$51, 0), MATCH('Rotation Assembler'!V$32, Calcs!$AC$5:$AG$5, 0))</f>
        <v>344.08</v>
      </c>
      <c r="W33" s="125">
        <f>INDEX(Calcs!$AC$5:$AG$51, MATCH('Rotation Assembler'!$A33, Calcs!$AC$5:$AC$51, 0), MATCH('Rotation Assembler'!W$32, Calcs!$AC$5:$AG$5, 0))</f>
        <v>344.08</v>
      </c>
      <c r="X33" s="125">
        <f>INDEX(Calcs!$AC$5:$AG$51, MATCH('Rotation Assembler'!$A33, Calcs!$AC$5:$AC$51, 0), MATCH('Rotation Assembler'!X$32, Calcs!$AC$5:$AG$5, 0))</f>
        <v>344.08</v>
      </c>
      <c r="Y33" s="125">
        <f>INDEX(Calcs!$AC$5:$AG$51, MATCH('Rotation Assembler'!$A33, Calcs!$AC$5:$AC$51, 0), MATCH('Rotation Assembler'!Y$32, Calcs!$AC$5:$AG$5, 0))</f>
        <v>344.08</v>
      </c>
      <c r="Z33" s="125">
        <f>INDEX(Calcs!$AC$5:$AG$51, MATCH('Rotation Assembler'!$A33, Calcs!$AC$5:$AC$51, 0), MATCH('Rotation Assembler'!Z$32, Calcs!$AC$5:$AG$5, 0))</f>
        <v>344.08</v>
      </c>
      <c r="AA33" s="125">
        <f>INDEX(Calcs!$AC$5:$AG$51, MATCH('Rotation Assembler'!$A33, Calcs!$AC$5:$AC$51, 0), MATCH('Rotation Assembler'!AA$32, Calcs!$AC$5:$AG$5, 0))</f>
        <v>344.08</v>
      </c>
      <c r="AB33" s="125">
        <f>INDEX(Calcs!$AC$5:$AG$51, MATCH('Rotation Assembler'!$A33, Calcs!$AC$5:$AC$51, 0), MATCH('Rotation Assembler'!AB$32, Calcs!$AC$5:$AG$5, 0))</f>
        <v>344.08</v>
      </c>
      <c r="AC33" s="125">
        <f>INDEX(Calcs!$AC$5:$AG$51, MATCH('Rotation Assembler'!$A33, Calcs!$AC$5:$AC$51, 0), MATCH('Rotation Assembler'!AC$32, Calcs!$AC$5:$AG$5, 0))</f>
        <v>344.08</v>
      </c>
      <c r="AD33" s="125">
        <f>INDEX(Calcs!$AC$5:$AG$51, MATCH('Rotation Assembler'!$A33, Calcs!$AC$5:$AC$51, 0), MATCH('Rotation Assembler'!AD$32, Calcs!$AC$5:$AG$5, 0))</f>
        <v>344.08</v>
      </c>
      <c r="AE33" s="125">
        <f>INDEX(Calcs!$AC$5:$AG$51, MATCH('Rotation Assembler'!$A33, Calcs!$AC$5:$AC$51, 0), MATCH('Rotation Assembler'!AE$32, Calcs!$AC$5:$AG$5, 0))</f>
        <v>344.08</v>
      </c>
      <c r="AF33" s="125">
        <f>INDEX(Calcs!$AC$5:$AG$51, MATCH('Rotation Assembler'!$A33, Calcs!$AC$5:$AC$51, 0), MATCH('Rotation Assembler'!AF$32, Calcs!$AC$5:$AG$5, 0))</f>
        <v>344.08</v>
      </c>
      <c r="AG33" s="125">
        <f>INDEX(Calcs!$AC$5:$AG$51, MATCH('Rotation Assembler'!$A33, Calcs!$AC$5:$AC$51, 0), MATCH('Rotation Assembler'!AG$32, Calcs!$AC$5:$AG$5, 0))</f>
        <v>344.08</v>
      </c>
      <c r="AH33" s="125">
        <f>INDEX(Calcs!$AC$5:$AG$51, MATCH('Rotation Assembler'!$A33, Calcs!$AC$5:$AC$51, 0), MATCH('Rotation Assembler'!AH$32, Calcs!$AC$5:$AG$5, 0))</f>
        <v>344.08</v>
      </c>
      <c r="AI33" s="125">
        <f>INDEX(Calcs!$AC$5:$AG$51, MATCH('Rotation Assembler'!$A33, Calcs!$AC$5:$AC$51, 0), MATCH('Rotation Assembler'!AI$32, Calcs!$AC$5:$AG$5, 0))</f>
        <v>344.08</v>
      </c>
      <c r="AJ33" s="125" t="e">
        <f>INDEX(Calcs!$AC$5:$AG$51, MATCH('Rotation Assembler'!$A33, Calcs!$AC$5:$AC$51, 0), MATCH('Rotation Assembler'!AJ$32, Calcs!$AC$5:$AG$5, 0))</f>
        <v>#N/A</v>
      </c>
      <c r="AK33" s="125" t="e">
        <f>INDEX(Calcs!$AC$5:$AG$51, MATCH('Rotation Assembler'!$A33, Calcs!$AC$5:$AC$51, 0), MATCH('Rotation Assembler'!AK$32, Calcs!$AC$5:$AG$5, 0))</f>
        <v>#N/A</v>
      </c>
      <c r="AL33" s="125" t="e">
        <f>INDEX(Calcs!$AC$5:$AG$51, MATCH('Rotation Assembler'!$A33, Calcs!$AC$5:$AC$51, 0), MATCH('Rotation Assembler'!AL$32, Calcs!$AC$5:$AG$5, 0))</f>
        <v>#N/A</v>
      </c>
      <c r="AM33" s="125" t="e">
        <f>INDEX(Calcs!$AC$5:$AG$51, MATCH('Rotation Assembler'!$A33, Calcs!$AC$5:$AC$51, 0), MATCH('Rotation Assembler'!AM$32, Calcs!$AC$5:$AG$5, 0))</f>
        <v>#N/A</v>
      </c>
      <c r="AN33" s="125" t="e">
        <f>INDEX(Calcs!$AC$5:$AG$51, MATCH('Rotation Assembler'!$A33, Calcs!$AC$5:$AC$51, 0), MATCH('Rotation Assembler'!AN$32, Calcs!$AC$5:$AG$5, 0))</f>
        <v>#N/A</v>
      </c>
      <c r="AO33" s="125" t="e">
        <f>INDEX(Calcs!$AC$5:$AG$51, MATCH('Rotation Assembler'!$A33, Calcs!$AC$5:$AC$51, 0), MATCH('Rotation Assembler'!AO$32, Calcs!$AC$5:$AG$5, 0))</f>
        <v>#N/A</v>
      </c>
      <c r="AP33" s="125" t="e">
        <f>INDEX(Calcs!$AC$5:$AG$51, MATCH('Rotation Assembler'!$A33, Calcs!$AC$5:$AC$51, 0), MATCH('Rotation Assembler'!AP$32, Calcs!$AC$5:$AG$5, 0))</f>
        <v>#N/A</v>
      </c>
      <c r="AQ33" s="125" t="e">
        <f>INDEX(Calcs!$AC$5:$AG$51, MATCH('Rotation Assembler'!$A33, Calcs!$AC$5:$AC$51, 0), MATCH('Rotation Assembler'!AQ$32, Calcs!$AC$5:$AG$5, 0))</f>
        <v>#N/A</v>
      </c>
      <c r="AR33" s="125" t="e">
        <f>INDEX(Calcs!$AC$5:$AG$51, MATCH('Rotation Assembler'!$A33, Calcs!$AC$5:$AC$51, 0), MATCH('Rotation Assembler'!AR$32, Calcs!$AC$5:$AG$5, 0))</f>
        <v>#N/A</v>
      </c>
      <c r="AS33" s="125" t="e">
        <f>INDEX(Calcs!$AC$5:$AG$51, MATCH('Rotation Assembler'!$A33, Calcs!$AC$5:$AC$51, 0), MATCH('Rotation Assembler'!AS$32, Calcs!$AC$5:$AG$5, 0))</f>
        <v>#N/A</v>
      </c>
      <c r="AT33" s="125" t="e">
        <f>INDEX(Calcs!$AC$5:$AG$51, MATCH('Rotation Assembler'!$A33, Calcs!$AC$5:$AC$51, 0), MATCH('Rotation Assembler'!AT$32, Calcs!$AC$5:$AG$5, 0))</f>
        <v>#N/A</v>
      </c>
      <c r="AU33" s="125" t="e">
        <f>INDEX(Calcs!$AC$5:$AG$51, MATCH('Rotation Assembler'!$A33, Calcs!$AC$5:$AC$51, 0), MATCH('Rotation Assembler'!AU$32, Calcs!$AC$5:$AG$5, 0))</f>
        <v>#N/A</v>
      </c>
      <c r="AV33" s="125" t="e">
        <f>INDEX(Calcs!$AC$5:$AG$51, MATCH('Rotation Assembler'!$A33, Calcs!$AC$5:$AC$51, 0), MATCH('Rotation Assembler'!AV$32, Calcs!$AC$5:$AG$5, 0))</f>
        <v>#N/A</v>
      </c>
      <c r="AW33" s="125" t="e">
        <f>INDEX(Calcs!$AC$5:$AG$51, MATCH('Rotation Assembler'!$A33, Calcs!$AC$5:$AC$51, 0), MATCH('Rotation Assembler'!AW$32, Calcs!$AC$5:$AG$5, 0))</f>
        <v>#N/A</v>
      </c>
      <c r="AX33" s="125" t="e">
        <f>INDEX(Calcs!$AC$5:$AG$51, MATCH('Rotation Assembler'!$A33, Calcs!$AC$5:$AC$51, 0), MATCH('Rotation Assembler'!AX$32, Calcs!$AC$5:$AG$5, 0))</f>
        <v>#N/A</v>
      </c>
      <c r="AY33" s="125" t="e">
        <f>INDEX(Calcs!$AC$5:$AG$51, MATCH('Rotation Assembler'!$A33, Calcs!$AC$5:$AC$51, 0), MATCH('Rotation Assembler'!AY$32, Calcs!$AC$5:$AG$5, 0))</f>
        <v>#N/A</v>
      </c>
      <c r="AZ33" s="125" t="e">
        <f>INDEX(Calcs!$AC$5:$AG$51, MATCH('Rotation Assembler'!$A33, Calcs!$AC$5:$AC$51, 0), MATCH('Rotation Assembler'!AZ$32, Calcs!$AC$5:$AG$5, 0))</f>
        <v>#N/A</v>
      </c>
      <c r="BA33" s="125" t="e">
        <f>INDEX(Calcs!$AC$5:$AG$51, MATCH('Rotation Assembler'!$A33, Calcs!$AC$5:$AC$51, 0), MATCH('Rotation Assembler'!BA$32, Calcs!$AC$5:$AG$5, 0))</f>
        <v>#N/A</v>
      </c>
      <c r="BB33" s="125" t="e">
        <f>INDEX(Calcs!$AC$5:$AG$51, MATCH('Rotation Assembler'!$A33, Calcs!$AC$5:$AC$51, 0), MATCH('Rotation Assembler'!BB$32, Calcs!$AC$5:$AG$5, 0))</f>
        <v>#N/A</v>
      </c>
      <c r="BC33" s="125" t="e">
        <f>INDEX(Calcs!$AC$5:$AG$51, MATCH('Rotation Assembler'!$A33, Calcs!$AC$5:$AC$51, 0), MATCH('Rotation Assembler'!BC$32, Calcs!$AC$5:$AG$5, 0))</f>
        <v>#N/A</v>
      </c>
      <c r="BD33" s="125" t="e">
        <f>INDEX(Calcs!$AC$5:$AG$51, MATCH('Rotation Assembler'!$A33, Calcs!$AC$5:$AC$51, 0), MATCH('Rotation Assembler'!BD$32, Calcs!$AC$5:$AG$5, 0))</f>
        <v>#N/A</v>
      </c>
      <c r="BE33" s="125" t="e">
        <f>INDEX(Calcs!$AC$5:$AG$51, MATCH('Rotation Assembler'!$A33, Calcs!$AC$5:$AC$51, 0), MATCH('Rotation Assembler'!BE$32, Calcs!$AC$5:$AG$5, 0))</f>
        <v>#N/A</v>
      </c>
      <c r="BF33" s="125" t="e">
        <f>INDEX(Calcs!$AC$5:$AG$51, MATCH('Rotation Assembler'!$A33, Calcs!$AC$5:$AC$51, 0), MATCH('Rotation Assembler'!BF$32, Calcs!$AC$5:$AG$5, 0))</f>
        <v>#N/A</v>
      </c>
      <c r="BG33" s="125" t="e">
        <f>INDEX(Calcs!$AC$5:$AG$51, MATCH('Rotation Assembler'!$A33, Calcs!$AC$5:$AC$51, 0), MATCH('Rotation Assembler'!BG$32, Calcs!$AC$5:$AG$5, 0))</f>
        <v>#N/A</v>
      </c>
      <c r="BH33" s="125" t="e">
        <f>INDEX(Calcs!$AC$5:$AG$51, MATCH('Rotation Assembler'!$A33, Calcs!$AC$5:$AC$51, 0), MATCH('Rotation Assembler'!BH$32, Calcs!$AC$5:$AG$5, 0))</f>
        <v>#N/A</v>
      </c>
      <c r="CJ33" s="125"/>
      <c r="CK33" s="125"/>
      <c r="CL33" s="125"/>
      <c r="CM33" s="125"/>
      <c r="CN33" s="125"/>
      <c r="CO33" s="125"/>
      <c r="CP33" s="125"/>
      <c r="CQ33" s="125"/>
      <c r="CR33" s="125"/>
      <c r="CS33" s="125"/>
      <c r="CT33" s="125"/>
      <c r="CU33" s="125"/>
      <c r="CV33" s="125"/>
      <c r="CW33" s="125"/>
      <c r="CX33" s="125"/>
      <c r="CY33" s="125"/>
      <c r="CZ33" s="125"/>
      <c r="DA33" s="125"/>
      <c r="DB33" s="125"/>
      <c r="DC33" s="125"/>
    </row>
    <row r="34" spans="1:107" hidden="1" outlineLevel="1" x14ac:dyDescent="0.25">
      <c r="A34" s="122" t="s">
        <v>63</v>
      </c>
      <c r="B34" s="125">
        <f>INDEX(Calcs!$AC$5:$AG$51, MATCH('Rotation Assembler'!$A34, Calcs!$AC$5:$AC$51, 0), MATCH('Rotation Assembler'!B$32, Calcs!$AC$5:$AG$5, 0))</f>
        <v>39.36</v>
      </c>
      <c r="C34" s="125">
        <f>INDEX(Calcs!$AC$5:$AG$51, MATCH('Rotation Assembler'!$A34, Calcs!$AC$5:$AC$51, 0), MATCH('Rotation Assembler'!C$32, Calcs!$AC$5:$AG$5, 0))</f>
        <v>39.36</v>
      </c>
      <c r="D34" s="125">
        <f>INDEX(Calcs!$AC$5:$AG$51, MATCH('Rotation Assembler'!$A34, Calcs!$AC$5:$AC$51, 0), MATCH('Rotation Assembler'!D$32, Calcs!$AC$5:$AG$5, 0))</f>
        <v>39.36</v>
      </c>
      <c r="E34" s="125">
        <f>INDEX(Calcs!$AC$5:$AG$51, MATCH('Rotation Assembler'!$A34, Calcs!$AC$5:$AC$51, 0), MATCH('Rotation Assembler'!E$32, Calcs!$AC$5:$AG$5, 0))</f>
        <v>39.36</v>
      </c>
      <c r="F34" s="125">
        <f>INDEX(Calcs!$AC$5:$AG$51, MATCH('Rotation Assembler'!$A34, Calcs!$AC$5:$AC$51, 0), MATCH('Rotation Assembler'!F$32, Calcs!$AC$5:$AG$5, 0))</f>
        <v>39.36</v>
      </c>
      <c r="G34" s="125">
        <f>INDEX(Calcs!$AC$5:$AG$51, MATCH('Rotation Assembler'!$A34, Calcs!$AC$5:$AC$51, 0), MATCH('Rotation Assembler'!G$32, Calcs!$AC$5:$AG$5, 0))</f>
        <v>39.36</v>
      </c>
      <c r="H34" s="125">
        <f>INDEX(Calcs!$AC$5:$AG$51, MATCH('Rotation Assembler'!$A34, Calcs!$AC$5:$AC$51, 0), MATCH('Rotation Assembler'!H$32, Calcs!$AC$5:$AG$5, 0))</f>
        <v>39.36</v>
      </c>
      <c r="I34" s="125">
        <f>INDEX(Calcs!$AC$5:$AG$51, MATCH('Rotation Assembler'!$A34, Calcs!$AC$5:$AC$51, 0), MATCH('Rotation Assembler'!I$32, Calcs!$AC$5:$AG$5, 0))</f>
        <v>39.36</v>
      </c>
      <c r="J34" s="125">
        <f>INDEX(Calcs!$AC$5:$AG$51, MATCH('Rotation Assembler'!$A34, Calcs!$AC$5:$AC$51, 0), MATCH('Rotation Assembler'!J$32, Calcs!$AC$5:$AG$5, 0))</f>
        <v>39.36</v>
      </c>
      <c r="K34" s="125">
        <f>INDEX(Calcs!$AC$5:$AG$51, MATCH('Rotation Assembler'!$A34, Calcs!$AC$5:$AC$51, 0), MATCH('Rotation Assembler'!K$32, Calcs!$AC$5:$AG$5, 0))</f>
        <v>39.36</v>
      </c>
      <c r="L34" s="125">
        <f>INDEX(Calcs!$AC$5:$AG$51, MATCH('Rotation Assembler'!$A34, Calcs!$AC$5:$AC$51, 0), MATCH('Rotation Assembler'!L$32, Calcs!$AC$5:$AG$5, 0))</f>
        <v>39.36</v>
      </c>
      <c r="M34" s="125">
        <f>INDEX(Calcs!$AC$5:$AG$51, MATCH('Rotation Assembler'!$A34, Calcs!$AC$5:$AC$51, 0), MATCH('Rotation Assembler'!M$32, Calcs!$AC$5:$AG$5, 0))</f>
        <v>39.36</v>
      </c>
      <c r="N34" s="125">
        <f>INDEX(Calcs!$AC$5:$AG$51, MATCH('Rotation Assembler'!$A34, Calcs!$AC$5:$AC$51, 0), MATCH('Rotation Assembler'!N$32, Calcs!$AC$5:$AG$5, 0))</f>
        <v>39.36</v>
      </c>
      <c r="O34" s="125">
        <f>INDEX(Calcs!$AC$5:$AG$51, MATCH('Rotation Assembler'!$A34, Calcs!$AC$5:$AC$51, 0), MATCH('Rotation Assembler'!O$32, Calcs!$AC$5:$AG$5, 0))</f>
        <v>39.36</v>
      </c>
      <c r="P34" s="125">
        <f>INDEX(Calcs!$AC$5:$AG$51, MATCH('Rotation Assembler'!$A34, Calcs!$AC$5:$AC$51, 0), MATCH('Rotation Assembler'!P$32, Calcs!$AC$5:$AG$5, 0))</f>
        <v>39.36</v>
      </c>
      <c r="Q34" s="125">
        <f>INDEX(Calcs!$AC$5:$AG$51, MATCH('Rotation Assembler'!$A34, Calcs!$AC$5:$AC$51, 0), MATCH('Rotation Assembler'!Q$32, Calcs!$AC$5:$AG$5, 0))</f>
        <v>39.36</v>
      </c>
      <c r="R34" s="125">
        <f>INDEX(Calcs!$AC$5:$AG$51, MATCH('Rotation Assembler'!$A34, Calcs!$AC$5:$AC$51, 0), MATCH('Rotation Assembler'!R$32, Calcs!$AC$5:$AG$5, 0))</f>
        <v>39.36</v>
      </c>
      <c r="S34" s="125">
        <f>INDEX(Calcs!$AC$5:$AG$51, MATCH('Rotation Assembler'!$A34, Calcs!$AC$5:$AC$51, 0), MATCH('Rotation Assembler'!S$32, Calcs!$AC$5:$AG$5, 0))</f>
        <v>39.36</v>
      </c>
      <c r="T34" s="125">
        <f>INDEX(Calcs!$AC$5:$AG$51, MATCH('Rotation Assembler'!$A34, Calcs!$AC$5:$AC$51, 0), MATCH('Rotation Assembler'!T$32, Calcs!$AC$5:$AG$5, 0))</f>
        <v>39.36</v>
      </c>
      <c r="U34" s="125">
        <f>INDEX(Calcs!$AC$5:$AG$51, MATCH('Rotation Assembler'!$A34, Calcs!$AC$5:$AC$51, 0), MATCH('Rotation Assembler'!U$32, Calcs!$AC$5:$AG$5, 0))</f>
        <v>39.36</v>
      </c>
      <c r="V34" s="125">
        <f>INDEX(Calcs!$AC$5:$AG$51, MATCH('Rotation Assembler'!$A34, Calcs!$AC$5:$AC$51, 0), MATCH('Rotation Assembler'!V$32, Calcs!$AC$5:$AG$5, 0))</f>
        <v>39.36</v>
      </c>
      <c r="W34" s="125">
        <f>INDEX(Calcs!$AC$5:$AG$51, MATCH('Rotation Assembler'!$A34, Calcs!$AC$5:$AC$51, 0), MATCH('Rotation Assembler'!W$32, Calcs!$AC$5:$AG$5, 0))</f>
        <v>39.36</v>
      </c>
      <c r="X34" s="125">
        <f>INDEX(Calcs!$AC$5:$AG$51, MATCH('Rotation Assembler'!$A34, Calcs!$AC$5:$AC$51, 0), MATCH('Rotation Assembler'!X$32, Calcs!$AC$5:$AG$5, 0))</f>
        <v>39.36</v>
      </c>
      <c r="Y34" s="125">
        <f>INDEX(Calcs!$AC$5:$AG$51, MATCH('Rotation Assembler'!$A34, Calcs!$AC$5:$AC$51, 0), MATCH('Rotation Assembler'!Y$32, Calcs!$AC$5:$AG$5, 0))</f>
        <v>39.36</v>
      </c>
      <c r="Z34" s="125">
        <f>INDEX(Calcs!$AC$5:$AG$51, MATCH('Rotation Assembler'!$A34, Calcs!$AC$5:$AC$51, 0), MATCH('Rotation Assembler'!Z$32, Calcs!$AC$5:$AG$5, 0))</f>
        <v>39.36</v>
      </c>
      <c r="AA34" s="125">
        <f>INDEX(Calcs!$AC$5:$AG$51, MATCH('Rotation Assembler'!$A34, Calcs!$AC$5:$AC$51, 0), MATCH('Rotation Assembler'!AA$32, Calcs!$AC$5:$AG$5, 0))</f>
        <v>39.36</v>
      </c>
      <c r="AB34" s="125">
        <f>INDEX(Calcs!$AC$5:$AG$51, MATCH('Rotation Assembler'!$A34, Calcs!$AC$5:$AC$51, 0), MATCH('Rotation Assembler'!AB$32, Calcs!$AC$5:$AG$5, 0))</f>
        <v>39.36</v>
      </c>
      <c r="AC34" s="125">
        <f>INDEX(Calcs!$AC$5:$AG$51, MATCH('Rotation Assembler'!$A34, Calcs!$AC$5:$AC$51, 0), MATCH('Rotation Assembler'!AC$32, Calcs!$AC$5:$AG$5, 0))</f>
        <v>39.36</v>
      </c>
      <c r="AD34" s="125">
        <f>INDEX(Calcs!$AC$5:$AG$51, MATCH('Rotation Assembler'!$A34, Calcs!$AC$5:$AC$51, 0), MATCH('Rotation Assembler'!AD$32, Calcs!$AC$5:$AG$5, 0))</f>
        <v>39.36</v>
      </c>
      <c r="AE34" s="125">
        <f>INDEX(Calcs!$AC$5:$AG$51, MATCH('Rotation Assembler'!$A34, Calcs!$AC$5:$AC$51, 0), MATCH('Rotation Assembler'!AE$32, Calcs!$AC$5:$AG$5, 0))</f>
        <v>39.36</v>
      </c>
      <c r="AF34" s="125">
        <f>INDEX(Calcs!$AC$5:$AG$51, MATCH('Rotation Assembler'!$A34, Calcs!$AC$5:$AC$51, 0), MATCH('Rotation Assembler'!AF$32, Calcs!$AC$5:$AG$5, 0))</f>
        <v>39.36</v>
      </c>
      <c r="AG34" s="125">
        <f>INDEX(Calcs!$AC$5:$AG$51, MATCH('Rotation Assembler'!$A34, Calcs!$AC$5:$AC$51, 0), MATCH('Rotation Assembler'!AG$32, Calcs!$AC$5:$AG$5, 0))</f>
        <v>39.36</v>
      </c>
      <c r="AH34" s="125">
        <f>INDEX(Calcs!$AC$5:$AG$51, MATCH('Rotation Assembler'!$A34, Calcs!$AC$5:$AC$51, 0), MATCH('Rotation Assembler'!AH$32, Calcs!$AC$5:$AG$5, 0))</f>
        <v>39.36</v>
      </c>
      <c r="AI34" s="125">
        <f>INDEX(Calcs!$AC$5:$AG$51, MATCH('Rotation Assembler'!$A34, Calcs!$AC$5:$AC$51, 0), MATCH('Rotation Assembler'!AI$32, Calcs!$AC$5:$AG$5, 0))</f>
        <v>39.36</v>
      </c>
      <c r="AJ34" s="125" t="e">
        <f>INDEX(Calcs!$AC$5:$AG$51, MATCH('Rotation Assembler'!$A34, Calcs!$AC$5:$AC$51, 0), MATCH('Rotation Assembler'!AJ$32, Calcs!$AC$5:$AG$5, 0))</f>
        <v>#N/A</v>
      </c>
      <c r="AK34" s="125" t="e">
        <f>INDEX(Calcs!$AC$5:$AG$51, MATCH('Rotation Assembler'!$A34, Calcs!$AC$5:$AC$51, 0), MATCH('Rotation Assembler'!AK$32, Calcs!$AC$5:$AG$5, 0))</f>
        <v>#N/A</v>
      </c>
      <c r="AL34" s="125" t="e">
        <f>INDEX(Calcs!$AC$5:$AG$51, MATCH('Rotation Assembler'!$A34, Calcs!$AC$5:$AC$51, 0), MATCH('Rotation Assembler'!AL$32, Calcs!$AC$5:$AG$5, 0))</f>
        <v>#N/A</v>
      </c>
      <c r="AM34" s="125" t="e">
        <f>INDEX(Calcs!$AC$5:$AG$51, MATCH('Rotation Assembler'!$A34, Calcs!$AC$5:$AC$51, 0), MATCH('Rotation Assembler'!AM$32, Calcs!$AC$5:$AG$5, 0))</f>
        <v>#N/A</v>
      </c>
      <c r="AN34" s="125" t="e">
        <f>INDEX(Calcs!$AC$5:$AG$51, MATCH('Rotation Assembler'!$A34, Calcs!$AC$5:$AC$51, 0), MATCH('Rotation Assembler'!AN$32, Calcs!$AC$5:$AG$5, 0))</f>
        <v>#N/A</v>
      </c>
      <c r="AO34" s="125" t="e">
        <f>INDEX(Calcs!$AC$5:$AG$51, MATCH('Rotation Assembler'!$A34, Calcs!$AC$5:$AC$51, 0), MATCH('Rotation Assembler'!AO$32, Calcs!$AC$5:$AG$5, 0))</f>
        <v>#N/A</v>
      </c>
      <c r="AP34" s="125" t="e">
        <f>INDEX(Calcs!$AC$5:$AG$51, MATCH('Rotation Assembler'!$A34, Calcs!$AC$5:$AC$51, 0), MATCH('Rotation Assembler'!AP$32, Calcs!$AC$5:$AG$5, 0))</f>
        <v>#N/A</v>
      </c>
      <c r="AQ34" s="125" t="e">
        <f>INDEX(Calcs!$AC$5:$AG$51, MATCH('Rotation Assembler'!$A34, Calcs!$AC$5:$AC$51, 0), MATCH('Rotation Assembler'!AQ$32, Calcs!$AC$5:$AG$5, 0))</f>
        <v>#N/A</v>
      </c>
      <c r="AR34" s="125" t="e">
        <f>INDEX(Calcs!$AC$5:$AG$51, MATCH('Rotation Assembler'!$A34, Calcs!$AC$5:$AC$51, 0), MATCH('Rotation Assembler'!AR$32, Calcs!$AC$5:$AG$5, 0))</f>
        <v>#N/A</v>
      </c>
      <c r="AS34" s="125" t="e">
        <f>INDEX(Calcs!$AC$5:$AG$51, MATCH('Rotation Assembler'!$A34, Calcs!$AC$5:$AC$51, 0), MATCH('Rotation Assembler'!AS$32, Calcs!$AC$5:$AG$5, 0))</f>
        <v>#N/A</v>
      </c>
      <c r="AT34" s="125" t="e">
        <f>INDEX(Calcs!$AC$5:$AG$51, MATCH('Rotation Assembler'!$A34, Calcs!$AC$5:$AC$51, 0), MATCH('Rotation Assembler'!AT$32, Calcs!$AC$5:$AG$5, 0))</f>
        <v>#N/A</v>
      </c>
      <c r="AU34" s="125" t="e">
        <f>INDEX(Calcs!$AC$5:$AG$51, MATCH('Rotation Assembler'!$A34, Calcs!$AC$5:$AC$51, 0), MATCH('Rotation Assembler'!AU$32, Calcs!$AC$5:$AG$5, 0))</f>
        <v>#N/A</v>
      </c>
      <c r="AV34" s="125" t="e">
        <f>INDEX(Calcs!$AC$5:$AG$51, MATCH('Rotation Assembler'!$A34, Calcs!$AC$5:$AC$51, 0), MATCH('Rotation Assembler'!AV$32, Calcs!$AC$5:$AG$5, 0))</f>
        <v>#N/A</v>
      </c>
      <c r="AW34" s="125" t="e">
        <f>INDEX(Calcs!$AC$5:$AG$51, MATCH('Rotation Assembler'!$A34, Calcs!$AC$5:$AC$51, 0), MATCH('Rotation Assembler'!AW$32, Calcs!$AC$5:$AG$5, 0))</f>
        <v>#N/A</v>
      </c>
      <c r="AX34" s="125" t="e">
        <f>INDEX(Calcs!$AC$5:$AG$51, MATCH('Rotation Assembler'!$A34, Calcs!$AC$5:$AC$51, 0), MATCH('Rotation Assembler'!AX$32, Calcs!$AC$5:$AG$5, 0))</f>
        <v>#N/A</v>
      </c>
      <c r="AY34" s="125" t="e">
        <f>INDEX(Calcs!$AC$5:$AG$51, MATCH('Rotation Assembler'!$A34, Calcs!$AC$5:$AC$51, 0), MATCH('Rotation Assembler'!AY$32, Calcs!$AC$5:$AG$5, 0))</f>
        <v>#N/A</v>
      </c>
      <c r="AZ34" s="125" t="e">
        <f>INDEX(Calcs!$AC$5:$AG$51, MATCH('Rotation Assembler'!$A34, Calcs!$AC$5:$AC$51, 0), MATCH('Rotation Assembler'!AZ$32, Calcs!$AC$5:$AG$5, 0))</f>
        <v>#N/A</v>
      </c>
      <c r="BA34" s="125" t="e">
        <f>INDEX(Calcs!$AC$5:$AG$51, MATCH('Rotation Assembler'!$A34, Calcs!$AC$5:$AC$51, 0), MATCH('Rotation Assembler'!BA$32, Calcs!$AC$5:$AG$5, 0))</f>
        <v>#N/A</v>
      </c>
      <c r="BB34" s="125" t="e">
        <f>INDEX(Calcs!$AC$5:$AG$51, MATCH('Rotation Assembler'!$A34, Calcs!$AC$5:$AC$51, 0), MATCH('Rotation Assembler'!BB$32, Calcs!$AC$5:$AG$5, 0))</f>
        <v>#N/A</v>
      </c>
      <c r="BC34" s="125" t="e">
        <f>INDEX(Calcs!$AC$5:$AG$51, MATCH('Rotation Assembler'!$A34, Calcs!$AC$5:$AC$51, 0), MATCH('Rotation Assembler'!BC$32, Calcs!$AC$5:$AG$5, 0))</f>
        <v>#N/A</v>
      </c>
      <c r="BD34" s="125" t="e">
        <f>INDEX(Calcs!$AC$5:$AG$51, MATCH('Rotation Assembler'!$A34, Calcs!$AC$5:$AC$51, 0), MATCH('Rotation Assembler'!BD$32, Calcs!$AC$5:$AG$5, 0))</f>
        <v>#N/A</v>
      </c>
      <c r="BE34" s="125" t="e">
        <f>INDEX(Calcs!$AC$5:$AG$51, MATCH('Rotation Assembler'!$A34, Calcs!$AC$5:$AC$51, 0), MATCH('Rotation Assembler'!BE$32, Calcs!$AC$5:$AG$5, 0))</f>
        <v>#N/A</v>
      </c>
      <c r="BF34" s="125" t="e">
        <f>INDEX(Calcs!$AC$5:$AG$51, MATCH('Rotation Assembler'!$A34, Calcs!$AC$5:$AC$51, 0), MATCH('Rotation Assembler'!BF$32, Calcs!$AC$5:$AG$5, 0))</f>
        <v>#N/A</v>
      </c>
      <c r="BG34" s="125" t="e">
        <f>INDEX(Calcs!$AC$5:$AG$51, MATCH('Rotation Assembler'!$A34, Calcs!$AC$5:$AC$51, 0), MATCH('Rotation Assembler'!BG$32, Calcs!$AC$5:$AG$5, 0))</f>
        <v>#N/A</v>
      </c>
      <c r="BH34" s="125" t="e">
        <f>INDEX(Calcs!$AC$5:$AG$51, MATCH('Rotation Assembler'!$A34, Calcs!$AC$5:$AC$51, 0), MATCH('Rotation Assembler'!BH$32, Calcs!$AC$5:$AG$5, 0))</f>
        <v>#N/A</v>
      </c>
      <c r="CJ34" s="125"/>
      <c r="CK34" s="125"/>
      <c r="CL34" s="125"/>
      <c r="CM34" s="125"/>
      <c r="CN34" s="125"/>
      <c r="CO34" s="125"/>
      <c r="CP34" s="125"/>
      <c r="CQ34" s="125"/>
      <c r="CR34" s="125"/>
      <c r="CS34" s="125"/>
      <c r="CT34" s="125"/>
      <c r="CU34" s="125"/>
      <c r="CV34" s="125"/>
      <c r="CW34" s="125"/>
      <c r="CX34" s="125"/>
      <c r="CY34" s="125"/>
      <c r="CZ34" s="125"/>
      <c r="DA34" s="125"/>
      <c r="DB34" s="125"/>
      <c r="DC34" s="125"/>
    </row>
    <row r="35" spans="1:107" hidden="1" outlineLevel="1" x14ac:dyDescent="0.25">
      <c r="A35" s="122" t="s">
        <v>64</v>
      </c>
      <c r="B35" s="125">
        <f>INDEX(Calcs!$AC$5:$AG$51, MATCH('Rotation Assembler'!$A35, Calcs!$AC$5:$AC$51, 0), MATCH('Rotation Assembler'!B$32, Calcs!$AC$5:$AG$5, 0))</f>
        <v>5287.88</v>
      </c>
      <c r="C35" s="125">
        <f>INDEX(Calcs!$AC$5:$AG$51, MATCH('Rotation Assembler'!$A35, Calcs!$AC$5:$AC$51, 0), MATCH('Rotation Assembler'!C$32, Calcs!$AC$5:$AG$5, 0))</f>
        <v>5287.88</v>
      </c>
      <c r="D35" s="125">
        <f>INDEX(Calcs!$AC$5:$AG$51, MATCH('Rotation Assembler'!$A35, Calcs!$AC$5:$AC$51, 0), MATCH('Rotation Assembler'!D$32, Calcs!$AC$5:$AG$5, 0))</f>
        <v>5287.88</v>
      </c>
      <c r="E35" s="125">
        <f>INDEX(Calcs!$AC$5:$AG$51, MATCH('Rotation Assembler'!$A35, Calcs!$AC$5:$AC$51, 0), MATCH('Rotation Assembler'!E$32, Calcs!$AC$5:$AG$5, 0))</f>
        <v>5287.88</v>
      </c>
      <c r="F35" s="125">
        <f>INDEX(Calcs!$AC$5:$AG$51, MATCH('Rotation Assembler'!$A35, Calcs!$AC$5:$AC$51, 0), MATCH('Rotation Assembler'!F$32, Calcs!$AC$5:$AG$5, 0))</f>
        <v>5287.88</v>
      </c>
      <c r="G35" s="125">
        <f>INDEX(Calcs!$AC$5:$AG$51, MATCH('Rotation Assembler'!$A35, Calcs!$AC$5:$AC$51, 0), MATCH('Rotation Assembler'!G$32, Calcs!$AC$5:$AG$5, 0))</f>
        <v>5287.88</v>
      </c>
      <c r="H35" s="125">
        <f>INDEX(Calcs!$AC$5:$AG$51, MATCH('Rotation Assembler'!$A35, Calcs!$AC$5:$AC$51, 0), MATCH('Rotation Assembler'!H$32, Calcs!$AC$5:$AG$5, 0))</f>
        <v>5287.88</v>
      </c>
      <c r="I35" s="125">
        <f>INDEX(Calcs!$AC$5:$AG$51, MATCH('Rotation Assembler'!$A35, Calcs!$AC$5:$AC$51, 0), MATCH('Rotation Assembler'!I$32, Calcs!$AC$5:$AG$5, 0))</f>
        <v>5287.88</v>
      </c>
      <c r="J35" s="125">
        <f>INDEX(Calcs!$AC$5:$AG$51, MATCH('Rotation Assembler'!$A35, Calcs!$AC$5:$AC$51, 0), MATCH('Rotation Assembler'!J$32, Calcs!$AC$5:$AG$5, 0))</f>
        <v>5287.88</v>
      </c>
      <c r="K35" s="125">
        <f>INDEX(Calcs!$AC$5:$AG$51, MATCH('Rotation Assembler'!$A35, Calcs!$AC$5:$AC$51, 0), MATCH('Rotation Assembler'!K$32, Calcs!$AC$5:$AG$5, 0))</f>
        <v>5287.88</v>
      </c>
      <c r="L35" s="125">
        <f>INDEX(Calcs!$AC$5:$AG$51, MATCH('Rotation Assembler'!$A35, Calcs!$AC$5:$AC$51, 0), MATCH('Rotation Assembler'!L$32, Calcs!$AC$5:$AG$5, 0))</f>
        <v>5287.88</v>
      </c>
      <c r="M35" s="125">
        <f>INDEX(Calcs!$AC$5:$AG$51, MATCH('Rotation Assembler'!$A35, Calcs!$AC$5:$AC$51, 0), MATCH('Rotation Assembler'!M$32, Calcs!$AC$5:$AG$5, 0))</f>
        <v>5287.88</v>
      </c>
      <c r="N35" s="125">
        <f>INDEX(Calcs!$AC$5:$AG$51, MATCH('Rotation Assembler'!$A35, Calcs!$AC$5:$AC$51, 0), MATCH('Rotation Assembler'!N$32, Calcs!$AC$5:$AG$5, 0))</f>
        <v>5287.88</v>
      </c>
      <c r="O35" s="125">
        <f>INDEX(Calcs!$AC$5:$AG$51, MATCH('Rotation Assembler'!$A35, Calcs!$AC$5:$AC$51, 0), MATCH('Rotation Assembler'!O$32, Calcs!$AC$5:$AG$5, 0))</f>
        <v>5287.88</v>
      </c>
      <c r="P35" s="125">
        <f>INDEX(Calcs!$AC$5:$AG$51, MATCH('Rotation Assembler'!$A35, Calcs!$AC$5:$AC$51, 0), MATCH('Rotation Assembler'!P$32, Calcs!$AC$5:$AG$5, 0))</f>
        <v>5287.88</v>
      </c>
      <c r="Q35" s="125">
        <f>INDEX(Calcs!$AC$5:$AG$51, MATCH('Rotation Assembler'!$A35, Calcs!$AC$5:$AC$51, 0), MATCH('Rotation Assembler'!Q$32, Calcs!$AC$5:$AG$5, 0))</f>
        <v>5287.88</v>
      </c>
      <c r="R35" s="125">
        <f>INDEX(Calcs!$AC$5:$AG$51, MATCH('Rotation Assembler'!$A35, Calcs!$AC$5:$AC$51, 0), MATCH('Rotation Assembler'!R$32, Calcs!$AC$5:$AG$5, 0))</f>
        <v>5287.88</v>
      </c>
      <c r="S35" s="125">
        <f>INDEX(Calcs!$AC$5:$AG$51, MATCH('Rotation Assembler'!$A35, Calcs!$AC$5:$AC$51, 0), MATCH('Rotation Assembler'!S$32, Calcs!$AC$5:$AG$5, 0))</f>
        <v>5287.88</v>
      </c>
      <c r="T35" s="125">
        <f>INDEX(Calcs!$AC$5:$AG$51, MATCH('Rotation Assembler'!$A35, Calcs!$AC$5:$AC$51, 0), MATCH('Rotation Assembler'!T$32, Calcs!$AC$5:$AG$5, 0))</f>
        <v>5287.88</v>
      </c>
      <c r="U35" s="125">
        <f>INDEX(Calcs!$AC$5:$AG$51, MATCH('Rotation Assembler'!$A35, Calcs!$AC$5:$AC$51, 0), MATCH('Rotation Assembler'!U$32, Calcs!$AC$5:$AG$5, 0))</f>
        <v>5287.88</v>
      </c>
      <c r="V35" s="125">
        <f>INDEX(Calcs!$AC$5:$AG$51, MATCH('Rotation Assembler'!$A35, Calcs!$AC$5:$AC$51, 0), MATCH('Rotation Assembler'!V$32, Calcs!$AC$5:$AG$5, 0))</f>
        <v>5287.88</v>
      </c>
      <c r="W35" s="125">
        <f>INDEX(Calcs!$AC$5:$AG$51, MATCH('Rotation Assembler'!$A35, Calcs!$AC$5:$AC$51, 0), MATCH('Rotation Assembler'!W$32, Calcs!$AC$5:$AG$5, 0))</f>
        <v>5287.88</v>
      </c>
      <c r="X35" s="125">
        <f>INDEX(Calcs!$AC$5:$AG$51, MATCH('Rotation Assembler'!$A35, Calcs!$AC$5:$AC$51, 0), MATCH('Rotation Assembler'!X$32, Calcs!$AC$5:$AG$5, 0))</f>
        <v>5287.88</v>
      </c>
      <c r="Y35" s="125">
        <f>INDEX(Calcs!$AC$5:$AG$51, MATCH('Rotation Assembler'!$A35, Calcs!$AC$5:$AC$51, 0), MATCH('Rotation Assembler'!Y$32, Calcs!$AC$5:$AG$5, 0))</f>
        <v>5287.88</v>
      </c>
      <c r="Z35" s="125">
        <f>INDEX(Calcs!$AC$5:$AG$51, MATCH('Rotation Assembler'!$A35, Calcs!$AC$5:$AC$51, 0), MATCH('Rotation Assembler'!Z$32, Calcs!$AC$5:$AG$5, 0))</f>
        <v>5287.88</v>
      </c>
      <c r="AA35" s="125">
        <f>INDEX(Calcs!$AC$5:$AG$51, MATCH('Rotation Assembler'!$A35, Calcs!$AC$5:$AC$51, 0), MATCH('Rotation Assembler'!AA$32, Calcs!$AC$5:$AG$5, 0))</f>
        <v>5287.88</v>
      </c>
      <c r="AB35" s="125">
        <f>INDEX(Calcs!$AC$5:$AG$51, MATCH('Rotation Assembler'!$A35, Calcs!$AC$5:$AC$51, 0), MATCH('Rotation Assembler'!AB$32, Calcs!$AC$5:$AG$5, 0))</f>
        <v>5287.88</v>
      </c>
      <c r="AC35" s="125">
        <f>INDEX(Calcs!$AC$5:$AG$51, MATCH('Rotation Assembler'!$A35, Calcs!$AC$5:$AC$51, 0), MATCH('Rotation Assembler'!AC$32, Calcs!$AC$5:$AG$5, 0))</f>
        <v>5287.88</v>
      </c>
      <c r="AD35" s="125">
        <f>INDEX(Calcs!$AC$5:$AG$51, MATCH('Rotation Assembler'!$A35, Calcs!$AC$5:$AC$51, 0), MATCH('Rotation Assembler'!AD$32, Calcs!$AC$5:$AG$5, 0))</f>
        <v>5287.88</v>
      </c>
      <c r="AE35" s="125">
        <f>INDEX(Calcs!$AC$5:$AG$51, MATCH('Rotation Assembler'!$A35, Calcs!$AC$5:$AC$51, 0), MATCH('Rotation Assembler'!AE$32, Calcs!$AC$5:$AG$5, 0))</f>
        <v>5287.88</v>
      </c>
      <c r="AF35" s="125">
        <f>INDEX(Calcs!$AC$5:$AG$51, MATCH('Rotation Assembler'!$A35, Calcs!$AC$5:$AC$51, 0), MATCH('Rotation Assembler'!AF$32, Calcs!$AC$5:$AG$5, 0))</f>
        <v>5287.88</v>
      </c>
      <c r="AG35" s="125">
        <f>INDEX(Calcs!$AC$5:$AG$51, MATCH('Rotation Assembler'!$A35, Calcs!$AC$5:$AC$51, 0), MATCH('Rotation Assembler'!AG$32, Calcs!$AC$5:$AG$5, 0))</f>
        <v>5287.88</v>
      </c>
      <c r="AH35" s="125">
        <f>INDEX(Calcs!$AC$5:$AG$51, MATCH('Rotation Assembler'!$A35, Calcs!$AC$5:$AC$51, 0), MATCH('Rotation Assembler'!AH$32, Calcs!$AC$5:$AG$5, 0))</f>
        <v>5287.88</v>
      </c>
      <c r="AI35" s="125">
        <f>INDEX(Calcs!$AC$5:$AG$51, MATCH('Rotation Assembler'!$A35, Calcs!$AC$5:$AC$51, 0), MATCH('Rotation Assembler'!AI$32, Calcs!$AC$5:$AG$5, 0))</f>
        <v>5287.88</v>
      </c>
      <c r="AJ35" s="125" t="e">
        <f>INDEX(Calcs!$AC$5:$AG$51, MATCH('Rotation Assembler'!$A35, Calcs!$AC$5:$AC$51, 0), MATCH('Rotation Assembler'!AJ$32, Calcs!$AC$5:$AG$5, 0))</f>
        <v>#N/A</v>
      </c>
      <c r="AK35" s="125" t="e">
        <f>INDEX(Calcs!$AC$5:$AG$51, MATCH('Rotation Assembler'!$A35, Calcs!$AC$5:$AC$51, 0), MATCH('Rotation Assembler'!AK$32, Calcs!$AC$5:$AG$5, 0))</f>
        <v>#N/A</v>
      </c>
      <c r="AL35" s="125" t="e">
        <f>INDEX(Calcs!$AC$5:$AG$51, MATCH('Rotation Assembler'!$A35, Calcs!$AC$5:$AC$51, 0), MATCH('Rotation Assembler'!AL$32, Calcs!$AC$5:$AG$5, 0))</f>
        <v>#N/A</v>
      </c>
      <c r="AM35" s="125" t="e">
        <f>INDEX(Calcs!$AC$5:$AG$51, MATCH('Rotation Assembler'!$A35, Calcs!$AC$5:$AC$51, 0), MATCH('Rotation Assembler'!AM$32, Calcs!$AC$5:$AG$5, 0))</f>
        <v>#N/A</v>
      </c>
      <c r="AN35" s="125" t="e">
        <f>INDEX(Calcs!$AC$5:$AG$51, MATCH('Rotation Assembler'!$A35, Calcs!$AC$5:$AC$51, 0), MATCH('Rotation Assembler'!AN$32, Calcs!$AC$5:$AG$5, 0))</f>
        <v>#N/A</v>
      </c>
      <c r="AO35" s="125" t="e">
        <f>INDEX(Calcs!$AC$5:$AG$51, MATCH('Rotation Assembler'!$A35, Calcs!$AC$5:$AC$51, 0), MATCH('Rotation Assembler'!AO$32, Calcs!$AC$5:$AG$5, 0))</f>
        <v>#N/A</v>
      </c>
      <c r="AP35" s="125" t="e">
        <f>INDEX(Calcs!$AC$5:$AG$51, MATCH('Rotation Assembler'!$A35, Calcs!$AC$5:$AC$51, 0), MATCH('Rotation Assembler'!AP$32, Calcs!$AC$5:$AG$5, 0))</f>
        <v>#N/A</v>
      </c>
      <c r="AQ35" s="125" t="e">
        <f>INDEX(Calcs!$AC$5:$AG$51, MATCH('Rotation Assembler'!$A35, Calcs!$AC$5:$AC$51, 0), MATCH('Rotation Assembler'!AQ$32, Calcs!$AC$5:$AG$5, 0))</f>
        <v>#N/A</v>
      </c>
      <c r="AR35" s="125" t="e">
        <f>INDEX(Calcs!$AC$5:$AG$51, MATCH('Rotation Assembler'!$A35, Calcs!$AC$5:$AC$51, 0), MATCH('Rotation Assembler'!AR$32, Calcs!$AC$5:$AG$5, 0))</f>
        <v>#N/A</v>
      </c>
      <c r="AS35" s="125" t="e">
        <f>INDEX(Calcs!$AC$5:$AG$51, MATCH('Rotation Assembler'!$A35, Calcs!$AC$5:$AC$51, 0), MATCH('Rotation Assembler'!AS$32, Calcs!$AC$5:$AG$5, 0))</f>
        <v>#N/A</v>
      </c>
      <c r="AT35" s="125" t="e">
        <f>INDEX(Calcs!$AC$5:$AG$51, MATCH('Rotation Assembler'!$A35, Calcs!$AC$5:$AC$51, 0), MATCH('Rotation Assembler'!AT$32, Calcs!$AC$5:$AG$5, 0))</f>
        <v>#N/A</v>
      </c>
      <c r="AU35" s="125" t="e">
        <f>INDEX(Calcs!$AC$5:$AG$51, MATCH('Rotation Assembler'!$A35, Calcs!$AC$5:$AC$51, 0), MATCH('Rotation Assembler'!AU$32, Calcs!$AC$5:$AG$5, 0))</f>
        <v>#N/A</v>
      </c>
      <c r="AV35" s="125" t="e">
        <f>INDEX(Calcs!$AC$5:$AG$51, MATCH('Rotation Assembler'!$A35, Calcs!$AC$5:$AC$51, 0), MATCH('Rotation Assembler'!AV$32, Calcs!$AC$5:$AG$5, 0))</f>
        <v>#N/A</v>
      </c>
      <c r="AW35" s="125" t="e">
        <f>INDEX(Calcs!$AC$5:$AG$51, MATCH('Rotation Assembler'!$A35, Calcs!$AC$5:$AC$51, 0), MATCH('Rotation Assembler'!AW$32, Calcs!$AC$5:$AG$5, 0))</f>
        <v>#N/A</v>
      </c>
      <c r="AX35" s="125" t="e">
        <f>INDEX(Calcs!$AC$5:$AG$51, MATCH('Rotation Assembler'!$A35, Calcs!$AC$5:$AC$51, 0), MATCH('Rotation Assembler'!AX$32, Calcs!$AC$5:$AG$5, 0))</f>
        <v>#N/A</v>
      </c>
      <c r="AY35" s="125" t="e">
        <f>INDEX(Calcs!$AC$5:$AG$51, MATCH('Rotation Assembler'!$A35, Calcs!$AC$5:$AC$51, 0), MATCH('Rotation Assembler'!AY$32, Calcs!$AC$5:$AG$5, 0))</f>
        <v>#N/A</v>
      </c>
      <c r="AZ35" s="125" t="e">
        <f>INDEX(Calcs!$AC$5:$AG$51, MATCH('Rotation Assembler'!$A35, Calcs!$AC$5:$AC$51, 0), MATCH('Rotation Assembler'!AZ$32, Calcs!$AC$5:$AG$5, 0))</f>
        <v>#N/A</v>
      </c>
      <c r="BA35" s="125" t="e">
        <f>INDEX(Calcs!$AC$5:$AG$51, MATCH('Rotation Assembler'!$A35, Calcs!$AC$5:$AC$51, 0), MATCH('Rotation Assembler'!BA$32, Calcs!$AC$5:$AG$5, 0))</f>
        <v>#N/A</v>
      </c>
      <c r="BB35" s="125" t="e">
        <f>INDEX(Calcs!$AC$5:$AG$51, MATCH('Rotation Assembler'!$A35, Calcs!$AC$5:$AC$51, 0), MATCH('Rotation Assembler'!BB$32, Calcs!$AC$5:$AG$5, 0))</f>
        <v>#N/A</v>
      </c>
      <c r="BC35" s="125" t="e">
        <f>INDEX(Calcs!$AC$5:$AG$51, MATCH('Rotation Assembler'!$A35, Calcs!$AC$5:$AC$51, 0), MATCH('Rotation Assembler'!BC$32, Calcs!$AC$5:$AG$5, 0))</f>
        <v>#N/A</v>
      </c>
      <c r="BD35" s="125" t="e">
        <f>INDEX(Calcs!$AC$5:$AG$51, MATCH('Rotation Assembler'!$A35, Calcs!$AC$5:$AC$51, 0), MATCH('Rotation Assembler'!BD$32, Calcs!$AC$5:$AG$5, 0))</f>
        <v>#N/A</v>
      </c>
      <c r="BE35" s="125" t="e">
        <f>INDEX(Calcs!$AC$5:$AG$51, MATCH('Rotation Assembler'!$A35, Calcs!$AC$5:$AC$51, 0), MATCH('Rotation Assembler'!BE$32, Calcs!$AC$5:$AG$5, 0))</f>
        <v>#N/A</v>
      </c>
      <c r="BF35" s="125" t="e">
        <f>INDEX(Calcs!$AC$5:$AG$51, MATCH('Rotation Assembler'!$A35, Calcs!$AC$5:$AC$51, 0), MATCH('Rotation Assembler'!BF$32, Calcs!$AC$5:$AG$5, 0))</f>
        <v>#N/A</v>
      </c>
      <c r="BG35" s="125" t="e">
        <f>INDEX(Calcs!$AC$5:$AG$51, MATCH('Rotation Assembler'!$A35, Calcs!$AC$5:$AC$51, 0), MATCH('Rotation Assembler'!BG$32, Calcs!$AC$5:$AG$5, 0))</f>
        <v>#N/A</v>
      </c>
      <c r="BH35" s="125" t="e">
        <f>INDEX(Calcs!$AC$5:$AG$51, MATCH('Rotation Assembler'!$A35, Calcs!$AC$5:$AC$51, 0), MATCH('Rotation Assembler'!BH$32, Calcs!$AC$5:$AG$5, 0))</f>
        <v>#N/A</v>
      </c>
      <c r="CJ35" s="125"/>
      <c r="CK35" s="125"/>
      <c r="CL35" s="125"/>
      <c r="CM35" s="125"/>
      <c r="CN35" s="125"/>
      <c r="CO35" s="125"/>
      <c r="CP35" s="125"/>
      <c r="CQ35" s="125"/>
      <c r="CR35" s="125"/>
      <c r="CS35" s="125"/>
      <c r="CT35" s="125"/>
      <c r="CU35" s="125"/>
      <c r="CV35" s="125"/>
      <c r="CW35" s="125"/>
      <c r="CX35" s="125"/>
      <c r="CY35" s="125"/>
      <c r="CZ35" s="125"/>
      <c r="DA35" s="125"/>
      <c r="DB35" s="125"/>
      <c r="DC35" s="125"/>
    </row>
    <row r="36" spans="1:107" hidden="1" outlineLevel="1" x14ac:dyDescent="0.25">
      <c r="A36" s="122" t="s">
        <v>69</v>
      </c>
      <c r="B36" s="125">
        <f>INDEX(Calcs!$AC$5:$AG$51, MATCH('Rotation Assembler'!$A36, Calcs!$AC$5:$AC$51, 0), MATCH('Rotation Assembler'!B$32, Calcs!$AC$5:$AG$5, 0))</f>
        <v>39.64</v>
      </c>
      <c r="C36" s="125">
        <f>INDEX(Calcs!$AC$5:$AG$51, MATCH('Rotation Assembler'!$A36, Calcs!$AC$5:$AC$51, 0), MATCH('Rotation Assembler'!C$32, Calcs!$AC$5:$AG$5, 0))</f>
        <v>39.64</v>
      </c>
      <c r="D36" s="125">
        <f>INDEX(Calcs!$AC$5:$AG$51, MATCH('Rotation Assembler'!$A36, Calcs!$AC$5:$AC$51, 0), MATCH('Rotation Assembler'!D$32, Calcs!$AC$5:$AG$5, 0))</f>
        <v>679.92</v>
      </c>
      <c r="E36" s="125">
        <f>INDEX(Calcs!$AC$5:$AG$51, MATCH('Rotation Assembler'!$A36, Calcs!$AC$5:$AC$51, 0), MATCH('Rotation Assembler'!E$32, Calcs!$AC$5:$AG$5, 0))</f>
        <v>679.92</v>
      </c>
      <c r="F36" s="125">
        <f>INDEX(Calcs!$AC$5:$AG$51, MATCH('Rotation Assembler'!$A36, Calcs!$AC$5:$AC$51, 0), MATCH('Rotation Assembler'!F$32, Calcs!$AC$5:$AG$5, 0))</f>
        <v>679.92</v>
      </c>
      <c r="G36" s="125">
        <f>INDEX(Calcs!$AC$5:$AG$51, MATCH('Rotation Assembler'!$A36, Calcs!$AC$5:$AC$51, 0), MATCH('Rotation Assembler'!G$32, Calcs!$AC$5:$AG$5, 0))</f>
        <v>679.92</v>
      </c>
      <c r="H36" s="125">
        <f>INDEX(Calcs!$AC$5:$AG$51, MATCH('Rotation Assembler'!$A36, Calcs!$AC$5:$AC$51, 0), MATCH('Rotation Assembler'!H$32, Calcs!$AC$5:$AG$5, 0))</f>
        <v>39.64</v>
      </c>
      <c r="I36" s="125">
        <f>INDEX(Calcs!$AC$5:$AG$51, MATCH('Rotation Assembler'!$A36, Calcs!$AC$5:$AC$51, 0), MATCH('Rotation Assembler'!I$32, Calcs!$AC$5:$AG$5, 0))</f>
        <v>679.92</v>
      </c>
      <c r="J36" s="125">
        <f>INDEX(Calcs!$AC$5:$AG$51, MATCH('Rotation Assembler'!$A36, Calcs!$AC$5:$AC$51, 0), MATCH('Rotation Assembler'!J$32, Calcs!$AC$5:$AG$5, 0))</f>
        <v>679.92</v>
      </c>
      <c r="K36" s="125">
        <f>INDEX(Calcs!$AC$5:$AG$51, MATCH('Rotation Assembler'!$A36, Calcs!$AC$5:$AC$51, 0), MATCH('Rotation Assembler'!K$32, Calcs!$AC$5:$AG$5, 0))</f>
        <v>679.92</v>
      </c>
      <c r="L36" s="125">
        <f>INDEX(Calcs!$AC$5:$AG$51, MATCH('Rotation Assembler'!$A36, Calcs!$AC$5:$AC$51, 0), MATCH('Rotation Assembler'!L$32, Calcs!$AC$5:$AG$5, 0))</f>
        <v>679.92</v>
      </c>
      <c r="M36" s="125">
        <f>INDEX(Calcs!$AC$5:$AG$51, MATCH('Rotation Assembler'!$A36, Calcs!$AC$5:$AC$51, 0), MATCH('Rotation Assembler'!M$32, Calcs!$AC$5:$AG$5, 0))</f>
        <v>679.92</v>
      </c>
      <c r="N36" s="125">
        <f>INDEX(Calcs!$AC$5:$AG$51, MATCH('Rotation Assembler'!$A36, Calcs!$AC$5:$AC$51, 0), MATCH('Rotation Assembler'!N$32, Calcs!$AC$5:$AG$5, 0))</f>
        <v>679.92</v>
      </c>
      <c r="O36" s="125">
        <f>INDEX(Calcs!$AC$5:$AG$51, MATCH('Rotation Assembler'!$A36, Calcs!$AC$5:$AC$51, 0), MATCH('Rotation Assembler'!O$32, Calcs!$AC$5:$AG$5, 0))</f>
        <v>39.64</v>
      </c>
      <c r="P36" s="125">
        <f>INDEX(Calcs!$AC$5:$AG$51, MATCH('Rotation Assembler'!$A36, Calcs!$AC$5:$AC$51, 0), MATCH('Rotation Assembler'!P$32, Calcs!$AC$5:$AG$5, 0))</f>
        <v>39.64</v>
      </c>
      <c r="Q36" s="125">
        <f>INDEX(Calcs!$AC$5:$AG$51, MATCH('Rotation Assembler'!$A36, Calcs!$AC$5:$AC$51, 0), MATCH('Rotation Assembler'!Q$32, Calcs!$AC$5:$AG$5, 0))</f>
        <v>39.64</v>
      </c>
      <c r="R36" s="125">
        <f>INDEX(Calcs!$AC$5:$AG$51, MATCH('Rotation Assembler'!$A36, Calcs!$AC$5:$AC$51, 0), MATCH('Rotation Assembler'!R$32, Calcs!$AC$5:$AG$5, 0))</f>
        <v>39.64</v>
      </c>
      <c r="S36" s="125">
        <f>INDEX(Calcs!$AC$5:$AG$51, MATCH('Rotation Assembler'!$A36, Calcs!$AC$5:$AC$51, 0), MATCH('Rotation Assembler'!S$32, Calcs!$AC$5:$AG$5, 0))</f>
        <v>39.64</v>
      </c>
      <c r="T36" s="125">
        <f>INDEX(Calcs!$AC$5:$AG$51, MATCH('Rotation Assembler'!$A36, Calcs!$AC$5:$AC$51, 0), MATCH('Rotation Assembler'!T$32, Calcs!$AC$5:$AG$5, 0))</f>
        <v>39.64</v>
      </c>
      <c r="U36" s="125">
        <f>INDEX(Calcs!$AC$5:$AG$51, MATCH('Rotation Assembler'!$A36, Calcs!$AC$5:$AC$51, 0), MATCH('Rotation Assembler'!U$32, Calcs!$AC$5:$AG$5, 0))</f>
        <v>39.64</v>
      </c>
      <c r="V36" s="125">
        <f>INDEX(Calcs!$AC$5:$AG$51, MATCH('Rotation Assembler'!$A36, Calcs!$AC$5:$AC$51, 0), MATCH('Rotation Assembler'!V$32, Calcs!$AC$5:$AG$5, 0))</f>
        <v>39.64</v>
      </c>
      <c r="W36" s="125">
        <f>INDEX(Calcs!$AC$5:$AG$51, MATCH('Rotation Assembler'!$A36, Calcs!$AC$5:$AC$51, 0), MATCH('Rotation Assembler'!W$32, Calcs!$AC$5:$AG$5, 0))</f>
        <v>39.64</v>
      </c>
      <c r="X36" s="125">
        <f>INDEX(Calcs!$AC$5:$AG$51, MATCH('Rotation Assembler'!$A36, Calcs!$AC$5:$AC$51, 0), MATCH('Rotation Assembler'!X$32, Calcs!$AC$5:$AG$5, 0))</f>
        <v>39.64</v>
      </c>
      <c r="Y36" s="125">
        <f>INDEX(Calcs!$AC$5:$AG$51, MATCH('Rotation Assembler'!$A36, Calcs!$AC$5:$AC$51, 0), MATCH('Rotation Assembler'!Y$32, Calcs!$AC$5:$AG$5, 0))</f>
        <v>39.64</v>
      </c>
      <c r="Z36" s="125">
        <f>INDEX(Calcs!$AC$5:$AG$51, MATCH('Rotation Assembler'!$A36, Calcs!$AC$5:$AC$51, 0), MATCH('Rotation Assembler'!Z$32, Calcs!$AC$5:$AG$5, 0))</f>
        <v>39.64</v>
      </c>
      <c r="AA36" s="125">
        <f>INDEX(Calcs!$AC$5:$AG$51, MATCH('Rotation Assembler'!$A36, Calcs!$AC$5:$AC$51, 0), MATCH('Rotation Assembler'!AA$32, Calcs!$AC$5:$AG$5, 0))</f>
        <v>39.64</v>
      </c>
      <c r="AB36" s="125">
        <f>INDEX(Calcs!$AC$5:$AG$51, MATCH('Rotation Assembler'!$A36, Calcs!$AC$5:$AC$51, 0), MATCH('Rotation Assembler'!AB$32, Calcs!$AC$5:$AG$5, 0))</f>
        <v>39.64</v>
      </c>
      <c r="AC36" s="125">
        <f>INDEX(Calcs!$AC$5:$AG$51, MATCH('Rotation Assembler'!$A36, Calcs!$AC$5:$AC$51, 0), MATCH('Rotation Assembler'!AC$32, Calcs!$AC$5:$AG$5, 0))</f>
        <v>679.92</v>
      </c>
      <c r="AD36" s="125">
        <f>INDEX(Calcs!$AC$5:$AG$51, MATCH('Rotation Assembler'!$A36, Calcs!$AC$5:$AC$51, 0), MATCH('Rotation Assembler'!AD$32, Calcs!$AC$5:$AG$5, 0))</f>
        <v>679.92</v>
      </c>
      <c r="AE36" s="125">
        <f>INDEX(Calcs!$AC$5:$AG$51, MATCH('Rotation Assembler'!$A36, Calcs!$AC$5:$AC$51, 0), MATCH('Rotation Assembler'!AE$32, Calcs!$AC$5:$AG$5, 0))</f>
        <v>39.64</v>
      </c>
      <c r="AF36" s="125">
        <f>INDEX(Calcs!$AC$5:$AG$51, MATCH('Rotation Assembler'!$A36, Calcs!$AC$5:$AC$51, 0), MATCH('Rotation Assembler'!AF$32, Calcs!$AC$5:$AG$5, 0))</f>
        <v>39.64</v>
      </c>
      <c r="AG36" s="125">
        <f>INDEX(Calcs!$AC$5:$AG$51, MATCH('Rotation Assembler'!$A36, Calcs!$AC$5:$AC$51, 0), MATCH('Rotation Assembler'!AG$32, Calcs!$AC$5:$AG$5, 0))</f>
        <v>39.64</v>
      </c>
      <c r="AH36" s="125">
        <f>INDEX(Calcs!$AC$5:$AG$51, MATCH('Rotation Assembler'!$A36, Calcs!$AC$5:$AC$51, 0), MATCH('Rotation Assembler'!AH$32, Calcs!$AC$5:$AG$5, 0))</f>
        <v>39.64</v>
      </c>
      <c r="AI36" s="125">
        <f>INDEX(Calcs!$AC$5:$AG$51, MATCH('Rotation Assembler'!$A36, Calcs!$AC$5:$AC$51, 0), MATCH('Rotation Assembler'!AI$32, Calcs!$AC$5:$AG$5, 0))</f>
        <v>39.64</v>
      </c>
      <c r="AJ36" s="125" t="e">
        <f>INDEX(Calcs!$AC$5:$AG$51, MATCH('Rotation Assembler'!$A36, Calcs!$AC$5:$AC$51, 0), MATCH('Rotation Assembler'!AJ$32, Calcs!$AC$5:$AG$5, 0))</f>
        <v>#N/A</v>
      </c>
      <c r="AK36" s="125" t="e">
        <f>INDEX(Calcs!$AC$5:$AG$51, MATCH('Rotation Assembler'!$A36, Calcs!$AC$5:$AC$51, 0), MATCH('Rotation Assembler'!AK$32, Calcs!$AC$5:$AG$5, 0))</f>
        <v>#N/A</v>
      </c>
      <c r="AL36" s="125" t="e">
        <f>INDEX(Calcs!$AC$5:$AG$51, MATCH('Rotation Assembler'!$A36, Calcs!$AC$5:$AC$51, 0), MATCH('Rotation Assembler'!AL$32, Calcs!$AC$5:$AG$5, 0))</f>
        <v>#N/A</v>
      </c>
      <c r="AM36" s="125" t="e">
        <f>INDEX(Calcs!$AC$5:$AG$51, MATCH('Rotation Assembler'!$A36, Calcs!$AC$5:$AC$51, 0), MATCH('Rotation Assembler'!AM$32, Calcs!$AC$5:$AG$5, 0))</f>
        <v>#N/A</v>
      </c>
      <c r="AN36" s="125" t="e">
        <f>INDEX(Calcs!$AC$5:$AG$51, MATCH('Rotation Assembler'!$A36, Calcs!$AC$5:$AC$51, 0), MATCH('Rotation Assembler'!AN$32, Calcs!$AC$5:$AG$5, 0))</f>
        <v>#N/A</v>
      </c>
      <c r="AO36" s="125" t="e">
        <f>INDEX(Calcs!$AC$5:$AG$51, MATCH('Rotation Assembler'!$A36, Calcs!$AC$5:$AC$51, 0), MATCH('Rotation Assembler'!AO$32, Calcs!$AC$5:$AG$5, 0))</f>
        <v>#N/A</v>
      </c>
      <c r="AP36" s="125" t="e">
        <f>INDEX(Calcs!$AC$5:$AG$51, MATCH('Rotation Assembler'!$A36, Calcs!$AC$5:$AC$51, 0), MATCH('Rotation Assembler'!AP$32, Calcs!$AC$5:$AG$5, 0))</f>
        <v>#N/A</v>
      </c>
      <c r="AQ36" s="125" t="e">
        <f>INDEX(Calcs!$AC$5:$AG$51, MATCH('Rotation Assembler'!$A36, Calcs!$AC$5:$AC$51, 0), MATCH('Rotation Assembler'!AQ$32, Calcs!$AC$5:$AG$5, 0))</f>
        <v>#N/A</v>
      </c>
      <c r="AR36" s="125" t="e">
        <f>INDEX(Calcs!$AC$5:$AG$51, MATCH('Rotation Assembler'!$A36, Calcs!$AC$5:$AC$51, 0), MATCH('Rotation Assembler'!AR$32, Calcs!$AC$5:$AG$5, 0))</f>
        <v>#N/A</v>
      </c>
      <c r="AS36" s="125" t="e">
        <f>INDEX(Calcs!$AC$5:$AG$51, MATCH('Rotation Assembler'!$A36, Calcs!$AC$5:$AC$51, 0), MATCH('Rotation Assembler'!AS$32, Calcs!$AC$5:$AG$5, 0))</f>
        <v>#N/A</v>
      </c>
      <c r="AT36" s="125" t="e">
        <f>INDEX(Calcs!$AC$5:$AG$51, MATCH('Rotation Assembler'!$A36, Calcs!$AC$5:$AC$51, 0), MATCH('Rotation Assembler'!AT$32, Calcs!$AC$5:$AG$5, 0))</f>
        <v>#N/A</v>
      </c>
      <c r="AU36" s="125" t="e">
        <f>INDEX(Calcs!$AC$5:$AG$51, MATCH('Rotation Assembler'!$A36, Calcs!$AC$5:$AC$51, 0), MATCH('Rotation Assembler'!AU$32, Calcs!$AC$5:$AG$5, 0))</f>
        <v>#N/A</v>
      </c>
      <c r="AV36" s="125" t="e">
        <f>INDEX(Calcs!$AC$5:$AG$51, MATCH('Rotation Assembler'!$A36, Calcs!$AC$5:$AC$51, 0), MATCH('Rotation Assembler'!AV$32, Calcs!$AC$5:$AG$5, 0))</f>
        <v>#N/A</v>
      </c>
      <c r="AW36" s="125" t="e">
        <f>INDEX(Calcs!$AC$5:$AG$51, MATCH('Rotation Assembler'!$A36, Calcs!$AC$5:$AC$51, 0), MATCH('Rotation Assembler'!AW$32, Calcs!$AC$5:$AG$5, 0))</f>
        <v>#N/A</v>
      </c>
      <c r="AX36" s="125" t="e">
        <f>INDEX(Calcs!$AC$5:$AG$51, MATCH('Rotation Assembler'!$A36, Calcs!$AC$5:$AC$51, 0), MATCH('Rotation Assembler'!AX$32, Calcs!$AC$5:$AG$5, 0))</f>
        <v>#N/A</v>
      </c>
      <c r="AY36" s="125" t="e">
        <f>INDEX(Calcs!$AC$5:$AG$51, MATCH('Rotation Assembler'!$A36, Calcs!$AC$5:$AC$51, 0), MATCH('Rotation Assembler'!AY$32, Calcs!$AC$5:$AG$5, 0))</f>
        <v>#N/A</v>
      </c>
      <c r="AZ36" s="125" t="e">
        <f>INDEX(Calcs!$AC$5:$AG$51, MATCH('Rotation Assembler'!$A36, Calcs!$AC$5:$AC$51, 0), MATCH('Rotation Assembler'!AZ$32, Calcs!$AC$5:$AG$5, 0))</f>
        <v>#N/A</v>
      </c>
      <c r="BA36" s="125" t="e">
        <f>INDEX(Calcs!$AC$5:$AG$51, MATCH('Rotation Assembler'!$A36, Calcs!$AC$5:$AC$51, 0), MATCH('Rotation Assembler'!BA$32, Calcs!$AC$5:$AG$5, 0))</f>
        <v>#N/A</v>
      </c>
      <c r="BB36" s="125" t="e">
        <f>INDEX(Calcs!$AC$5:$AG$51, MATCH('Rotation Assembler'!$A36, Calcs!$AC$5:$AC$51, 0), MATCH('Rotation Assembler'!BB$32, Calcs!$AC$5:$AG$5, 0))</f>
        <v>#N/A</v>
      </c>
      <c r="BC36" s="125" t="e">
        <f>INDEX(Calcs!$AC$5:$AG$51, MATCH('Rotation Assembler'!$A36, Calcs!$AC$5:$AC$51, 0), MATCH('Rotation Assembler'!BC$32, Calcs!$AC$5:$AG$5, 0))</f>
        <v>#N/A</v>
      </c>
      <c r="BD36" s="125" t="e">
        <f>INDEX(Calcs!$AC$5:$AG$51, MATCH('Rotation Assembler'!$A36, Calcs!$AC$5:$AC$51, 0), MATCH('Rotation Assembler'!BD$32, Calcs!$AC$5:$AG$5, 0))</f>
        <v>#N/A</v>
      </c>
      <c r="BE36" s="125" t="e">
        <f>INDEX(Calcs!$AC$5:$AG$51, MATCH('Rotation Assembler'!$A36, Calcs!$AC$5:$AC$51, 0), MATCH('Rotation Assembler'!BE$32, Calcs!$AC$5:$AG$5, 0))</f>
        <v>#N/A</v>
      </c>
      <c r="BF36" s="125" t="e">
        <f>INDEX(Calcs!$AC$5:$AG$51, MATCH('Rotation Assembler'!$A36, Calcs!$AC$5:$AC$51, 0), MATCH('Rotation Assembler'!BF$32, Calcs!$AC$5:$AG$5, 0))</f>
        <v>#N/A</v>
      </c>
      <c r="BG36" s="125" t="e">
        <f>INDEX(Calcs!$AC$5:$AG$51, MATCH('Rotation Assembler'!$A36, Calcs!$AC$5:$AC$51, 0), MATCH('Rotation Assembler'!BG$32, Calcs!$AC$5:$AG$5, 0))</f>
        <v>#N/A</v>
      </c>
      <c r="BH36" s="125" t="e">
        <f>INDEX(Calcs!$AC$5:$AG$51, MATCH('Rotation Assembler'!$A36, Calcs!$AC$5:$AC$51, 0), MATCH('Rotation Assembler'!BH$32, Calcs!$AC$5:$AG$5, 0))</f>
        <v>#N/A</v>
      </c>
      <c r="CJ36" s="125"/>
      <c r="CK36" s="125"/>
      <c r="CL36" s="125"/>
      <c r="CM36" s="125"/>
      <c r="CN36" s="125"/>
      <c r="CO36" s="125"/>
      <c r="CP36" s="125"/>
      <c r="CQ36" s="125"/>
      <c r="CR36" s="125"/>
      <c r="CS36" s="125"/>
      <c r="CT36" s="125"/>
      <c r="CU36" s="125"/>
      <c r="CV36" s="125"/>
      <c r="CW36" s="125"/>
      <c r="CX36" s="125"/>
      <c r="CY36" s="125"/>
      <c r="CZ36" s="125"/>
      <c r="DA36" s="125"/>
      <c r="DB36" s="125"/>
      <c r="DC36" s="125"/>
    </row>
    <row r="37" spans="1:107" hidden="1" outlineLevel="1" x14ac:dyDescent="0.25">
      <c r="A37" s="122" t="s">
        <v>65</v>
      </c>
      <c r="B37" s="126">
        <f>INDEX(Calcs!$AC$5:$AG$51, MATCH('Rotation Assembler'!$A37, Calcs!$AC$5:$AC$51, 0), MATCH('Rotation Assembler'!B$32, Calcs!$AC$5:$AG$5, 0))</f>
        <v>1.0773999999999999</v>
      </c>
      <c r="C37" s="126">
        <f>INDEX(Calcs!$AC$5:$AG$51, MATCH('Rotation Assembler'!$A37, Calcs!$AC$5:$AC$51, 0), MATCH('Rotation Assembler'!C$32, Calcs!$AC$5:$AG$5, 0))</f>
        <v>0.61480000000000001</v>
      </c>
      <c r="D37" s="126">
        <f>INDEX(Calcs!$AC$5:$AG$51, MATCH('Rotation Assembler'!$A37, Calcs!$AC$5:$AC$51, 0), MATCH('Rotation Assembler'!D$32, Calcs!$AC$5:$AG$5, 0))</f>
        <v>0.59519999999999995</v>
      </c>
      <c r="E37" s="126">
        <f>INDEX(Calcs!$AC$5:$AG$51, MATCH('Rotation Assembler'!$A37, Calcs!$AC$5:$AC$51, 0), MATCH('Rotation Assembler'!E$32, Calcs!$AC$5:$AG$5, 0))</f>
        <v>0.59519999999999995</v>
      </c>
      <c r="F37" s="126">
        <f>INDEX(Calcs!$AC$5:$AG$51, MATCH('Rotation Assembler'!$A37, Calcs!$AC$5:$AC$51, 0), MATCH('Rotation Assembler'!F$32, Calcs!$AC$5:$AG$5, 0))</f>
        <v>0.59519999999999995</v>
      </c>
      <c r="G37" s="126">
        <f>INDEX(Calcs!$AC$5:$AG$51, MATCH('Rotation Assembler'!$A37, Calcs!$AC$5:$AC$51, 0), MATCH('Rotation Assembler'!G$32, Calcs!$AC$5:$AG$5, 0))</f>
        <v>0.59519999999999995</v>
      </c>
      <c r="H37" s="126">
        <f ca="1">INDEX(Calcs!$AC$5:$AG$51, MATCH('Rotation Assembler'!$A37, Calcs!$AC$5:$AC$51, 0), MATCH('Rotation Assembler'!H$32, Calcs!$AC$5:$AG$5, 0))</f>
        <v>1.7852000000000001</v>
      </c>
      <c r="I37" s="126">
        <f>INDEX(Calcs!$AC$5:$AG$51, MATCH('Rotation Assembler'!$A37, Calcs!$AC$5:$AC$51, 0), MATCH('Rotation Assembler'!I$32, Calcs!$AC$5:$AG$5, 0))</f>
        <v>0.59519999999999995</v>
      </c>
      <c r="J37" s="126">
        <f>INDEX(Calcs!$AC$5:$AG$51, MATCH('Rotation Assembler'!$A37, Calcs!$AC$5:$AC$51, 0), MATCH('Rotation Assembler'!J$32, Calcs!$AC$5:$AG$5, 0))</f>
        <v>0.59519999999999995</v>
      </c>
      <c r="K37" s="126">
        <f>INDEX(Calcs!$AC$5:$AG$51, MATCH('Rotation Assembler'!$A37, Calcs!$AC$5:$AC$51, 0), MATCH('Rotation Assembler'!K$32, Calcs!$AC$5:$AG$5, 0))</f>
        <v>0.59519999999999995</v>
      </c>
      <c r="L37" s="126">
        <f>INDEX(Calcs!$AC$5:$AG$51, MATCH('Rotation Assembler'!$A37, Calcs!$AC$5:$AC$51, 0), MATCH('Rotation Assembler'!L$32, Calcs!$AC$5:$AG$5, 0))</f>
        <v>0.59519999999999995</v>
      </c>
      <c r="M37" s="126">
        <f>INDEX(Calcs!$AC$5:$AG$51, MATCH('Rotation Assembler'!$A37, Calcs!$AC$5:$AC$51, 0), MATCH('Rotation Assembler'!M$32, Calcs!$AC$5:$AG$5, 0))</f>
        <v>0.59519999999999995</v>
      </c>
      <c r="N37" s="126">
        <f>INDEX(Calcs!$AC$5:$AG$51, MATCH('Rotation Assembler'!$A37, Calcs!$AC$5:$AC$51, 0), MATCH('Rotation Assembler'!N$32, Calcs!$AC$5:$AG$5, 0))</f>
        <v>0.59519999999999995</v>
      </c>
      <c r="O37" s="126">
        <f ca="1">INDEX(Calcs!$AC$5:$AG$51, MATCH('Rotation Assembler'!$A37, Calcs!$AC$5:$AC$51, 0), MATCH('Rotation Assembler'!O$32, Calcs!$AC$5:$AG$5, 0))</f>
        <v>1.7852000000000001</v>
      </c>
      <c r="P37" s="126">
        <f ca="1">INDEX(Calcs!$AC$5:$AG$51, MATCH('Rotation Assembler'!$A37, Calcs!$AC$5:$AC$51, 0), MATCH('Rotation Assembler'!P$32, Calcs!$AC$5:$AG$5, 0))</f>
        <v>1.7852000000000001</v>
      </c>
      <c r="Q37" s="126">
        <f ca="1">INDEX(Calcs!$AC$5:$AG$51, MATCH('Rotation Assembler'!$A37, Calcs!$AC$5:$AC$51, 0), MATCH('Rotation Assembler'!Q$32, Calcs!$AC$5:$AG$5, 0))</f>
        <v>1.7852000000000001</v>
      </c>
      <c r="R37" s="126">
        <f ca="1">INDEX(Calcs!$AC$5:$AG$51, MATCH('Rotation Assembler'!$A37, Calcs!$AC$5:$AC$51, 0), MATCH('Rotation Assembler'!R$32, Calcs!$AC$5:$AG$5, 0))</f>
        <v>1.7852000000000001</v>
      </c>
      <c r="S37" s="126">
        <f>INDEX(Calcs!$AC$5:$AG$51, MATCH('Rotation Assembler'!$A37, Calcs!$AC$5:$AC$51, 0), MATCH('Rotation Assembler'!S$32, Calcs!$AC$5:$AG$5, 0))</f>
        <v>1.0773999999999999</v>
      </c>
      <c r="T37" s="126">
        <f>INDEX(Calcs!$AC$5:$AG$51, MATCH('Rotation Assembler'!$A37, Calcs!$AC$5:$AC$51, 0), MATCH('Rotation Assembler'!T$32, Calcs!$AC$5:$AG$5, 0))</f>
        <v>0.61480000000000001</v>
      </c>
      <c r="U37" s="126">
        <f>INDEX(Calcs!$AC$5:$AG$51, MATCH('Rotation Assembler'!$A37, Calcs!$AC$5:$AC$51, 0), MATCH('Rotation Assembler'!U$32, Calcs!$AC$5:$AG$5, 0))</f>
        <v>1.0773999999999999</v>
      </c>
      <c r="V37" s="126">
        <f>INDEX(Calcs!$AC$5:$AG$51, MATCH('Rotation Assembler'!$A37, Calcs!$AC$5:$AC$51, 0), MATCH('Rotation Assembler'!V$32, Calcs!$AC$5:$AG$5, 0))</f>
        <v>1.0773999999999999</v>
      </c>
      <c r="W37" s="126">
        <f>INDEX(Calcs!$AC$5:$AG$51, MATCH('Rotation Assembler'!$A37, Calcs!$AC$5:$AC$51, 0), MATCH('Rotation Assembler'!W$32, Calcs!$AC$5:$AG$5, 0))</f>
        <v>1.0773999999999999</v>
      </c>
      <c r="X37" s="126">
        <f>INDEX(Calcs!$AC$5:$AG$51, MATCH('Rotation Assembler'!$A37, Calcs!$AC$5:$AC$51, 0), MATCH('Rotation Assembler'!X$32, Calcs!$AC$5:$AG$5, 0))</f>
        <v>1.0773999999999999</v>
      </c>
      <c r="Y37" s="126">
        <f>INDEX(Calcs!$AC$5:$AG$51, MATCH('Rotation Assembler'!$A37, Calcs!$AC$5:$AC$51, 0), MATCH('Rotation Assembler'!Y$32, Calcs!$AC$5:$AG$5, 0))</f>
        <v>1.0773999999999999</v>
      </c>
      <c r="Z37" s="126">
        <f>INDEX(Calcs!$AC$5:$AG$51, MATCH('Rotation Assembler'!$A37, Calcs!$AC$5:$AC$51, 0), MATCH('Rotation Assembler'!Z$32, Calcs!$AC$5:$AG$5, 0))</f>
        <v>1.0773999999999999</v>
      </c>
      <c r="AA37" s="126">
        <f>INDEX(Calcs!$AC$5:$AG$51, MATCH('Rotation Assembler'!$A37, Calcs!$AC$5:$AC$51, 0), MATCH('Rotation Assembler'!AA$32, Calcs!$AC$5:$AG$5, 0))</f>
        <v>1.0773999999999999</v>
      </c>
      <c r="AB37" s="126">
        <f>INDEX(Calcs!$AC$5:$AG$51, MATCH('Rotation Assembler'!$A37, Calcs!$AC$5:$AC$51, 0), MATCH('Rotation Assembler'!AB$32, Calcs!$AC$5:$AG$5, 0))</f>
        <v>0.61480000000000001</v>
      </c>
      <c r="AC37" s="126">
        <f>INDEX(Calcs!$AC$5:$AG$51, MATCH('Rotation Assembler'!$A37, Calcs!$AC$5:$AC$51, 0), MATCH('Rotation Assembler'!AC$32, Calcs!$AC$5:$AG$5, 0))</f>
        <v>0.59519999999999995</v>
      </c>
      <c r="AD37" s="126">
        <f>INDEX(Calcs!$AC$5:$AG$51, MATCH('Rotation Assembler'!$A37, Calcs!$AC$5:$AC$51, 0), MATCH('Rotation Assembler'!AD$32, Calcs!$AC$5:$AG$5, 0))</f>
        <v>0.59519999999999995</v>
      </c>
      <c r="AE37" s="126">
        <f ca="1">INDEX(Calcs!$AC$5:$AG$51, MATCH('Rotation Assembler'!$A37, Calcs!$AC$5:$AC$51, 0), MATCH('Rotation Assembler'!AE$32, Calcs!$AC$5:$AG$5, 0))</f>
        <v>1.7852000000000001</v>
      </c>
      <c r="AF37" s="126">
        <f>INDEX(Calcs!$AC$5:$AG$51, MATCH('Rotation Assembler'!$A37, Calcs!$AC$5:$AC$51, 0), MATCH('Rotation Assembler'!AF$32, Calcs!$AC$5:$AG$5, 0))</f>
        <v>1.0773999999999999</v>
      </c>
      <c r="AG37" s="126">
        <f>INDEX(Calcs!$AC$5:$AG$51, MATCH('Rotation Assembler'!$A37, Calcs!$AC$5:$AC$51, 0), MATCH('Rotation Assembler'!AG$32, Calcs!$AC$5:$AG$5, 0))</f>
        <v>1.0773999999999999</v>
      </c>
      <c r="AH37" s="126">
        <f>INDEX(Calcs!$AC$5:$AG$51, MATCH('Rotation Assembler'!$A37, Calcs!$AC$5:$AC$51, 0), MATCH('Rotation Assembler'!AH$32, Calcs!$AC$5:$AG$5, 0))</f>
        <v>1.0773999999999999</v>
      </c>
      <c r="AI37" s="126">
        <f>INDEX(Calcs!$AC$5:$AG$51, MATCH('Rotation Assembler'!$A37, Calcs!$AC$5:$AC$51, 0), MATCH('Rotation Assembler'!AI$32, Calcs!$AC$5:$AG$5, 0))</f>
        <v>1.0773999999999999</v>
      </c>
      <c r="AJ37" s="126" t="e">
        <f>INDEX(Calcs!$AC$5:$AG$51, MATCH('Rotation Assembler'!$A37, Calcs!$AC$5:$AC$51, 0), MATCH('Rotation Assembler'!AJ$32, Calcs!$AC$5:$AG$5, 0))</f>
        <v>#N/A</v>
      </c>
      <c r="AK37" s="126" t="e">
        <f>INDEX(Calcs!$AC$5:$AG$51, MATCH('Rotation Assembler'!$A37, Calcs!$AC$5:$AC$51, 0), MATCH('Rotation Assembler'!AK$32, Calcs!$AC$5:$AG$5, 0))</f>
        <v>#N/A</v>
      </c>
      <c r="AL37" s="126" t="e">
        <f>INDEX(Calcs!$AC$5:$AG$51, MATCH('Rotation Assembler'!$A37, Calcs!$AC$5:$AC$51, 0), MATCH('Rotation Assembler'!AL$32, Calcs!$AC$5:$AG$5, 0))</f>
        <v>#N/A</v>
      </c>
      <c r="AM37" s="126" t="e">
        <f>INDEX(Calcs!$AC$5:$AG$51, MATCH('Rotation Assembler'!$A37, Calcs!$AC$5:$AC$51, 0), MATCH('Rotation Assembler'!AM$32, Calcs!$AC$5:$AG$5, 0))</f>
        <v>#N/A</v>
      </c>
      <c r="AN37" s="126" t="e">
        <f>INDEX(Calcs!$AC$5:$AG$51, MATCH('Rotation Assembler'!$A37, Calcs!$AC$5:$AC$51, 0), MATCH('Rotation Assembler'!AN$32, Calcs!$AC$5:$AG$5, 0))</f>
        <v>#N/A</v>
      </c>
      <c r="AO37" s="126" t="e">
        <f>INDEX(Calcs!$AC$5:$AG$51, MATCH('Rotation Assembler'!$A37, Calcs!$AC$5:$AC$51, 0), MATCH('Rotation Assembler'!AO$32, Calcs!$AC$5:$AG$5, 0))</f>
        <v>#N/A</v>
      </c>
      <c r="AP37" s="126" t="e">
        <f>INDEX(Calcs!$AC$5:$AG$51, MATCH('Rotation Assembler'!$A37, Calcs!$AC$5:$AC$51, 0), MATCH('Rotation Assembler'!AP$32, Calcs!$AC$5:$AG$5, 0))</f>
        <v>#N/A</v>
      </c>
      <c r="AQ37" s="126" t="e">
        <f>INDEX(Calcs!$AC$5:$AG$51, MATCH('Rotation Assembler'!$A37, Calcs!$AC$5:$AC$51, 0), MATCH('Rotation Assembler'!AQ$32, Calcs!$AC$5:$AG$5, 0))</f>
        <v>#N/A</v>
      </c>
      <c r="AR37" s="126" t="e">
        <f>INDEX(Calcs!$AC$5:$AG$51, MATCH('Rotation Assembler'!$A37, Calcs!$AC$5:$AC$51, 0), MATCH('Rotation Assembler'!AR$32, Calcs!$AC$5:$AG$5, 0))</f>
        <v>#N/A</v>
      </c>
      <c r="AS37" s="126" t="e">
        <f>INDEX(Calcs!$AC$5:$AG$51, MATCH('Rotation Assembler'!$A37, Calcs!$AC$5:$AC$51, 0), MATCH('Rotation Assembler'!AS$32, Calcs!$AC$5:$AG$5, 0))</f>
        <v>#N/A</v>
      </c>
      <c r="AT37" s="126" t="e">
        <f>INDEX(Calcs!$AC$5:$AG$51, MATCH('Rotation Assembler'!$A37, Calcs!$AC$5:$AC$51, 0), MATCH('Rotation Assembler'!AT$32, Calcs!$AC$5:$AG$5, 0))</f>
        <v>#N/A</v>
      </c>
      <c r="AU37" s="126" t="e">
        <f>INDEX(Calcs!$AC$5:$AG$51, MATCH('Rotation Assembler'!$A37, Calcs!$AC$5:$AC$51, 0), MATCH('Rotation Assembler'!AU$32, Calcs!$AC$5:$AG$5, 0))</f>
        <v>#N/A</v>
      </c>
      <c r="AV37" s="126" t="e">
        <f>INDEX(Calcs!$AC$5:$AG$51, MATCH('Rotation Assembler'!$A37, Calcs!$AC$5:$AC$51, 0), MATCH('Rotation Assembler'!AV$32, Calcs!$AC$5:$AG$5, 0))</f>
        <v>#N/A</v>
      </c>
      <c r="AW37" s="126" t="e">
        <f>INDEX(Calcs!$AC$5:$AG$51, MATCH('Rotation Assembler'!$A37, Calcs!$AC$5:$AC$51, 0), MATCH('Rotation Assembler'!AW$32, Calcs!$AC$5:$AG$5, 0))</f>
        <v>#N/A</v>
      </c>
      <c r="AX37" s="126" t="e">
        <f>INDEX(Calcs!$AC$5:$AG$51, MATCH('Rotation Assembler'!$A37, Calcs!$AC$5:$AC$51, 0), MATCH('Rotation Assembler'!AX$32, Calcs!$AC$5:$AG$5, 0))</f>
        <v>#N/A</v>
      </c>
      <c r="AY37" s="126" t="e">
        <f>INDEX(Calcs!$AC$5:$AG$51, MATCH('Rotation Assembler'!$A37, Calcs!$AC$5:$AC$51, 0), MATCH('Rotation Assembler'!AY$32, Calcs!$AC$5:$AG$5, 0))</f>
        <v>#N/A</v>
      </c>
      <c r="AZ37" s="126" t="e">
        <f>INDEX(Calcs!$AC$5:$AG$51, MATCH('Rotation Assembler'!$A37, Calcs!$AC$5:$AC$51, 0), MATCH('Rotation Assembler'!AZ$32, Calcs!$AC$5:$AG$5, 0))</f>
        <v>#N/A</v>
      </c>
      <c r="BA37" s="126" t="e">
        <f>INDEX(Calcs!$AC$5:$AG$51, MATCH('Rotation Assembler'!$A37, Calcs!$AC$5:$AC$51, 0), MATCH('Rotation Assembler'!BA$32, Calcs!$AC$5:$AG$5, 0))</f>
        <v>#N/A</v>
      </c>
      <c r="BB37" s="126" t="e">
        <f>INDEX(Calcs!$AC$5:$AG$51, MATCH('Rotation Assembler'!$A37, Calcs!$AC$5:$AC$51, 0), MATCH('Rotation Assembler'!BB$32, Calcs!$AC$5:$AG$5, 0))</f>
        <v>#N/A</v>
      </c>
      <c r="BC37" s="126" t="e">
        <f>INDEX(Calcs!$AC$5:$AG$51, MATCH('Rotation Assembler'!$A37, Calcs!$AC$5:$AC$51, 0), MATCH('Rotation Assembler'!BC$32, Calcs!$AC$5:$AG$5, 0))</f>
        <v>#N/A</v>
      </c>
      <c r="BD37" s="126" t="e">
        <f>INDEX(Calcs!$AC$5:$AG$51, MATCH('Rotation Assembler'!$A37, Calcs!$AC$5:$AC$51, 0), MATCH('Rotation Assembler'!BD$32, Calcs!$AC$5:$AG$5, 0))</f>
        <v>#N/A</v>
      </c>
      <c r="BE37" s="126" t="e">
        <f>INDEX(Calcs!$AC$5:$AG$51, MATCH('Rotation Assembler'!$A37, Calcs!$AC$5:$AC$51, 0), MATCH('Rotation Assembler'!BE$32, Calcs!$AC$5:$AG$5, 0))</f>
        <v>#N/A</v>
      </c>
      <c r="BF37" s="126" t="e">
        <f>INDEX(Calcs!$AC$5:$AG$51, MATCH('Rotation Assembler'!$A37, Calcs!$AC$5:$AC$51, 0), MATCH('Rotation Assembler'!BF$32, Calcs!$AC$5:$AG$5, 0))</f>
        <v>#N/A</v>
      </c>
      <c r="BG37" s="126" t="e">
        <f>INDEX(Calcs!$AC$5:$AG$51, MATCH('Rotation Assembler'!$A37, Calcs!$AC$5:$AC$51, 0), MATCH('Rotation Assembler'!BG$32, Calcs!$AC$5:$AG$5, 0))</f>
        <v>#N/A</v>
      </c>
      <c r="BH37" s="126" t="e">
        <f>INDEX(Calcs!$AC$5:$AG$51, MATCH('Rotation Assembler'!$A37, Calcs!$AC$5:$AC$51, 0), MATCH('Rotation Assembler'!BH$32, Calcs!$AC$5:$AG$5, 0))</f>
        <v>#N/A</v>
      </c>
      <c r="BI37" s="126"/>
      <c r="BJ37" s="126"/>
      <c r="BK37" s="126"/>
      <c r="BL37" s="126"/>
      <c r="BM37" s="126"/>
      <c r="BN37" s="126"/>
      <c r="BO37" s="126"/>
      <c r="BP37" s="126"/>
      <c r="BQ37" s="126"/>
      <c r="BR37" s="126"/>
      <c r="BS37" s="126"/>
      <c r="BT37" s="126"/>
      <c r="BU37" s="126"/>
      <c r="BV37" s="126"/>
      <c r="BW37" s="126"/>
      <c r="BX37" s="126"/>
      <c r="BY37" s="126"/>
      <c r="BZ37" s="126"/>
      <c r="CA37" s="126"/>
      <c r="CB37" s="126"/>
      <c r="CC37" s="126"/>
      <c r="CD37" s="126"/>
      <c r="CE37" s="126"/>
      <c r="CF37" s="126"/>
      <c r="CG37" s="126"/>
      <c r="CH37" s="126"/>
      <c r="CI37" s="126"/>
      <c r="CJ37" s="126"/>
      <c r="CK37" s="126"/>
      <c r="CL37" s="126"/>
      <c r="CM37" s="126"/>
      <c r="CN37" s="126"/>
      <c r="CO37" s="126"/>
      <c r="CP37" s="126"/>
      <c r="CQ37" s="126"/>
      <c r="CR37" s="126"/>
      <c r="CS37" s="126"/>
      <c r="CT37" s="126"/>
      <c r="CU37" s="126"/>
      <c r="CV37" s="126"/>
      <c r="CW37" s="126"/>
      <c r="CX37" s="126"/>
      <c r="CY37" s="126"/>
      <c r="CZ37" s="126"/>
      <c r="DA37" s="126"/>
      <c r="DB37" s="126"/>
      <c r="DC37" s="126"/>
    </row>
    <row r="38" spans="1:107" hidden="1" outlineLevel="1" x14ac:dyDescent="0.25">
      <c r="A38" s="122" t="s">
        <v>66</v>
      </c>
      <c r="B38" s="126">
        <f>INDEX(Calcs!$AC$5:$AG$51, MATCH('Rotation Assembler'!$A38, Calcs!$AC$5:$AC$51, 0), MATCH('Rotation Assembler'!B$32, Calcs!$AC$5:$AG$5, 0))</f>
        <v>0.124</v>
      </c>
      <c r="C38" s="126">
        <f>INDEX(Calcs!$AC$5:$AG$51, MATCH('Rotation Assembler'!$A38, Calcs!$AC$5:$AC$51, 0), MATCH('Rotation Assembler'!C$32, Calcs!$AC$5:$AG$5, 0))</f>
        <v>0.124</v>
      </c>
      <c r="D38" s="126">
        <f>INDEX(Calcs!$AC$5:$AG$51, MATCH('Rotation Assembler'!$A38, Calcs!$AC$5:$AC$51, 0), MATCH('Rotation Assembler'!D$32, Calcs!$AC$5:$AG$5, 0))</f>
        <v>0.124</v>
      </c>
      <c r="E38" s="126">
        <f>INDEX(Calcs!$AC$5:$AG$51, MATCH('Rotation Assembler'!$A38, Calcs!$AC$5:$AC$51, 0), MATCH('Rotation Assembler'!E$32, Calcs!$AC$5:$AG$5, 0))</f>
        <v>0.124</v>
      </c>
      <c r="F38" s="126">
        <f>INDEX(Calcs!$AC$5:$AG$51, MATCH('Rotation Assembler'!$A38, Calcs!$AC$5:$AC$51, 0), MATCH('Rotation Assembler'!F$32, Calcs!$AC$5:$AG$5, 0))</f>
        <v>0.124</v>
      </c>
      <c r="G38" s="126">
        <f>INDEX(Calcs!$AC$5:$AG$51, MATCH('Rotation Assembler'!$A38, Calcs!$AC$5:$AC$51, 0), MATCH('Rotation Assembler'!G$32, Calcs!$AC$5:$AG$5, 0))</f>
        <v>0.124</v>
      </c>
      <c r="H38" s="126">
        <f>INDEX(Calcs!$AC$5:$AG$51, MATCH('Rotation Assembler'!$A38, Calcs!$AC$5:$AC$51, 0), MATCH('Rotation Assembler'!H$32, Calcs!$AC$5:$AG$5, 0))</f>
        <v>0.124</v>
      </c>
      <c r="I38" s="126">
        <f>INDEX(Calcs!$AC$5:$AG$51, MATCH('Rotation Assembler'!$A38, Calcs!$AC$5:$AC$51, 0), MATCH('Rotation Assembler'!I$32, Calcs!$AC$5:$AG$5, 0))</f>
        <v>0.124</v>
      </c>
      <c r="J38" s="126">
        <f>INDEX(Calcs!$AC$5:$AG$51, MATCH('Rotation Assembler'!$A38, Calcs!$AC$5:$AC$51, 0), MATCH('Rotation Assembler'!J$32, Calcs!$AC$5:$AG$5, 0))</f>
        <v>0.124</v>
      </c>
      <c r="K38" s="126">
        <f>INDEX(Calcs!$AC$5:$AG$51, MATCH('Rotation Assembler'!$A38, Calcs!$AC$5:$AC$51, 0), MATCH('Rotation Assembler'!K$32, Calcs!$AC$5:$AG$5, 0))</f>
        <v>0.124</v>
      </c>
      <c r="L38" s="126">
        <f>INDEX(Calcs!$AC$5:$AG$51, MATCH('Rotation Assembler'!$A38, Calcs!$AC$5:$AC$51, 0), MATCH('Rotation Assembler'!L$32, Calcs!$AC$5:$AG$5, 0))</f>
        <v>0.124</v>
      </c>
      <c r="M38" s="126">
        <f>INDEX(Calcs!$AC$5:$AG$51, MATCH('Rotation Assembler'!$A38, Calcs!$AC$5:$AC$51, 0), MATCH('Rotation Assembler'!M$32, Calcs!$AC$5:$AG$5, 0))</f>
        <v>0.124</v>
      </c>
      <c r="N38" s="126">
        <f>INDEX(Calcs!$AC$5:$AG$51, MATCH('Rotation Assembler'!$A38, Calcs!$AC$5:$AC$51, 0), MATCH('Rotation Assembler'!N$32, Calcs!$AC$5:$AG$5, 0))</f>
        <v>0.124</v>
      </c>
      <c r="O38" s="126">
        <f>INDEX(Calcs!$AC$5:$AG$51, MATCH('Rotation Assembler'!$A38, Calcs!$AC$5:$AC$51, 0), MATCH('Rotation Assembler'!O$32, Calcs!$AC$5:$AG$5, 0))</f>
        <v>0.124</v>
      </c>
      <c r="P38" s="126">
        <f>INDEX(Calcs!$AC$5:$AG$51, MATCH('Rotation Assembler'!$A38, Calcs!$AC$5:$AC$51, 0), MATCH('Rotation Assembler'!P$32, Calcs!$AC$5:$AG$5, 0))</f>
        <v>0.124</v>
      </c>
      <c r="Q38" s="126">
        <f>INDEX(Calcs!$AC$5:$AG$51, MATCH('Rotation Assembler'!$A38, Calcs!$AC$5:$AC$51, 0), MATCH('Rotation Assembler'!Q$32, Calcs!$AC$5:$AG$5, 0))</f>
        <v>0.124</v>
      </c>
      <c r="R38" s="126">
        <f>INDEX(Calcs!$AC$5:$AG$51, MATCH('Rotation Assembler'!$A38, Calcs!$AC$5:$AC$51, 0), MATCH('Rotation Assembler'!R$32, Calcs!$AC$5:$AG$5, 0))</f>
        <v>0.124</v>
      </c>
      <c r="S38" s="126">
        <f>INDEX(Calcs!$AC$5:$AG$51, MATCH('Rotation Assembler'!$A38, Calcs!$AC$5:$AC$51, 0), MATCH('Rotation Assembler'!S$32, Calcs!$AC$5:$AG$5, 0))</f>
        <v>0.124</v>
      </c>
      <c r="T38" s="126">
        <f>INDEX(Calcs!$AC$5:$AG$51, MATCH('Rotation Assembler'!$A38, Calcs!$AC$5:$AC$51, 0), MATCH('Rotation Assembler'!T$32, Calcs!$AC$5:$AG$5, 0))</f>
        <v>0.124</v>
      </c>
      <c r="U38" s="126">
        <f>INDEX(Calcs!$AC$5:$AG$51, MATCH('Rotation Assembler'!$A38, Calcs!$AC$5:$AC$51, 0), MATCH('Rotation Assembler'!U$32, Calcs!$AC$5:$AG$5, 0))</f>
        <v>0.124</v>
      </c>
      <c r="V38" s="126">
        <f>INDEX(Calcs!$AC$5:$AG$51, MATCH('Rotation Assembler'!$A38, Calcs!$AC$5:$AC$51, 0), MATCH('Rotation Assembler'!V$32, Calcs!$AC$5:$AG$5, 0))</f>
        <v>0.124</v>
      </c>
      <c r="W38" s="126">
        <f>INDEX(Calcs!$AC$5:$AG$51, MATCH('Rotation Assembler'!$A38, Calcs!$AC$5:$AC$51, 0), MATCH('Rotation Assembler'!W$32, Calcs!$AC$5:$AG$5, 0))</f>
        <v>0.124</v>
      </c>
      <c r="X38" s="126">
        <f>INDEX(Calcs!$AC$5:$AG$51, MATCH('Rotation Assembler'!$A38, Calcs!$AC$5:$AC$51, 0), MATCH('Rotation Assembler'!X$32, Calcs!$AC$5:$AG$5, 0))</f>
        <v>0.124</v>
      </c>
      <c r="Y38" s="126">
        <f>INDEX(Calcs!$AC$5:$AG$51, MATCH('Rotation Assembler'!$A38, Calcs!$AC$5:$AC$51, 0), MATCH('Rotation Assembler'!Y$32, Calcs!$AC$5:$AG$5, 0))</f>
        <v>0.124</v>
      </c>
      <c r="Z38" s="126">
        <f>INDEX(Calcs!$AC$5:$AG$51, MATCH('Rotation Assembler'!$A38, Calcs!$AC$5:$AC$51, 0), MATCH('Rotation Assembler'!Z$32, Calcs!$AC$5:$AG$5, 0))</f>
        <v>0.124</v>
      </c>
      <c r="AA38" s="126">
        <f>INDEX(Calcs!$AC$5:$AG$51, MATCH('Rotation Assembler'!$A38, Calcs!$AC$5:$AC$51, 0), MATCH('Rotation Assembler'!AA$32, Calcs!$AC$5:$AG$5, 0))</f>
        <v>0.124</v>
      </c>
      <c r="AB38" s="126">
        <f>INDEX(Calcs!$AC$5:$AG$51, MATCH('Rotation Assembler'!$A38, Calcs!$AC$5:$AC$51, 0), MATCH('Rotation Assembler'!AB$32, Calcs!$AC$5:$AG$5, 0))</f>
        <v>0.124</v>
      </c>
      <c r="AC38" s="126">
        <f>INDEX(Calcs!$AC$5:$AG$51, MATCH('Rotation Assembler'!$A38, Calcs!$AC$5:$AC$51, 0), MATCH('Rotation Assembler'!AC$32, Calcs!$AC$5:$AG$5, 0))</f>
        <v>0.124</v>
      </c>
      <c r="AD38" s="126">
        <f>INDEX(Calcs!$AC$5:$AG$51, MATCH('Rotation Assembler'!$A38, Calcs!$AC$5:$AC$51, 0), MATCH('Rotation Assembler'!AD$32, Calcs!$AC$5:$AG$5, 0))</f>
        <v>0.124</v>
      </c>
      <c r="AE38" s="126">
        <f>INDEX(Calcs!$AC$5:$AG$51, MATCH('Rotation Assembler'!$A38, Calcs!$AC$5:$AC$51, 0), MATCH('Rotation Assembler'!AE$32, Calcs!$AC$5:$AG$5, 0))</f>
        <v>0.124</v>
      </c>
      <c r="AF38" s="126">
        <f>INDEX(Calcs!$AC$5:$AG$51, MATCH('Rotation Assembler'!$A38, Calcs!$AC$5:$AC$51, 0), MATCH('Rotation Assembler'!AF$32, Calcs!$AC$5:$AG$5, 0))</f>
        <v>0.124</v>
      </c>
      <c r="AG38" s="126">
        <f>INDEX(Calcs!$AC$5:$AG$51, MATCH('Rotation Assembler'!$A38, Calcs!$AC$5:$AC$51, 0), MATCH('Rotation Assembler'!AG$32, Calcs!$AC$5:$AG$5, 0))</f>
        <v>0.124</v>
      </c>
      <c r="AH38" s="126">
        <f>INDEX(Calcs!$AC$5:$AG$51, MATCH('Rotation Assembler'!$A38, Calcs!$AC$5:$AC$51, 0), MATCH('Rotation Assembler'!AH$32, Calcs!$AC$5:$AG$5, 0))</f>
        <v>0.124</v>
      </c>
      <c r="AI38" s="126">
        <f>INDEX(Calcs!$AC$5:$AG$51, MATCH('Rotation Assembler'!$A38, Calcs!$AC$5:$AC$51, 0), MATCH('Rotation Assembler'!AI$32, Calcs!$AC$5:$AG$5, 0))</f>
        <v>0.124</v>
      </c>
      <c r="AJ38" s="126" t="e">
        <f>INDEX(Calcs!$AC$5:$AG$51, MATCH('Rotation Assembler'!$A38, Calcs!$AC$5:$AC$51, 0), MATCH('Rotation Assembler'!AJ$32, Calcs!$AC$5:$AG$5, 0))</f>
        <v>#N/A</v>
      </c>
      <c r="AK38" s="126" t="e">
        <f>INDEX(Calcs!$AC$5:$AG$51, MATCH('Rotation Assembler'!$A38, Calcs!$AC$5:$AC$51, 0), MATCH('Rotation Assembler'!AK$32, Calcs!$AC$5:$AG$5, 0))</f>
        <v>#N/A</v>
      </c>
      <c r="AL38" s="126" t="e">
        <f>INDEX(Calcs!$AC$5:$AG$51, MATCH('Rotation Assembler'!$A38, Calcs!$AC$5:$AC$51, 0), MATCH('Rotation Assembler'!AL$32, Calcs!$AC$5:$AG$5, 0))</f>
        <v>#N/A</v>
      </c>
      <c r="AM38" s="126" t="e">
        <f>INDEX(Calcs!$AC$5:$AG$51, MATCH('Rotation Assembler'!$A38, Calcs!$AC$5:$AC$51, 0), MATCH('Rotation Assembler'!AM$32, Calcs!$AC$5:$AG$5, 0))</f>
        <v>#N/A</v>
      </c>
      <c r="AN38" s="126" t="e">
        <f>INDEX(Calcs!$AC$5:$AG$51, MATCH('Rotation Assembler'!$A38, Calcs!$AC$5:$AC$51, 0), MATCH('Rotation Assembler'!AN$32, Calcs!$AC$5:$AG$5, 0))</f>
        <v>#N/A</v>
      </c>
      <c r="AO38" s="126" t="e">
        <f>INDEX(Calcs!$AC$5:$AG$51, MATCH('Rotation Assembler'!$A38, Calcs!$AC$5:$AC$51, 0), MATCH('Rotation Assembler'!AO$32, Calcs!$AC$5:$AG$5, 0))</f>
        <v>#N/A</v>
      </c>
      <c r="AP38" s="126" t="e">
        <f>INDEX(Calcs!$AC$5:$AG$51, MATCH('Rotation Assembler'!$A38, Calcs!$AC$5:$AC$51, 0), MATCH('Rotation Assembler'!AP$32, Calcs!$AC$5:$AG$5, 0))</f>
        <v>#N/A</v>
      </c>
      <c r="AQ38" s="126" t="e">
        <f>INDEX(Calcs!$AC$5:$AG$51, MATCH('Rotation Assembler'!$A38, Calcs!$AC$5:$AC$51, 0), MATCH('Rotation Assembler'!AQ$32, Calcs!$AC$5:$AG$5, 0))</f>
        <v>#N/A</v>
      </c>
      <c r="AR38" s="126" t="e">
        <f>INDEX(Calcs!$AC$5:$AG$51, MATCH('Rotation Assembler'!$A38, Calcs!$AC$5:$AC$51, 0), MATCH('Rotation Assembler'!AR$32, Calcs!$AC$5:$AG$5, 0))</f>
        <v>#N/A</v>
      </c>
      <c r="AS38" s="126" t="e">
        <f>INDEX(Calcs!$AC$5:$AG$51, MATCH('Rotation Assembler'!$A38, Calcs!$AC$5:$AC$51, 0), MATCH('Rotation Assembler'!AS$32, Calcs!$AC$5:$AG$5, 0))</f>
        <v>#N/A</v>
      </c>
      <c r="AT38" s="126" t="e">
        <f>INDEX(Calcs!$AC$5:$AG$51, MATCH('Rotation Assembler'!$A38, Calcs!$AC$5:$AC$51, 0), MATCH('Rotation Assembler'!AT$32, Calcs!$AC$5:$AG$5, 0))</f>
        <v>#N/A</v>
      </c>
      <c r="AU38" s="126" t="e">
        <f>INDEX(Calcs!$AC$5:$AG$51, MATCH('Rotation Assembler'!$A38, Calcs!$AC$5:$AC$51, 0), MATCH('Rotation Assembler'!AU$32, Calcs!$AC$5:$AG$5, 0))</f>
        <v>#N/A</v>
      </c>
      <c r="AV38" s="126" t="e">
        <f>INDEX(Calcs!$AC$5:$AG$51, MATCH('Rotation Assembler'!$A38, Calcs!$AC$5:$AC$51, 0), MATCH('Rotation Assembler'!AV$32, Calcs!$AC$5:$AG$5, 0))</f>
        <v>#N/A</v>
      </c>
      <c r="AW38" s="126" t="e">
        <f>INDEX(Calcs!$AC$5:$AG$51, MATCH('Rotation Assembler'!$A38, Calcs!$AC$5:$AC$51, 0), MATCH('Rotation Assembler'!AW$32, Calcs!$AC$5:$AG$5, 0))</f>
        <v>#N/A</v>
      </c>
      <c r="AX38" s="126" t="e">
        <f>INDEX(Calcs!$AC$5:$AG$51, MATCH('Rotation Assembler'!$A38, Calcs!$AC$5:$AC$51, 0), MATCH('Rotation Assembler'!AX$32, Calcs!$AC$5:$AG$5, 0))</f>
        <v>#N/A</v>
      </c>
      <c r="AY38" s="126" t="e">
        <f>INDEX(Calcs!$AC$5:$AG$51, MATCH('Rotation Assembler'!$A38, Calcs!$AC$5:$AC$51, 0), MATCH('Rotation Assembler'!AY$32, Calcs!$AC$5:$AG$5, 0))</f>
        <v>#N/A</v>
      </c>
      <c r="AZ38" s="126" t="e">
        <f>INDEX(Calcs!$AC$5:$AG$51, MATCH('Rotation Assembler'!$A38, Calcs!$AC$5:$AC$51, 0), MATCH('Rotation Assembler'!AZ$32, Calcs!$AC$5:$AG$5, 0))</f>
        <v>#N/A</v>
      </c>
      <c r="BA38" s="126" t="e">
        <f>INDEX(Calcs!$AC$5:$AG$51, MATCH('Rotation Assembler'!$A38, Calcs!$AC$5:$AC$51, 0), MATCH('Rotation Assembler'!BA$32, Calcs!$AC$5:$AG$5, 0))</f>
        <v>#N/A</v>
      </c>
      <c r="BB38" s="126" t="e">
        <f>INDEX(Calcs!$AC$5:$AG$51, MATCH('Rotation Assembler'!$A38, Calcs!$AC$5:$AC$51, 0), MATCH('Rotation Assembler'!BB$32, Calcs!$AC$5:$AG$5, 0))</f>
        <v>#N/A</v>
      </c>
      <c r="BC38" s="126" t="e">
        <f>INDEX(Calcs!$AC$5:$AG$51, MATCH('Rotation Assembler'!$A38, Calcs!$AC$5:$AC$51, 0), MATCH('Rotation Assembler'!BC$32, Calcs!$AC$5:$AG$5, 0))</f>
        <v>#N/A</v>
      </c>
      <c r="BD38" s="126" t="e">
        <f>INDEX(Calcs!$AC$5:$AG$51, MATCH('Rotation Assembler'!$A38, Calcs!$AC$5:$AC$51, 0), MATCH('Rotation Assembler'!BD$32, Calcs!$AC$5:$AG$5, 0))</f>
        <v>#N/A</v>
      </c>
      <c r="BE38" s="126" t="e">
        <f>INDEX(Calcs!$AC$5:$AG$51, MATCH('Rotation Assembler'!$A38, Calcs!$AC$5:$AC$51, 0), MATCH('Rotation Assembler'!BE$32, Calcs!$AC$5:$AG$5, 0))</f>
        <v>#N/A</v>
      </c>
      <c r="BF38" s="126" t="e">
        <f>INDEX(Calcs!$AC$5:$AG$51, MATCH('Rotation Assembler'!$A38, Calcs!$AC$5:$AC$51, 0), MATCH('Rotation Assembler'!BF$32, Calcs!$AC$5:$AG$5, 0))</f>
        <v>#N/A</v>
      </c>
      <c r="BG38" s="126" t="e">
        <f>INDEX(Calcs!$AC$5:$AG$51, MATCH('Rotation Assembler'!$A38, Calcs!$AC$5:$AC$51, 0), MATCH('Rotation Assembler'!BG$32, Calcs!$AC$5:$AG$5, 0))</f>
        <v>#N/A</v>
      </c>
      <c r="BH38" s="126" t="e">
        <f>INDEX(Calcs!$AC$5:$AG$51, MATCH('Rotation Assembler'!$A38, Calcs!$AC$5:$AC$51, 0), MATCH('Rotation Assembler'!BH$32, Calcs!$AC$5:$AG$5, 0))</f>
        <v>#N/A</v>
      </c>
      <c r="BI38" s="126"/>
      <c r="BJ38" s="126"/>
      <c r="BK38" s="126"/>
      <c r="BL38" s="126"/>
      <c r="BM38" s="126"/>
      <c r="BN38" s="126"/>
      <c r="BO38" s="126"/>
      <c r="BP38" s="126"/>
      <c r="BQ38" s="126"/>
      <c r="BR38" s="126"/>
      <c r="BS38" s="126"/>
      <c r="BT38" s="126"/>
      <c r="BU38" s="126"/>
      <c r="BV38" s="126"/>
      <c r="BW38" s="126"/>
      <c r="BX38" s="126"/>
      <c r="BY38" s="126"/>
      <c r="BZ38" s="126"/>
      <c r="CA38" s="126"/>
      <c r="CB38" s="126"/>
      <c r="CC38" s="126"/>
      <c r="CD38" s="126"/>
      <c r="CE38" s="126"/>
      <c r="CF38" s="126"/>
      <c r="CG38" s="126"/>
      <c r="CH38" s="126"/>
      <c r="CI38" s="126"/>
      <c r="CJ38" s="126"/>
      <c r="CK38" s="126"/>
      <c r="CL38" s="126"/>
      <c r="CM38" s="126"/>
      <c r="CN38" s="126"/>
      <c r="CO38" s="126"/>
      <c r="CP38" s="126"/>
      <c r="CQ38" s="126"/>
      <c r="CR38" s="126"/>
      <c r="CS38" s="126"/>
      <c r="CT38" s="126"/>
      <c r="CU38" s="126"/>
      <c r="CV38" s="126"/>
      <c r="CW38" s="126"/>
      <c r="CX38" s="126"/>
      <c r="CY38" s="126"/>
      <c r="CZ38" s="126"/>
      <c r="DA38" s="126"/>
      <c r="DB38" s="126"/>
      <c r="DC38" s="126"/>
    </row>
    <row r="39" spans="1:107" hidden="1" outlineLevel="1" x14ac:dyDescent="0.25">
      <c r="A39" s="122" t="s">
        <v>67</v>
      </c>
      <c r="B39" s="126">
        <f>INDEX(Calcs!$AC$5:$AG$51, MATCH('Rotation Assembler'!$A39, Calcs!$AC$5:$AC$51, 0), MATCH('Rotation Assembler'!B$32, Calcs!$AC$5:$AG$5, 0))</f>
        <v>9.9199999999999997E-2</v>
      </c>
      <c r="C39" s="126">
        <f>INDEX(Calcs!$AC$5:$AG$51, MATCH('Rotation Assembler'!$A39, Calcs!$AC$5:$AC$51, 0), MATCH('Rotation Assembler'!C$32, Calcs!$AC$5:$AG$5, 0))</f>
        <v>0.71219999999999994</v>
      </c>
      <c r="D39" s="126">
        <f>INDEX(Calcs!$AC$5:$AG$51, MATCH('Rotation Assembler'!$A39, Calcs!$AC$5:$AC$51, 0), MATCH('Rotation Assembler'!D$32, Calcs!$AC$5:$AG$5, 0))</f>
        <v>9.9199999999999997E-2</v>
      </c>
      <c r="E39" s="126">
        <f>INDEX(Calcs!$AC$5:$AG$51, MATCH('Rotation Assembler'!$A39, Calcs!$AC$5:$AC$51, 0), MATCH('Rotation Assembler'!E$32, Calcs!$AC$5:$AG$5, 0))</f>
        <v>9.9199999999999997E-2</v>
      </c>
      <c r="F39" s="126">
        <f>INDEX(Calcs!$AC$5:$AG$51, MATCH('Rotation Assembler'!$A39, Calcs!$AC$5:$AC$51, 0), MATCH('Rotation Assembler'!F$32, Calcs!$AC$5:$AG$5, 0))</f>
        <v>9.9199999999999997E-2</v>
      </c>
      <c r="G39" s="126">
        <f>INDEX(Calcs!$AC$5:$AG$51, MATCH('Rotation Assembler'!$A39, Calcs!$AC$5:$AC$51, 0), MATCH('Rotation Assembler'!G$32, Calcs!$AC$5:$AG$5, 0))</f>
        <v>9.9199999999999997E-2</v>
      </c>
      <c r="H39" s="126">
        <f>INDEX(Calcs!$AC$5:$AG$51, MATCH('Rotation Assembler'!$A39, Calcs!$AC$5:$AC$51, 0), MATCH('Rotation Assembler'!H$32, Calcs!$AC$5:$AG$5, 0))</f>
        <v>9.9199999999999997E-2</v>
      </c>
      <c r="I39" s="126">
        <f>INDEX(Calcs!$AC$5:$AG$51, MATCH('Rotation Assembler'!$A39, Calcs!$AC$5:$AC$51, 0), MATCH('Rotation Assembler'!I$32, Calcs!$AC$5:$AG$5, 0))</f>
        <v>9.9199999999999997E-2</v>
      </c>
      <c r="J39" s="126">
        <f>INDEX(Calcs!$AC$5:$AG$51, MATCH('Rotation Assembler'!$A39, Calcs!$AC$5:$AC$51, 0), MATCH('Rotation Assembler'!J$32, Calcs!$AC$5:$AG$5, 0))</f>
        <v>9.9199999999999997E-2</v>
      </c>
      <c r="K39" s="126">
        <f>INDEX(Calcs!$AC$5:$AG$51, MATCH('Rotation Assembler'!$A39, Calcs!$AC$5:$AC$51, 0), MATCH('Rotation Assembler'!K$32, Calcs!$AC$5:$AG$5, 0))</f>
        <v>9.9199999999999997E-2</v>
      </c>
      <c r="L39" s="126">
        <f>INDEX(Calcs!$AC$5:$AG$51, MATCH('Rotation Assembler'!$A39, Calcs!$AC$5:$AC$51, 0), MATCH('Rotation Assembler'!L$32, Calcs!$AC$5:$AG$5, 0))</f>
        <v>9.9199999999999997E-2</v>
      </c>
      <c r="M39" s="126">
        <f>INDEX(Calcs!$AC$5:$AG$51, MATCH('Rotation Assembler'!$A39, Calcs!$AC$5:$AC$51, 0), MATCH('Rotation Assembler'!M$32, Calcs!$AC$5:$AG$5, 0))</f>
        <v>9.9199999999999997E-2</v>
      </c>
      <c r="N39" s="126">
        <f>INDEX(Calcs!$AC$5:$AG$51, MATCH('Rotation Assembler'!$A39, Calcs!$AC$5:$AC$51, 0), MATCH('Rotation Assembler'!N$32, Calcs!$AC$5:$AG$5, 0))</f>
        <v>9.9199999999999997E-2</v>
      </c>
      <c r="O39" s="126">
        <f>INDEX(Calcs!$AC$5:$AG$51, MATCH('Rotation Assembler'!$A39, Calcs!$AC$5:$AC$51, 0), MATCH('Rotation Assembler'!O$32, Calcs!$AC$5:$AG$5, 0))</f>
        <v>9.9199999999999997E-2</v>
      </c>
      <c r="P39" s="126">
        <f>INDEX(Calcs!$AC$5:$AG$51, MATCH('Rotation Assembler'!$A39, Calcs!$AC$5:$AC$51, 0), MATCH('Rotation Assembler'!P$32, Calcs!$AC$5:$AG$5, 0))</f>
        <v>9.9199999999999997E-2</v>
      </c>
      <c r="Q39" s="126">
        <f>INDEX(Calcs!$AC$5:$AG$51, MATCH('Rotation Assembler'!$A39, Calcs!$AC$5:$AC$51, 0), MATCH('Rotation Assembler'!Q$32, Calcs!$AC$5:$AG$5, 0))</f>
        <v>9.9199999999999997E-2</v>
      </c>
      <c r="R39" s="126">
        <f>INDEX(Calcs!$AC$5:$AG$51, MATCH('Rotation Assembler'!$A39, Calcs!$AC$5:$AC$51, 0), MATCH('Rotation Assembler'!R$32, Calcs!$AC$5:$AG$5, 0))</f>
        <v>9.9199999999999997E-2</v>
      </c>
      <c r="S39" s="126">
        <f>INDEX(Calcs!$AC$5:$AG$51, MATCH('Rotation Assembler'!$A39, Calcs!$AC$5:$AC$51, 0), MATCH('Rotation Assembler'!S$32, Calcs!$AC$5:$AG$5, 0))</f>
        <v>9.9199999999999997E-2</v>
      </c>
      <c r="T39" s="126">
        <f>INDEX(Calcs!$AC$5:$AG$51, MATCH('Rotation Assembler'!$A39, Calcs!$AC$5:$AC$51, 0), MATCH('Rotation Assembler'!T$32, Calcs!$AC$5:$AG$5, 0))</f>
        <v>0.71219999999999994</v>
      </c>
      <c r="U39" s="126">
        <f>INDEX(Calcs!$AC$5:$AG$51, MATCH('Rotation Assembler'!$A39, Calcs!$AC$5:$AC$51, 0), MATCH('Rotation Assembler'!U$32, Calcs!$AC$5:$AG$5, 0))</f>
        <v>9.9199999999999997E-2</v>
      </c>
      <c r="V39" s="126">
        <f>INDEX(Calcs!$AC$5:$AG$51, MATCH('Rotation Assembler'!$A39, Calcs!$AC$5:$AC$51, 0), MATCH('Rotation Assembler'!V$32, Calcs!$AC$5:$AG$5, 0))</f>
        <v>9.9199999999999997E-2</v>
      </c>
      <c r="W39" s="126">
        <f>INDEX(Calcs!$AC$5:$AG$51, MATCH('Rotation Assembler'!$A39, Calcs!$AC$5:$AC$51, 0), MATCH('Rotation Assembler'!W$32, Calcs!$AC$5:$AG$5, 0))</f>
        <v>9.9199999999999997E-2</v>
      </c>
      <c r="X39" s="126">
        <f>INDEX(Calcs!$AC$5:$AG$51, MATCH('Rotation Assembler'!$A39, Calcs!$AC$5:$AC$51, 0), MATCH('Rotation Assembler'!X$32, Calcs!$AC$5:$AG$5, 0))</f>
        <v>9.9199999999999997E-2</v>
      </c>
      <c r="Y39" s="126">
        <f>INDEX(Calcs!$AC$5:$AG$51, MATCH('Rotation Assembler'!$A39, Calcs!$AC$5:$AC$51, 0), MATCH('Rotation Assembler'!Y$32, Calcs!$AC$5:$AG$5, 0))</f>
        <v>9.9199999999999997E-2</v>
      </c>
      <c r="Z39" s="126">
        <f>INDEX(Calcs!$AC$5:$AG$51, MATCH('Rotation Assembler'!$A39, Calcs!$AC$5:$AC$51, 0), MATCH('Rotation Assembler'!Z$32, Calcs!$AC$5:$AG$5, 0))</f>
        <v>9.9199999999999997E-2</v>
      </c>
      <c r="AA39" s="126">
        <f>INDEX(Calcs!$AC$5:$AG$51, MATCH('Rotation Assembler'!$A39, Calcs!$AC$5:$AC$51, 0), MATCH('Rotation Assembler'!AA$32, Calcs!$AC$5:$AG$5, 0))</f>
        <v>9.9199999999999997E-2</v>
      </c>
      <c r="AB39" s="126">
        <f>INDEX(Calcs!$AC$5:$AG$51, MATCH('Rotation Assembler'!$A39, Calcs!$AC$5:$AC$51, 0), MATCH('Rotation Assembler'!AB$32, Calcs!$AC$5:$AG$5, 0))</f>
        <v>0.71219999999999994</v>
      </c>
      <c r="AC39" s="126">
        <f>INDEX(Calcs!$AC$5:$AG$51, MATCH('Rotation Assembler'!$A39, Calcs!$AC$5:$AC$51, 0), MATCH('Rotation Assembler'!AC$32, Calcs!$AC$5:$AG$5, 0))</f>
        <v>9.9199999999999997E-2</v>
      </c>
      <c r="AD39" s="126">
        <f>INDEX(Calcs!$AC$5:$AG$51, MATCH('Rotation Assembler'!$A39, Calcs!$AC$5:$AC$51, 0), MATCH('Rotation Assembler'!AD$32, Calcs!$AC$5:$AG$5, 0))</f>
        <v>9.9199999999999997E-2</v>
      </c>
      <c r="AE39" s="126">
        <f>INDEX(Calcs!$AC$5:$AG$51, MATCH('Rotation Assembler'!$A39, Calcs!$AC$5:$AC$51, 0), MATCH('Rotation Assembler'!AE$32, Calcs!$AC$5:$AG$5, 0))</f>
        <v>9.9199999999999997E-2</v>
      </c>
      <c r="AF39" s="126">
        <f>INDEX(Calcs!$AC$5:$AG$51, MATCH('Rotation Assembler'!$A39, Calcs!$AC$5:$AC$51, 0), MATCH('Rotation Assembler'!AF$32, Calcs!$AC$5:$AG$5, 0))</f>
        <v>9.9199999999999997E-2</v>
      </c>
      <c r="AG39" s="126">
        <f>INDEX(Calcs!$AC$5:$AG$51, MATCH('Rotation Assembler'!$A39, Calcs!$AC$5:$AC$51, 0), MATCH('Rotation Assembler'!AG$32, Calcs!$AC$5:$AG$5, 0))</f>
        <v>9.9199999999999997E-2</v>
      </c>
      <c r="AH39" s="126">
        <f>INDEX(Calcs!$AC$5:$AG$51, MATCH('Rotation Assembler'!$A39, Calcs!$AC$5:$AC$51, 0), MATCH('Rotation Assembler'!AH$32, Calcs!$AC$5:$AG$5, 0))</f>
        <v>9.9199999999999997E-2</v>
      </c>
      <c r="AI39" s="126">
        <f>INDEX(Calcs!$AC$5:$AG$51, MATCH('Rotation Assembler'!$A39, Calcs!$AC$5:$AC$51, 0), MATCH('Rotation Assembler'!AI$32, Calcs!$AC$5:$AG$5, 0))</f>
        <v>9.9199999999999997E-2</v>
      </c>
      <c r="AJ39" s="126" t="e">
        <f>INDEX(Calcs!$AC$5:$AG$51, MATCH('Rotation Assembler'!$A39, Calcs!$AC$5:$AC$51, 0), MATCH('Rotation Assembler'!AJ$32, Calcs!$AC$5:$AG$5, 0))</f>
        <v>#N/A</v>
      </c>
      <c r="AK39" s="126" t="e">
        <f>INDEX(Calcs!$AC$5:$AG$51, MATCH('Rotation Assembler'!$A39, Calcs!$AC$5:$AC$51, 0), MATCH('Rotation Assembler'!AK$32, Calcs!$AC$5:$AG$5, 0))</f>
        <v>#N/A</v>
      </c>
      <c r="AL39" s="126" t="e">
        <f>INDEX(Calcs!$AC$5:$AG$51, MATCH('Rotation Assembler'!$A39, Calcs!$AC$5:$AC$51, 0), MATCH('Rotation Assembler'!AL$32, Calcs!$AC$5:$AG$5, 0))</f>
        <v>#N/A</v>
      </c>
      <c r="AM39" s="126" t="e">
        <f>INDEX(Calcs!$AC$5:$AG$51, MATCH('Rotation Assembler'!$A39, Calcs!$AC$5:$AC$51, 0), MATCH('Rotation Assembler'!AM$32, Calcs!$AC$5:$AG$5, 0))</f>
        <v>#N/A</v>
      </c>
      <c r="AN39" s="126" t="e">
        <f>INDEX(Calcs!$AC$5:$AG$51, MATCH('Rotation Assembler'!$A39, Calcs!$AC$5:$AC$51, 0), MATCH('Rotation Assembler'!AN$32, Calcs!$AC$5:$AG$5, 0))</f>
        <v>#N/A</v>
      </c>
      <c r="AO39" s="126" t="e">
        <f>INDEX(Calcs!$AC$5:$AG$51, MATCH('Rotation Assembler'!$A39, Calcs!$AC$5:$AC$51, 0), MATCH('Rotation Assembler'!AO$32, Calcs!$AC$5:$AG$5, 0))</f>
        <v>#N/A</v>
      </c>
      <c r="AP39" s="126" t="e">
        <f>INDEX(Calcs!$AC$5:$AG$51, MATCH('Rotation Assembler'!$A39, Calcs!$AC$5:$AC$51, 0), MATCH('Rotation Assembler'!AP$32, Calcs!$AC$5:$AG$5, 0))</f>
        <v>#N/A</v>
      </c>
      <c r="AQ39" s="126" t="e">
        <f>INDEX(Calcs!$AC$5:$AG$51, MATCH('Rotation Assembler'!$A39, Calcs!$AC$5:$AC$51, 0), MATCH('Rotation Assembler'!AQ$32, Calcs!$AC$5:$AG$5, 0))</f>
        <v>#N/A</v>
      </c>
      <c r="AR39" s="126" t="e">
        <f>INDEX(Calcs!$AC$5:$AG$51, MATCH('Rotation Assembler'!$A39, Calcs!$AC$5:$AC$51, 0), MATCH('Rotation Assembler'!AR$32, Calcs!$AC$5:$AG$5, 0))</f>
        <v>#N/A</v>
      </c>
      <c r="AS39" s="126" t="e">
        <f>INDEX(Calcs!$AC$5:$AG$51, MATCH('Rotation Assembler'!$A39, Calcs!$AC$5:$AC$51, 0), MATCH('Rotation Assembler'!AS$32, Calcs!$AC$5:$AG$5, 0))</f>
        <v>#N/A</v>
      </c>
      <c r="AT39" s="126" t="e">
        <f>INDEX(Calcs!$AC$5:$AG$51, MATCH('Rotation Assembler'!$A39, Calcs!$AC$5:$AC$51, 0), MATCH('Rotation Assembler'!AT$32, Calcs!$AC$5:$AG$5, 0))</f>
        <v>#N/A</v>
      </c>
      <c r="AU39" s="126" t="e">
        <f>INDEX(Calcs!$AC$5:$AG$51, MATCH('Rotation Assembler'!$A39, Calcs!$AC$5:$AC$51, 0), MATCH('Rotation Assembler'!AU$32, Calcs!$AC$5:$AG$5, 0))</f>
        <v>#N/A</v>
      </c>
      <c r="AV39" s="126" t="e">
        <f>INDEX(Calcs!$AC$5:$AG$51, MATCH('Rotation Assembler'!$A39, Calcs!$AC$5:$AC$51, 0), MATCH('Rotation Assembler'!AV$32, Calcs!$AC$5:$AG$5, 0))</f>
        <v>#N/A</v>
      </c>
      <c r="AW39" s="126" t="e">
        <f>INDEX(Calcs!$AC$5:$AG$51, MATCH('Rotation Assembler'!$A39, Calcs!$AC$5:$AC$51, 0), MATCH('Rotation Assembler'!AW$32, Calcs!$AC$5:$AG$5, 0))</f>
        <v>#N/A</v>
      </c>
      <c r="AX39" s="126" t="e">
        <f>INDEX(Calcs!$AC$5:$AG$51, MATCH('Rotation Assembler'!$A39, Calcs!$AC$5:$AC$51, 0), MATCH('Rotation Assembler'!AX$32, Calcs!$AC$5:$AG$5, 0))</f>
        <v>#N/A</v>
      </c>
      <c r="AY39" s="126" t="e">
        <f>INDEX(Calcs!$AC$5:$AG$51, MATCH('Rotation Assembler'!$A39, Calcs!$AC$5:$AC$51, 0), MATCH('Rotation Assembler'!AY$32, Calcs!$AC$5:$AG$5, 0))</f>
        <v>#N/A</v>
      </c>
      <c r="AZ39" s="126" t="e">
        <f>INDEX(Calcs!$AC$5:$AG$51, MATCH('Rotation Assembler'!$A39, Calcs!$AC$5:$AC$51, 0), MATCH('Rotation Assembler'!AZ$32, Calcs!$AC$5:$AG$5, 0))</f>
        <v>#N/A</v>
      </c>
      <c r="BA39" s="126" t="e">
        <f>INDEX(Calcs!$AC$5:$AG$51, MATCH('Rotation Assembler'!$A39, Calcs!$AC$5:$AC$51, 0), MATCH('Rotation Assembler'!BA$32, Calcs!$AC$5:$AG$5, 0))</f>
        <v>#N/A</v>
      </c>
      <c r="BB39" s="126" t="e">
        <f>INDEX(Calcs!$AC$5:$AG$51, MATCH('Rotation Assembler'!$A39, Calcs!$AC$5:$AC$51, 0), MATCH('Rotation Assembler'!BB$32, Calcs!$AC$5:$AG$5, 0))</f>
        <v>#N/A</v>
      </c>
      <c r="BC39" s="126" t="e">
        <f>INDEX(Calcs!$AC$5:$AG$51, MATCH('Rotation Assembler'!$A39, Calcs!$AC$5:$AC$51, 0), MATCH('Rotation Assembler'!BC$32, Calcs!$AC$5:$AG$5, 0))</f>
        <v>#N/A</v>
      </c>
      <c r="BD39" s="126" t="e">
        <f>INDEX(Calcs!$AC$5:$AG$51, MATCH('Rotation Assembler'!$A39, Calcs!$AC$5:$AC$51, 0), MATCH('Rotation Assembler'!BD$32, Calcs!$AC$5:$AG$5, 0))</f>
        <v>#N/A</v>
      </c>
      <c r="BE39" s="126" t="e">
        <f>INDEX(Calcs!$AC$5:$AG$51, MATCH('Rotation Assembler'!$A39, Calcs!$AC$5:$AC$51, 0), MATCH('Rotation Assembler'!BE$32, Calcs!$AC$5:$AG$5, 0))</f>
        <v>#N/A</v>
      </c>
      <c r="BF39" s="126" t="e">
        <f>INDEX(Calcs!$AC$5:$AG$51, MATCH('Rotation Assembler'!$A39, Calcs!$AC$5:$AC$51, 0), MATCH('Rotation Assembler'!BF$32, Calcs!$AC$5:$AG$5, 0))</f>
        <v>#N/A</v>
      </c>
      <c r="BG39" s="126" t="e">
        <f>INDEX(Calcs!$AC$5:$AG$51, MATCH('Rotation Assembler'!$A39, Calcs!$AC$5:$AC$51, 0), MATCH('Rotation Assembler'!BG$32, Calcs!$AC$5:$AG$5, 0))</f>
        <v>#N/A</v>
      </c>
      <c r="BH39" s="126" t="e">
        <f>INDEX(Calcs!$AC$5:$AG$51, MATCH('Rotation Assembler'!$A39, Calcs!$AC$5:$AC$51, 0), MATCH('Rotation Assembler'!BH$32, Calcs!$AC$5:$AG$5, 0))</f>
        <v>#N/A</v>
      </c>
      <c r="BI39" s="126"/>
      <c r="BJ39" s="126"/>
      <c r="BK39" s="126"/>
      <c r="BL39" s="126"/>
      <c r="BM39" s="126"/>
      <c r="BN39" s="126"/>
      <c r="BO39" s="126"/>
      <c r="BP39" s="126"/>
      <c r="BQ39" s="126"/>
      <c r="BR39" s="126"/>
      <c r="BS39" s="126"/>
      <c r="BT39" s="126"/>
      <c r="BU39" s="126"/>
      <c r="BV39" s="126"/>
      <c r="BW39" s="126"/>
      <c r="BX39" s="126"/>
      <c r="BY39" s="126"/>
      <c r="BZ39" s="126"/>
      <c r="CA39" s="126"/>
      <c r="CB39" s="126"/>
      <c r="CC39" s="126"/>
      <c r="CD39" s="126"/>
      <c r="CE39" s="126"/>
      <c r="CF39" s="126"/>
      <c r="CG39" s="126"/>
      <c r="CH39" s="126"/>
      <c r="CI39" s="126"/>
      <c r="CJ39" s="126"/>
      <c r="CK39" s="126"/>
      <c r="CL39" s="126"/>
      <c r="CM39" s="126"/>
      <c r="CN39" s="126"/>
      <c r="CO39" s="126"/>
      <c r="CP39" s="126"/>
      <c r="CQ39" s="126"/>
      <c r="CR39" s="126"/>
      <c r="CS39" s="126"/>
      <c r="CT39" s="126"/>
      <c r="CU39" s="126"/>
      <c r="CV39" s="126"/>
      <c r="CW39" s="126"/>
      <c r="CX39" s="126"/>
      <c r="CY39" s="126"/>
      <c r="CZ39" s="126"/>
      <c r="DA39" s="126"/>
      <c r="DB39" s="126"/>
      <c r="DC39" s="126"/>
    </row>
    <row r="40" spans="1:107" hidden="1" outlineLevel="1" x14ac:dyDescent="0.25">
      <c r="A40" s="122" t="s">
        <v>408</v>
      </c>
      <c r="B40" s="126">
        <f ca="1">INDEX(Calcs!$AC$5:$AG$51, MATCH('Rotation Assembler'!$A40, Calcs!$AC$5:$AC$51, 0), MATCH('Rotation Assembler'!B$32, Calcs!$AC$5:$AG$5, 0))</f>
        <v>0.59719999999999995</v>
      </c>
      <c r="C40" s="126">
        <f ca="1">INDEX(Calcs!$AC$5:$AG$51, MATCH('Rotation Assembler'!$A40, Calcs!$AC$5:$AC$51, 0), MATCH('Rotation Assembler'!C$32, Calcs!$AC$5:$AG$5, 0))</f>
        <v>0.70960000000000001</v>
      </c>
      <c r="D40" s="126">
        <f ca="1">INDEX(Calcs!$AC$5:$AG$51, MATCH('Rotation Assembler'!$A40, Calcs!$AC$5:$AC$51, 0), MATCH('Rotation Assembler'!D$32, Calcs!$AC$5:$AG$5, 0))</f>
        <v>0.39859999999999995</v>
      </c>
      <c r="E40" s="126">
        <f ca="1">INDEX(Calcs!$AC$5:$AG$51, MATCH('Rotation Assembler'!$A40, Calcs!$AC$5:$AC$51, 0), MATCH('Rotation Assembler'!E$32, Calcs!$AC$5:$AG$5, 0))</f>
        <v>0.39859999999999995</v>
      </c>
      <c r="F40" s="126">
        <f ca="1">INDEX(Calcs!$AC$5:$AG$51, MATCH('Rotation Assembler'!$A40, Calcs!$AC$5:$AC$51, 0), MATCH('Rotation Assembler'!F$32, Calcs!$AC$5:$AG$5, 0))</f>
        <v>0.39859999999999995</v>
      </c>
      <c r="G40" s="126">
        <f ca="1">INDEX(Calcs!$AC$5:$AG$51, MATCH('Rotation Assembler'!$A40, Calcs!$AC$5:$AC$51, 0), MATCH('Rotation Assembler'!G$32, Calcs!$AC$5:$AG$5, 0))</f>
        <v>0.39859999999999995</v>
      </c>
      <c r="H40" s="126">
        <f ca="1">INDEX(Calcs!$AC$5:$AG$51, MATCH('Rotation Assembler'!$A40, Calcs!$AC$5:$AC$51, 0), MATCH('Rotation Assembler'!H$32, Calcs!$AC$5:$AG$5, 0))</f>
        <v>0.56409999999999993</v>
      </c>
      <c r="I40" s="126">
        <f ca="1">INDEX(Calcs!$AC$5:$AG$51, MATCH('Rotation Assembler'!$A40, Calcs!$AC$5:$AC$51, 0), MATCH('Rotation Assembler'!I$32, Calcs!$AC$5:$AG$5, 0))</f>
        <v>0.39859999999999995</v>
      </c>
      <c r="J40" s="126">
        <f ca="1">INDEX(Calcs!$AC$5:$AG$51, MATCH('Rotation Assembler'!$A40, Calcs!$AC$5:$AC$51, 0), MATCH('Rotation Assembler'!J$32, Calcs!$AC$5:$AG$5, 0))</f>
        <v>0.39859999999999995</v>
      </c>
      <c r="K40" s="126">
        <f ca="1">INDEX(Calcs!$AC$5:$AG$51, MATCH('Rotation Assembler'!$A40, Calcs!$AC$5:$AC$51, 0), MATCH('Rotation Assembler'!K$32, Calcs!$AC$5:$AG$5, 0))</f>
        <v>0.39859999999999995</v>
      </c>
      <c r="L40" s="126">
        <f ca="1">INDEX(Calcs!$AC$5:$AG$51, MATCH('Rotation Assembler'!$A40, Calcs!$AC$5:$AC$51, 0), MATCH('Rotation Assembler'!L$32, Calcs!$AC$5:$AG$5, 0))</f>
        <v>0.39859999999999995</v>
      </c>
      <c r="M40" s="126">
        <f ca="1">INDEX(Calcs!$AC$5:$AG$51, MATCH('Rotation Assembler'!$A40, Calcs!$AC$5:$AC$51, 0), MATCH('Rotation Assembler'!M$32, Calcs!$AC$5:$AG$5, 0))</f>
        <v>0.39859999999999995</v>
      </c>
      <c r="N40" s="126">
        <f ca="1">INDEX(Calcs!$AC$5:$AG$51, MATCH('Rotation Assembler'!$A40, Calcs!$AC$5:$AC$51, 0), MATCH('Rotation Assembler'!N$32, Calcs!$AC$5:$AG$5, 0))</f>
        <v>0.39859999999999995</v>
      </c>
      <c r="O40" s="126">
        <f ca="1">INDEX(Calcs!$AC$5:$AG$51, MATCH('Rotation Assembler'!$A40, Calcs!$AC$5:$AC$51, 0), MATCH('Rotation Assembler'!O$32, Calcs!$AC$5:$AG$5, 0))</f>
        <v>0.56409999999999993</v>
      </c>
      <c r="P40" s="126">
        <f ca="1">INDEX(Calcs!$AC$5:$AG$51, MATCH('Rotation Assembler'!$A40, Calcs!$AC$5:$AC$51, 0), MATCH('Rotation Assembler'!P$32, Calcs!$AC$5:$AG$5, 0))</f>
        <v>0.56409999999999993</v>
      </c>
      <c r="Q40" s="126">
        <f ca="1">INDEX(Calcs!$AC$5:$AG$51, MATCH('Rotation Assembler'!$A40, Calcs!$AC$5:$AC$51, 0), MATCH('Rotation Assembler'!Q$32, Calcs!$AC$5:$AG$5, 0))</f>
        <v>0.56409999999999993</v>
      </c>
      <c r="R40" s="126">
        <f ca="1">INDEX(Calcs!$AC$5:$AG$51, MATCH('Rotation Assembler'!$A40, Calcs!$AC$5:$AC$51, 0), MATCH('Rotation Assembler'!R$32, Calcs!$AC$5:$AG$5, 0))</f>
        <v>0.56409999999999993</v>
      </c>
      <c r="S40" s="126">
        <f ca="1">INDEX(Calcs!$AC$5:$AG$51, MATCH('Rotation Assembler'!$A40, Calcs!$AC$5:$AC$51, 0), MATCH('Rotation Assembler'!S$32, Calcs!$AC$5:$AG$5, 0))</f>
        <v>0.59719999999999995</v>
      </c>
      <c r="T40" s="126">
        <f ca="1">INDEX(Calcs!$AC$5:$AG$51, MATCH('Rotation Assembler'!$A40, Calcs!$AC$5:$AC$51, 0), MATCH('Rotation Assembler'!T$32, Calcs!$AC$5:$AG$5, 0))</f>
        <v>0.70960000000000001</v>
      </c>
      <c r="U40" s="126">
        <f ca="1">INDEX(Calcs!$AC$5:$AG$51, MATCH('Rotation Assembler'!$A40, Calcs!$AC$5:$AC$51, 0), MATCH('Rotation Assembler'!U$32, Calcs!$AC$5:$AG$5, 0))</f>
        <v>0.59719999999999995</v>
      </c>
      <c r="V40" s="126">
        <f ca="1">INDEX(Calcs!$AC$5:$AG$51, MATCH('Rotation Assembler'!$A40, Calcs!$AC$5:$AC$51, 0), MATCH('Rotation Assembler'!V$32, Calcs!$AC$5:$AG$5, 0))</f>
        <v>0.59719999999999995</v>
      </c>
      <c r="W40" s="126">
        <f ca="1">INDEX(Calcs!$AC$5:$AG$51, MATCH('Rotation Assembler'!$A40, Calcs!$AC$5:$AC$51, 0), MATCH('Rotation Assembler'!W$32, Calcs!$AC$5:$AG$5, 0))</f>
        <v>0.59719999999999995</v>
      </c>
      <c r="X40" s="126">
        <f ca="1">INDEX(Calcs!$AC$5:$AG$51, MATCH('Rotation Assembler'!$A40, Calcs!$AC$5:$AC$51, 0), MATCH('Rotation Assembler'!X$32, Calcs!$AC$5:$AG$5, 0))</f>
        <v>0.59719999999999995</v>
      </c>
      <c r="Y40" s="126">
        <f ca="1">INDEX(Calcs!$AC$5:$AG$51, MATCH('Rotation Assembler'!$A40, Calcs!$AC$5:$AC$51, 0), MATCH('Rotation Assembler'!Y$32, Calcs!$AC$5:$AG$5, 0))</f>
        <v>0.59719999999999995</v>
      </c>
      <c r="Z40" s="126">
        <f ca="1">INDEX(Calcs!$AC$5:$AG$51, MATCH('Rotation Assembler'!$A40, Calcs!$AC$5:$AC$51, 0), MATCH('Rotation Assembler'!Z$32, Calcs!$AC$5:$AG$5, 0))</f>
        <v>0.59719999999999995</v>
      </c>
      <c r="AA40" s="126">
        <f ca="1">INDEX(Calcs!$AC$5:$AG$51, MATCH('Rotation Assembler'!$A40, Calcs!$AC$5:$AC$51, 0), MATCH('Rotation Assembler'!AA$32, Calcs!$AC$5:$AG$5, 0))</f>
        <v>0.59719999999999995</v>
      </c>
      <c r="AB40" s="126">
        <f ca="1">INDEX(Calcs!$AC$5:$AG$51, MATCH('Rotation Assembler'!$A40, Calcs!$AC$5:$AC$51, 0), MATCH('Rotation Assembler'!AB$32, Calcs!$AC$5:$AG$5, 0))</f>
        <v>0.70960000000000001</v>
      </c>
      <c r="AC40" s="126">
        <f ca="1">INDEX(Calcs!$AC$5:$AG$51, MATCH('Rotation Assembler'!$A40, Calcs!$AC$5:$AC$51, 0), MATCH('Rotation Assembler'!AC$32, Calcs!$AC$5:$AG$5, 0))</f>
        <v>0.39859999999999995</v>
      </c>
      <c r="AD40" s="126">
        <f ca="1">INDEX(Calcs!$AC$5:$AG$51, MATCH('Rotation Assembler'!$A40, Calcs!$AC$5:$AC$51, 0), MATCH('Rotation Assembler'!AD$32, Calcs!$AC$5:$AG$5, 0))</f>
        <v>0.39859999999999995</v>
      </c>
      <c r="AE40" s="126">
        <f ca="1">INDEX(Calcs!$AC$5:$AG$51, MATCH('Rotation Assembler'!$A40, Calcs!$AC$5:$AC$51, 0), MATCH('Rotation Assembler'!AE$32, Calcs!$AC$5:$AG$5, 0))</f>
        <v>0.56409999999999993</v>
      </c>
      <c r="AF40" s="126">
        <f ca="1">INDEX(Calcs!$AC$5:$AG$51, MATCH('Rotation Assembler'!$A40, Calcs!$AC$5:$AC$51, 0), MATCH('Rotation Assembler'!AF$32, Calcs!$AC$5:$AG$5, 0))</f>
        <v>0.59719999999999995</v>
      </c>
      <c r="AG40" s="126">
        <f ca="1">INDEX(Calcs!$AC$5:$AG$51, MATCH('Rotation Assembler'!$A40, Calcs!$AC$5:$AC$51, 0), MATCH('Rotation Assembler'!AG$32, Calcs!$AC$5:$AG$5, 0))</f>
        <v>0.59719999999999995</v>
      </c>
      <c r="AH40" s="126">
        <f ca="1">INDEX(Calcs!$AC$5:$AG$51, MATCH('Rotation Assembler'!$A40, Calcs!$AC$5:$AC$51, 0), MATCH('Rotation Assembler'!AH$32, Calcs!$AC$5:$AG$5, 0))</f>
        <v>0.59719999999999995</v>
      </c>
      <c r="AI40" s="126">
        <f ca="1">INDEX(Calcs!$AC$5:$AG$51, MATCH('Rotation Assembler'!$A40, Calcs!$AC$5:$AC$51, 0), MATCH('Rotation Assembler'!AI$32, Calcs!$AC$5:$AG$5, 0))</f>
        <v>0.59719999999999995</v>
      </c>
      <c r="AJ40" s="126" t="e">
        <f>INDEX(Calcs!$AC$5:$AG$51, MATCH('Rotation Assembler'!$A40, Calcs!$AC$5:$AC$51, 0), MATCH('Rotation Assembler'!AJ$32, Calcs!$AC$5:$AG$5, 0))</f>
        <v>#N/A</v>
      </c>
      <c r="AK40" s="126" t="e">
        <f>INDEX(Calcs!$AC$5:$AG$51, MATCH('Rotation Assembler'!$A40, Calcs!$AC$5:$AC$51, 0), MATCH('Rotation Assembler'!AK$32, Calcs!$AC$5:$AG$5, 0))</f>
        <v>#N/A</v>
      </c>
      <c r="AL40" s="126" t="e">
        <f>INDEX(Calcs!$AC$5:$AG$51, MATCH('Rotation Assembler'!$A40, Calcs!$AC$5:$AC$51, 0), MATCH('Rotation Assembler'!AL$32, Calcs!$AC$5:$AG$5, 0))</f>
        <v>#N/A</v>
      </c>
      <c r="AM40" s="126" t="e">
        <f>INDEX(Calcs!$AC$5:$AG$51, MATCH('Rotation Assembler'!$A40, Calcs!$AC$5:$AC$51, 0), MATCH('Rotation Assembler'!AM$32, Calcs!$AC$5:$AG$5, 0))</f>
        <v>#N/A</v>
      </c>
      <c r="AN40" s="126" t="e">
        <f>INDEX(Calcs!$AC$5:$AG$51, MATCH('Rotation Assembler'!$A40, Calcs!$AC$5:$AC$51, 0), MATCH('Rotation Assembler'!AN$32, Calcs!$AC$5:$AG$5, 0))</f>
        <v>#N/A</v>
      </c>
      <c r="AO40" s="126" t="e">
        <f>INDEX(Calcs!$AC$5:$AG$51, MATCH('Rotation Assembler'!$A40, Calcs!$AC$5:$AC$51, 0), MATCH('Rotation Assembler'!AO$32, Calcs!$AC$5:$AG$5, 0))</f>
        <v>#N/A</v>
      </c>
      <c r="AP40" s="126" t="e">
        <f>INDEX(Calcs!$AC$5:$AG$51, MATCH('Rotation Assembler'!$A40, Calcs!$AC$5:$AC$51, 0), MATCH('Rotation Assembler'!AP$32, Calcs!$AC$5:$AG$5, 0))</f>
        <v>#N/A</v>
      </c>
      <c r="AQ40" s="126" t="e">
        <f>INDEX(Calcs!$AC$5:$AG$51, MATCH('Rotation Assembler'!$A40, Calcs!$AC$5:$AC$51, 0), MATCH('Rotation Assembler'!AQ$32, Calcs!$AC$5:$AG$5, 0))</f>
        <v>#N/A</v>
      </c>
      <c r="AR40" s="126" t="e">
        <f>INDEX(Calcs!$AC$5:$AG$51, MATCH('Rotation Assembler'!$A40, Calcs!$AC$5:$AC$51, 0), MATCH('Rotation Assembler'!AR$32, Calcs!$AC$5:$AG$5, 0))</f>
        <v>#N/A</v>
      </c>
      <c r="AS40" s="126" t="e">
        <f>INDEX(Calcs!$AC$5:$AG$51, MATCH('Rotation Assembler'!$A40, Calcs!$AC$5:$AC$51, 0), MATCH('Rotation Assembler'!AS$32, Calcs!$AC$5:$AG$5, 0))</f>
        <v>#N/A</v>
      </c>
      <c r="AT40" s="126" t="e">
        <f>INDEX(Calcs!$AC$5:$AG$51, MATCH('Rotation Assembler'!$A40, Calcs!$AC$5:$AC$51, 0), MATCH('Rotation Assembler'!AT$32, Calcs!$AC$5:$AG$5, 0))</f>
        <v>#N/A</v>
      </c>
      <c r="AU40" s="126" t="e">
        <f>INDEX(Calcs!$AC$5:$AG$51, MATCH('Rotation Assembler'!$A40, Calcs!$AC$5:$AC$51, 0), MATCH('Rotation Assembler'!AU$32, Calcs!$AC$5:$AG$5, 0))</f>
        <v>#N/A</v>
      </c>
      <c r="AV40" s="126" t="e">
        <f>INDEX(Calcs!$AC$5:$AG$51, MATCH('Rotation Assembler'!$A40, Calcs!$AC$5:$AC$51, 0), MATCH('Rotation Assembler'!AV$32, Calcs!$AC$5:$AG$5, 0))</f>
        <v>#N/A</v>
      </c>
      <c r="AW40" s="126" t="e">
        <f>INDEX(Calcs!$AC$5:$AG$51, MATCH('Rotation Assembler'!$A40, Calcs!$AC$5:$AC$51, 0), MATCH('Rotation Assembler'!AW$32, Calcs!$AC$5:$AG$5, 0))</f>
        <v>#N/A</v>
      </c>
      <c r="AX40" s="126" t="e">
        <f>INDEX(Calcs!$AC$5:$AG$51, MATCH('Rotation Assembler'!$A40, Calcs!$AC$5:$AC$51, 0), MATCH('Rotation Assembler'!AX$32, Calcs!$AC$5:$AG$5, 0))</f>
        <v>#N/A</v>
      </c>
      <c r="AY40" s="126" t="e">
        <f>INDEX(Calcs!$AC$5:$AG$51, MATCH('Rotation Assembler'!$A40, Calcs!$AC$5:$AC$51, 0), MATCH('Rotation Assembler'!AY$32, Calcs!$AC$5:$AG$5, 0))</f>
        <v>#N/A</v>
      </c>
      <c r="AZ40" s="126" t="e">
        <f>INDEX(Calcs!$AC$5:$AG$51, MATCH('Rotation Assembler'!$A40, Calcs!$AC$5:$AC$51, 0), MATCH('Rotation Assembler'!AZ$32, Calcs!$AC$5:$AG$5, 0))</f>
        <v>#N/A</v>
      </c>
      <c r="BA40" s="126" t="e">
        <f>INDEX(Calcs!$AC$5:$AG$51, MATCH('Rotation Assembler'!$A40, Calcs!$AC$5:$AC$51, 0), MATCH('Rotation Assembler'!BA$32, Calcs!$AC$5:$AG$5, 0))</f>
        <v>#N/A</v>
      </c>
      <c r="BB40" s="126" t="e">
        <f>INDEX(Calcs!$AC$5:$AG$51, MATCH('Rotation Assembler'!$A40, Calcs!$AC$5:$AC$51, 0), MATCH('Rotation Assembler'!BB$32, Calcs!$AC$5:$AG$5, 0))</f>
        <v>#N/A</v>
      </c>
      <c r="BC40" s="126" t="e">
        <f>INDEX(Calcs!$AC$5:$AG$51, MATCH('Rotation Assembler'!$A40, Calcs!$AC$5:$AC$51, 0), MATCH('Rotation Assembler'!BC$32, Calcs!$AC$5:$AG$5, 0))</f>
        <v>#N/A</v>
      </c>
      <c r="BD40" s="126" t="e">
        <f>INDEX(Calcs!$AC$5:$AG$51, MATCH('Rotation Assembler'!$A40, Calcs!$AC$5:$AC$51, 0), MATCH('Rotation Assembler'!BD$32, Calcs!$AC$5:$AG$5, 0))</f>
        <v>#N/A</v>
      </c>
      <c r="BE40" s="126" t="e">
        <f>INDEX(Calcs!$AC$5:$AG$51, MATCH('Rotation Assembler'!$A40, Calcs!$AC$5:$AC$51, 0), MATCH('Rotation Assembler'!BE$32, Calcs!$AC$5:$AG$5, 0))</f>
        <v>#N/A</v>
      </c>
      <c r="BF40" s="126" t="e">
        <f>INDEX(Calcs!$AC$5:$AG$51, MATCH('Rotation Assembler'!$A40, Calcs!$AC$5:$AC$51, 0), MATCH('Rotation Assembler'!BF$32, Calcs!$AC$5:$AG$5, 0))</f>
        <v>#N/A</v>
      </c>
      <c r="BG40" s="126" t="e">
        <f>INDEX(Calcs!$AC$5:$AG$51, MATCH('Rotation Assembler'!$A40, Calcs!$AC$5:$AC$51, 0), MATCH('Rotation Assembler'!BG$32, Calcs!$AC$5:$AG$5, 0))</f>
        <v>#N/A</v>
      </c>
      <c r="BH40" s="126" t="e">
        <f>INDEX(Calcs!$AC$5:$AG$51, MATCH('Rotation Assembler'!$A40, Calcs!$AC$5:$AC$51, 0), MATCH('Rotation Assembler'!BH$32, Calcs!$AC$5:$AG$5, 0))</f>
        <v>#N/A</v>
      </c>
      <c r="BI40" s="126"/>
      <c r="BJ40" s="126"/>
      <c r="BK40" s="126"/>
      <c r="BL40" s="126"/>
      <c r="BM40" s="126"/>
      <c r="BN40" s="126"/>
      <c r="BO40" s="126"/>
      <c r="BP40" s="126"/>
      <c r="BQ40" s="126"/>
      <c r="BR40" s="126"/>
      <c r="BS40" s="126"/>
      <c r="BT40" s="126"/>
      <c r="BU40" s="126"/>
      <c r="BV40" s="126"/>
      <c r="BW40" s="126"/>
      <c r="BX40" s="126"/>
      <c r="BY40" s="126"/>
      <c r="BZ40" s="126"/>
      <c r="CA40" s="126"/>
      <c r="CB40" s="126"/>
      <c r="CC40" s="126"/>
      <c r="CD40" s="126"/>
      <c r="CE40" s="126"/>
      <c r="CF40" s="126"/>
      <c r="CG40" s="126"/>
      <c r="CH40" s="126"/>
      <c r="CI40" s="126"/>
      <c r="CJ40" s="126"/>
      <c r="CK40" s="126"/>
      <c r="CL40" s="126"/>
      <c r="CM40" s="126"/>
      <c r="CN40" s="126"/>
      <c r="CO40" s="126"/>
      <c r="CP40" s="126"/>
      <c r="CQ40" s="126"/>
      <c r="CR40" s="126"/>
      <c r="CS40" s="126"/>
      <c r="CT40" s="126"/>
      <c r="CU40" s="126"/>
      <c r="CV40" s="126"/>
      <c r="CW40" s="126"/>
      <c r="CX40" s="126"/>
      <c r="CY40" s="126"/>
      <c r="CZ40" s="126"/>
      <c r="DA40" s="126"/>
      <c r="DB40" s="126"/>
      <c r="DC40" s="126"/>
    </row>
    <row r="41" spans="1:107" hidden="1" outlineLevel="1" x14ac:dyDescent="0.25">
      <c r="A41" s="122" t="s">
        <v>409</v>
      </c>
      <c r="B41" s="126">
        <f ca="1">INDEX(Calcs!$AC$5:$AG$51, MATCH('Rotation Assembler'!$A41, Calcs!$AC$5:$AC$51, 0), MATCH('Rotation Assembler'!B$32, Calcs!$AC$5:$AG$5, 0))</f>
        <v>2.1680000000000001</v>
      </c>
      <c r="C41" s="126">
        <f ca="1">INDEX(Calcs!$AC$5:$AG$51, MATCH('Rotation Assembler'!$A41, Calcs!$AC$5:$AC$51, 0), MATCH('Rotation Assembler'!C$32, Calcs!$AC$5:$AG$5, 0))</f>
        <v>1.2944</v>
      </c>
      <c r="D41" s="126">
        <f ca="1">INDEX(Calcs!$AC$5:$AG$51, MATCH('Rotation Assembler'!$A41, Calcs!$AC$5:$AC$51, 0), MATCH('Rotation Assembler'!D$32, Calcs!$AC$5:$AG$5, 0))</f>
        <v>0.76479999999999992</v>
      </c>
      <c r="E41" s="126">
        <f ca="1">INDEX(Calcs!$AC$5:$AG$51, MATCH('Rotation Assembler'!$A41, Calcs!$AC$5:$AC$51, 0), MATCH('Rotation Assembler'!E$32, Calcs!$AC$5:$AG$5, 0))</f>
        <v>0.76479999999999992</v>
      </c>
      <c r="F41" s="126">
        <f ca="1">INDEX(Calcs!$AC$5:$AG$51, MATCH('Rotation Assembler'!$A41, Calcs!$AC$5:$AC$51, 0), MATCH('Rotation Assembler'!F$32, Calcs!$AC$5:$AG$5, 0))</f>
        <v>0.76479999999999992</v>
      </c>
      <c r="G41" s="126">
        <f ca="1">INDEX(Calcs!$AC$5:$AG$51, MATCH('Rotation Assembler'!$A41, Calcs!$AC$5:$AC$51, 0), MATCH('Rotation Assembler'!G$32, Calcs!$AC$5:$AG$5, 0))</f>
        <v>0.76479999999999992</v>
      </c>
      <c r="H41" s="126">
        <f ca="1">INDEX(Calcs!$AC$5:$AG$51, MATCH('Rotation Assembler'!$A41, Calcs!$AC$5:$AC$51, 0), MATCH('Rotation Assembler'!H$32, Calcs!$AC$5:$AG$5, 0))</f>
        <v>1.0958000000000001</v>
      </c>
      <c r="I41" s="126">
        <f ca="1">INDEX(Calcs!$AC$5:$AG$51, MATCH('Rotation Assembler'!$A41, Calcs!$AC$5:$AC$51, 0), MATCH('Rotation Assembler'!I$32, Calcs!$AC$5:$AG$5, 0))</f>
        <v>0.76479999999999992</v>
      </c>
      <c r="J41" s="126">
        <f ca="1">INDEX(Calcs!$AC$5:$AG$51, MATCH('Rotation Assembler'!$A41, Calcs!$AC$5:$AC$51, 0), MATCH('Rotation Assembler'!J$32, Calcs!$AC$5:$AG$5, 0))</f>
        <v>0.76479999999999992</v>
      </c>
      <c r="K41" s="126">
        <f ca="1">INDEX(Calcs!$AC$5:$AG$51, MATCH('Rotation Assembler'!$A41, Calcs!$AC$5:$AC$51, 0), MATCH('Rotation Assembler'!K$32, Calcs!$AC$5:$AG$5, 0))</f>
        <v>0.76479999999999992</v>
      </c>
      <c r="L41" s="126">
        <f ca="1">INDEX(Calcs!$AC$5:$AG$51, MATCH('Rotation Assembler'!$A41, Calcs!$AC$5:$AC$51, 0), MATCH('Rotation Assembler'!L$32, Calcs!$AC$5:$AG$5, 0))</f>
        <v>0.76479999999999992</v>
      </c>
      <c r="M41" s="126">
        <f ca="1">INDEX(Calcs!$AC$5:$AG$51, MATCH('Rotation Assembler'!$A41, Calcs!$AC$5:$AC$51, 0), MATCH('Rotation Assembler'!M$32, Calcs!$AC$5:$AG$5, 0))</f>
        <v>0.76479999999999992</v>
      </c>
      <c r="N41" s="126">
        <f ca="1">INDEX(Calcs!$AC$5:$AG$51, MATCH('Rotation Assembler'!$A41, Calcs!$AC$5:$AC$51, 0), MATCH('Rotation Assembler'!N$32, Calcs!$AC$5:$AG$5, 0))</f>
        <v>0.76479999999999992</v>
      </c>
      <c r="O41" s="126">
        <f ca="1">INDEX(Calcs!$AC$5:$AG$51, MATCH('Rotation Assembler'!$A41, Calcs!$AC$5:$AC$51, 0), MATCH('Rotation Assembler'!O$32, Calcs!$AC$5:$AG$5, 0))</f>
        <v>1.0958000000000001</v>
      </c>
      <c r="P41" s="126">
        <f ca="1">INDEX(Calcs!$AC$5:$AG$51, MATCH('Rotation Assembler'!$A41, Calcs!$AC$5:$AC$51, 0), MATCH('Rotation Assembler'!P$32, Calcs!$AC$5:$AG$5, 0))</f>
        <v>1.0958000000000001</v>
      </c>
      <c r="Q41" s="126">
        <f ca="1">INDEX(Calcs!$AC$5:$AG$51, MATCH('Rotation Assembler'!$A41, Calcs!$AC$5:$AC$51, 0), MATCH('Rotation Assembler'!Q$32, Calcs!$AC$5:$AG$5, 0))</f>
        <v>1.0958000000000001</v>
      </c>
      <c r="R41" s="126">
        <f ca="1">INDEX(Calcs!$AC$5:$AG$51, MATCH('Rotation Assembler'!$A41, Calcs!$AC$5:$AC$51, 0), MATCH('Rotation Assembler'!R$32, Calcs!$AC$5:$AG$5, 0))</f>
        <v>1.0958000000000001</v>
      </c>
      <c r="S41" s="126">
        <f ca="1">INDEX(Calcs!$AC$5:$AG$51, MATCH('Rotation Assembler'!$A41, Calcs!$AC$5:$AC$51, 0), MATCH('Rotation Assembler'!S$32, Calcs!$AC$5:$AG$5, 0))</f>
        <v>2.1680000000000001</v>
      </c>
      <c r="T41" s="126">
        <f ca="1">INDEX(Calcs!$AC$5:$AG$51, MATCH('Rotation Assembler'!$A41, Calcs!$AC$5:$AC$51, 0), MATCH('Rotation Assembler'!T$32, Calcs!$AC$5:$AG$5, 0))</f>
        <v>1.2944</v>
      </c>
      <c r="U41" s="126">
        <f ca="1">INDEX(Calcs!$AC$5:$AG$51, MATCH('Rotation Assembler'!$A41, Calcs!$AC$5:$AC$51, 0), MATCH('Rotation Assembler'!U$32, Calcs!$AC$5:$AG$5, 0))</f>
        <v>2.1680000000000001</v>
      </c>
      <c r="V41" s="126">
        <f ca="1">INDEX(Calcs!$AC$5:$AG$51, MATCH('Rotation Assembler'!$A41, Calcs!$AC$5:$AC$51, 0), MATCH('Rotation Assembler'!V$32, Calcs!$AC$5:$AG$5, 0))</f>
        <v>2.1680000000000001</v>
      </c>
      <c r="W41" s="126">
        <f ca="1">INDEX(Calcs!$AC$5:$AG$51, MATCH('Rotation Assembler'!$A41, Calcs!$AC$5:$AC$51, 0), MATCH('Rotation Assembler'!W$32, Calcs!$AC$5:$AG$5, 0))</f>
        <v>2.1680000000000001</v>
      </c>
      <c r="X41" s="126">
        <f ca="1">INDEX(Calcs!$AC$5:$AG$51, MATCH('Rotation Assembler'!$A41, Calcs!$AC$5:$AC$51, 0), MATCH('Rotation Assembler'!X$32, Calcs!$AC$5:$AG$5, 0))</f>
        <v>2.1680000000000001</v>
      </c>
      <c r="Y41" s="126">
        <f ca="1">INDEX(Calcs!$AC$5:$AG$51, MATCH('Rotation Assembler'!$A41, Calcs!$AC$5:$AC$51, 0), MATCH('Rotation Assembler'!Y$32, Calcs!$AC$5:$AG$5, 0))</f>
        <v>2.1680000000000001</v>
      </c>
      <c r="Z41" s="126">
        <f ca="1">INDEX(Calcs!$AC$5:$AG$51, MATCH('Rotation Assembler'!$A41, Calcs!$AC$5:$AC$51, 0), MATCH('Rotation Assembler'!Z$32, Calcs!$AC$5:$AG$5, 0))</f>
        <v>2.1680000000000001</v>
      </c>
      <c r="AA41" s="126">
        <f ca="1">INDEX(Calcs!$AC$5:$AG$51, MATCH('Rotation Assembler'!$A41, Calcs!$AC$5:$AC$51, 0), MATCH('Rotation Assembler'!AA$32, Calcs!$AC$5:$AG$5, 0))</f>
        <v>2.1680000000000001</v>
      </c>
      <c r="AB41" s="126">
        <f ca="1">INDEX(Calcs!$AC$5:$AG$51, MATCH('Rotation Assembler'!$A41, Calcs!$AC$5:$AC$51, 0), MATCH('Rotation Assembler'!AB$32, Calcs!$AC$5:$AG$5, 0))</f>
        <v>1.2944</v>
      </c>
      <c r="AC41" s="126">
        <f ca="1">INDEX(Calcs!$AC$5:$AG$51, MATCH('Rotation Assembler'!$A41, Calcs!$AC$5:$AC$51, 0), MATCH('Rotation Assembler'!AC$32, Calcs!$AC$5:$AG$5, 0))</f>
        <v>0.76479999999999992</v>
      </c>
      <c r="AD41" s="126">
        <f ca="1">INDEX(Calcs!$AC$5:$AG$51, MATCH('Rotation Assembler'!$A41, Calcs!$AC$5:$AC$51, 0), MATCH('Rotation Assembler'!AD$32, Calcs!$AC$5:$AG$5, 0))</f>
        <v>0.76479999999999992</v>
      </c>
      <c r="AE41" s="126">
        <f ca="1">INDEX(Calcs!$AC$5:$AG$51, MATCH('Rotation Assembler'!$A41, Calcs!$AC$5:$AC$51, 0), MATCH('Rotation Assembler'!AE$32, Calcs!$AC$5:$AG$5, 0))</f>
        <v>1.0958000000000001</v>
      </c>
      <c r="AF41" s="126">
        <f ca="1">INDEX(Calcs!$AC$5:$AG$51, MATCH('Rotation Assembler'!$A41, Calcs!$AC$5:$AC$51, 0), MATCH('Rotation Assembler'!AF$32, Calcs!$AC$5:$AG$5, 0))</f>
        <v>2.1680000000000001</v>
      </c>
      <c r="AG41" s="126">
        <f ca="1">INDEX(Calcs!$AC$5:$AG$51, MATCH('Rotation Assembler'!$A41, Calcs!$AC$5:$AC$51, 0), MATCH('Rotation Assembler'!AG$32, Calcs!$AC$5:$AG$5, 0))</f>
        <v>2.1680000000000001</v>
      </c>
      <c r="AH41" s="126">
        <f ca="1">INDEX(Calcs!$AC$5:$AG$51, MATCH('Rotation Assembler'!$A41, Calcs!$AC$5:$AC$51, 0), MATCH('Rotation Assembler'!AH$32, Calcs!$AC$5:$AG$5, 0))</f>
        <v>2.1680000000000001</v>
      </c>
      <c r="AI41" s="126">
        <f ca="1">INDEX(Calcs!$AC$5:$AG$51, MATCH('Rotation Assembler'!$A41, Calcs!$AC$5:$AC$51, 0), MATCH('Rotation Assembler'!AI$32, Calcs!$AC$5:$AG$5, 0))</f>
        <v>2.1680000000000001</v>
      </c>
      <c r="AJ41" s="126" t="e">
        <f>INDEX(Calcs!$AC$5:$AG$51, MATCH('Rotation Assembler'!$A41, Calcs!$AC$5:$AC$51, 0), MATCH('Rotation Assembler'!AJ$32, Calcs!$AC$5:$AG$5, 0))</f>
        <v>#N/A</v>
      </c>
      <c r="AK41" s="126" t="e">
        <f>INDEX(Calcs!$AC$5:$AG$51, MATCH('Rotation Assembler'!$A41, Calcs!$AC$5:$AC$51, 0), MATCH('Rotation Assembler'!AK$32, Calcs!$AC$5:$AG$5, 0))</f>
        <v>#N/A</v>
      </c>
      <c r="AL41" s="126" t="e">
        <f>INDEX(Calcs!$AC$5:$AG$51, MATCH('Rotation Assembler'!$A41, Calcs!$AC$5:$AC$51, 0), MATCH('Rotation Assembler'!AL$32, Calcs!$AC$5:$AG$5, 0))</f>
        <v>#N/A</v>
      </c>
      <c r="AM41" s="126" t="e">
        <f>INDEX(Calcs!$AC$5:$AG$51, MATCH('Rotation Assembler'!$A41, Calcs!$AC$5:$AC$51, 0), MATCH('Rotation Assembler'!AM$32, Calcs!$AC$5:$AG$5, 0))</f>
        <v>#N/A</v>
      </c>
      <c r="AN41" s="126" t="e">
        <f>INDEX(Calcs!$AC$5:$AG$51, MATCH('Rotation Assembler'!$A41, Calcs!$AC$5:$AC$51, 0), MATCH('Rotation Assembler'!AN$32, Calcs!$AC$5:$AG$5, 0))</f>
        <v>#N/A</v>
      </c>
      <c r="AO41" s="126" t="e">
        <f>INDEX(Calcs!$AC$5:$AG$51, MATCH('Rotation Assembler'!$A41, Calcs!$AC$5:$AC$51, 0), MATCH('Rotation Assembler'!AO$32, Calcs!$AC$5:$AG$5, 0))</f>
        <v>#N/A</v>
      </c>
      <c r="AP41" s="126" t="e">
        <f>INDEX(Calcs!$AC$5:$AG$51, MATCH('Rotation Assembler'!$A41, Calcs!$AC$5:$AC$51, 0), MATCH('Rotation Assembler'!AP$32, Calcs!$AC$5:$AG$5, 0))</f>
        <v>#N/A</v>
      </c>
      <c r="AQ41" s="126" t="e">
        <f>INDEX(Calcs!$AC$5:$AG$51, MATCH('Rotation Assembler'!$A41, Calcs!$AC$5:$AC$51, 0), MATCH('Rotation Assembler'!AQ$32, Calcs!$AC$5:$AG$5, 0))</f>
        <v>#N/A</v>
      </c>
      <c r="AR41" s="126" t="e">
        <f>INDEX(Calcs!$AC$5:$AG$51, MATCH('Rotation Assembler'!$A41, Calcs!$AC$5:$AC$51, 0), MATCH('Rotation Assembler'!AR$32, Calcs!$AC$5:$AG$5, 0))</f>
        <v>#N/A</v>
      </c>
      <c r="AS41" s="126" t="e">
        <f>INDEX(Calcs!$AC$5:$AG$51, MATCH('Rotation Assembler'!$A41, Calcs!$AC$5:$AC$51, 0), MATCH('Rotation Assembler'!AS$32, Calcs!$AC$5:$AG$5, 0))</f>
        <v>#N/A</v>
      </c>
      <c r="AT41" s="126" t="e">
        <f>INDEX(Calcs!$AC$5:$AG$51, MATCH('Rotation Assembler'!$A41, Calcs!$AC$5:$AC$51, 0), MATCH('Rotation Assembler'!AT$32, Calcs!$AC$5:$AG$5, 0))</f>
        <v>#N/A</v>
      </c>
      <c r="AU41" s="126" t="e">
        <f>INDEX(Calcs!$AC$5:$AG$51, MATCH('Rotation Assembler'!$A41, Calcs!$AC$5:$AC$51, 0), MATCH('Rotation Assembler'!AU$32, Calcs!$AC$5:$AG$5, 0))</f>
        <v>#N/A</v>
      </c>
      <c r="AV41" s="126" t="e">
        <f>INDEX(Calcs!$AC$5:$AG$51, MATCH('Rotation Assembler'!$A41, Calcs!$AC$5:$AC$51, 0), MATCH('Rotation Assembler'!AV$32, Calcs!$AC$5:$AG$5, 0))</f>
        <v>#N/A</v>
      </c>
      <c r="AW41" s="126" t="e">
        <f>INDEX(Calcs!$AC$5:$AG$51, MATCH('Rotation Assembler'!$A41, Calcs!$AC$5:$AC$51, 0), MATCH('Rotation Assembler'!AW$32, Calcs!$AC$5:$AG$5, 0))</f>
        <v>#N/A</v>
      </c>
      <c r="AX41" s="126" t="e">
        <f>INDEX(Calcs!$AC$5:$AG$51, MATCH('Rotation Assembler'!$A41, Calcs!$AC$5:$AC$51, 0), MATCH('Rotation Assembler'!AX$32, Calcs!$AC$5:$AG$5, 0))</f>
        <v>#N/A</v>
      </c>
      <c r="AY41" s="126" t="e">
        <f>INDEX(Calcs!$AC$5:$AG$51, MATCH('Rotation Assembler'!$A41, Calcs!$AC$5:$AC$51, 0), MATCH('Rotation Assembler'!AY$32, Calcs!$AC$5:$AG$5, 0))</f>
        <v>#N/A</v>
      </c>
      <c r="AZ41" s="126" t="e">
        <f>INDEX(Calcs!$AC$5:$AG$51, MATCH('Rotation Assembler'!$A41, Calcs!$AC$5:$AC$51, 0), MATCH('Rotation Assembler'!AZ$32, Calcs!$AC$5:$AG$5, 0))</f>
        <v>#N/A</v>
      </c>
      <c r="BA41" s="126" t="e">
        <f>INDEX(Calcs!$AC$5:$AG$51, MATCH('Rotation Assembler'!$A41, Calcs!$AC$5:$AC$51, 0), MATCH('Rotation Assembler'!BA$32, Calcs!$AC$5:$AG$5, 0))</f>
        <v>#N/A</v>
      </c>
      <c r="BB41" s="126" t="e">
        <f>INDEX(Calcs!$AC$5:$AG$51, MATCH('Rotation Assembler'!$A41, Calcs!$AC$5:$AC$51, 0), MATCH('Rotation Assembler'!BB$32, Calcs!$AC$5:$AG$5, 0))</f>
        <v>#N/A</v>
      </c>
      <c r="BC41" s="126" t="e">
        <f>INDEX(Calcs!$AC$5:$AG$51, MATCH('Rotation Assembler'!$A41, Calcs!$AC$5:$AC$51, 0), MATCH('Rotation Assembler'!BC$32, Calcs!$AC$5:$AG$5, 0))</f>
        <v>#N/A</v>
      </c>
      <c r="BD41" s="126" t="e">
        <f>INDEX(Calcs!$AC$5:$AG$51, MATCH('Rotation Assembler'!$A41, Calcs!$AC$5:$AC$51, 0), MATCH('Rotation Assembler'!BD$32, Calcs!$AC$5:$AG$5, 0))</f>
        <v>#N/A</v>
      </c>
      <c r="BE41" s="126" t="e">
        <f>INDEX(Calcs!$AC$5:$AG$51, MATCH('Rotation Assembler'!$A41, Calcs!$AC$5:$AC$51, 0), MATCH('Rotation Assembler'!BE$32, Calcs!$AC$5:$AG$5, 0))</f>
        <v>#N/A</v>
      </c>
      <c r="BF41" s="126" t="e">
        <f>INDEX(Calcs!$AC$5:$AG$51, MATCH('Rotation Assembler'!$A41, Calcs!$AC$5:$AC$51, 0), MATCH('Rotation Assembler'!BF$32, Calcs!$AC$5:$AG$5, 0))</f>
        <v>#N/A</v>
      </c>
      <c r="BG41" s="126" t="e">
        <f>INDEX(Calcs!$AC$5:$AG$51, MATCH('Rotation Assembler'!$A41, Calcs!$AC$5:$AC$51, 0), MATCH('Rotation Assembler'!BG$32, Calcs!$AC$5:$AG$5, 0))</f>
        <v>#N/A</v>
      </c>
      <c r="BH41" s="126" t="e">
        <f>INDEX(Calcs!$AC$5:$AG$51, MATCH('Rotation Assembler'!$A41, Calcs!$AC$5:$AC$51, 0), MATCH('Rotation Assembler'!BH$32, Calcs!$AC$5:$AG$5, 0))</f>
        <v>#N/A</v>
      </c>
      <c r="BI41" s="126"/>
      <c r="BJ41" s="126"/>
      <c r="BK41" s="126"/>
      <c r="BL41" s="126"/>
      <c r="BM41" s="126"/>
      <c r="BN41" s="126"/>
      <c r="BO41" s="126"/>
      <c r="BP41" s="126"/>
      <c r="BQ41" s="126"/>
      <c r="BR41" s="126"/>
      <c r="BS41" s="126"/>
      <c r="BT41" s="126"/>
      <c r="BU41" s="126"/>
      <c r="BV41" s="126"/>
      <c r="BW41" s="126"/>
      <c r="BX41" s="126"/>
      <c r="BY41" s="126"/>
      <c r="BZ41" s="126"/>
      <c r="CA41" s="126"/>
      <c r="CB41" s="126"/>
      <c r="CC41" s="126"/>
      <c r="CD41" s="126"/>
      <c r="CE41" s="126"/>
      <c r="CF41" s="126"/>
      <c r="CG41" s="126"/>
      <c r="CH41" s="126"/>
      <c r="CI41" s="126"/>
      <c r="CJ41" s="126"/>
      <c r="CK41" s="126"/>
      <c r="CL41" s="126"/>
      <c r="CM41" s="126"/>
      <c r="CN41" s="126"/>
      <c r="CO41" s="126"/>
      <c r="CP41" s="126"/>
      <c r="CQ41" s="126"/>
      <c r="CR41" s="126"/>
      <c r="CS41" s="126"/>
      <c r="CT41" s="126"/>
      <c r="CU41" s="126"/>
      <c r="CV41" s="126"/>
      <c r="CW41" s="126"/>
      <c r="CX41" s="126"/>
      <c r="CY41" s="126"/>
      <c r="CZ41" s="126"/>
      <c r="DA41" s="126"/>
      <c r="DB41" s="126"/>
      <c r="DC41" s="126"/>
    </row>
    <row r="42" spans="1:107" hidden="1" outlineLevel="1" x14ac:dyDescent="0.25">
      <c r="A42" s="122" t="s">
        <v>68</v>
      </c>
      <c r="B42" s="126">
        <f>INDEX(Calcs!$AC$5:$AG$51, MATCH('Rotation Assembler'!$A42, Calcs!$AC$5:$AC$51, 0), MATCH('Rotation Assembler'!B$32, Calcs!$AC$5:$AG$5, 0))</f>
        <v>1.1102000000000001</v>
      </c>
      <c r="C42" s="126">
        <f ca="1">INDEX(Calcs!$AC$5:$AG$51, MATCH('Rotation Assembler'!$A42, Calcs!$AC$5:$AC$51, 0), MATCH('Rotation Assembler'!C$32, Calcs!$AC$5:$AG$5, 0))</f>
        <v>1.7057</v>
      </c>
      <c r="D42" s="126">
        <f ca="1">INDEX(Calcs!$AC$5:$AG$51, MATCH('Rotation Assembler'!$A42, Calcs!$AC$5:$AC$51, 0), MATCH('Rotation Assembler'!D$32, Calcs!$AC$5:$AG$5, 0))</f>
        <v>2.0432000000000001</v>
      </c>
      <c r="E42" s="126">
        <f ca="1">INDEX(Calcs!$AC$5:$AG$51, MATCH('Rotation Assembler'!$A42, Calcs!$AC$5:$AC$51, 0), MATCH('Rotation Assembler'!E$32, Calcs!$AC$5:$AG$5, 0))</f>
        <v>2.0432000000000001</v>
      </c>
      <c r="F42" s="126">
        <f ca="1">INDEX(Calcs!$AC$5:$AG$51, MATCH('Rotation Assembler'!$A42, Calcs!$AC$5:$AC$51, 0), MATCH('Rotation Assembler'!F$32, Calcs!$AC$5:$AG$5, 0))</f>
        <v>2.0432000000000001</v>
      </c>
      <c r="G42" s="126">
        <f ca="1">INDEX(Calcs!$AC$5:$AG$51, MATCH('Rotation Assembler'!$A42, Calcs!$AC$5:$AC$51, 0), MATCH('Rotation Assembler'!G$32, Calcs!$AC$5:$AG$5, 0))</f>
        <v>2.0432000000000001</v>
      </c>
      <c r="H42" s="126">
        <f>INDEX(Calcs!$AC$5:$AG$51, MATCH('Rotation Assembler'!$A42, Calcs!$AC$5:$AC$51, 0), MATCH('Rotation Assembler'!H$32, Calcs!$AC$5:$AG$5, 0))</f>
        <v>1.6366000000000001</v>
      </c>
      <c r="I42" s="126">
        <f ca="1">INDEX(Calcs!$AC$5:$AG$51, MATCH('Rotation Assembler'!$A42, Calcs!$AC$5:$AC$51, 0), MATCH('Rotation Assembler'!I$32, Calcs!$AC$5:$AG$5, 0))</f>
        <v>2.0432000000000001</v>
      </c>
      <c r="J42" s="126">
        <f ca="1">INDEX(Calcs!$AC$5:$AG$51, MATCH('Rotation Assembler'!$A42, Calcs!$AC$5:$AC$51, 0), MATCH('Rotation Assembler'!J$32, Calcs!$AC$5:$AG$5, 0))</f>
        <v>2.0432000000000001</v>
      </c>
      <c r="K42" s="126">
        <f ca="1">INDEX(Calcs!$AC$5:$AG$51, MATCH('Rotation Assembler'!$A42, Calcs!$AC$5:$AC$51, 0), MATCH('Rotation Assembler'!K$32, Calcs!$AC$5:$AG$5, 0))</f>
        <v>2.0432000000000001</v>
      </c>
      <c r="L42" s="126">
        <f ca="1">INDEX(Calcs!$AC$5:$AG$51, MATCH('Rotation Assembler'!$A42, Calcs!$AC$5:$AC$51, 0), MATCH('Rotation Assembler'!L$32, Calcs!$AC$5:$AG$5, 0))</f>
        <v>2.0432000000000001</v>
      </c>
      <c r="M42" s="126">
        <f ca="1">INDEX(Calcs!$AC$5:$AG$51, MATCH('Rotation Assembler'!$A42, Calcs!$AC$5:$AC$51, 0), MATCH('Rotation Assembler'!M$32, Calcs!$AC$5:$AG$5, 0))</f>
        <v>2.0432000000000001</v>
      </c>
      <c r="N42" s="126">
        <f ca="1">INDEX(Calcs!$AC$5:$AG$51, MATCH('Rotation Assembler'!$A42, Calcs!$AC$5:$AC$51, 0), MATCH('Rotation Assembler'!N$32, Calcs!$AC$5:$AG$5, 0))</f>
        <v>2.0432000000000001</v>
      </c>
      <c r="O42" s="126">
        <f>INDEX(Calcs!$AC$5:$AG$51, MATCH('Rotation Assembler'!$A42, Calcs!$AC$5:$AC$51, 0), MATCH('Rotation Assembler'!O$32, Calcs!$AC$5:$AG$5, 0))</f>
        <v>1.6366000000000001</v>
      </c>
      <c r="P42" s="126">
        <f>INDEX(Calcs!$AC$5:$AG$51, MATCH('Rotation Assembler'!$A42, Calcs!$AC$5:$AC$51, 0), MATCH('Rotation Assembler'!P$32, Calcs!$AC$5:$AG$5, 0))</f>
        <v>1.6366000000000001</v>
      </c>
      <c r="Q42" s="126">
        <f>INDEX(Calcs!$AC$5:$AG$51, MATCH('Rotation Assembler'!$A42, Calcs!$AC$5:$AC$51, 0), MATCH('Rotation Assembler'!Q$32, Calcs!$AC$5:$AG$5, 0))</f>
        <v>1.6366000000000001</v>
      </c>
      <c r="R42" s="126">
        <f>INDEX(Calcs!$AC$5:$AG$51, MATCH('Rotation Assembler'!$A42, Calcs!$AC$5:$AC$51, 0), MATCH('Rotation Assembler'!R$32, Calcs!$AC$5:$AG$5, 0))</f>
        <v>1.6366000000000001</v>
      </c>
      <c r="S42" s="126">
        <f>INDEX(Calcs!$AC$5:$AG$51, MATCH('Rotation Assembler'!$A42, Calcs!$AC$5:$AC$51, 0), MATCH('Rotation Assembler'!S$32, Calcs!$AC$5:$AG$5, 0))</f>
        <v>1.1102000000000001</v>
      </c>
      <c r="T42" s="126">
        <f ca="1">INDEX(Calcs!$AC$5:$AG$51, MATCH('Rotation Assembler'!$A42, Calcs!$AC$5:$AC$51, 0), MATCH('Rotation Assembler'!T$32, Calcs!$AC$5:$AG$5, 0))</f>
        <v>1.7057</v>
      </c>
      <c r="U42" s="126">
        <f>INDEX(Calcs!$AC$5:$AG$51, MATCH('Rotation Assembler'!$A42, Calcs!$AC$5:$AC$51, 0), MATCH('Rotation Assembler'!U$32, Calcs!$AC$5:$AG$5, 0))</f>
        <v>1.1102000000000001</v>
      </c>
      <c r="V42" s="126">
        <f>INDEX(Calcs!$AC$5:$AG$51, MATCH('Rotation Assembler'!$A42, Calcs!$AC$5:$AC$51, 0), MATCH('Rotation Assembler'!V$32, Calcs!$AC$5:$AG$5, 0))</f>
        <v>1.1102000000000001</v>
      </c>
      <c r="W42" s="126">
        <f>INDEX(Calcs!$AC$5:$AG$51, MATCH('Rotation Assembler'!$A42, Calcs!$AC$5:$AC$51, 0), MATCH('Rotation Assembler'!W$32, Calcs!$AC$5:$AG$5, 0))</f>
        <v>1.1102000000000001</v>
      </c>
      <c r="X42" s="126">
        <f>INDEX(Calcs!$AC$5:$AG$51, MATCH('Rotation Assembler'!$A42, Calcs!$AC$5:$AC$51, 0), MATCH('Rotation Assembler'!X$32, Calcs!$AC$5:$AG$5, 0))</f>
        <v>1.1102000000000001</v>
      </c>
      <c r="Y42" s="126">
        <f>INDEX(Calcs!$AC$5:$AG$51, MATCH('Rotation Assembler'!$A42, Calcs!$AC$5:$AC$51, 0), MATCH('Rotation Assembler'!Y$32, Calcs!$AC$5:$AG$5, 0))</f>
        <v>1.1102000000000001</v>
      </c>
      <c r="Z42" s="126">
        <f>INDEX(Calcs!$AC$5:$AG$51, MATCH('Rotation Assembler'!$A42, Calcs!$AC$5:$AC$51, 0), MATCH('Rotation Assembler'!Z$32, Calcs!$AC$5:$AG$5, 0))</f>
        <v>1.1102000000000001</v>
      </c>
      <c r="AA42" s="126">
        <f>INDEX(Calcs!$AC$5:$AG$51, MATCH('Rotation Assembler'!$A42, Calcs!$AC$5:$AC$51, 0), MATCH('Rotation Assembler'!AA$32, Calcs!$AC$5:$AG$5, 0))</f>
        <v>1.1102000000000001</v>
      </c>
      <c r="AB42" s="126">
        <f ca="1">INDEX(Calcs!$AC$5:$AG$51, MATCH('Rotation Assembler'!$A42, Calcs!$AC$5:$AC$51, 0), MATCH('Rotation Assembler'!AB$32, Calcs!$AC$5:$AG$5, 0))</f>
        <v>1.7057</v>
      </c>
      <c r="AC42" s="126">
        <f ca="1">INDEX(Calcs!$AC$5:$AG$51, MATCH('Rotation Assembler'!$A42, Calcs!$AC$5:$AC$51, 0), MATCH('Rotation Assembler'!AC$32, Calcs!$AC$5:$AG$5, 0))</f>
        <v>2.0432000000000001</v>
      </c>
      <c r="AD42" s="126">
        <f ca="1">INDEX(Calcs!$AC$5:$AG$51, MATCH('Rotation Assembler'!$A42, Calcs!$AC$5:$AC$51, 0), MATCH('Rotation Assembler'!AD$32, Calcs!$AC$5:$AG$5, 0))</f>
        <v>2.0432000000000001</v>
      </c>
      <c r="AE42" s="126">
        <f>INDEX(Calcs!$AC$5:$AG$51, MATCH('Rotation Assembler'!$A42, Calcs!$AC$5:$AC$51, 0), MATCH('Rotation Assembler'!AE$32, Calcs!$AC$5:$AG$5, 0))</f>
        <v>1.6366000000000001</v>
      </c>
      <c r="AF42" s="126">
        <f>INDEX(Calcs!$AC$5:$AG$51, MATCH('Rotation Assembler'!$A42, Calcs!$AC$5:$AC$51, 0), MATCH('Rotation Assembler'!AF$32, Calcs!$AC$5:$AG$5, 0))</f>
        <v>1.1102000000000001</v>
      </c>
      <c r="AG42" s="126">
        <f>INDEX(Calcs!$AC$5:$AG$51, MATCH('Rotation Assembler'!$A42, Calcs!$AC$5:$AC$51, 0), MATCH('Rotation Assembler'!AG$32, Calcs!$AC$5:$AG$5, 0))</f>
        <v>1.1102000000000001</v>
      </c>
      <c r="AH42" s="126">
        <f>INDEX(Calcs!$AC$5:$AG$51, MATCH('Rotation Assembler'!$A42, Calcs!$AC$5:$AC$51, 0), MATCH('Rotation Assembler'!AH$32, Calcs!$AC$5:$AG$5, 0))</f>
        <v>1.1102000000000001</v>
      </c>
      <c r="AI42" s="126">
        <f>INDEX(Calcs!$AC$5:$AG$51, MATCH('Rotation Assembler'!$A42, Calcs!$AC$5:$AC$51, 0), MATCH('Rotation Assembler'!AI$32, Calcs!$AC$5:$AG$5, 0))</f>
        <v>1.1102000000000001</v>
      </c>
      <c r="AJ42" s="126" t="e">
        <f>INDEX(Calcs!$AC$5:$AG$51, MATCH('Rotation Assembler'!$A42, Calcs!$AC$5:$AC$51, 0), MATCH('Rotation Assembler'!AJ$32, Calcs!$AC$5:$AG$5, 0))</f>
        <v>#N/A</v>
      </c>
      <c r="AK42" s="126" t="e">
        <f>INDEX(Calcs!$AC$5:$AG$51, MATCH('Rotation Assembler'!$A42, Calcs!$AC$5:$AC$51, 0), MATCH('Rotation Assembler'!AK$32, Calcs!$AC$5:$AG$5, 0))</f>
        <v>#N/A</v>
      </c>
      <c r="AL42" s="126" t="e">
        <f>INDEX(Calcs!$AC$5:$AG$51, MATCH('Rotation Assembler'!$A42, Calcs!$AC$5:$AC$51, 0), MATCH('Rotation Assembler'!AL$32, Calcs!$AC$5:$AG$5, 0))</f>
        <v>#N/A</v>
      </c>
      <c r="AM42" s="126" t="e">
        <f>INDEX(Calcs!$AC$5:$AG$51, MATCH('Rotation Assembler'!$A42, Calcs!$AC$5:$AC$51, 0), MATCH('Rotation Assembler'!AM$32, Calcs!$AC$5:$AG$5, 0))</f>
        <v>#N/A</v>
      </c>
      <c r="AN42" s="126" t="e">
        <f>INDEX(Calcs!$AC$5:$AG$51, MATCH('Rotation Assembler'!$A42, Calcs!$AC$5:$AC$51, 0), MATCH('Rotation Assembler'!AN$32, Calcs!$AC$5:$AG$5, 0))</f>
        <v>#N/A</v>
      </c>
      <c r="AO42" s="126" t="e">
        <f>INDEX(Calcs!$AC$5:$AG$51, MATCH('Rotation Assembler'!$A42, Calcs!$AC$5:$AC$51, 0), MATCH('Rotation Assembler'!AO$32, Calcs!$AC$5:$AG$5, 0))</f>
        <v>#N/A</v>
      </c>
      <c r="AP42" s="126" t="e">
        <f>INDEX(Calcs!$AC$5:$AG$51, MATCH('Rotation Assembler'!$A42, Calcs!$AC$5:$AC$51, 0), MATCH('Rotation Assembler'!AP$32, Calcs!$AC$5:$AG$5, 0))</f>
        <v>#N/A</v>
      </c>
      <c r="AQ42" s="126" t="e">
        <f>INDEX(Calcs!$AC$5:$AG$51, MATCH('Rotation Assembler'!$A42, Calcs!$AC$5:$AC$51, 0), MATCH('Rotation Assembler'!AQ$32, Calcs!$AC$5:$AG$5, 0))</f>
        <v>#N/A</v>
      </c>
      <c r="AR42" s="126" t="e">
        <f>INDEX(Calcs!$AC$5:$AG$51, MATCH('Rotation Assembler'!$A42, Calcs!$AC$5:$AC$51, 0), MATCH('Rotation Assembler'!AR$32, Calcs!$AC$5:$AG$5, 0))</f>
        <v>#N/A</v>
      </c>
      <c r="AS42" s="126" t="e">
        <f>INDEX(Calcs!$AC$5:$AG$51, MATCH('Rotation Assembler'!$A42, Calcs!$AC$5:$AC$51, 0), MATCH('Rotation Assembler'!AS$32, Calcs!$AC$5:$AG$5, 0))</f>
        <v>#N/A</v>
      </c>
      <c r="AT42" s="126" t="e">
        <f>INDEX(Calcs!$AC$5:$AG$51, MATCH('Rotation Assembler'!$A42, Calcs!$AC$5:$AC$51, 0), MATCH('Rotation Assembler'!AT$32, Calcs!$AC$5:$AG$5, 0))</f>
        <v>#N/A</v>
      </c>
      <c r="AU42" s="126" t="e">
        <f>INDEX(Calcs!$AC$5:$AG$51, MATCH('Rotation Assembler'!$A42, Calcs!$AC$5:$AC$51, 0), MATCH('Rotation Assembler'!AU$32, Calcs!$AC$5:$AG$5, 0))</f>
        <v>#N/A</v>
      </c>
      <c r="AV42" s="126" t="e">
        <f>INDEX(Calcs!$AC$5:$AG$51, MATCH('Rotation Assembler'!$A42, Calcs!$AC$5:$AC$51, 0), MATCH('Rotation Assembler'!AV$32, Calcs!$AC$5:$AG$5, 0))</f>
        <v>#N/A</v>
      </c>
      <c r="AW42" s="126" t="e">
        <f>INDEX(Calcs!$AC$5:$AG$51, MATCH('Rotation Assembler'!$A42, Calcs!$AC$5:$AC$51, 0), MATCH('Rotation Assembler'!AW$32, Calcs!$AC$5:$AG$5, 0))</f>
        <v>#N/A</v>
      </c>
      <c r="AX42" s="126" t="e">
        <f>INDEX(Calcs!$AC$5:$AG$51, MATCH('Rotation Assembler'!$A42, Calcs!$AC$5:$AC$51, 0), MATCH('Rotation Assembler'!AX$32, Calcs!$AC$5:$AG$5, 0))</f>
        <v>#N/A</v>
      </c>
      <c r="AY42" s="126" t="e">
        <f>INDEX(Calcs!$AC$5:$AG$51, MATCH('Rotation Assembler'!$A42, Calcs!$AC$5:$AC$51, 0), MATCH('Rotation Assembler'!AY$32, Calcs!$AC$5:$AG$5, 0))</f>
        <v>#N/A</v>
      </c>
      <c r="AZ42" s="126" t="e">
        <f>INDEX(Calcs!$AC$5:$AG$51, MATCH('Rotation Assembler'!$A42, Calcs!$AC$5:$AC$51, 0), MATCH('Rotation Assembler'!AZ$32, Calcs!$AC$5:$AG$5, 0))</f>
        <v>#N/A</v>
      </c>
      <c r="BA42" s="126" t="e">
        <f>INDEX(Calcs!$AC$5:$AG$51, MATCH('Rotation Assembler'!$A42, Calcs!$AC$5:$AC$51, 0), MATCH('Rotation Assembler'!BA$32, Calcs!$AC$5:$AG$5, 0))</f>
        <v>#N/A</v>
      </c>
      <c r="BB42" s="126" t="e">
        <f>INDEX(Calcs!$AC$5:$AG$51, MATCH('Rotation Assembler'!$A42, Calcs!$AC$5:$AC$51, 0), MATCH('Rotation Assembler'!BB$32, Calcs!$AC$5:$AG$5, 0))</f>
        <v>#N/A</v>
      </c>
      <c r="BC42" s="126" t="e">
        <f>INDEX(Calcs!$AC$5:$AG$51, MATCH('Rotation Assembler'!$A42, Calcs!$AC$5:$AC$51, 0), MATCH('Rotation Assembler'!BC$32, Calcs!$AC$5:$AG$5, 0))</f>
        <v>#N/A</v>
      </c>
      <c r="BD42" s="126" t="e">
        <f>INDEX(Calcs!$AC$5:$AG$51, MATCH('Rotation Assembler'!$A42, Calcs!$AC$5:$AC$51, 0), MATCH('Rotation Assembler'!BD$32, Calcs!$AC$5:$AG$5, 0))</f>
        <v>#N/A</v>
      </c>
      <c r="BE42" s="126" t="e">
        <f>INDEX(Calcs!$AC$5:$AG$51, MATCH('Rotation Assembler'!$A42, Calcs!$AC$5:$AC$51, 0), MATCH('Rotation Assembler'!BE$32, Calcs!$AC$5:$AG$5, 0))</f>
        <v>#N/A</v>
      </c>
      <c r="BF42" s="126" t="e">
        <f>INDEX(Calcs!$AC$5:$AG$51, MATCH('Rotation Assembler'!$A42, Calcs!$AC$5:$AC$51, 0), MATCH('Rotation Assembler'!BF$32, Calcs!$AC$5:$AG$5, 0))</f>
        <v>#N/A</v>
      </c>
      <c r="BG42" s="126" t="e">
        <f>INDEX(Calcs!$AC$5:$AG$51, MATCH('Rotation Assembler'!$A42, Calcs!$AC$5:$AC$51, 0), MATCH('Rotation Assembler'!BG$32, Calcs!$AC$5:$AG$5, 0))</f>
        <v>#N/A</v>
      </c>
      <c r="BH42" s="126" t="e">
        <f>INDEX(Calcs!$AC$5:$AG$51, MATCH('Rotation Assembler'!$A42, Calcs!$AC$5:$AC$51, 0), MATCH('Rotation Assembler'!BH$32, Calcs!$AC$5:$AG$5, 0))</f>
        <v>#N/A</v>
      </c>
      <c r="BI42" s="126"/>
      <c r="BJ42" s="126"/>
      <c r="BK42" s="126"/>
      <c r="BL42" s="126"/>
      <c r="BM42" s="126"/>
      <c r="BN42" s="126"/>
      <c r="BO42" s="126"/>
      <c r="BP42" s="126"/>
      <c r="BQ42" s="126"/>
      <c r="BR42" s="126"/>
      <c r="BS42" s="126"/>
      <c r="BT42" s="126"/>
      <c r="BU42" s="126"/>
      <c r="BV42" s="126"/>
      <c r="BW42" s="126"/>
      <c r="BX42" s="126"/>
      <c r="BY42" s="126"/>
      <c r="BZ42" s="126"/>
      <c r="CA42" s="126"/>
      <c r="CB42" s="126"/>
      <c r="CC42" s="126"/>
      <c r="CD42" s="126"/>
      <c r="CE42" s="126"/>
      <c r="CF42" s="126"/>
      <c r="CG42" s="126"/>
      <c r="CH42" s="126"/>
      <c r="CI42" s="126"/>
      <c r="CJ42" s="126"/>
      <c r="CK42" s="126"/>
      <c r="CL42" s="126"/>
      <c r="CM42" s="126"/>
      <c r="CN42" s="126"/>
      <c r="CO42" s="126"/>
      <c r="CP42" s="126"/>
      <c r="CQ42" s="126"/>
      <c r="CR42" s="126"/>
      <c r="CS42" s="126"/>
      <c r="CT42" s="126"/>
      <c r="CU42" s="126"/>
      <c r="CV42" s="126"/>
      <c r="CW42" s="126"/>
      <c r="CX42" s="126"/>
      <c r="CY42" s="126"/>
      <c r="CZ42" s="126"/>
      <c r="DA42" s="126"/>
      <c r="DB42" s="126"/>
      <c r="DC42" s="126"/>
    </row>
    <row r="43" spans="1:107" hidden="1" outlineLevel="1" x14ac:dyDescent="0.25">
      <c r="A43" s="122" t="s">
        <v>82</v>
      </c>
      <c r="B43" s="126">
        <f>INDEX(Calcs!$AC$5:$AG$51, MATCH('Rotation Assembler'!$A43, Calcs!$AC$5:$AC$51, 0), MATCH('Rotation Assembler'!B$32, Calcs!$AC$5:$AG$5, 0))</f>
        <v>0</v>
      </c>
      <c r="C43" s="126">
        <f>INDEX(Calcs!$AC$5:$AG$51, MATCH('Rotation Assembler'!$A43, Calcs!$AC$5:$AC$51, 0), MATCH('Rotation Assembler'!C$32, Calcs!$AC$5:$AG$5, 0))</f>
        <v>0</v>
      </c>
      <c r="D43" s="126">
        <f>INDEX(Calcs!$AC$5:$AG$51, MATCH('Rotation Assembler'!$A43, Calcs!$AC$5:$AC$51, 0), MATCH('Rotation Assembler'!D$32, Calcs!$AC$5:$AG$5, 0))</f>
        <v>0</v>
      </c>
      <c r="E43" s="126">
        <f>INDEX(Calcs!$AC$5:$AG$51, MATCH('Rotation Assembler'!$A43, Calcs!$AC$5:$AC$51, 0), MATCH('Rotation Assembler'!E$32, Calcs!$AC$5:$AG$5, 0))</f>
        <v>0</v>
      </c>
      <c r="F43" s="126">
        <f>INDEX(Calcs!$AC$5:$AG$51, MATCH('Rotation Assembler'!$A43, Calcs!$AC$5:$AC$51, 0), MATCH('Rotation Assembler'!F$32, Calcs!$AC$5:$AG$5, 0))</f>
        <v>0</v>
      </c>
      <c r="G43" s="126">
        <f>INDEX(Calcs!$AC$5:$AG$51, MATCH('Rotation Assembler'!$A43, Calcs!$AC$5:$AC$51, 0), MATCH('Rotation Assembler'!G$32, Calcs!$AC$5:$AG$5, 0))</f>
        <v>0</v>
      </c>
      <c r="H43" s="126">
        <f>INDEX(Calcs!$AC$5:$AG$51, MATCH('Rotation Assembler'!$A43, Calcs!$AC$5:$AC$51, 0), MATCH('Rotation Assembler'!H$32, Calcs!$AC$5:$AG$5, 0))</f>
        <v>0</v>
      </c>
      <c r="I43" s="126">
        <f>INDEX(Calcs!$AC$5:$AG$51, MATCH('Rotation Assembler'!$A43, Calcs!$AC$5:$AC$51, 0), MATCH('Rotation Assembler'!I$32, Calcs!$AC$5:$AG$5, 0))</f>
        <v>0</v>
      </c>
      <c r="J43" s="126">
        <f>INDEX(Calcs!$AC$5:$AG$51, MATCH('Rotation Assembler'!$A43, Calcs!$AC$5:$AC$51, 0), MATCH('Rotation Assembler'!J$32, Calcs!$AC$5:$AG$5, 0))</f>
        <v>0</v>
      </c>
      <c r="K43" s="126">
        <f>INDEX(Calcs!$AC$5:$AG$51, MATCH('Rotation Assembler'!$A43, Calcs!$AC$5:$AC$51, 0), MATCH('Rotation Assembler'!K$32, Calcs!$AC$5:$AG$5, 0))</f>
        <v>0</v>
      </c>
      <c r="L43" s="126">
        <f>INDEX(Calcs!$AC$5:$AG$51, MATCH('Rotation Assembler'!$A43, Calcs!$AC$5:$AC$51, 0), MATCH('Rotation Assembler'!L$32, Calcs!$AC$5:$AG$5, 0))</f>
        <v>0</v>
      </c>
      <c r="M43" s="126">
        <f>INDEX(Calcs!$AC$5:$AG$51, MATCH('Rotation Assembler'!$A43, Calcs!$AC$5:$AC$51, 0), MATCH('Rotation Assembler'!M$32, Calcs!$AC$5:$AG$5, 0))</f>
        <v>0</v>
      </c>
      <c r="N43" s="126">
        <f>INDEX(Calcs!$AC$5:$AG$51, MATCH('Rotation Assembler'!$A43, Calcs!$AC$5:$AC$51, 0), MATCH('Rotation Assembler'!N$32, Calcs!$AC$5:$AG$5, 0))</f>
        <v>0</v>
      </c>
      <c r="O43" s="126">
        <f>INDEX(Calcs!$AC$5:$AG$51, MATCH('Rotation Assembler'!$A43, Calcs!$AC$5:$AC$51, 0), MATCH('Rotation Assembler'!O$32, Calcs!$AC$5:$AG$5, 0))</f>
        <v>0</v>
      </c>
      <c r="P43" s="126">
        <f>INDEX(Calcs!$AC$5:$AG$51, MATCH('Rotation Assembler'!$A43, Calcs!$AC$5:$AC$51, 0), MATCH('Rotation Assembler'!P$32, Calcs!$AC$5:$AG$5, 0))</f>
        <v>0</v>
      </c>
      <c r="Q43" s="126">
        <f>INDEX(Calcs!$AC$5:$AG$51, MATCH('Rotation Assembler'!$A43, Calcs!$AC$5:$AC$51, 0), MATCH('Rotation Assembler'!Q$32, Calcs!$AC$5:$AG$5, 0))</f>
        <v>0</v>
      </c>
      <c r="R43" s="126">
        <f>INDEX(Calcs!$AC$5:$AG$51, MATCH('Rotation Assembler'!$A43, Calcs!$AC$5:$AC$51, 0), MATCH('Rotation Assembler'!R$32, Calcs!$AC$5:$AG$5, 0))</f>
        <v>0</v>
      </c>
      <c r="S43" s="126">
        <f>INDEX(Calcs!$AC$5:$AG$51, MATCH('Rotation Assembler'!$A43, Calcs!$AC$5:$AC$51, 0), MATCH('Rotation Assembler'!S$32, Calcs!$AC$5:$AG$5, 0))</f>
        <v>0</v>
      </c>
      <c r="T43" s="126">
        <f>INDEX(Calcs!$AC$5:$AG$51, MATCH('Rotation Assembler'!$A43, Calcs!$AC$5:$AC$51, 0), MATCH('Rotation Assembler'!T$32, Calcs!$AC$5:$AG$5, 0))</f>
        <v>0</v>
      </c>
      <c r="U43" s="126">
        <f>INDEX(Calcs!$AC$5:$AG$51, MATCH('Rotation Assembler'!$A43, Calcs!$AC$5:$AC$51, 0), MATCH('Rotation Assembler'!U$32, Calcs!$AC$5:$AG$5, 0))</f>
        <v>0</v>
      </c>
      <c r="V43" s="126">
        <f>INDEX(Calcs!$AC$5:$AG$51, MATCH('Rotation Assembler'!$A43, Calcs!$AC$5:$AC$51, 0), MATCH('Rotation Assembler'!V$32, Calcs!$AC$5:$AG$5, 0))</f>
        <v>0</v>
      </c>
      <c r="W43" s="126">
        <f>INDEX(Calcs!$AC$5:$AG$51, MATCH('Rotation Assembler'!$A43, Calcs!$AC$5:$AC$51, 0), MATCH('Rotation Assembler'!W$32, Calcs!$AC$5:$AG$5, 0))</f>
        <v>0</v>
      </c>
      <c r="X43" s="126">
        <f>INDEX(Calcs!$AC$5:$AG$51, MATCH('Rotation Assembler'!$A43, Calcs!$AC$5:$AC$51, 0), MATCH('Rotation Assembler'!X$32, Calcs!$AC$5:$AG$5, 0))</f>
        <v>0</v>
      </c>
      <c r="Y43" s="126">
        <f>INDEX(Calcs!$AC$5:$AG$51, MATCH('Rotation Assembler'!$A43, Calcs!$AC$5:$AC$51, 0), MATCH('Rotation Assembler'!Y$32, Calcs!$AC$5:$AG$5, 0))</f>
        <v>0</v>
      </c>
      <c r="Z43" s="126">
        <f>INDEX(Calcs!$AC$5:$AG$51, MATCH('Rotation Assembler'!$A43, Calcs!$AC$5:$AC$51, 0), MATCH('Rotation Assembler'!Z$32, Calcs!$AC$5:$AG$5, 0))</f>
        <v>0</v>
      </c>
      <c r="AA43" s="126">
        <f>INDEX(Calcs!$AC$5:$AG$51, MATCH('Rotation Assembler'!$A43, Calcs!$AC$5:$AC$51, 0), MATCH('Rotation Assembler'!AA$32, Calcs!$AC$5:$AG$5, 0))</f>
        <v>0</v>
      </c>
      <c r="AB43" s="126">
        <f>INDEX(Calcs!$AC$5:$AG$51, MATCH('Rotation Assembler'!$A43, Calcs!$AC$5:$AC$51, 0), MATCH('Rotation Assembler'!AB$32, Calcs!$AC$5:$AG$5, 0))</f>
        <v>0</v>
      </c>
      <c r="AC43" s="126">
        <f>INDEX(Calcs!$AC$5:$AG$51, MATCH('Rotation Assembler'!$A43, Calcs!$AC$5:$AC$51, 0), MATCH('Rotation Assembler'!AC$32, Calcs!$AC$5:$AG$5, 0))</f>
        <v>0</v>
      </c>
      <c r="AD43" s="126">
        <f>INDEX(Calcs!$AC$5:$AG$51, MATCH('Rotation Assembler'!$A43, Calcs!$AC$5:$AC$51, 0), MATCH('Rotation Assembler'!AD$32, Calcs!$AC$5:$AG$5, 0))</f>
        <v>0</v>
      </c>
      <c r="AE43" s="126">
        <f>INDEX(Calcs!$AC$5:$AG$51, MATCH('Rotation Assembler'!$A43, Calcs!$AC$5:$AC$51, 0), MATCH('Rotation Assembler'!AE$32, Calcs!$AC$5:$AG$5, 0))</f>
        <v>0</v>
      </c>
      <c r="AF43" s="126">
        <f>INDEX(Calcs!$AC$5:$AG$51, MATCH('Rotation Assembler'!$A43, Calcs!$AC$5:$AC$51, 0), MATCH('Rotation Assembler'!AF$32, Calcs!$AC$5:$AG$5, 0))</f>
        <v>0</v>
      </c>
      <c r="AG43" s="126">
        <f>INDEX(Calcs!$AC$5:$AG$51, MATCH('Rotation Assembler'!$A43, Calcs!$AC$5:$AC$51, 0), MATCH('Rotation Assembler'!AG$32, Calcs!$AC$5:$AG$5, 0))</f>
        <v>0</v>
      </c>
      <c r="AH43" s="126">
        <f>INDEX(Calcs!$AC$5:$AG$51, MATCH('Rotation Assembler'!$A43, Calcs!$AC$5:$AC$51, 0), MATCH('Rotation Assembler'!AH$32, Calcs!$AC$5:$AG$5, 0))</f>
        <v>0</v>
      </c>
      <c r="AI43" s="126">
        <f>INDEX(Calcs!$AC$5:$AG$51, MATCH('Rotation Assembler'!$A43, Calcs!$AC$5:$AC$51, 0), MATCH('Rotation Assembler'!AI$32, Calcs!$AC$5:$AG$5, 0))</f>
        <v>0</v>
      </c>
      <c r="AJ43" s="126" t="e">
        <f>INDEX(Calcs!$AC$5:$AG$51, MATCH('Rotation Assembler'!$A43, Calcs!$AC$5:$AC$51, 0), MATCH('Rotation Assembler'!AJ$32, Calcs!$AC$5:$AG$5, 0))</f>
        <v>#N/A</v>
      </c>
      <c r="AK43" s="126" t="e">
        <f>INDEX(Calcs!$AC$5:$AG$51, MATCH('Rotation Assembler'!$A43, Calcs!$AC$5:$AC$51, 0), MATCH('Rotation Assembler'!AK$32, Calcs!$AC$5:$AG$5, 0))</f>
        <v>#N/A</v>
      </c>
      <c r="AL43" s="126" t="e">
        <f>INDEX(Calcs!$AC$5:$AG$51, MATCH('Rotation Assembler'!$A43, Calcs!$AC$5:$AC$51, 0), MATCH('Rotation Assembler'!AL$32, Calcs!$AC$5:$AG$5, 0))</f>
        <v>#N/A</v>
      </c>
      <c r="AM43" s="126" t="e">
        <f>INDEX(Calcs!$AC$5:$AG$51, MATCH('Rotation Assembler'!$A43, Calcs!$AC$5:$AC$51, 0), MATCH('Rotation Assembler'!AM$32, Calcs!$AC$5:$AG$5, 0))</f>
        <v>#N/A</v>
      </c>
      <c r="AN43" s="126" t="e">
        <f>INDEX(Calcs!$AC$5:$AG$51, MATCH('Rotation Assembler'!$A43, Calcs!$AC$5:$AC$51, 0), MATCH('Rotation Assembler'!AN$32, Calcs!$AC$5:$AG$5, 0))</f>
        <v>#N/A</v>
      </c>
      <c r="AO43" s="126" t="e">
        <f>INDEX(Calcs!$AC$5:$AG$51, MATCH('Rotation Assembler'!$A43, Calcs!$AC$5:$AC$51, 0), MATCH('Rotation Assembler'!AO$32, Calcs!$AC$5:$AG$5, 0))</f>
        <v>#N/A</v>
      </c>
      <c r="AP43" s="126" t="e">
        <f>INDEX(Calcs!$AC$5:$AG$51, MATCH('Rotation Assembler'!$A43, Calcs!$AC$5:$AC$51, 0), MATCH('Rotation Assembler'!AP$32, Calcs!$AC$5:$AG$5, 0))</f>
        <v>#N/A</v>
      </c>
      <c r="AQ43" s="126" t="e">
        <f>INDEX(Calcs!$AC$5:$AG$51, MATCH('Rotation Assembler'!$A43, Calcs!$AC$5:$AC$51, 0), MATCH('Rotation Assembler'!AQ$32, Calcs!$AC$5:$AG$5, 0))</f>
        <v>#N/A</v>
      </c>
      <c r="AR43" s="126" t="e">
        <f>INDEX(Calcs!$AC$5:$AG$51, MATCH('Rotation Assembler'!$A43, Calcs!$AC$5:$AC$51, 0), MATCH('Rotation Assembler'!AR$32, Calcs!$AC$5:$AG$5, 0))</f>
        <v>#N/A</v>
      </c>
      <c r="AS43" s="126" t="e">
        <f>INDEX(Calcs!$AC$5:$AG$51, MATCH('Rotation Assembler'!$A43, Calcs!$AC$5:$AC$51, 0), MATCH('Rotation Assembler'!AS$32, Calcs!$AC$5:$AG$5, 0))</f>
        <v>#N/A</v>
      </c>
      <c r="AT43" s="126" t="e">
        <f>INDEX(Calcs!$AC$5:$AG$51, MATCH('Rotation Assembler'!$A43, Calcs!$AC$5:$AC$51, 0), MATCH('Rotation Assembler'!AT$32, Calcs!$AC$5:$AG$5, 0))</f>
        <v>#N/A</v>
      </c>
      <c r="AU43" s="126" t="e">
        <f>INDEX(Calcs!$AC$5:$AG$51, MATCH('Rotation Assembler'!$A43, Calcs!$AC$5:$AC$51, 0), MATCH('Rotation Assembler'!AU$32, Calcs!$AC$5:$AG$5, 0))</f>
        <v>#N/A</v>
      </c>
      <c r="AV43" s="126" t="e">
        <f>INDEX(Calcs!$AC$5:$AG$51, MATCH('Rotation Assembler'!$A43, Calcs!$AC$5:$AC$51, 0), MATCH('Rotation Assembler'!AV$32, Calcs!$AC$5:$AG$5, 0))</f>
        <v>#N/A</v>
      </c>
      <c r="AW43" s="126" t="e">
        <f>INDEX(Calcs!$AC$5:$AG$51, MATCH('Rotation Assembler'!$A43, Calcs!$AC$5:$AC$51, 0), MATCH('Rotation Assembler'!AW$32, Calcs!$AC$5:$AG$5, 0))</f>
        <v>#N/A</v>
      </c>
      <c r="AX43" s="126" t="e">
        <f>INDEX(Calcs!$AC$5:$AG$51, MATCH('Rotation Assembler'!$A43, Calcs!$AC$5:$AC$51, 0), MATCH('Rotation Assembler'!AX$32, Calcs!$AC$5:$AG$5, 0))</f>
        <v>#N/A</v>
      </c>
      <c r="AY43" s="126" t="e">
        <f>INDEX(Calcs!$AC$5:$AG$51, MATCH('Rotation Assembler'!$A43, Calcs!$AC$5:$AC$51, 0), MATCH('Rotation Assembler'!AY$32, Calcs!$AC$5:$AG$5, 0))</f>
        <v>#N/A</v>
      </c>
      <c r="AZ43" s="126" t="e">
        <f>INDEX(Calcs!$AC$5:$AG$51, MATCH('Rotation Assembler'!$A43, Calcs!$AC$5:$AC$51, 0), MATCH('Rotation Assembler'!AZ$32, Calcs!$AC$5:$AG$5, 0))</f>
        <v>#N/A</v>
      </c>
      <c r="BA43" s="126" t="e">
        <f>INDEX(Calcs!$AC$5:$AG$51, MATCH('Rotation Assembler'!$A43, Calcs!$AC$5:$AC$51, 0), MATCH('Rotation Assembler'!BA$32, Calcs!$AC$5:$AG$5, 0))</f>
        <v>#N/A</v>
      </c>
      <c r="BB43" s="126" t="e">
        <f>INDEX(Calcs!$AC$5:$AG$51, MATCH('Rotation Assembler'!$A43, Calcs!$AC$5:$AC$51, 0), MATCH('Rotation Assembler'!BB$32, Calcs!$AC$5:$AG$5, 0))</f>
        <v>#N/A</v>
      </c>
      <c r="BC43" s="126" t="e">
        <f>INDEX(Calcs!$AC$5:$AG$51, MATCH('Rotation Assembler'!$A43, Calcs!$AC$5:$AC$51, 0), MATCH('Rotation Assembler'!BC$32, Calcs!$AC$5:$AG$5, 0))</f>
        <v>#N/A</v>
      </c>
      <c r="BD43" s="126" t="e">
        <f>INDEX(Calcs!$AC$5:$AG$51, MATCH('Rotation Assembler'!$A43, Calcs!$AC$5:$AC$51, 0), MATCH('Rotation Assembler'!BD$32, Calcs!$AC$5:$AG$5, 0))</f>
        <v>#N/A</v>
      </c>
      <c r="BE43" s="126" t="e">
        <f>INDEX(Calcs!$AC$5:$AG$51, MATCH('Rotation Assembler'!$A43, Calcs!$AC$5:$AC$51, 0), MATCH('Rotation Assembler'!BE$32, Calcs!$AC$5:$AG$5, 0))</f>
        <v>#N/A</v>
      </c>
      <c r="BF43" s="126" t="e">
        <f>INDEX(Calcs!$AC$5:$AG$51, MATCH('Rotation Assembler'!$A43, Calcs!$AC$5:$AC$51, 0), MATCH('Rotation Assembler'!BF$32, Calcs!$AC$5:$AG$5, 0))</f>
        <v>#N/A</v>
      </c>
      <c r="BG43" s="126" t="e">
        <f>INDEX(Calcs!$AC$5:$AG$51, MATCH('Rotation Assembler'!$A43, Calcs!$AC$5:$AC$51, 0), MATCH('Rotation Assembler'!BG$32, Calcs!$AC$5:$AG$5, 0))</f>
        <v>#N/A</v>
      </c>
      <c r="BH43" s="126" t="e">
        <f>INDEX(Calcs!$AC$5:$AG$51, MATCH('Rotation Assembler'!$A43, Calcs!$AC$5:$AC$51, 0), MATCH('Rotation Assembler'!BH$32, Calcs!$AC$5:$AG$5, 0))</f>
        <v>#N/A</v>
      </c>
      <c r="BI43" s="126"/>
      <c r="BJ43" s="126"/>
      <c r="BK43" s="126"/>
      <c r="BL43" s="126"/>
      <c r="BM43" s="126"/>
      <c r="BN43" s="126"/>
      <c r="BO43" s="126"/>
      <c r="BP43" s="126"/>
      <c r="BQ43" s="126"/>
      <c r="BR43" s="126"/>
      <c r="BS43" s="126"/>
      <c r="BT43" s="126"/>
      <c r="BU43" s="126"/>
      <c r="BV43" s="126"/>
      <c r="BW43" s="126"/>
      <c r="BX43" s="126"/>
      <c r="BY43" s="126"/>
      <c r="BZ43" s="126"/>
      <c r="CA43" s="126"/>
      <c r="CB43" s="126"/>
      <c r="CC43" s="126"/>
      <c r="CD43" s="126"/>
      <c r="CE43" s="126"/>
      <c r="CF43" s="126"/>
      <c r="CG43" s="126"/>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row>
    <row r="44" spans="1:107" hidden="1" outlineLevel="1" x14ac:dyDescent="0.25">
      <c r="A44" s="122" t="s">
        <v>70</v>
      </c>
      <c r="B44" s="126">
        <f>INDEX(Calcs!$AC$5:$AG$51, MATCH('Rotation Assembler'!$A44, Calcs!$AC$5:$AC$51, 0), MATCH('Rotation Assembler'!B$32, Calcs!$AC$5:$AG$5, 0))</f>
        <v>0</v>
      </c>
      <c r="C44" s="126">
        <f>INDEX(Calcs!$AC$5:$AG$51, MATCH('Rotation Assembler'!$A44, Calcs!$AC$5:$AC$51, 0), MATCH('Rotation Assembler'!C$32, Calcs!$AC$5:$AG$5, 0))</f>
        <v>0</v>
      </c>
      <c r="D44" s="126">
        <f>INDEX(Calcs!$AC$5:$AG$51, MATCH('Rotation Assembler'!$A44, Calcs!$AC$5:$AC$51, 0), MATCH('Rotation Assembler'!D$32, Calcs!$AC$5:$AG$5, 0))</f>
        <v>0</v>
      </c>
      <c r="E44" s="126">
        <f>INDEX(Calcs!$AC$5:$AG$51, MATCH('Rotation Assembler'!$A44, Calcs!$AC$5:$AC$51, 0), MATCH('Rotation Assembler'!E$32, Calcs!$AC$5:$AG$5, 0))</f>
        <v>0</v>
      </c>
      <c r="F44" s="126">
        <f>INDEX(Calcs!$AC$5:$AG$51, MATCH('Rotation Assembler'!$A44, Calcs!$AC$5:$AC$51, 0), MATCH('Rotation Assembler'!F$32, Calcs!$AC$5:$AG$5, 0))</f>
        <v>0</v>
      </c>
      <c r="G44" s="126">
        <f>INDEX(Calcs!$AC$5:$AG$51, MATCH('Rotation Assembler'!$A44, Calcs!$AC$5:$AC$51, 0), MATCH('Rotation Assembler'!G$32, Calcs!$AC$5:$AG$5, 0))</f>
        <v>0</v>
      </c>
      <c r="H44" s="126">
        <f>INDEX(Calcs!$AC$5:$AG$51, MATCH('Rotation Assembler'!$A44, Calcs!$AC$5:$AC$51, 0), MATCH('Rotation Assembler'!H$32, Calcs!$AC$5:$AG$5, 0))</f>
        <v>0</v>
      </c>
      <c r="I44" s="126">
        <f>INDEX(Calcs!$AC$5:$AG$51, MATCH('Rotation Assembler'!$A44, Calcs!$AC$5:$AC$51, 0), MATCH('Rotation Assembler'!I$32, Calcs!$AC$5:$AG$5, 0))</f>
        <v>0</v>
      </c>
      <c r="J44" s="126">
        <f>INDEX(Calcs!$AC$5:$AG$51, MATCH('Rotation Assembler'!$A44, Calcs!$AC$5:$AC$51, 0), MATCH('Rotation Assembler'!J$32, Calcs!$AC$5:$AG$5, 0))</f>
        <v>0</v>
      </c>
      <c r="K44" s="126">
        <f>INDEX(Calcs!$AC$5:$AG$51, MATCH('Rotation Assembler'!$A44, Calcs!$AC$5:$AC$51, 0), MATCH('Rotation Assembler'!K$32, Calcs!$AC$5:$AG$5, 0))</f>
        <v>0</v>
      </c>
      <c r="L44" s="126">
        <f>INDEX(Calcs!$AC$5:$AG$51, MATCH('Rotation Assembler'!$A44, Calcs!$AC$5:$AC$51, 0), MATCH('Rotation Assembler'!L$32, Calcs!$AC$5:$AG$5, 0))</f>
        <v>0</v>
      </c>
      <c r="M44" s="126">
        <f>INDEX(Calcs!$AC$5:$AG$51, MATCH('Rotation Assembler'!$A44, Calcs!$AC$5:$AC$51, 0), MATCH('Rotation Assembler'!M$32, Calcs!$AC$5:$AG$5, 0))</f>
        <v>0</v>
      </c>
      <c r="N44" s="126">
        <f>INDEX(Calcs!$AC$5:$AG$51, MATCH('Rotation Assembler'!$A44, Calcs!$AC$5:$AC$51, 0), MATCH('Rotation Assembler'!N$32, Calcs!$AC$5:$AG$5, 0))</f>
        <v>0</v>
      </c>
      <c r="O44" s="126">
        <f>INDEX(Calcs!$AC$5:$AG$51, MATCH('Rotation Assembler'!$A44, Calcs!$AC$5:$AC$51, 0), MATCH('Rotation Assembler'!O$32, Calcs!$AC$5:$AG$5, 0))</f>
        <v>0</v>
      </c>
      <c r="P44" s="126">
        <f>INDEX(Calcs!$AC$5:$AG$51, MATCH('Rotation Assembler'!$A44, Calcs!$AC$5:$AC$51, 0), MATCH('Rotation Assembler'!P$32, Calcs!$AC$5:$AG$5, 0))</f>
        <v>0</v>
      </c>
      <c r="Q44" s="126">
        <f>INDEX(Calcs!$AC$5:$AG$51, MATCH('Rotation Assembler'!$A44, Calcs!$AC$5:$AC$51, 0), MATCH('Rotation Assembler'!Q$32, Calcs!$AC$5:$AG$5, 0))</f>
        <v>0</v>
      </c>
      <c r="R44" s="126">
        <f>INDEX(Calcs!$AC$5:$AG$51, MATCH('Rotation Assembler'!$A44, Calcs!$AC$5:$AC$51, 0), MATCH('Rotation Assembler'!R$32, Calcs!$AC$5:$AG$5, 0))</f>
        <v>0</v>
      </c>
      <c r="S44" s="126">
        <f>INDEX(Calcs!$AC$5:$AG$51, MATCH('Rotation Assembler'!$A44, Calcs!$AC$5:$AC$51, 0), MATCH('Rotation Assembler'!S$32, Calcs!$AC$5:$AG$5, 0))</f>
        <v>0</v>
      </c>
      <c r="T44" s="126">
        <f>INDEX(Calcs!$AC$5:$AG$51, MATCH('Rotation Assembler'!$A44, Calcs!$AC$5:$AC$51, 0), MATCH('Rotation Assembler'!T$32, Calcs!$AC$5:$AG$5, 0))</f>
        <v>0</v>
      </c>
      <c r="U44" s="126">
        <f>INDEX(Calcs!$AC$5:$AG$51, MATCH('Rotation Assembler'!$A44, Calcs!$AC$5:$AC$51, 0), MATCH('Rotation Assembler'!U$32, Calcs!$AC$5:$AG$5, 0))</f>
        <v>0</v>
      </c>
      <c r="V44" s="126">
        <f>INDEX(Calcs!$AC$5:$AG$51, MATCH('Rotation Assembler'!$A44, Calcs!$AC$5:$AC$51, 0), MATCH('Rotation Assembler'!V$32, Calcs!$AC$5:$AG$5, 0))</f>
        <v>0</v>
      </c>
      <c r="W44" s="126">
        <f>INDEX(Calcs!$AC$5:$AG$51, MATCH('Rotation Assembler'!$A44, Calcs!$AC$5:$AC$51, 0), MATCH('Rotation Assembler'!W$32, Calcs!$AC$5:$AG$5, 0))</f>
        <v>0</v>
      </c>
      <c r="X44" s="126">
        <f>INDEX(Calcs!$AC$5:$AG$51, MATCH('Rotation Assembler'!$A44, Calcs!$AC$5:$AC$51, 0), MATCH('Rotation Assembler'!X$32, Calcs!$AC$5:$AG$5, 0))</f>
        <v>0</v>
      </c>
      <c r="Y44" s="126">
        <f>INDEX(Calcs!$AC$5:$AG$51, MATCH('Rotation Assembler'!$A44, Calcs!$AC$5:$AC$51, 0), MATCH('Rotation Assembler'!Y$32, Calcs!$AC$5:$AG$5, 0))</f>
        <v>0</v>
      </c>
      <c r="Z44" s="126">
        <f>INDEX(Calcs!$AC$5:$AG$51, MATCH('Rotation Assembler'!$A44, Calcs!$AC$5:$AC$51, 0), MATCH('Rotation Assembler'!Z$32, Calcs!$AC$5:$AG$5, 0))</f>
        <v>0</v>
      </c>
      <c r="AA44" s="126">
        <f>INDEX(Calcs!$AC$5:$AG$51, MATCH('Rotation Assembler'!$A44, Calcs!$AC$5:$AC$51, 0), MATCH('Rotation Assembler'!AA$32, Calcs!$AC$5:$AG$5, 0))</f>
        <v>0</v>
      </c>
      <c r="AB44" s="126">
        <f>INDEX(Calcs!$AC$5:$AG$51, MATCH('Rotation Assembler'!$A44, Calcs!$AC$5:$AC$51, 0), MATCH('Rotation Assembler'!AB$32, Calcs!$AC$5:$AG$5, 0))</f>
        <v>0</v>
      </c>
      <c r="AC44" s="126">
        <f>INDEX(Calcs!$AC$5:$AG$51, MATCH('Rotation Assembler'!$A44, Calcs!$AC$5:$AC$51, 0), MATCH('Rotation Assembler'!AC$32, Calcs!$AC$5:$AG$5, 0))</f>
        <v>0</v>
      </c>
      <c r="AD44" s="126">
        <f>INDEX(Calcs!$AC$5:$AG$51, MATCH('Rotation Assembler'!$A44, Calcs!$AC$5:$AC$51, 0), MATCH('Rotation Assembler'!AD$32, Calcs!$AC$5:$AG$5, 0))</f>
        <v>0</v>
      </c>
      <c r="AE44" s="126">
        <f>INDEX(Calcs!$AC$5:$AG$51, MATCH('Rotation Assembler'!$A44, Calcs!$AC$5:$AC$51, 0), MATCH('Rotation Assembler'!AE$32, Calcs!$AC$5:$AG$5, 0))</f>
        <v>0</v>
      </c>
      <c r="AF44" s="126">
        <f>INDEX(Calcs!$AC$5:$AG$51, MATCH('Rotation Assembler'!$A44, Calcs!$AC$5:$AC$51, 0), MATCH('Rotation Assembler'!AF$32, Calcs!$AC$5:$AG$5, 0))</f>
        <v>0</v>
      </c>
      <c r="AG44" s="126">
        <f>INDEX(Calcs!$AC$5:$AG$51, MATCH('Rotation Assembler'!$A44, Calcs!$AC$5:$AC$51, 0), MATCH('Rotation Assembler'!AG$32, Calcs!$AC$5:$AG$5, 0))</f>
        <v>0</v>
      </c>
      <c r="AH44" s="126">
        <f>INDEX(Calcs!$AC$5:$AG$51, MATCH('Rotation Assembler'!$A44, Calcs!$AC$5:$AC$51, 0), MATCH('Rotation Assembler'!AH$32, Calcs!$AC$5:$AG$5, 0))</f>
        <v>0</v>
      </c>
      <c r="AI44" s="126">
        <f>INDEX(Calcs!$AC$5:$AG$51, MATCH('Rotation Assembler'!$A44, Calcs!$AC$5:$AC$51, 0), MATCH('Rotation Assembler'!AI$32, Calcs!$AC$5:$AG$5, 0))</f>
        <v>0</v>
      </c>
      <c r="AJ44" s="126" t="e">
        <f>INDEX(Calcs!$AC$5:$AG$51, MATCH('Rotation Assembler'!$A44, Calcs!$AC$5:$AC$51, 0), MATCH('Rotation Assembler'!AJ$32, Calcs!$AC$5:$AG$5, 0))</f>
        <v>#N/A</v>
      </c>
      <c r="AK44" s="126" t="e">
        <f>INDEX(Calcs!$AC$5:$AG$51, MATCH('Rotation Assembler'!$A44, Calcs!$AC$5:$AC$51, 0), MATCH('Rotation Assembler'!AK$32, Calcs!$AC$5:$AG$5, 0))</f>
        <v>#N/A</v>
      </c>
      <c r="AL44" s="126" t="e">
        <f>INDEX(Calcs!$AC$5:$AG$51, MATCH('Rotation Assembler'!$A44, Calcs!$AC$5:$AC$51, 0), MATCH('Rotation Assembler'!AL$32, Calcs!$AC$5:$AG$5, 0))</f>
        <v>#N/A</v>
      </c>
      <c r="AM44" s="126" t="e">
        <f>INDEX(Calcs!$AC$5:$AG$51, MATCH('Rotation Assembler'!$A44, Calcs!$AC$5:$AC$51, 0), MATCH('Rotation Assembler'!AM$32, Calcs!$AC$5:$AG$5, 0))</f>
        <v>#N/A</v>
      </c>
      <c r="AN44" s="126" t="e">
        <f>INDEX(Calcs!$AC$5:$AG$51, MATCH('Rotation Assembler'!$A44, Calcs!$AC$5:$AC$51, 0), MATCH('Rotation Assembler'!AN$32, Calcs!$AC$5:$AG$5, 0))</f>
        <v>#N/A</v>
      </c>
      <c r="AO44" s="126" t="e">
        <f>INDEX(Calcs!$AC$5:$AG$51, MATCH('Rotation Assembler'!$A44, Calcs!$AC$5:$AC$51, 0), MATCH('Rotation Assembler'!AO$32, Calcs!$AC$5:$AG$5, 0))</f>
        <v>#N/A</v>
      </c>
      <c r="AP44" s="126" t="e">
        <f>INDEX(Calcs!$AC$5:$AG$51, MATCH('Rotation Assembler'!$A44, Calcs!$AC$5:$AC$51, 0), MATCH('Rotation Assembler'!AP$32, Calcs!$AC$5:$AG$5, 0))</f>
        <v>#N/A</v>
      </c>
      <c r="AQ44" s="126" t="e">
        <f>INDEX(Calcs!$AC$5:$AG$51, MATCH('Rotation Assembler'!$A44, Calcs!$AC$5:$AC$51, 0), MATCH('Rotation Assembler'!AQ$32, Calcs!$AC$5:$AG$5, 0))</f>
        <v>#N/A</v>
      </c>
      <c r="AR44" s="126" t="e">
        <f>INDEX(Calcs!$AC$5:$AG$51, MATCH('Rotation Assembler'!$A44, Calcs!$AC$5:$AC$51, 0), MATCH('Rotation Assembler'!AR$32, Calcs!$AC$5:$AG$5, 0))</f>
        <v>#N/A</v>
      </c>
      <c r="AS44" s="126" t="e">
        <f>INDEX(Calcs!$AC$5:$AG$51, MATCH('Rotation Assembler'!$A44, Calcs!$AC$5:$AC$51, 0), MATCH('Rotation Assembler'!AS$32, Calcs!$AC$5:$AG$5, 0))</f>
        <v>#N/A</v>
      </c>
      <c r="AT44" s="126" t="e">
        <f>INDEX(Calcs!$AC$5:$AG$51, MATCH('Rotation Assembler'!$A44, Calcs!$AC$5:$AC$51, 0), MATCH('Rotation Assembler'!AT$32, Calcs!$AC$5:$AG$5, 0))</f>
        <v>#N/A</v>
      </c>
      <c r="AU44" s="126" t="e">
        <f>INDEX(Calcs!$AC$5:$AG$51, MATCH('Rotation Assembler'!$A44, Calcs!$AC$5:$AC$51, 0), MATCH('Rotation Assembler'!AU$32, Calcs!$AC$5:$AG$5, 0))</f>
        <v>#N/A</v>
      </c>
      <c r="AV44" s="126" t="e">
        <f>INDEX(Calcs!$AC$5:$AG$51, MATCH('Rotation Assembler'!$A44, Calcs!$AC$5:$AC$51, 0), MATCH('Rotation Assembler'!AV$32, Calcs!$AC$5:$AG$5, 0))</f>
        <v>#N/A</v>
      </c>
      <c r="AW44" s="126" t="e">
        <f>INDEX(Calcs!$AC$5:$AG$51, MATCH('Rotation Assembler'!$A44, Calcs!$AC$5:$AC$51, 0), MATCH('Rotation Assembler'!AW$32, Calcs!$AC$5:$AG$5, 0))</f>
        <v>#N/A</v>
      </c>
      <c r="AX44" s="126" t="e">
        <f>INDEX(Calcs!$AC$5:$AG$51, MATCH('Rotation Assembler'!$A44, Calcs!$AC$5:$AC$51, 0), MATCH('Rotation Assembler'!AX$32, Calcs!$AC$5:$AG$5, 0))</f>
        <v>#N/A</v>
      </c>
      <c r="AY44" s="126" t="e">
        <f>INDEX(Calcs!$AC$5:$AG$51, MATCH('Rotation Assembler'!$A44, Calcs!$AC$5:$AC$51, 0), MATCH('Rotation Assembler'!AY$32, Calcs!$AC$5:$AG$5, 0))</f>
        <v>#N/A</v>
      </c>
      <c r="AZ44" s="126" t="e">
        <f>INDEX(Calcs!$AC$5:$AG$51, MATCH('Rotation Assembler'!$A44, Calcs!$AC$5:$AC$51, 0), MATCH('Rotation Assembler'!AZ$32, Calcs!$AC$5:$AG$5, 0))</f>
        <v>#N/A</v>
      </c>
      <c r="BA44" s="126" t="e">
        <f>INDEX(Calcs!$AC$5:$AG$51, MATCH('Rotation Assembler'!$A44, Calcs!$AC$5:$AC$51, 0), MATCH('Rotation Assembler'!BA$32, Calcs!$AC$5:$AG$5, 0))</f>
        <v>#N/A</v>
      </c>
      <c r="BB44" s="126" t="e">
        <f>INDEX(Calcs!$AC$5:$AG$51, MATCH('Rotation Assembler'!$A44, Calcs!$AC$5:$AC$51, 0), MATCH('Rotation Assembler'!BB$32, Calcs!$AC$5:$AG$5, 0))</f>
        <v>#N/A</v>
      </c>
      <c r="BC44" s="126" t="e">
        <f>INDEX(Calcs!$AC$5:$AG$51, MATCH('Rotation Assembler'!$A44, Calcs!$AC$5:$AC$51, 0), MATCH('Rotation Assembler'!BC$32, Calcs!$AC$5:$AG$5, 0))</f>
        <v>#N/A</v>
      </c>
      <c r="BD44" s="126" t="e">
        <f>INDEX(Calcs!$AC$5:$AG$51, MATCH('Rotation Assembler'!$A44, Calcs!$AC$5:$AC$51, 0), MATCH('Rotation Assembler'!BD$32, Calcs!$AC$5:$AG$5, 0))</f>
        <v>#N/A</v>
      </c>
      <c r="BE44" s="126" t="e">
        <f>INDEX(Calcs!$AC$5:$AG$51, MATCH('Rotation Assembler'!$A44, Calcs!$AC$5:$AC$51, 0), MATCH('Rotation Assembler'!BE$32, Calcs!$AC$5:$AG$5, 0))</f>
        <v>#N/A</v>
      </c>
      <c r="BF44" s="126" t="e">
        <f>INDEX(Calcs!$AC$5:$AG$51, MATCH('Rotation Assembler'!$A44, Calcs!$AC$5:$AC$51, 0), MATCH('Rotation Assembler'!BF$32, Calcs!$AC$5:$AG$5, 0))</f>
        <v>#N/A</v>
      </c>
      <c r="BG44" s="126" t="e">
        <f>INDEX(Calcs!$AC$5:$AG$51, MATCH('Rotation Assembler'!$A44, Calcs!$AC$5:$AC$51, 0), MATCH('Rotation Assembler'!BG$32, Calcs!$AC$5:$AG$5, 0))</f>
        <v>#N/A</v>
      </c>
      <c r="BH44" s="126" t="e">
        <f>INDEX(Calcs!$AC$5:$AG$51, MATCH('Rotation Assembler'!$A44, Calcs!$AC$5:$AC$51, 0), MATCH('Rotation Assembler'!BH$32, Calcs!$AC$5:$AG$5, 0))</f>
        <v>#N/A</v>
      </c>
      <c r="BI44" s="126"/>
      <c r="BJ44" s="126"/>
      <c r="BK44" s="126"/>
      <c r="BL44" s="126"/>
      <c r="BM44" s="126"/>
      <c r="BN44" s="126"/>
      <c r="BO44" s="126"/>
      <c r="BP44" s="126"/>
      <c r="BQ44" s="126"/>
      <c r="BR44" s="126"/>
      <c r="BS44" s="126"/>
      <c r="BT44" s="126"/>
      <c r="BU44" s="126"/>
      <c r="BV44" s="126"/>
      <c r="BW44" s="126"/>
      <c r="BX44" s="126"/>
      <c r="BY44" s="126"/>
      <c r="BZ44" s="126"/>
      <c r="CA44" s="126"/>
      <c r="CB44" s="126"/>
      <c r="CC44" s="126"/>
      <c r="CD44" s="126"/>
      <c r="CE44" s="126"/>
      <c r="CF44" s="126"/>
      <c r="CG44" s="126"/>
      <c r="CH44" s="126"/>
      <c r="CI44" s="126"/>
      <c r="CJ44" s="126"/>
      <c r="CK44" s="126"/>
      <c r="CL44" s="126"/>
      <c r="CM44" s="126"/>
      <c r="CN44" s="126"/>
      <c r="CO44" s="126"/>
      <c r="CP44" s="126"/>
      <c r="CQ44" s="126"/>
      <c r="CR44" s="126"/>
      <c r="CS44" s="126"/>
      <c r="CT44" s="126"/>
      <c r="CU44" s="126"/>
      <c r="CV44" s="126"/>
      <c r="CW44" s="126"/>
      <c r="CX44" s="126"/>
      <c r="CY44" s="126"/>
      <c r="CZ44" s="126"/>
      <c r="DA44" s="126"/>
      <c r="DB44" s="126"/>
      <c r="DC44" s="126"/>
    </row>
    <row r="45" spans="1:107" hidden="1" outlineLevel="1" x14ac:dyDescent="0.25">
      <c r="A45" s="122" t="s">
        <v>71</v>
      </c>
      <c r="B45" s="126">
        <f>INDEX(Calcs!$AC$5:$AG$51, MATCH('Rotation Assembler'!$A45, Calcs!$AC$5:$AC$51, 0), MATCH('Rotation Assembler'!B$32, Calcs!$AC$5:$AG$5, 0))</f>
        <v>0</v>
      </c>
      <c r="C45" s="126">
        <f>INDEX(Calcs!$AC$5:$AG$51, MATCH('Rotation Assembler'!$A45, Calcs!$AC$5:$AC$51, 0), MATCH('Rotation Assembler'!C$32, Calcs!$AC$5:$AG$5, 0))</f>
        <v>0</v>
      </c>
      <c r="D45" s="126">
        <f>INDEX(Calcs!$AC$5:$AG$51, MATCH('Rotation Assembler'!$A45, Calcs!$AC$5:$AC$51, 0), MATCH('Rotation Assembler'!D$32, Calcs!$AC$5:$AG$5, 0))</f>
        <v>0.15</v>
      </c>
      <c r="E45" s="126">
        <f>INDEX(Calcs!$AC$5:$AG$51, MATCH('Rotation Assembler'!$A45, Calcs!$AC$5:$AC$51, 0), MATCH('Rotation Assembler'!E$32, Calcs!$AC$5:$AG$5, 0))</f>
        <v>0.15</v>
      </c>
      <c r="F45" s="126">
        <f>INDEX(Calcs!$AC$5:$AG$51, MATCH('Rotation Assembler'!$A45, Calcs!$AC$5:$AC$51, 0), MATCH('Rotation Assembler'!F$32, Calcs!$AC$5:$AG$5, 0))</f>
        <v>0.15</v>
      </c>
      <c r="G45" s="126">
        <f>INDEX(Calcs!$AC$5:$AG$51, MATCH('Rotation Assembler'!$A45, Calcs!$AC$5:$AC$51, 0), MATCH('Rotation Assembler'!G$32, Calcs!$AC$5:$AG$5, 0))</f>
        <v>0.15</v>
      </c>
      <c r="H45" s="126">
        <f>INDEX(Calcs!$AC$5:$AG$51, MATCH('Rotation Assembler'!$A45, Calcs!$AC$5:$AC$51, 0), MATCH('Rotation Assembler'!H$32, Calcs!$AC$5:$AG$5, 0))</f>
        <v>0</v>
      </c>
      <c r="I45" s="126">
        <f>INDEX(Calcs!$AC$5:$AG$51, MATCH('Rotation Assembler'!$A45, Calcs!$AC$5:$AC$51, 0), MATCH('Rotation Assembler'!I$32, Calcs!$AC$5:$AG$5, 0))</f>
        <v>0.15</v>
      </c>
      <c r="J45" s="126">
        <f>INDEX(Calcs!$AC$5:$AG$51, MATCH('Rotation Assembler'!$A45, Calcs!$AC$5:$AC$51, 0), MATCH('Rotation Assembler'!J$32, Calcs!$AC$5:$AG$5, 0))</f>
        <v>0.15</v>
      </c>
      <c r="K45" s="126">
        <f>INDEX(Calcs!$AC$5:$AG$51, MATCH('Rotation Assembler'!$A45, Calcs!$AC$5:$AC$51, 0), MATCH('Rotation Assembler'!K$32, Calcs!$AC$5:$AG$5, 0))</f>
        <v>0.15</v>
      </c>
      <c r="L45" s="126">
        <f>INDEX(Calcs!$AC$5:$AG$51, MATCH('Rotation Assembler'!$A45, Calcs!$AC$5:$AC$51, 0), MATCH('Rotation Assembler'!L$32, Calcs!$AC$5:$AG$5, 0))</f>
        <v>0.15</v>
      </c>
      <c r="M45" s="126">
        <f>INDEX(Calcs!$AC$5:$AG$51, MATCH('Rotation Assembler'!$A45, Calcs!$AC$5:$AC$51, 0), MATCH('Rotation Assembler'!M$32, Calcs!$AC$5:$AG$5, 0))</f>
        <v>0.15</v>
      </c>
      <c r="N45" s="126">
        <f>INDEX(Calcs!$AC$5:$AG$51, MATCH('Rotation Assembler'!$A45, Calcs!$AC$5:$AC$51, 0), MATCH('Rotation Assembler'!N$32, Calcs!$AC$5:$AG$5, 0))</f>
        <v>0.15</v>
      </c>
      <c r="O45" s="126">
        <f>INDEX(Calcs!$AC$5:$AG$51, MATCH('Rotation Assembler'!$A45, Calcs!$AC$5:$AC$51, 0), MATCH('Rotation Assembler'!O$32, Calcs!$AC$5:$AG$5, 0))</f>
        <v>0</v>
      </c>
      <c r="P45" s="126">
        <f>INDEX(Calcs!$AC$5:$AG$51, MATCH('Rotation Assembler'!$A45, Calcs!$AC$5:$AC$51, 0), MATCH('Rotation Assembler'!P$32, Calcs!$AC$5:$AG$5, 0))</f>
        <v>0</v>
      </c>
      <c r="Q45" s="126">
        <f>INDEX(Calcs!$AC$5:$AG$51, MATCH('Rotation Assembler'!$A45, Calcs!$AC$5:$AC$51, 0), MATCH('Rotation Assembler'!Q$32, Calcs!$AC$5:$AG$5, 0))</f>
        <v>0</v>
      </c>
      <c r="R45" s="126">
        <f>INDEX(Calcs!$AC$5:$AG$51, MATCH('Rotation Assembler'!$A45, Calcs!$AC$5:$AC$51, 0), MATCH('Rotation Assembler'!R$32, Calcs!$AC$5:$AG$5, 0))</f>
        <v>0</v>
      </c>
      <c r="S45" s="126">
        <f>INDEX(Calcs!$AC$5:$AG$51, MATCH('Rotation Assembler'!$A45, Calcs!$AC$5:$AC$51, 0), MATCH('Rotation Assembler'!S$32, Calcs!$AC$5:$AG$5, 0))</f>
        <v>0</v>
      </c>
      <c r="T45" s="126">
        <f>INDEX(Calcs!$AC$5:$AG$51, MATCH('Rotation Assembler'!$A45, Calcs!$AC$5:$AC$51, 0), MATCH('Rotation Assembler'!T$32, Calcs!$AC$5:$AG$5, 0))</f>
        <v>0</v>
      </c>
      <c r="U45" s="126">
        <f>INDEX(Calcs!$AC$5:$AG$51, MATCH('Rotation Assembler'!$A45, Calcs!$AC$5:$AC$51, 0), MATCH('Rotation Assembler'!U$32, Calcs!$AC$5:$AG$5, 0))</f>
        <v>0</v>
      </c>
      <c r="V45" s="126">
        <f>INDEX(Calcs!$AC$5:$AG$51, MATCH('Rotation Assembler'!$A45, Calcs!$AC$5:$AC$51, 0), MATCH('Rotation Assembler'!V$32, Calcs!$AC$5:$AG$5, 0))</f>
        <v>0</v>
      </c>
      <c r="W45" s="126">
        <f>INDEX(Calcs!$AC$5:$AG$51, MATCH('Rotation Assembler'!$A45, Calcs!$AC$5:$AC$51, 0), MATCH('Rotation Assembler'!W$32, Calcs!$AC$5:$AG$5, 0))</f>
        <v>0</v>
      </c>
      <c r="X45" s="126">
        <f>INDEX(Calcs!$AC$5:$AG$51, MATCH('Rotation Assembler'!$A45, Calcs!$AC$5:$AC$51, 0), MATCH('Rotation Assembler'!X$32, Calcs!$AC$5:$AG$5, 0))</f>
        <v>0</v>
      </c>
      <c r="Y45" s="126">
        <f>INDEX(Calcs!$AC$5:$AG$51, MATCH('Rotation Assembler'!$A45, Calcs!$AC$5:$AC$51, 0), MATCH('Rotation Assembler'!Y$32, Calcs!$AC$5:$AG$5, 0))</f>
        <v>0</v>
      </c>
      <c r="Z45" s="126">
        <f>INDEX(Calcs!$AC$5:$AG$51, MATCH('Rotation Assembler'!$A45, Calcs!$AC$5:$AC$51, 0), MATCH('Rotation Assembler'!Z$32, Calcs!$AC$5:$AG$5, 0))</f>
        <v>0</v>
      </c>
      <c r="AA45" s="126">
        <f>INDEX(Calcs!$AC$5:$AG$51, MATCH('Rotation Assembler'!$A45, Calcs!$AC$5:$AC$51, 0), MATCH('Rotation Assembler'!AA$32, Calcs!$AC$5:$AG$5, 0))</f>
        <v>0</v>
      </c>
      <c r="AB45" s="126">
        <f>INDEX(Calcs!$AC$5:$AG$51, MATCH('Rotation Assembler'!$A45, Calcs!$AC$5:$AC$51, 0), MATCH('Rotation Assembler'!AB$32, Calcs!$AC$5:$AG$5, 0))</f>
        <v>0</v>
      </c>
      <c r="AC45" s="126">
        <f>INDEX(Calcs!$AC$5:$AG$51, MATCH('Rotation Assembler'!$A45, Calcs!$AC$5:$AC$51, 0), MATCH('Rotation Assembler'!AC$32, Calcs!$AC$5:$AG$5, 0))</f>
        <v>0.15</v>
      </c>
      <c r="AD45" s="126">
        <f>INDEX(Calcs!$AC$5:$AG$51, MATCH('Rotation Assembler'!$A45, Calcs!$AC$5:$AC$51, 0), MATCH('Rotation Assembler'!AD$32, Calcs!$AC$5:$AG$5, 0))</f>
        <v>0.15</v>
      </c>
      <c r="AE45" s="126">
        <f>INDEX(Calcs!$AC$5:$AG$51, MATCH('Rotation Assembler'!$A45, Calcs!$AC$5:$AC$51, 0), MATCH('Rotation Assembler'!AE$32, Calcs!$AC$5:$AG$5, 0))</f>
        <v>0</v>
      </c>
      <c r="AF45" s="126">
        <f>INDEX(Calcs!$AC$5:$AG$51, MATCH('Rotation Assembler'!$A45, Calcs!$AC$5:$AC$51, 0), MATCH('Rotation Assembler'!AF$32, Calcs!$AC$5:$AG$5, 0))</f>
        <v>0</v>
      </c>
      <c r="AG45" s="126">
        <f>INDEX(Calcs!$AC$5:$AG$51, MATCH('Rotation Assembler'!$A45, Calcs!$AC$5:$AC$51, 0), MATCH('Rotation Assembler'!AG$32, Calcs!$AC$5:$AG$5, 0))</f>
        <v>0</v>
      </c>
      <c r="AH45" s="126">
        <f>INDEX(Calcs!$AC$5:$AG$51, MATCH('Rotation Assembler'!$A45, Calcs!$AC$5:$AC$51, 0), MATCH('Rotation Assembler'!AH$32, Calcs!$AC$5:$AG$5, 0))</f>
        <v>0</v>
      </c>
      <c r="AI45" s="126">
        <f>INDEX(Calcs!$AC$5:$AG$51, MATCH('Rotation Assembler'!$A45, Calcs!$AC$5:$AC$51, 0), MATCH('Rotation Assembler'!AI$32, Calcs!$AC$5:$AG$5, 0))</f>
        <v>0</v>
      </c>
      <c r="AJ45" s="126" t="e">
        <f>INDEX(Calcs!$AC$5:$AG$51, MATCH('Rotation Assembler'!$A45, Calcs!$AC$5:$AC$51, 0), MATCH('Rotation Assembler'!AJ$32, Calcs!$AC$5:$AG$5, 0))</f>
        <v>#N/A</v>
      </c>
      <c r="AK45" s="126" t="e">
        <f>INDEX(Calcs!$AC$5:$AG$51, MATCH('Rotation Assembler'!$A45, Calcs!$AC$5:$AC$51, 0), MATCH('Rotation Assembler'!AK$32, Calcs!$AC$5:$AG$5, 0))</f>
        <v>#N/A</v>
      </c>
      <c r="AL45" s="126" t="e">
        <f>INDEX(Calcs!$AC$5:$AG$51, MATCH('Rotation Assembler'!$A45, Calcs!$AC$5:$AC$51, 0), MATCH('Rotation Assembler'!AL$32, Calcs!$AC$5:$AG$5, 0))</f>
        <v>#N/A</v>
      </c>
      <c r="AM45" s="126" t="e">
        <f>INDEX(Calcs!$AC$5:$AG$51, MATCH('Rotation Assembler'!$A45, Calcs!$AC$5:$AC$51, 0), MATCH('Rotation Assembler'!AM$32, Calcs!$AC$5:$AG$5, 0))</f>
        <v>#N/A</v>
      </c>
      <c r="AN45" s="126" t="e">
        <f>INDEX(Calcs!$AC$5:$AG$51, MATCH('Rotation Assembler'!$A45, Calcs!$AC$5:$AC$51, 0), MATCH('Rotation Assembler'!AN$32, Calcs!$AC$5:$AG$5, 0))</f>
        <v>#N/A</v>
      </c>
      <c r="AO45" s="126" t="e">
        <f>INDEX(Calcs!$AC$5:$AG$51, MATCH('Rotation Assembler'!$A45, Calcs!$AC$5:$AC$51, 0), MATCH('Rotation Assembler'!AO$32, Calcs!$AC$5:$AG$5, 0))</f>
        <v>#N/A</v>
      </c>
      <c r="AP45" s="126" t="e">
        <f>INDEX(Calcs!$AC$5:$AG$51, MATCH('Rotation Assembler'!$A45, Calcs!$AC$5:$AC$51, 0), MATCH('Rotation Assembler'!AP$32, Calcs!$AC$5:$AG$5, 0))</f>
        <v>#N/A</v>
      </c>
      <c r="AQ45" s="126" t="e">
        <f>INDEX(Calcs!$AC$5:$AG$51, MATCH('Rotation Assembler'!$A45, Calcs!$AC$5:$AC$51, 0), MATCH('Rotation Assembler'!AQ$32, Calcs!$AC$5:$AG$5, 0))</f>
        <v>#N/A</v>
      </c>
      <c r="AR45" s="126" t="e">
        <f>INDEX(Calcs!$AC$5:$AG$51, MATCH('Rotation Assembler'!$A45, Calcs!$AC$5:$AC$51, 0), MATCH('Rotation Assembler'!AR$32, Calcs!$AC$5:$AG$5, 0))</f>
        <v>#N/A</v>
      </c>
      <c r="AS45" s="126" t="e">
        <f>INDEX(Calcs!$AC$5:$AG$51, MATCH('Rotation Assembler'!$A45, Calcs!$AC$5:$AC$51, 0), MATCH('Rotation Assembler'!AS$32, Calcs!$AC$5:$AG$5, 0))</f>
        <v>#N/A</v>
      </c>
      <c r="AT45" s="126" t="e">
        <f>INDEX(Calcs!$AC$5:$AG$51, MATCH('Rotation Assembler'!$A45, Calcs!$AC$5:$AC$51, 0), MATCH('Rotation Assembler'!AT$32, Calcs!$AC$5:$AG$5, 0))</f>
        <v>#N/A</v>
      </c>
      <c r="AU45" s="126" t="e">
        <f>INDEX(Calcs!$AC$5:$AG$51, MATCH('Rotation Assembler'!$A45, Calcs!$AC$5:$AC$51, 0), MATCH('Rotation Assembler'!AU$32, Calcs!$AC$5:$AG$5, 0))</f>
        <v>#N/A</v>
      </c>
      <c r="AV45" s="126" t="e">
        <f>INDEX(Calcs!$AC$5:$AG$51, MATCH('Rotation Assembler'!$A45, Calcs!$AC$5:$AC$51, 0), MATCH('Rotation Assembler'!AV$32, Calcs!$AC$5:$AG$5, 0))</f>
        <v>#N/A</v>
      </c>
      <c r="AW45" s="126" t="e">
        <f>INDEX(Calcs!$AC$5:$AG$51, MATCH('Rotation Assembler'!$A45, Calcs!$AC$5:$AC$51, 0), MATCH('Rotation Assembler'!AW$32, Calcs!$AC$5:$AG$5, 0))</f>
        <v>#N/A</v>
      </c>
      <c r="AX45" s="126" t="e">
        <f>INDEX(Calcs!$AC$5:$AG$51, MATCH('Rotation Assembler'!$A45, Calcs!$AC$5:$AC$51, 0), MATCH('Rotation Assembler'!AX$32, Calcs!$AC$5:$AG$5, 0))</f>
        <v>#N/A</v>
      </c>
      <c r="AY45" s="126" t="e">
        <f>INDEX(Calcs!$AC$5:$AG$51, MATCH('Rotation Assembler'!$A45, Calcs!$AC$5:$AC$51, 0), MATCH('Rotation Assembler'!AY$32, Calcs!$AC$5:$AG$5, 0))</f>
        <v>#N/A</v>
      </c>
      <c r="AZ45" s="126" t="e">
        <f>INDEX(Calcs!$AC$5:$AG$51, MATCH('Rotation Assembler'!$A45, Calcs!$AC$5:$AC$51, 0), MATCH('Rotation Assembler'!AZ$32, Calcs!$AC$5:$AG$5, 0))</f>
        <v>#N/A</v>
      </c>
      <c r="BA45" s="126" t="e">
        <f>INDEX(Calcs!$AC$5:$AG$51, MATCH('Rotation Assembler'!$A45, Calcs!$AC$5:$AC$51, 0), MATCH('Rotation Assembler'!BA$32, Calcs!$AC$5:$AG$5, 0))</f>
        <v>#N/A</v>
      </c>
      <c r="BB45" s="126" t="e">
        <f>INDEX(Calcs!$AC$5:$AG$51, MATCH('Rotation Assembler'!$A45, Calcs!$AC$5:$AC$51, 0), MATCH('Rotation Assembler'!BB$32, Calcs!$AC$5:$AG$5, 0))</f>
        <v>#N/A</v>
      </c>
      <c r="BC45" s="126" t="e">
        <f>INDEX(Calcs!$AC$5:$AG$51, MATCH('Rotation Assembler'!$A45, Calcs!$AC$5:$AC$51, 0), MATCH('Rotation Assembler'!BC$32, Calcs!$AC$5:$AG$5, 0))</f>
        <v>#N/A</v>
      </c>
      <c r="BD45" s="126" t="e">
        <f>INDEX(Calcs!$AC$5:$AG$51, MATCH('Rotation Assembler'!$A45, Calcs!$AC$5:$AC$51, 0), MATCH('Rotation Assembler'!BD$32, Calcs!$AC$5:$AG$5, 0))</f>
        <v>#N/A</v>
      </c>
      <c r="BE45" s="126" t="e">
        <f>INDEX(Calcs!$AC$5:$AG$51, MATCH('Rotation Assembler'!$A45, Calcs!$AC$5:$AC$51, 0), MATCH('Rotation Assembler'!BE$32, Calcs!$AC$5:$AG$5, 0))</f>
        <v>#N/A</v>
      </c>
      <c r="BF45" s="126" t="e">
        <f>INDEX(Calcs!$AC$5:$AG$51, MATCH('Rotation Assembler'!$A45, Calcs!$AC$5:$AC$51, 0), MATCH('Rotation Assembler'!BF$32, Calcs!$AC$5:$AG$5, 0))</f>
        <v>#N/A</v>
      </c>
      <c r="BG45" s="126" t="e">
        <f>INDEX(Calcs!$AC$5:$AG$51, MATCH('Rotation Assembler'!$A45, Calcs!$AC$5:$AC$51, 0), MATCH('Rotation Assembler'!BG$32, Calcs!$AC$5:$AG$5, 0))</f>
        <v>#N/A</v>
      </c>
      <c r="BH45" s="126" t="e">
        <f>INDEX(Calcs!$AC$5:$AG$51, MATCH('Rotation Assembler'!$A45, Calcs!$AC$5:$AC$51, 0), MATCH('Rotation Assembler'!BH$32, Calcs!$AC$5:$AG$5, 0))</f>
        <v>#N/A</v>
      </c>
      <c r="BI45" s="126"/>
      <c r="BJ45" s="126"/>
      <c r="BK45" s="126"/>
      <c r="BL45" s="126"/>
      <c r="BM45" s="126"/>
      <c r="BN45" s="126"/>
      <c r="BO45" s="126"/>
      <c r="BP45" s="126"/>
      <c r="BQ45" s="126"/>
      <c r="BR45" s="126"/>
      <c r="BS45" s="126"/>
      <c r="BT45" s="126"/>
      <c r="BU45" s="126"/>
      <c r="BV45" s="126"/>
      <c r="BW45" s="126"/>
      <c r="BX45" s="126"/>
      <c r="BY45" s="126"/>
      <c r="BZ45" s="126"/>
      <c r="CA45" s="126"/>
      <c r="CB45" s="126"/>
      <c r="CC45" s="126"/>
      <c r="CD45" s="126"/>
      <c r="CE45" s="126"/>
      <c r="CF45" s="126"/>
      <c r="CG45" s="126"/>
      <c r="CH45" s="126"/>
      <c r="CI45" s="126"/>
      <c r="CJ45" s="126"/>
      <c r="CK45" s="126"/>
      <c r="CL45" s="126"/>
      <c r="CM45" s="126"/>
      <c r="CN45" s="126"/>
      <c r="CO45" s="126"/>
      <c r="CP45" s="126"/>
      <c r="CQ45" s="126"/>
      <c r="CR45" s="126"/>
      <c r="CS45" s="126"/>
      <c r="CT45" s="126"/>
      <c r="CU45" s="126"/>
      <c r="CV45" s="126"/>
      <c r="CW45" s="126"/>
      <c r="CX45" s="126"/>
      <c r="CY45" s="126"/>
      <c r="CZ45" s="126"/>
      <c r="DA45" s="126"/>
      <c r="DB45" s="126"/>
      <c r="DC45" s="126"/>
    </row>
    <row r="46" spans="1:107" hidden="1" outlineLevel="1" x14ac:dyDescent="0.25">
      <c r="A46" s="122" t="s">
        <v>72</v>
      </c>
      <c r="B46" s="126">
        <f>INDEX(Calcs!$AC$5:$AG$51, MATCH('Rotation Assembler'!$A46, Calcs!$AC$5:$AC$51, 0), MATCH('Rotation Assembler'!B$32, Calcs!$AC$5:$AG$5, 0))</f>
        <v>0</v>
      </c>
      <c r="C46" s="126">
        <f>INDEX(Calcs!$AC$5:$AG$51, MATCH('Rotation Assembler'!$A46, Calcs!$AC$5:$AC$51, 0), MATCH('Rotation Assembler'!C$32, Calcs!$AC$5:$AG$5, 0))</f>
        <v>0</v>
      </c>
      <c r="D46" s="126">
        <f>INDEX(Calcs!$AC$5:$AG$51, MATCH('Rotation Assembler'!$A46, Calcs!$AC$5:$AC$51, 0), MATCH('Rotation Assembler'!D$32, Calcs!$AC$5:$AG$5, 0))</f>
        <v>0</v>
      </c>
      <c r="E46" s="126">
        <f>INDEX(Calcs!$AC$5:$AG$51, MATCH('Rotation Assembler'!$A46, Calcs!$AC$5:$AC$51, 0), MATCH('Rotation Assembler'!E$32, Calcs!$AC$5:$AG$5, 0))</f>
        <v>0</v>
      </c>
      <c r="F46" s="126">
        <f>INDEX(Calcs!$AC$5:$AG$51, MATCH('Rotation Assembler'!$A46, Calcs!$AC$5:$AC$51, 0), MATCH('Rotation Assembler'!F$32, Calcs!$AC$5:$AG$5, 0))</f>
        <v>0</v>
      </c>
      <c r="G46" s="126">
        <f>INDEX(Calcs!$AC$5:$AG$51, MATCH('Rotation Assembler'!$A46, Calcs!$AC$5:$AC$51, 0), MATCH('Rotation Assembler'!G$32, Calcs!$AC$5:$AG$5, 0))</f>
        <v>0</v>
      </c>
      <c r="H46" s="126">
        <f>INDEX(Calcs!$AC$5:$AG$51, MATCH('Rotation Assembler'!$A46, Calcs!$AC$5:$AC$51, 0), MATCH('Rotation Assembler'!H$32, Calcs!$AC$5:$AG$5, 0))</f>
        <v>0</v>
      </c>
      <c r="I46" s="126">
        <f>INDEX(Calcs!$AC$5:$AG$51, MATCH('Rotation Assembler'!$A46, Calcs!$AC$5:$AC$51, 0), MATCH('Rotation Assembler'!I$32, Calcs!$AC$5:$AG$5, 0))</f>
        <v>0</v>
      </c>
      <c r="J46" s="126">
        <f>INDEX(Calcs!$AC$5:$AG$51, MATCH('Rotation Assembler'!$A46, Calcs!$AC$5:$AC$51, 0), MATCH('Rotation Assembler'!J$32, Calcs!$AC$5:$AG$5, 0))</f>
        <v>0</v>
      </c>
      <c r="K46" s="126">
        <f>INDEX(Calcs!$AC$5:$AG$51, MATCH('Rotation Assembler'!$A46, Calcs!$AC$5:$AC$51, 0), MATCH('Rotation Assembler'!K$32, Calcs!$AC$5:$AG$5, 0))</f>
        <v>0</v>
      </c>
      <c r="L46" s="126">
        <f>INDEX(Calcs!$AC$5:$AG$51, MATCH('Rotation Assembler'!$A46, Calcs!$AC$5:$AC$51, 0), MATCH('Rotation Assembler'!L$32, Calcs!$AC$5:$AG$5, 0))</f>
        <v>0</v>
      </c>
      <c r="M46" s="126">
        <f>INDEX(Calcs!$AC$5:$AG$51, MATCH('Rotation Assembler'!$A46, Calcs!$AC$5:$AC$51, 0), MATCH('Rotation Assembler'!M$32, Calcs!$AC$5:$AG$5, 0))</f>
        <v>0</v>
      </c>
      <c r="N46" s="126">
        <f>INDEX(Calcs!$AC$5:$AG$51, MATCH('Rotation Assembler'!$A46, Calcs!$AC$5:$AC$51, 0), MATCH('Rotation Assembler'!N$32, Calcs!$AC$5:$AG$5, 0))</f>
        <v>0</v>
      </c>
      <c r="O46" s="126">
        <f>INDEX(Calcs!$AC$5:$AG$51, MATCH('Rotation Assembler'!$A46, Calcs!$AC$5:$AC$51, 0), MATCH('Rotation Assembler'!O$32, Calcs!$AC$5:$AG$5, 0))</f>
        <v>0</v>
      </c>
      <c r="P46" s="126">
        <f>INDEX(Calcs!$AC$5:$AG$51, MATCH('Rotation Assembler'!$A46, Calcs!$AC$5:$AC$51, 0), MATCH('Rotation Assembler'!P$32, Calcs!$AC$5:$AG$5, 0))</f>
        <v>0</v>
      </c>
      <c r="Q46" s="126">
        <f>INDEX(Calcs!$AC$5:$AG$51, MATCH('Rotation Assembler'!$A46, Calcs!$AC$5:$AC$51, 0), MATCH('Rotation Assembler'!Q$32, Calcs!$AC$5:$AG$5, 0))</f>
        <v>0</v>
      </c>
      <c r="R46" s="126">
        <f>INDEX(Calcs!$AC$5:$AG$51, MATCH('Rotation Assembler'!$A46, Calcs!$AC$5:$AC$51, 0), MATCH('Rotation Assembler'!R$32, Calcs!$AC$5:$AG$5, 0))</f>
        <v>0</v>
      </c>
      <c r="S46" s="126">
        <f>INDEX(Calcs!$AC$5:$AG$51, MATCH('Rotation Assembler'!$A46, Calcs!$AC$5:$AC$51, 0), MATCH('Rotation Assembler'!S$32, Calcs!$AC$5:$AG$5, 0))</f>
        <v>0</v>
      </c>
      <c r="T46" s="126">
        <f>INDEX(Calcs!$AC$5:$AG$51, MATCH('Rotation Assembler'!$A46, Calcs!$AC$5:$AC$51, 0), MATCH('Rotation Assembler'!T$32, Calcs!$AC$5:$AG$5, 0))</f>
        <v>0</v>
      </c>
      <c r="U46" s="126">
        <f>INDEX(Calcs!$AC$5:$AG$51, MATCH('Rotation Assembler'!$A46, Calcs!$AC$5:$AC$51, 0), MATCH('Rotation Assembler'!U$32, Calcs!$AC$5:$AG$5, 0))</f>
        <v>0</v>
      </c>
      <c r="V46" s="126">
        <f>INDEX(Calcs!$AC$5:$AG$51, MATCH('Rotation Assembler'!$A46, Calcs!$AC$5:$AC$51, 0), MATCH('Rotation Assembler'!V$32, Calcs!$AC$5:$AG$5, 0))</f>
        <v>0</v>
      </c>
      <c r="W46" s="126">
        <f>INDEX(Calcs!$AC$5:$AG$51, MATCH('Rotation Assembler'!$A46, Calcs!$AC$5:$AC$51, 0), MATCH('Rotation Assembler'!W$32, Calcs!$AC$5:$AG$5, 0))</f>
        <v>0</v>
      </c>
      <c r="X46" s="126">
        <f>INDEX(Calcs!$AC$5:$AG$51, MATCH('Rotation Assembler'!$A46, Calcs!$AC$5:$AC$51, 0), MATCH('Rotation Assembler'!X$32, Calcs!$AC$5:$AG$5, 0))</f>
        <v>0</v>
      </c>
      <c r="Y46" s="126">
        <f>INDEX(Calcs!$AC$5:$AG$51, MATCH('Rotation Assembler'!$A46, Calcs!$AC$5:$AC$51, 0), MATCH('Rotation Assembler'!Y$32, Calcs!$AC$5:$AG$5, 0))</f>
        <v>0</v>
      </c>
      <c r="Z46" s="126">
        <f>INDEX(Calcs!$AC$5:$AG$51, MATCH('Rotation Assembler'!$A46, Calcs!$AC$5:$AC$51, 0), MATCH('Rotation Assembler'!Z$32, Calcs!$AC$5:$AG$5, 0))</f>
        <v>0</v>
      </c>
      <c r="AA46" s="126">
        <f>INDEX(Calcs!$AC$5:$AG$51, MATCH('Rotation Assembler'!$A46, Calcs!$AC$5:$AC$51, 0), MATCH('Rotation Assembler'!AA$32, Calcs!$AC$5:$AG$5, 0))</f>
        <v>0</v>
      </c>
      <c r="AB46" s="126">
        <f>INDEX(Calcs!$AC$5:$AG$51, MATCH('Rotation Assembler'!$A46, Calcs!$AC$5:$AC$51, 0), MATCH('Rotation Assembler'!AB$32, Calcs!$AC$5:$AG$5, 0))</f>
        <v>0</v>
      </c>
      <c r="AC46" s="126">
        <f>INDEX(Calcs!$AC$5:$AG$51, MATCH('Rotation Assembler'!$A46, Calcs!$AC$5:$AC$51, 0), MATCH('Rotation Assembler'!AC$32, Calcs!$AC$5:$AG$5, 0))</f>
        <v>0</v>
      </c>
      <c r="AD46" s="126">
        <f>INDEX(Calcs!$AC$5:$AG$51, MATCH('Rotation Assembler'!$A46, Calcs!$AC$5:$AC$51, 0), MATCH('Rotation Assembler'!AD$32, Calcs!$AC$5:$AG$5, 0))</f>
        <v>0</v>
      </c>
      <c r="AE46" s="126">
        <f>INDEX(Calcs!$AC$5:$AG$51, MATCH('Rotation Assembler'!$A46, Calcs!$AC$5:$AC$51, 0), MATCH('Rotation Assembler'!AE$32, Calcs!$AC$5:$AG$5, 0))</f>
        <v>0</v>
      </c>
      <c r="AF46" s="126">
        <f>INDEX(Calcs!$AC$5:$AG$51, MATCH('Rotation Assembler'!$A46, Calcs!$AC$5:$AC$51, 0), MATCH('Rotation Assembler'!AF$32, Calcs!$AC$5:$AG$5, 0))</f>
        <v>0</v>
      </c>
      <c r="AG46" s="126">
        <f>INDEX(Calcs!$AC$5:$AG$51, MATCH('Rotation Assembler'!$A46, Calcs!$AC$5:$AC$51, 0), MATCH('Rotation Assembler'!AG$32, Calcs!$AC$5:$AG$5, 0))</f>
        <v>0</v>
      </c>
      <c r="AH46" s="126">
        <f>INDEX(Calcs!$AC$5:$AG$51, MATCH('Rotation Assembler'!$A46, Calcs!$AC$5:$AC$51, 0), MATCH('Rotation Assembler'!AH$32, Calcs!$AC$5:$AG$5, 0))</f>
        <v>0</v>
      </c>
      <c r="AI46" s="126">
        <f>INDEX(Calcs!$AC$5:$AG$51, MATCH('Rotation Assembler'!$A46, Calcs!$AC$5:$AC$51, 0), MATCH('Rotation Assembler'!AI$32, Calcs!$AC$5:$AG$5, 0))</f>
        <v>0</v>
      </c>
      <c r="AJ46" s="126" t="e">
        <f>INDEX(Calcs!$AC$5:$AG$51, MATCH('Rotation Assembler'!$A46, Calcs!$AC$5:$AC$51, 0), MATCH('Rotation Assembler'!AJ$32, Calcs!$AC$5:$AG$5, 0))</f>
        <v>#N/A</v>
      </c>
      <c r="AK46" s="126" t="e">
        <f>INDEX(Calcs!$AC$5:$AG$51, MATCH('Rotation Assembler'!$A46, Calcs!$AC$5:$AC$51, 0), MATCH('Rotation Assembler'!AK$32, Calcs!$AC$5:$AG$5, 0))</f>
        <v>#N/A</v>
      </c>
      <c r="AL46" s="126" t="e">
        <f>INDEX(Calcs!$AC$5:$AG$51, MATCH('Rotation Assembler'!$A46, Calcs!$AC$5:$AC$51, 0), MATCH('Rotation Assembler'!AL$32, Calcs!$AC$5:$AG$5, 0))</f>
        <v>#N/A</v>
      </c>
      <c r="AM46" s="126" t="e">
        <f>INDEX(Calcs!$AC$5:$AG$51, MATCH('Rotation Assembler'!$A46, Calcs!$AC$5:$AC$51, 0), MATCH('Rotation Assembler'!AM$32, Calcs!$AC$5:$AG$5, 0))</f>
        <v>#N/A</v>
      </c>
      <c r="AN46" s="126" t="e">
        <f>INDEX(Calcs!$AC$5:$AG$51, MATCH('Rotation Assembler'!$A46, Calcs!$AC$5:$AC$51, 0), MATCH('Rotation Assembler'!AN$32, Calcs!$AC$5:$AG$5, 0))</f>
        <v>#N/A</v>
      </c>
      <c r="AO46" s="126" t="e">
        <f>INDEX(Calcs!$AC$5:$AG$51, MATCH('Rotation Assembler'!$A46, Calcs!$AC$5:$AC$51, 0), MATCH('Rotation Assembler'!AO$32, Calcs!$AC$5:$AG$5, 0))</f>
        <v>#N/A</v>
      </c>
      <c r="AP46" s="126" t="e">
        <f>INDEX(Calcs!$AC$5:$AG$51, MATCH('Rotation Assembler'!$A46, Calcs!$AC$5:$AC$51, 0), MATCH('Rotation Assembler'!AP$32, Calcs!$AC$5:$AG$5, 0))</f>
        <v>#N/A</v>
      </c>
      <c r="AQ46" s="126" t="e">
        <f>INDEX(Calcs!$AC$5:$AG$51, MATCH('Rotation Assembler'!$A46, Calcs!$AC$5:$AC$51, 0), MATCH('Rotation Assembler'!AQ$32, Calcs!$AC$5:$AG$5, 0))</f>
        <v>#N/A</v>
      </c>
      <c r="AR46" s="126" t="e">
        <f>INDEX(Calcs!$AC$5:$AG$51, MATCH('Rotation Assembler'!$A46, Calcs!$AC$5:$AC$51, 0), MATCH('Rotation Assembler'!AR$32, Calcs!$AC$5:$AG$5, 0))</f>
        <v>#N/A</v>
      </c>
      <c r="AS46" s="126" t="e">
        <f>INDEX(Calcs!$AC$5:$AG$51, MATCH('Rotation Assembler'!$A46, Calcs!$AC$5:$AC$51, 0), MATCH('Rotation Assembler'!AS$32, Calcs!$AC$5:$AG$5, 0))</f>
        <v>#N/A</v>
      </c>
      <c r="AT46" s="126" t="e">
        <f>INDEX(Calcs!$AC$5:$AG$51, MATCH('Rotation Assembler'!$A46, Calcs!$AC$5:$AC$51, 0), MATCH('Rotation Assembler'!AT$32, Calcs!$AC$5:$AG$5, 0))</f>
        <v>#N/A</v>
      </c>
      <c r="AU46" s="126" t="e">
        <f>INDEX(Calcs!$AC$5:$AG$51, MATCH('Rotation Assembler'!$A46, Calcs!$AC$5:$AC$51, 0), MATCH('Rotation Assembler'!AU$32, Calcs!$AC$5:$AG$5, 0))</f>
        <v>#N/A</v>
      </c>
      <c r="AV46" s="126" t="e">
        <f>INDEX(Calcs!$AC$5:$AG$51, MATCH('Rotation Assembler'!$A46, Calcs!$AC$5:$AC$51, 0), MATCH('Rotation Assembler'!AV$32, Calcs!$AC$5:$AG$5, 0))</f>
        <v>#N/A</v>
      </c>
      <c r="AW46" s="126" t="e">
        <f>INDEX(Calcs!$AC$5:$AG$51, MATCH('Rotation Assembler'!$A46, Calcs!$AC$5:$AC$51, 0), MATCH('Rotation Assembler'!AW$32, Calcs!$AC$5:$AG$5, 0))</f>
        <v>#N/A</v>
      </c>
      <c r="AX46" s="126" t="e">
        <f>INDEX(Calcs!$AC$5:$AG$51, MATCH('Rotation Assembler'!$A46, Calcs!$AC$5:$AC$51, 0), MATCH('Rotation Assembler'!AX$32, Calcs!$AC$5:$AG$5, 0))</f>
        <v>#N/A</v>
      </c>
      <c r="AY46" s="126" t="e">
        <f>INDEX(Calcs!$AC$5:$AG$51, MATCH('Rotation Assembler'!$A46, Calcs!$AC$5:$AC$51, 0), MATCH('Rotation Assembler'!AY$32, Calcs!$AC$5:$AG$5, 0))</f>
        <v>#N/A</v>
      </c>
      <c r="AZ46" s="126" t="e">
        <f>INDEX(Calcs!$AC$5:$AG$51, MATCH('Rotation Assembler'!$A46, Calcs!$AC$5:$AC$51, 0), MATCH('Rotation Assembler'!AZ$32, Calcs!$AC$5:$AG$5, 0))</f>
        <v>#N/A</v>
      </c>
      <c r="BA46" s="126" t="e">
        <f>INDEX(Calcs!$AC$5:$AG$51, MATCH('Rotation Assembler'!$A46, Calcs!$AC$5:$AC$51, 0), MATCH('Rotation Assembler'!BA$32, Calcs!$AC$5:$AG$5, 0))</f>
        <v>#N/A</v>
      </c>
      <c r="BB46" s="126" t="e">
        <f>INDEX(Calcs!$AC$5:$AG$51, MATCH('Rotation Assembler'!$A46, Calcs!$AC$5:$AC$51, 0), MATCH('Rotation Assembler'!BB$32, Calcs!$AC$5:$AG$5, 0))</f>
        <v>#N/A</v>
      </c>
      <c r="BC46" s="126" t="e">
        <f>INDEX(Calcs!$AC$5:$AG$51, MATCH('Rotation Assembler'!$A46, Calcs!$AC$5:$AC$51, 0), MATCH('Rotation Assembler'!BC$32, Calcs!$AC$5:$AG$5, 0))</f>
        <v>#N/A</v>
      </c>
      <c r="BD46" s="126" t="e">
        <f>INDEX(Calcs!$AC$5:$AG$51, MATCH('Rotation Assembler'!$A46, Calcs!$AC$5:$AC$51, 0), MATCH('Rotation Assembler'!BD$32, Calcs!$AC$5:$AG$5, 0))</f>
        <v>#N/A</v>
      </c>
      <c r="BE46" s="126" t="e">
        <f>INDEX(Calcs!$AC$5:$AG$51, MATCH('Rotation Assembler'!$A46, Calcs!$AC$5:$AC$51, 0), MATCH('Rotation Assembler'!BE$32, Calcs!$AC$5:$AG$5, 0))</f>
        <v>#N/A</v>
      </c>
      <c r="BF46" s="126" t="e">
        <f>INDEX(Calcs!$AC$5:$AG$51, MATCH('Rotation Assembler'!$A46, Calcs!$AC$5:$AC$51, 0), MATCH('Rotation Assembler'!BF$32, Calcs!$AC$5:$AG$5, 0))</f>
        <v>#N/A</v>
      </c>
      <c r="BG46" s="126" t="e">
        <f>INDEX(Calcs!$AC$5:$AG$51, MATCH('Rotation Assembler'!$A46, Calcs!$AC$5:$AC$51, 0), MATCH('Rotation Assembler'!BG$32, Calcs!$AC$5:$AG$5, 0))</f>
        <v>#N/A</v>
      </c>
      <c r="BH46" s="126" t="e">
        <f>INDEX(Calcs!$AC$5:$AG$51, MATCH('Rotation Assembler'!$A46, Calcs!$AC$5:$AC$51, 0), MATCH('Rotation Assembler'!BH$32, Calcs!$AC$5:$AG$5, 0))</f>
        <v>#N/A</v>
      </c>
      <c r="BI46" s="126"/>
      <c r="BJ46" s="126"/>
      <c r="BK46" s="126"/>
      <c r="BL46" s="126"/>
      <c r="BM46" s="126"/>
      <c r="BN46" s="126"/>
      <c r="BO46" s="126"/>
      <c r="BP46" s="126"/>
      <c r="BQ46" s="126"/>
      <c r="BR46" s="126"/>
      <c r="BS46" s="126"/>
      <c r="BT46" s="126"/>
      <c r="BU46" s="126"/>
      <c r="BV46" s="126"/>
      <c r="BW46" s="126"/>
      <c r="BX46" s="126"/>
      <c r="BY46" s="126"/>
      <c r="BZ46" s="126"/>
      <c r="CA46" s="126"/>
      <c r="CB46" s="126"/>
      <c r="CC46" s="126"/>
      <c r="CD46" s="126"/>
      <c r="CE46" s="126"/>
      <c r="CF46" s="126"/>
      <c r="CG46" s="126"/>
      <c r="CH46" s="126"/>
      <c r="CI46" s="126"/>
      <c r="CJ46" s="126"/>
      <c r="CK46" s="126"/>
      <c r="CL46" s="126"/>
      <c r="CM46" s="126"/>
      <c r="CN46" s="126"/>
      <c r="CO46" s="126"/>
      <c r="CP46" s="126"/>
      <c r="CQ46" s="126"/>
      <c r="CR46" s="126"/>
      <c r="CS46" s="126"/>
      <c r="CT46" s="126"/>
      <c r="CU46" s="126"/>
      <c r="CV46" s="126"/>
      <c r="CW46" s="126"/>
      <c r="CX46" s="126"/>
      <c r="CY46" s="126"/>
      <c r="CZ46" s="126"/>
      <c r="DA46" s="126"/>
      <c r="DB46" s="126"/>
      <c r="DC46" s="126"/>
    </row>
    <row r="47" spans="1:107" hidden="1" outlineLevel="1" x14ac:dyDescent="0.25">
      <c r="A47" s="122" t="s">
        <v>73</v>
      </c>
      <c r="B47" s="126">
        <f>INDEX(Calcs!$AC$5:$AG$51, MATCH('Rotation Assembler'!$A47, Calcs!$AC$5:$AC$51, 0), MATCH('Rotation Assembler'!B$32, Calcs!$AC$5:$AG$5, 0))</f>
        <v>0</v>
      </c>
      <c r="C47" s="126">
        <f>INDEX(Calcs!$AC$5:$AG$51, MATCH('Rotation Assembler'!$A47, Calcs!$AC$5:$AC$51, 0), MATCH('Rotation Assembler'!C$32, Calcs!$AC$5:$AG$5, 0))</f>
        <v>0</v>
      </c>
      <c r="D47" s="126">
        <f>INDEX(Calcs!$AC$5:$AG$51, MATCH('Rotation Assembler'!$A47, Calcs!$AC$5:$AC$51, 0), MATCH('Rotation Assembler'!D$32, Calcs!$AC$5:$AG$5, 0))</f>
        <v>0</v>
      </c>
      <c r="E47" s="126">
        <f>INDEX(Calcs!$AC$5:$AG$51, MATCH('Rotation Assembler'!$A47, Calcs!$AC$5:$AC$51, 0), MATCH('Rotation Assembler'!E$32, Calcs!$AC$5:$AG$5, 0))</f>
        <v>0</v>
      </c>
      <c r="F47" s="126">
        <f>INDEX(Calcs!$AC$5:$AG$51, MATCH('Rotation Assembler'!$A47, Calcs!$AC$5:$AC$51, 0), MATCH('Rotation Assembler'!F$32, Calcs!$AC$5:$AG$5, 0))</f>
        <v>0</v>
      </c>
      <c r="G47" s="126">
        <f>INDEX(Calcs!$AC$5:$AG$51, MATCH('Rotation Assembler'!$A47, Calcs!$AC$5:$AC$51, 0), MATCH('Rotation Assembler'!G$32, Calcs!$AC$5:$AG$5, 0))</f>
        <v>0</v>
      </c>
      <c r="H47" s="126">
        <f>INDEX(Calcs!$AC$5:$AG$51, MATCH('Rotation Assembler'!$A47, Calcs!$AC$5:$AC$51, 0), MATCH('Rotation Assembler'!H$32, Calcs!$AC$5:$AG$5, 0))</f>
        <v>0</v>
      </c>
      <c r="I47" s="126">
        <f>INDEX(Calcs!$AC$5:$AG$51, MATCH('Rotation Assembler'!$A47, Calcs!$AC$5:$AC$51, 0), MATCH('Rotation Assembler'!I$32, Calcs!$AC$5:$AG$5, 0))</f>
        <v>0</v>
      </c>
      <c r="J47" s="126">
        <f>INDEX(Calcs!$AC$5:$AG$51, MATCH('Rotation Assembler'!$A47, Calcs!$AC$5:$AC$51, 0), MATCH('Rotation Assembler'!J$32, Calcs!$AC$5:$AG$5, 0))</f>
        <v>0</v>
      </c>
      <c r="K47" s="126">
        <f>INDEX(Calcs!$AC$5:$AG$51, MATCH('Rotation Assembler'!$A47, Calcs!$AC$5:$AC$51, 0), MATCH('Rotation Assembler'!K$32, Calcs!$AC$5:$AG$5, 0))</f>
        <v>0</v>
      </c>
      <c r="L47" s="126">
        <f>INDEX(Calcs!$AC$5:$AG$51, MATCH('Rotation Assembler'!$A47, Calcs!$AC$5:$AC$51, 0), MATCH('Rotation Assembler'!L$32, Calcs!$AC$5:$AG$5, 0))</f>
        <v>0</v>
      </c>
      <c r="M47" s="126">
        <f>INDEX(Calcs!$AC$5:$AG$51, MATCH('Rotation Assembler'!$A47, Calcs!$AC$5:$AC$51, 0), MATCH('Rotation Assembler'!M$32, Calcs!$AC$5:$AG$5, 0))</f>
        <v>0</v>
      </c>
      <c r="N47" s="126">
        <f>INDEX(Calcs!$AC$5:$AG$51, MATCH('Rotation Assembler'!$A47, Calcs!$AC$5:$AC$51, 0), MATCH('Rotation Assembler'!N$32, Calcs!$AC$5:$AG$5, 0))</f>
        <v>0</v>
      </c>
      <c r="O47" s="126">
        <f>INDEX(Calcs!$AC$5:$AG$51, MATCH('Rotation Assembler'!$A47, Calcs!$AC$5:$AC$51, 0), MATCH('Rotation Assembler'!O$32, Calcs!$AC$5:$AG$5, 0))</f>
        <v>0</v>
      </c>
      <c r="P47" s="126">
        <f>INDEX(Calcs!$AC$5:$AG$51, MATCH('Rotation Assembler'!$A47, Calcs!$AC$5:$AC$51, 0), MATCH('Rotation Assembler'!P$32, Calcs!$AC$5:$AG$5, 0))</f>
        <v>0</v>
      </c>
      <c r="Q47" s="126">
        <f>INDEX(Calcs!$AC$5:$AG$51, MATCH('Rotation Assembler'!$A47, Calcs!$AC$5:$AC$51, 0), MATCH('Rotation Assembler'!Q$32, Calcs!$AC$5:$AG$5, 0))</f>
        <v>0</v>
      </c>
      <c r="R47" s="126">
        <f>INDEX(Calcs!$AC$5:$AG$51, MATCH('Rotation Assembler'!$A47, Calcs!$AC$5:$AC$51, 0), MATCH('Rotation Assembler'!R$32, Calcs!$AC$5:$AG$5, 0))</f>
        <v>0</v>
      </c>
      <c r="S47" s="126">
        <f>INDEX(Calcs!$AC$5:$AG$51, MATCH('Rotation Assembler'!$A47, Calcs!$AC$5:$AC$51, 0), MATCH('Rotation Assembler'!S$32, Calcs!$AC$5:$AG$5, 0))</f>
        <v>0</v>
      </c>
      <c r="T47" s="126">
        <f>INDEX(Calcs!$AC$5:$AG$51, MATCH('Rotation Assembler'!$A47, Calcs!$AC$5:$AC$51, 0), MATCH('Rotation Assembler'!T$32, Calcs!$AC$5:$AG$5, 0))</f>
        <v>0</v>
      </c>
      <c r="U47" s="126">
        <f>INDEX(Calcs!$AC$5:$AG$51, MATCH('Rotation Assembler'!$A47, Calcs!$AC$5:$AC$51, 0), MATCH('Rotation Assembler'!U$32, Calcs!$AC$5:$AG$5, 0))</f>
        <v>0</v>
      </c>
      <c r="V47" s="126">
        <f>INDEX(Calcs!$AC$5:$AG$51, MATCH('Rotation Assembler'!$A47, Calcs!$AC$5:$AC$51, 0), MATCH('Rotation Assembler'!V$32, Calcs!$AC$5:$AG$5, 0))</f>
        <v>0</v>
      </c>
      <c r="W47" s="126">
        <f>INDEX(Calcs!$AC$5:$AG$51, MATCH('Rotation Assembler'!$A47, Calcs!$AC$5:$AC$51, 0), MATCH('Rotation Assembler'!W$32, Calcs!$AC$5:$AG$5, 0))</f>
        <v>0</v>
      </c>
      <c r="X47" s="126">
        <f>INDEX(Calcs!$AC$5:$AG$51, MATCH('Rotation Assembler'!$A47, Calcs!$AC$5:$AC$51, 0), MATCH('Rotation Assembler'!X$32, Calcs!$AC$5:$AG$5, 0))</f>
        <v>0</v>
      </c>
      <c r="Y47" s="126">
        <f>INDEX(Calcs!$AC$5:$AG$51, MATCH('Rotation Assembler'!$A47, Calcs!$AC$5:$AC$51, 0), MATCH('Rotation Assembler'!Y$32, Calcs!$AC$5:$AG$5, 0))</f>
        <v>0</v>
      </c>
      <c r="Z47" s="126">
        <f>INDEX(Calcs!$AC$5:$AG$51, MATCH('Rotation Assembler'!$A47, Calcs!$AC$5:$AC$51, 0), MATCH('Rotation Assembler'!Z$32, Calcs!$AC$5:$AG$5, 0))</f>
        <v>0</v>
      </c>
      <c r="AA47" s="126">
        <f>INDEX(Calcs!$AC$5:$AG$51, MATCH('Rotation Assembler'!$A47, Calcs!$AC$5:$AC$51, 0), MATCH('Rotation Assembler'!AA$32, Calcs!$AC$5:$AG$5, 0))</f>
        <v>0</v>
      </c>
      <c r="AB47" s="126">
        <f>INDEX(Calcs!$AC$5:$AG$51, MATCH('Rotation Assembler'!$A47, Calcs!$AC$5:$AC$51, 0), MATCH('Rotation Assembler'!AB$32, Calcs!$AC$5:$AG$5, 0))</f>
        <v>0</v>
      </c>
      <c r="AC47" s="126">
        <f>INDEX(Calcs!$AC$5:$AG$51, MATCH('Rotation Assembler'!$A47, Calcs!$AC$5:$AC$51, 0), MATCH('Rotation Assembler'!AC$32, Calcs!$AC$5:$AG$5, 0))</f>
        <v>0</v>
      </c>
      <c r="AD47" s="126">
        <f>INDEX(Calcs!$AC$5:$AG$51, MATCH('Rotation Assembler'!$A47, Calcs!$AC$5:$AC$51, 0), MATCH('Rotation Assembler'!AD$32, Calcs!$AC$5:$AG$5, 0))</f>
        <v>0</v>
      </c>
      <c r="AE47" s="126">
        <f>INDEX(Calcs!$AC$5:$AG$51, MATCH('Rotation Assembler'!$A47, Calcs!$AC$5:$AC$51, 0), MATCH('Rotation Assembler'!AE$32, Calcs!$AC$5:$AG$5, 0))</f>
        <v>0</v>
      </c>
      <c r="AF47" s="126">
        <f>INDEX(Calcs!$AC$5:$AG$51, MATCH('Rotation Assembler'!$A47, Calcs!$AC$5:$AC$51, 0), MATCH('Rotation Assembler'!AF$32, Calcs!$AC$5:$AG$5, 0))</f>
        <v>0</v>
      </c>
      <c r="AG47" s="126">
        <f>INDEX(Calcs!$AC$5:$AG$51, MATCH('Rotation Assembler'!$A47, Calcs!$AC$5:$AC$51, 0), MATCH('Rotation Assembler'!AG$32, Calcs!$AC$5:$AG$5, 0))</f>
        <v>0</v>
      </c>
      <c r="AH47" s="126">
        <f>INDEX(Calcs!$AC$5:$AG$51, MATCH('Rotation Assembler'!$A47, Calcs!$AC$5:$AC$51, 0), MATCH('Rotation Assembler'!AH$32, Calcs!$AC$5:$AG$5, 0))</f>
        <v>0</v>
      </c>
      <c r="AI47" s="126">
        <f>INDEX(Calcs!$AC$5:$AG$51, MATCH('Rotation Assembler'!$A47, Calcs!$AC$5:$AC$51, 0), MATCH('Rotation Assembler'!AI$32, Calcs!$AC$5:$AG$5, 0))</f>
        <v>0</v>
      </c>
      <c r="AJ47" s="126" t="e">
        <f>INDEX(Calcs!$AC$5:$AG$51, MATCH('Rotation Assembler'!$A47, Calcs!$AC$5:$AC$51, 0), MATCH('Rotation Assembler'!AJ$32, Calcs!$AC$5:$AG$5, 0))</f>
        <v>#N/A</v>
      </c>
      <c r="AK47" s="126" t="e">
        <f>INDEX(Calcs!$AC$5:$AG$51, MATCH('Rotation Assembler'!$A47, Calcs!$AC$5:$AC$51, 0), MATCH('Rotation Assembler'!AK$32, Calcs!$AC$5:$AG$5, 0))</f>
        <v>#N/A</v>
      </c>
      <c r="AL47" s="126" t="e">
        <f>INDEX(Calcs!$AC$5:$AG$51, MATCH('Rotation Assembler'!$A47, Calcs!$AC$5:$AC$51, 0), MATCH('Rotation Assembler'!AL$32, Calcs!$AC$5:$AG$5, 0))</f>
        <v>#N/A</v>
      </c>
      <c r="AM47" s="126" t="e">
        <f>INDEX(Calcs!$AC$5:$AG$51, MATCH('Rotation Assembler'!$A47, Calcs!$AC$5:$AC$51, 0), MATCH('Rotation Assembler'!AM$32, Calcs!$AC$5:$AG$5, 0))</f>
        <v>#N/A</v>
      </c>
      <c r="AN47" s="126" t="e">
        <f>INDEX(Calcs!$AC$5:$AG$51, MATCH('Rotation Assembler'!$A47, Calcs!$AC$5:$AC$51, 0), MATCH('Rotation Assembler'!AN$32, Calcs!$AC$5:$AG$5, 0))</f>
        <v>#N/A</v>
      </c>
      <c r="AO47" s="126" t="e">
        <f>INDEX(Calcs!$AC$5:$AG$51, MATCH('Rotation Assembler'!$A47, Calcs!$AC$5:$AC$51, 0), MATCH('Rotation Assembler'!AO$32, Calcs!$AC$5:$AG$5, 0))</f>
        <v>#N/A</v>
      </c>
      <c r="AP47" s="126" t="e">
        <f>INDEX(Calcs!$AC$5:$AG$51, MATCH('Rotation Assembler'!$A47, Calcs!$AC$5:$AC$51, 0), MATCH('Rotation Assembler'!AP$32, Calcs!$AC$5:$AG$5, 0))</f>
        <v>#N/A</v>
      </c>
      <c r="AQ47" s="126" t="e">
        <f>INDEX(Calcs!$AC$5:$AG$51, MATCH('Rotation Assembler'!$A47, Calcs!$AC$5:$AC$51, 0), MATCH('Rotation Assembler'!AQ$32, Calcs!$AC$5:$AG$5, 0))</f>
        <v>#N/A</v>
      </c>
      <c r="AR47" s="126" t="e">
        <f>INDEX(Calcs!$AC$5:$AG$51, MATCH('Rotation Assembler'!$A47, Calcs!$AC$5:$AC$51, 0), MATCH('Rotation Assembler'!AR$32, Calcs!$AC$5:$AG$5, 0))</f>
        <v>#N/A</v>
      </c>
      <c r="AS47" s="126" t="e">
        <f>INDEX(Calcs!$AC$5:$AG$51, MATCH('Rotation Assembler'!$A47, Calcs!$AC$5:$AC$51, 0), MATCH('Rotation Assembler'!AS$32, Calcs!$AC$5:$AG$5, 0))</f>
        <v>#N/A</v>
      </c>
      <c r="AT47" s="126" t="e">
        <f>INDEX(Calcs!$AC$5:$AG$51, MATCH('Rotation Assembler'!$A47, Calcs!$AC$5:$AC$51, 0), MATCH('Rotation Assembler'!AT$32, Calcs!$AC$5:$AG$5, 0))</f>
        <v>#N/A</v>
      </c>
      <c r="AU47" s="126" t="e">
        <f>INDEX(Calcs!$AC$5:$AG$51, MATCH('Rotation Assembler'!$A47, Calcs!$AC$5:$AC$51, 0), MATCH('Rotation Assembler'!AU$32, Calcs!$AC$5:$AG$5, 0))</f>
        <v>#N/A</v>
      </c>
      <c r="AV47" s="126" t="e">
        <f>INDEX(Calcs!$AC$5:$AG$51, MATCH('Rotation Assembler'!$A47, Calcs!$AC$5:$AC$51, 0), MATCH('Rotation Assembler'!AV$32, Calcs!$AC$5:$AG$5, 0))</f>
        <v>#N/A</v>
      </c>
      <c r="AW47" s="126" t="e">
        <f>INDEX(Calcs!$AC$5:$AG$51, MATCH('Rotation Assembler'!$A47, Calcs!$AC$5:$AC$51, 0), MATCH('Rotation Assembler'!AW$32, Calcs!$AC$5:$AG$5, 0))</f>
        <v>#N/A</v>
      </c>
      <c r="AX47" s="126" t="e">
        <f>INDEX(Calcs!$AC$5:$AG$51, MATCH('Rotation Assembler'!$A47, Calcs!$AC$5:$AC$51, 0), MATCH('Rotation Assembler'!AX$32, Calcs!$AC$5:$AG$5, 0))</f>
        <v>#N/A</v>
      </c>
      <c r="AY47" s="126" t="e">
        <f>INDEX(Calcs!$AC$5:$AG$51, MATCH('Rotation Assembler'!$A47, Calcs!$AC$5:$AC$51, 0), MATCH('Rotation Assembler'!AY$32, Calcs!$AC$5:$AG$5, 0))</f>
        <v>#N/A</v>
      </c>
      <c r="AZ47" s="126" t="e">
        <f>INDEX(Calcs!$AC$5:$AG$51, MATCH('Rotation Assembler'!$A47, Calcs!$AC$5:$AC$51, 0), MATCH('Rotation Assembler'!AZ$32, Calcs!$AC$5:$AG$5, 0))</f>
        <v>#N/A</v>
      </c>
      <c r="BA47" s="126" t="e">
        <f>INDEX(Calcs!$AC$5:$AG$51, MATCH('Rotation Assembler'!$A47, Calcs!$AC$5:$AC$51, 0), MATCH('Rotation Assembler'!BA$32, Calcs!$AC$5:$AG$5, 0))</f>
        <v>#N/A</v>
      </c>
      <c r="BB47" s="126" t="e">
        <f>INDEX(Calcs!$AC$5:$AG$51, MATCH('Rotation Assembler'!$A47, Calcs!$AC$5:$AC$51, 0), MATCH('Rotation Assembler'!BB$32, Calcs!$AC$5:$AG$5, 0))</f>
        <v>#N/A</v>
      </c>
      <c r="BC47" s="126" t="e">
        <f>INDEX(Calcs!$AC$5:$AG$51, MATCH('Rotation Assembler'!$A47, Calcs!$AC$5:$AC$51, 0), MATCH('Rotation Assembler'!BC$32, Calcs!$AC$5:$AG$5, 0))</f>
        <v>#N/A</v>
      </c>
      <c r="BD47" s="126" t="e">
        <f>INDEX(Calcs!$AC$5:$AG$51, MATCH('Rotation Assembler'!$A47, Calcs!$AC$5:$AC$51, 0), MATCH('Rotation Assembler'!BD$32, Calcs!$AC$5:$AG$5, 0))</f>
        <v>#N/A</v>
      </c>
      <c r="BE47" s="126" t="e">
        <f>INDEX(Calcs!$AC$5:$AG$51, MATCH('Rotation Assembler'!$A47, Calcs!$AC$5:$AC$51, 0), MATCH('Rotation Assembler'!BE$32, Calcs!$AC$5:$AG$5, 0))</f>
        <v>#N/A</v>
      </c>
      <c r="BF47" s="126" t="e">
        <f>INDEX(Calcs!$AC$5:$AG$51, MATCH('Rotation Assembler'!$A47, Calcs!$AC$5:$AC$51, 0), MATCH('Rotation Assembler'!BF$32, Calcs!$AC$5:$AG$5, 0))</f>
        <v>#N/A</v>
      </c>
      <c r="BG47" s="126" t="e">
        <f>INDEX(Calcs!$AC$5:$AG$51, MATCH('Rotation Assembler'!$A47, Calcs!$AC$5:$AC$51, 0), MATCH('Rotation Assembler'!BG$32, Calcs!$AC$5:$AG$5, 0))</f>
        <v>#N/A</v>
      </c>
      <c r="BH47" s="126" t="e">
        <f>INDEX(Calcs!$AC$5:$AG$51, MATCH('Rotation Assembler'!$A47, Calcs!$AC$5:$AC$51, 0), MATCH('Rotation Assembler'!BH$32, Calcs!$AC$5:$AG$5, 0))</f>
        <v>#N/A</v>
      </c>
      <c r="BI47" s="126"/>
      <c r="BJ47" s="126"/>
      <c r="BK47" s="126"/>
      <c r="BL47" s="126"/>
      <c r="BM47" s="126"/>
      <c r="BN47" s="126"/>
      <c r="BO47" s="126"/>
      <c r="BP47" s="126"/>
      <c r="BQ47" s="126"/>
      <c r="BR47" s="126"/>
      <c r="BS47" s="126"/>
      <c r="BT47" s="126"/>
      <c r="BU47" s="126"/>
      <c r="BV47" s="126"/>
      <c r="BW47" s="126"/>
      <c r="BX47" s="126"/>
      <c r="BY47" s="126"/>
      <c r="BZ47" s="126"/>
      <c r="CA47" s="126"/>
      <c r="CB47" s="126"/>
      <c r="CC47" s="126"/>
      <c r="CD47" s="126"/>
      <c r="CE47" s="126"/>
      <c r="CF47" s="126"/>
      <c r="CG47" s="126"/>
      <c r="CH47" s="126"/>
      <c r="CI47" s="126"/>
      <c r="CJ47" s="126"/>
      <c r="CK47" s="126"/>
      <c r="CL47" s="126"/>
      <c r="CM47" s="126"/>
      <c r="CN47" s="126"/>
      <c r="CO47" s="126"/>
      <c r="CP47" s="126"/>
      <c r="CQ47" s="126"/>
      <c r="CR47" s="126"/>
      <c r="CS47" s="126"/>
      <c r="CT47" s="126"/>
      <c r="CU47" s="126"/>
      <c r="CV47" s="126"/>
      <c r="CW47" s="126"/>
      <c r="CX47" s="126"/>
      <c r="CY47" s="126"/>
      <c r="CZ47" s="126"/>
      <c r="DA47" s="126"/>
      <c r="DB47" s="126"/>
      <c r="DC47" s="126"/>
    </row>
    <row r="48" spans="1:107" hidden="1" outlineLevel="1" x14ac:dyDescent="0.25">
      <c r="A48" s="122" t="s">
        <v>74</v>
      </c>
      <c r="B48" s="126">
        <f>INDEX(Calcs!$AC$5:$AG$51, MATCH('Rotation Assembler'!$A48, Calcs!$AC$5:$AC$51, 0), MATCH('Rotation Assembler'!B$32, Calcs!$AC$5:$AG$5, 0))</f>
        <v>0.61599999999999999</v>
      </c>
      <c r="C48" s="126">
        <f>INDEX(Calcs!$AC$5:$AG$51, MATCH('Rotation Assembler'!$A48, Calcs!$AC$5:$AC$51, 0), MATCH('Rotation Assembler'!C$32, Calcs!$AC$5:$AG$5, 0))</f>
        <v>0</v>
      </c>
      <c r="D48" s="126">
        <f>INDEX(Calcs!$AC$5:$AG$51, MATCH('Rotation Assembler'!$A48, Calcs!$AC$5:$AC$51, 0), MATCH('Rotation Assembler'!D$32, Calcs!$AC$5:$AG$5, 0))</f>
        <v>0</v>
      </c>
      <c r="E48" s="126">
        <f>INDEX(Calcs!$AC$5:$AG$51, MATCH('Rotation Assembler'!$A48, Calcs!$AC$5:$AC$51, 0), MATCH('Rotation Assembler'!E$32, Calcs!$AC$5:$AG$5, 0))</f>
        <v>0</v>
      </c>
      <c r="F48" s="126">
        <f>INDEX(Calcs!$AC$5:$AG$51, MATCH('Rotation Assembler'!$A48, Calcs!$AC$5:$AC$51, 0), MATCH('Rotation Assembler'!F$32, Calcs!$AC$5:$AG$5, 0))</f>
        <v>0</v>
      </c>
      <c r="G48" s="126">
        <f>INDEX(Calcs!$AC$5:$AG$51, MATCH('Rotation Assembler'!$A48, Calcs!$AC$5:$AC$51, 0), MATCH('Rotation Assembler'!G$32, Calcs!$AC$5:$AG$5, 0))</f>
        <v>0</v>
      </c>
      <c r="H48" s="126">
        <f>INDEX(Calcs!$AC$5:$AG$51, MATCH('Rotation Assembler'!$A48, Calcs!$AC$5:$AC$51, 0), MATCH('Rotation Assembler'!H$32, Calcs!$AC$5:$AG$5, 0))</f>
        <v>0</v>
      </c>
      <c r="I48" s="126">
        <f>INDEX(Calcs!$AC$5:$AG$51, MATCH('Rotation Assembler'!$A48, Calcs!$AC$5:$AC$51, 0), MATCH('Rotation Assembler'!I$32, Calcs!$AC$5:$AG$5, 0))</f>
        <v>0</v>
      </c>
      <c r="J48" s="126">
        <f>INDEX(Calcs!$AC$5:$AG$51, MATCH('Rotation Assembler'!$A48, Calcs!$AC$5:$AC$51, 0), MATCH('Rotation Assembler'!J$32, Calcs!$AC$5:$AG$5, 0))</f>
        <v>0</v>
      </c>
      <c r="K48" s="126">
        <f>INDEX(Calcs!$AC$5:$AG$51, MATCH('Rotation Assembler'!$A48, Calcs!$AC$5:$AC$51, 0), MATCH('Rotation Assembler'!K$32, Calcs!$AC$5:$AG$5, 0))</f>
        <v>0</v>
      </c>
      <c r="L48" s="126">
        <f>INDEX(Calcs!$AC$5:$AG$51, MATCH('Rotation Assembler'!$A48, Calcs!$AC$5:$AC$51, 0), MATCH('Rotation Assembler'!L$32, Calcs!$AC$5:$AG$5, 0))</f>
        <v>0</v>
      </c>
      <c r="M48" s="126">
        <f>INDEX(Calcs!$AC$5:$AG$51, MATCH('Rotation Assembler'!$A48, Calcs!$AC$5:$AC$51, 0), MATCH('Rotation Assembler'!M$32, Calcs!$AC$5:$AG$5, 0))</f>
        <v>0</v>
      </c>
      <c r="N48" s="126">
        <f>INDEX(Calcs!$AC$5:$AG$51, MATCH('Rotation Assembler'!$A48, Calcs!$AC$5:$AC$51, 0), MATCH('Rotation Assembler'!N$32, Calcs!$AC$5:$AG$5, 0))</f>
        <v>0</v>
      </c>
      <c r="O48" s="126">
        <f>INDEX(Calcs!$AC$5:$AG$51, MATCH('Rotation Assembler'!$A48, Calcs!$AC$5:$AC$51, 0), MATCH('Rotation Assembler'!O$32, Calcs!$AC$5:$AG$5, 0))</f>
        <v>0</v>
      </c>
      <c r="P48" s="126">
        <f>INDEX(Calcs!$AC$5:$AG$51, MATCH('Rotation Assembler'!$A48, Calcs!$AC$5:$AC$51, 0), MATCH('Rotation Assembler'!P$32, Calcs!$AC$5:$AG$5, 0))</f>
        <v>0</v>
      </c>
      <c r="Q48" s="126">
        <f>INDEX(Calcs!$AC$5:$AG$51, MATCH('Rotation Assembler'!$A48, Calcs!$AC$5:$AC$51, 0), MATCH('Rotation Assembler'!Q$32, Calcs!$AC$5:$AG$5, 0))</f>
        <v>0</v>
      </c>
      <c r="R48" s="126">
        <f>INDEX(Calcs!$AC$5:$AG$51, MATCH('Rotation Assembler'!$A48, Calcs!$AC$5:$AC$51, 0), MATCH('Rotation Assembler'!R$32, Calcs!$AC$5:$AG$5, 0))</f>
        <v>0</v>
      </c>
      <c r="S48" s="126">
        <f>INDEX(Calcs!$AC$5:$AG$51, MATCH('Rotation Assembler'!$A48, Calcs!$AC$5:$AC$51, 0), MATCH('Rotation Assembler'!S$32, Calcs!$AC$5:$AG$5, 0))</f>
        <v>0.61599999999999999</v>
      </c>
      <c r="T48" s="126">
        <f>INDEX(Calcs!$AC$5:$AG$51, MATCH('Rotation Assembler'!$A48, Calcs!$AC$5:$AC$51, 0), MATCH('Rotation Assembler'!T$32, Calcs!$AC$5:$AG$5, 0))</f>
        <v>0</v>
      </c>
      <c r="U48" s="126">
        <f>INDEX(Calcs!$AC$5:$AG$51, MATCH('Rotation Assembler'!$A48, Calcs!$AC$5:$AC$51, 0), MATCH('Rotation Assembler'!U$32, Calcs!$AC$5:$AG$5, 0))</f>
        <v>0.61599999999999999</v>
      </c>
      <c r="V48" s="126">
        <f>INDEX(Calcs!$AC$5:$AG$51, MATCH('Rotation Assembler'!$A48, Calcs!$AC$5:$AC$51, 0), MATCH('Rotation Assembler'!V$32, Calcs!$AC$5:$AG$5, 0))</f>
        <v>0.61599999999999999</v>
      </c>
      <c r="W48" s="126">
        <f>INDEX(Calcs!$AC$5:$AG$51, MATCH('Rotation Assembler'!$A48, Calcs!$AC$5:$AC$51, 0), MATCH('Rotation Assembler'!W$32, Calcs!$AC$5:$AG$5, 0))</f>
        <v>0.61599999999999999</v>
      </c>
      <c r="X48" s="126">
        <f>INDEX(Calcs!$AC$5:$AG$51, MATCH('Rotation Assembler'!$A48, Calcs!$AC$5:$AC$51, 0), MATCH('Rotation Assembler'!X$32, Calcs!$AC$5:$AG$5, 0))</f>
        <v>0.61599999999999999</v>
      </c>
      <c r="Y48" s="126">
        <f>INDEX(Calcs!$AC$5:$AG$51, MATCH('Rotation Assembler'!$A48, Calcs!$AC$5:$AC$51, 0), MATCH('Rotation Assembler'!Y$32, Calcs!$AC$5:$AG$5, 0))</f>
        <v>0.61599999999999999</v>
      </c>
      <c r="Z48" s="126">
        <f>INDEX(Calcs!$AC$5:$AG$51, MATCH('Rotation Assembler'!$A48, Calcs!$AC$5:$AC$51, 0), MATCH('Rotation Assembler'!Z$32, Calcs!$AC$5:$AG$5, 0))</f>
        <v>0.61599999999999999</v>
      </c>
      <c r="AA48" s="126">
        <f>INDEX(Calcs!$AC$5:$AG$51, MATCH('Rotation Assembler'!$A48, Calcs!$AC$5:$AC$51, 0), MATCH('Rotation Assembler'!AA$32, Calcs!$AC$5:$AG$5, 0))</f>
        <v>0.61599999999999999</v>
      </c>
      <c r="AB48" s="126">
        <f>INDEX(Calcs!$AC$5:$AG$51, MATCH('Rotation Assembler'!$A48, Calcs!$AC$5:$AC$51, 0), MATCH('Rotation Assembler'!AB$32, Calcs!$AC$5:$AG$5, 0))</f>
        <v>0</v>
      </c>
      <c r="AC48" s="126">
        <f>INDEX(Calcs!$AC$5:$AG$51, MATCH('Rotation Assembler'!$A48, Calcs!$AC$5:$AC$51, 0), MATCH('Rotation Assembler'!AC$32, Calcs!$AC$5:$AG$5, 0))</f>
        <v>0</v>
      </c>
      <c r="AD48" s="126">
        <f>INDEX(Calcs!$AC$5:$AG$51, MATCH('Rotation Assembler'!$A48, Calcs!$AC$5:$AC$51, 0), MATCH('Rotation Assembler'!AD$32, Calcs!$AC$5:$AG$5, 0))</f>
        <v>0</v>
      </c>
      <c r="AE48" s="126">
        <f>INDEX(Calcs!$AC$5:$AG$51, MATCH('Rotation Assembler'!$A48, Calcs!$AC$5:$AC$51, 0), MATCH('Rotation Assembler'!AE$32, Calcs!$AC$5:$AG$5, 0))</f>
        <v>0</v>
      </c>
      <c r="AF48" s="126">
        <f>INDEX(Calcs!$AC$5:$AG$51, MATCH('Rotation Assembler'!$A48, Calcs!$AC$5:$AC$51, 0), MATCH('Rotation Assembler'!AF$32, Calcs!$AC$5:$AG$5, 0))</f>
        <v>0.61599999999999999</v>
      </c>
      <c r="AG48" s="126">
        <f>INDEX(Calcs!$AC$5:$AG$51, MATCH('Rotation Assembler'!$A48, Calcs!$AC$5:$AC$51, 0), MATCH('Rotation Assembler'!AG$32, Calcs!$AC$5:$AG$5, 0))</f>
        <v>0.61599999999999999</v>
      </c>
      <c r="AH48" s="126">
        <f>INDEX(Calcs!$AC$5:$AG$51, MATCH('Rotation Assembler'!$A48, Calcs!$AC$5:$AC$51, 0), MATCH('Rotation Assembler'!AH$32, Calcs!$AC$5:$AG$5, 0))</f>
        <v>0.61599999999999999</v>
      </c>
      <c r="AI48" s="126">
        <f>INDEX(Calcs!$AC$5:$AG$51, MATCH('Rotation Assembler'!$A48, Calcs!$AC$5:$AC$51, 0), MATCH('Rotation Assembler'!AI$32, Calcs!$AC$5:$AG$5, 0))</f>
        <v>0.61599999999999999</v>
      </c>
      <c r="AJ48" s="126" t="e">
        <f>INDEX(Calcs!$AC$5:$AG$51, MATCH('Rotation Assembler'!$A48, Calcs!$AC$5:$AC$51, 0), MATCH('Rotation Assembler'!AJ$32, Calcs!$AC$5:$AG$5, 0))</f>
        <v>#N/A</v>
      </c>
      <c r="AK48" s="126" t="e">
        <f>INDEX(Calcs!$AC$5:$AG$51, MATCH('Rotation Assembler'!$A48, Calcs!$AC$5:$AC$51, 0), MATCH('Rotation Assembler'!AK$32, Calcs!$AC$5:$AG$5, 0))</f>
        <v>#N/A</v>
      </c>
      <c r="AL48" s="126" t="e">
        <f>INDEX(Calcs!$AC$5:$AG$51, MATCH('Rotation Assembler'!$A48, Calcs!$AC$5:$AC$51, 0), MATCH('Rotation Assembler'!AL$32, Calcs!$AC$5:$AG$5, 0))</f>
        <v>#N/A</v>
      </c>
      <c r="AM48" s="126" t="e">
        <f>INDEX(Calcs!$AC$5:$AG$51, MATCH('Rotation Assembler'!$A48, Calcs!$AC$5:$AC$51, 0), MATCH('Rotation Assembler'!AM$32, Calcs!$AC$5:$AG$5, 0))</f>
        <v>#N/A</v>
      </c>
      <c r="AN48" s="126" t="e">
        <f>INDEX(Calcs!$AC$5:$AG$51, MATCH('Rotation Assembler'!$A48, Calcs!$AC$5:$AC$51, 0), MATCH('Rotation Assembler'!AN$32, Calcs!$AC$5:$AG$5, 0))</f>
        <v>#N/A</v>
      </c>
      <c r="AO48" s="126" t="e">
        <f>INDEX(Calcs!$AC$5:$AG$51, MATCH('Rotation Assembler'!$A48, Calcs!$AC$5:$AC$51, 0), MATCH('Rotation Assembler'!AO$32, Calcs!$AC$5:$AG$5, 0))</f>
        <v>#N/A</v>
      </c>
      <c r="AP48" s="126" t="e">
        <f>INDEX(Calcs!$AC$5:$AG$51, MATCH('Rotation Assembler'!$A48, Calcs!$AC$5:$AC$51, 0), MATCH('Rotation Assembler'!AP$32, Calcs!$AC$5:$AG$5, 0))</f>
        <v>#N/A</v>
      </c>
      <c r="AQ48" s="126" t="e">
        <f>INDEX(Calcs!$AC$5:$AG$51, MATCH('Rotation Assembler'!$A48, Calcs!$AC$5:$AC$51, 0), MATCH('Rotation Assembler'!AQ$32, Calcs!$AC$5:$AG$5, 0))</f>
        <v>#N/A</v>
      </c>
      <c r="AR48" s="126" t="e">
        <f>INDEX(Calcs!$AC$5:$AG$51, MATCH('Rotation Assembler'!$A48, Calcs!$AC$5:$AC$51, 0), MATCH('Rotation Assembler'!AR$32, Calcs!$AC$5:$AG$5, 0))</f>
        <v>#N/A</v>
      </c>
      <c r="AS48" s="126" t="e">
        <f>INDEX(Calcs!$AC$5:$AG$51, MATCH('Rotation Assembler'!$A48, Calcs!$AC$5:$AC$51, 0), MATCH('Rotation Assembler'!AS$32, Calcs!$AC$5:$AG$5, 0))</f>
        <v>#N/A</v>
      </c>
      <c r="AT48" s="126" t="e">
        <f>INDEX(Calcs!$AC$5:$AG$51, MATCH('Rotation Assembler'!$A48, Calcs!$AC$5:$AC$51, 0), MATCH('Rotation Assembler'!AT$32, Calcs!$AC$5:$AG$5, 0))</f>
        <v>#N/A</v>
      </c>
      <c r="AU48" s="126" t="e">
        <f>INDEX(Calcs!$AC$5:$AG$51, MATCH('Rotation Assembler'!$A48, Calcs!$AC$5:$AC$51, 0), MATCH('Rotation Assembler'!AU$32, Calcs!$AC$5:$AG$5, 0))</f>
        <v>#N/A</v>
      </c>
      <c r="AV48" s="126" t="e">
        <f>INDEX(Calcs!$AC$5:$AG$51, MATCH('Rotation Assembler'!$A48, Calcs!$AC$5:$AC$51, 0), MATCH('Rotation Assembler'!AV$32, Calcs!$AC$5:$AG$5, 0))</f>
        <v>#N/A</v>
      </c>
      <c r="AW48" s="126" t="e">
        <f>INDEX(Calcs!$AC$5:$AG$51, MATCH('Rotation Assembler'!$A48, Calcs!$AC$5:$AC$51, 0), MATCH('Rotation Assembler'!AW$32, Calcs!$AC$5:$AG$5, 0))</f>
        <v>#N/A</v>
      </c>
      <c r="AX48" s="126" t="e">
        <f>INDEX(Calcs!$AC$5:$AG$51, MATCH('Rotation Assembler'!$A48, Calcs!$AC$5:$AC$51, 0), MATCH('Rotation Assembler'!AX$32, Calcs!$AC$5:$AG$5, 0))</f>
        <v>#N/A</v>
      </c>
      <c r="AY48" s="126" t="e">
        <f>INDEX(Calcs!$AC$5:$AG$51, MATCH('Rotation Assembler'!$A48, Calcs!$AC$5:$AC$51, 0), MATCH('Rotation Assembler'!AY$32, Calcs!$AC$5:$AG$5, 0))</f>
        <v>#N/A</v>
      </c>
      <c r="AZ48" s="126" t="e">
        <f>INDEX(Calcs!$AC$5:$AG$51, MATCH('Rotation Assembler'!$A48, Calcs!$AC$5:$AC$51, 0), MATCH('Rotation Assembler'!AZ$32, Calcs!$AC$5:$AG$5, 0))</f>
        <v>#N/A</v>
      </c>
      <c r="BA48" s="126" t="e">
        <f>INDEX(Calcs!$AC$5:$AG$51, MATCH('Rotation Assembler'!$A48, Calcs!$AC$5:$AC$51, 0), MATCH('Rotation Assembler'!BA$32, Calcs!$AC$5:$AG$5, 0))</f>
        <v>#N/A</v>
      </c>
      <c r="BB48" s="126" t="e">
        <f>INDEX(Calcs!$AC$5:$AG$51, MATCH('Rotation Assembler'!$A48, Calcs!$AC$5:$AC$51, 0), MATCH('Rotation Assembler'!BB$32, Calcs!$AC$5:$AG$5, 0))</f>
        <v>#N/A</v>
      </c>
      <c r="BC48" s="126" t="e">
        <f>INDEX(Calcs!$AC$5:$AG$51, MATCH('Rotation Assembler'!$A48, Calcs!$AC$5:$AC$51, 0), MATCH('Rotation Assembler'!BC$32, Calcs!$AC$5:$AG$5, 0))</f>
        <v>#N/A</v>
      </c>
      <c r="BD48" s="126" t="e">
        <f>INDEX(Calcs!$AC$5:$AG$51, MATCH('Rotation Assembler'!$A48, Calcs!$AC$5:$AC$51, 0), MATCH('Rotation Assembler'!BD$32, Calcs!$AC$5:$AG$5, 0))</f>
        <v>#N/A</v>
      </c>
      <c r="BE48" s="126" t="e">
        <f>INDEX(Calcs!$AC$5:$AG$51, MATCH('Rotation Assembler'!$A48, Calcs!$AC$5:$AC$51, 0), MATCH('Rotation Assembler'!BE$32, Calcs!$AC$5:$AG$5, 0))</f>
        <v>#N/A</v>
      </c>
      <c r="BF48" s="126" t="e">
        <f>INDEX(Calcs!$AC$5:$AG$51, MATCH('Rotation Assembler'!$A48, Calcs!$AC$5:$AC$51, 0), MATCH('Rotation Assembler'!BF$32, Calcs!$AC$5:$AG$5, 0))</f>
        <v>#N/A</v>
      </c>
      <c r="BG48" s="126" t="e">
        <f>INDEX(Calcs!$AC$5:$AG$51, MATCH('Rotation Assembler'!$A48, Calcs!$AC$5:$AC$51, 0), MATCH('Rotation Assembler'!BG$32, Calcs!$AC$5:$AG$5, 0))</f>
        <v>#N/A</v>
      </c>
      <c r="BH48" s="126" t="e">
        <f>INDEX(Calcs!$AC$5:$AG$51, MATCH('Rotation Assembler'!$A48, Calcs!$AC$5:$AC$51, 0), MATCH('Rotation Assembler'!BH$32, Calcs!$AC$5:$AG$5, 0))</f>
        <v>#N/A</v>
      </c>
      <c r="BI48" s="126"/>
      <c r="BJ48" s="126"/>
      <c r="BK48" s="126"/>
      <c r="BL48" s="126"/>
      <c r="BM48" s="126"/>
      <c r="BN48" s="126"/>
      <c r="BO48" s="126"/>
      <c r="BP48" s="126"/>
      <c r="BQ48" s="126"/>
      <c r="BR48" s="126"/>
      <c r="BS48" s="126"/>
      <c r="BT48" s="126"/>
      <c r="BU48" s="126"/>
      <c r="BV48" s="126"/>
      <c r="BW48" s="126"/>
      <c r="BX48" s="126"/>
      <c r="BY48" s="126"/>
      <c r="BZ48" s="126"/>
      <c r="CA48" s="126"/>
      <c r="CB48" s="126"/>
      <c r="CC48" s="126"/>
      <c r="CD48" s="126"/>
      <c r="CE48" s="126"/>
      <c r="CF48" s="126"/>
      <c r="CG48" s="126"/>
      <c r="CH48" s="126"/>
      <c r="CI48" s="126"/>
      <c r="CJ48" s="126"/>
      <c r="CK48" s="126"/>
      <c r="CL48" s="126"/>
      <c r="CM48" s="126"/>
      <c r="CN48" s="126"/>
      <c r="CO48" s="126"/>
      <c r="CP48" s="126"/>
      <c r="CQ48" s="126"/>
      <c r="CR48" s="126"/>
      <c r="CS48" s="126"/>
      <c r="CT48" s="126"/>
      <c r="CU48" s="126"/>
      <c r="CV48" s="126"/>
      <c r="CW48" s="126"/>
      <c r="CX48" s="126"/>
      <c r="CY48" s="126"/>
      <c r="CZ48" s="126"/>
      <c r="DA48" s="126"/>
      <c r="DB48" s="126"/>
      <c r="DC48" s="126"/>
    </row>
    <row r="49" spans="1:107" hidden="1" outlineLevel="1" x14ac:dyDescent="0.25">
      <c r="A49" s="122" t="s">
        <v>75</v>
      </c>
      <c r="B49" s="126">
        <f>INDEX(Calcs!$AC$5:$AG$51, MATCH('Rotation Assembler'!$A49, Calcs!$AC$5:$AC$51, 0), MATCH('Rotation Assembler'!B$32, Calcs!$AC$5:$AG$5, 0))</f>
        <v>0</v>
      </c>
      <c r="C49" s="126">
        <f ca="1">INDEX(Calcs!$AC$5:$AG$51, MATCH('Rotation Assembler'!$A49, Calcs!$AC$5:$AC$51, 0), MATCH('Rotation Assembler'!C$32, Calcs!$AC$5:$AG$5, 0))</f>
        <v>0.80713999999999997</v>
      </c>
      <c r="D49" s="126">
        <f>INDEX(Calcs!$AC$5:$AG$51, MATCH('Rotation Assembler'!$A49, Calcs!$AC$5:$AC$51, 0), MATCH('Rotation Assembler'!D$32, Calcs!$AC$5:$AG$5, 0))</f>
        <v>0</v>
      </c>
      <c r="E49" s="126">
        <f>INDEX(Calcs!$AC$5:$AG$51, MATCH('Rotation Assembler'!$A49, Calcs!$AC$5:$AC$51, 0), MATCH('Rotation Assembler'!E$32, Calcs!$AC$5:$AG$5, 0))</f>
        <v>0</v>
      </c>
      <c r="F49" s="126">
        <f>INDEX(Calcs!$AC$5:$AG$51, MATCH('Rotation Assembler'!$A49, Calcs!$AC$5:$AC$51, 0), MATCH('Rotation Assembler'!F$32, Calcs!$AC$5:$AG$5, 0))</f>
        <v>0</v>
      </c>
      <c r="G49" s="126">
        <f>INDEX(Calcs!$AC$5:$AG$51, MATCH('Rotation Assembler'!$A49, Calcs!$AC$5:$AC$51, 0), MATCH('Rotation Assembler'!G$32, Calcs!$AC$5:$AG$5, 0))</f>
        <v>0</v>
      </c>
      <c r="H49" s="126">
        <f>INDEX(Calcs!$AC$5:$AG$51, MATCH('Rotation Assembler'!$A49, Calcs!$AC$5:$AC$51, 0), MATCH('Rotation Assembler'!H$32, Calcs!$AC$5:$AG$5, 0))</f>
        <v>0</v>
      </c>
      <c r="I49" s="126">
        <f>INDEX(Calcs!$AC$5:$AG$51, MATCH('Rotation Assembler'!$A49, Calcs!$AC$5:$AC$51, 0), MATCH('Rotation Assembler'!I$32, Calcs!$AC$5:$AG$5, 0))</f>
        <v>0</v>
      </c>
      <c r="J49" s="126">
        <f>INDEX(Calcs!$AC$5:$AG$51, MATCH('Rotation Assembler'!$A49, Calcs!$AC$5:$AC$51, 0), MATCH('Rotation Assembler'!J$32, Calcs!$AC$5:$AG$5, 0))</f>
        <v>0</v>
      </c>
      <c r="K49" s="126">
        <f>INDEX(Calcs!$AC$5:$AG$51, MATCH('Rotation Assembler'!$A49, Calcs!$AC$5:$AC$51, 0), MATCH('Rotation Assembler'!K$32, Calcs!$AC$5:$AG$5, 0))</f>
        <v>0</v>
      </c>
      <c r="L49" s="126">
        <f>INDEX(Calcs!$AC$5:$AG$51, MATCH('Rotation Assembler'!$A49, Calcs!$AC$5:$AC$51, 0), MATCH('Rotation Assembler'!L$32, Calcs!$AC$5:$AG$5, 0))</f>
        <v>0</v>
      </c>
      <c r="M49" s="126">
        <f>INDEX(Calcs!$AC$5:$AG$51, MATCH('Rotation Assembler'!$A49, Calcs!$AC$5:$AC$51, 0), MATCH('Rotation Assembler'!M$32, Calcs!$AC$5:$AG$5, 0))</f>
        <v>0</v>
      </c>
      <c r="N49" s="126">
        <f>INDEX(Calcs!$AC$5:$AG$51, MATCH('Rotation Assembler'!$A49, Calcs!$AC$5:$AC$51, 0), MATCH('Rotation Assembler'!N$32, Calcs!$AC$5:$AG$5, 0))</f>
        <v>0</v>
      </c>
      <c r="O49" s="126">
        <f>INDEX(Calcs!$AC$5:$AG$51, MATCH('Rotation Assembler'!$A49, Calcs!$AC$5:$AC$51, 0), MATCH('Rotation Assembler'!O$32, Calcs!$AC$5:$AG$5, 0))</f>
        <v>0</v>
      </c>
      <c r="P49" s="126">
        <f>INDEX(Calcs!$AC$5:$AG$51, MATCH('Rotation Assembler'!$A49, Calcs!$AC$5:$AC$51, 0), MATCH('Rotation Assembler'!P$32, Calcs!$AC$5:$AG$5, 0))</f>
        <v>0</v>
      </c>
      <c r="Q49" s="126">
        <f>INDEX(Calcs!$AC$5:$AG$51, MATCH('Rotation Assembler'!$A49, Calcs!$AC$5:$AC$51, 0), MATCH('Rotation Assembler'!Q$32, Calcs!$AC$5:$AG$5, 0))</f>
        <v>0</v>
      </c>
      <c r="R49" s="126">
        <f>INDEX(Calcs!$AC$5:$AG$51, MATCH('Rotation Assembler'!$A49, Calcs!$AC$5:$AC$51, 0), MATCH('Rotation Assembler'!R$32, Calcs!$AC$5:$AG$5, 0))</f>
        <v>0</v>
      </c>
      <c r="S49" s="126">
        <f>INDEX(Calcs!$AC$5:$AG$51, MATCH('Rotation Assembler'!$A49, Calcs!$AC$5:$AC$51, 0), MATCH('Rotation Assembler'!S$32, Calcs!$AC$5:$AG$5, 0))</f>
        <v>0</v>
      </c>
      <c r="T49" s="126">
        <f ca="1">INDEX(Calcs!$AC$5:$AG$51, MATCH('Rotation Assembler'!$A49, Calcs!$AC$5:$AC$51, 0), MATCH('Rotation Assembler'!T$32, Calcs!$AC$5:$AG$5, 0))</f>
        <v>0.80713999999999997</v>
      </c>
      <c r="U49" s="126">
        <f>INDEX(Calcs!$AC$5:$AG$51, MATCH('Rotation Assembler'!$A49, Calcs!$AC$5:$AC$51, 0), MATCH('Rotation Assembler'!U$32, Calcs!$AC$5:$AG$5, 0))</f>
        <v>0</v>
      </c>
      <c r="V49" s="126">
        <f>INDEX(Calcs!$AC$5:$AG$51, MATCH('Rotation Assembler'!$A49, Calcs!$AC$5:$AC$51, 0), MATCH('Rotation Assembler'!V$32, Calcs!$AC$5:$AG$5, 0))</f>
        <v>0</v>
      </c>
      <c r="W49" s="126">
        <f>INDEX(Calcs!$AC$5:$AG$51, MATCH('Rotation Assembler'!$A49, Calcs!$AC$5:$AC$51, 0), MATCH('Rotation Assembler'!W$32, Calcs!$AC$5:$AG$5, 0))</f>
        <v>0</v>
      </c>
      <c r="X49" s="126">
        <f>INDEX(Calcs!$AC$5:$AG$51, MATCH('Rotation Assembler'!$A49, Calcs!$AC$5:$AC$51, 0), MATCH('Rotation Assembler'!X$32, Calcs!$AC$5:$AG$5, 0))</f>
        <v>0</v>
      </c>
      <c r="Y49" s="126">
        <f>INDEX(Calcs!$AC$5:$AG$51, MATCH('Rotation Assembler'!$A49, Calcs!$AC$5:$AC$51, 0), MATCH('Rotation Assembler'!Y$32, Calcs!$AC$5:$AG$5, 0))</f>
        <v>0</v>
      </c>
      <c r="Z49" s="126">
        <f>INDEX(Calcs!$AC$5:$AG$51, MATCH('Rotation Assembler'!$A49, Calcs!$AC$5:$AC$51, 0), MATCH('Rotation Assembler'!Z$32, Calcs!$AC$5:$AG$5, 0))</f>
        <v>0</v>
      </c>
      <c r="AA49" s="126">
        <f>INDEX(Calcs!$AC$5:$AG$51, MATCH('Rotation Assembler'!$A49, Calcs!$AC$5:$AC$51, 0), MATCH('Rotation Assembler'!AA$32, Calcs!$AC$5:$AG$5, 0))</f>
        <v>0</v>
      </c>
      <c r="AB49" s="126">
        <f ca="1">INDEX(Calcs!$AC$5:$AG$51, MATCH('Rotation Assembler'!$A49, Calcs!$AC$5:$AC$51, 0), MATCH('Rotation Assembler'!AB$32, Calcs!$AC$5:$AG$5, 0))</f>
        <v>0.80713999999999997</v>
      </c>
      <c r="AC49" s="126">
        <f>INDEX(Calcs!$AC$5:$AG$51, MATCH('Rotation Assembler'!$A49, Calcs!$AC$5:$AC$51, 0), MATCH('Rotation Assembler'!AC$32, Calcs!$AC$5:$AG$5, 0))</f>
        <v>0</v>
      </c>
      <c r="AD49" s="126">
        <f>INDEX(Calcs!$AC$5:$AG$51, MATCH('Rotation Assembler'!$A49, Calcs!$AC$5:$AC$51, 0), MATCH('Rotation Assembler'!AD$32, Calcs!$AC$5:$AG$5, 0))</f>
        <v>0</v>
      </c>
      <c r="AE49" s="126">
        <f>INDEX(Calcs!$AC$5:$AG$51, MATCH('Rotation Assembler'!$A49, Calcs!$AC$5:$AC$51, 0), MATCH('Rotation Assembler'!AE$32, Calcs!$AC$5:$AG$5, 0))</f>
        <v>0</v>
      </c>
      <c r="AF49" s="126">
        <f>INDEX(Calcs!$AC$5:$AG$51, MATCH('Rotation Assembler'!$A49, Calcs!$AC$5:$AC$51, 0), MATCH('Rotation Assembler'!AF$32, Calcs!$AC$5:$AG$5, 0))</f>
        <v>0</v>
      </c>
      <c r="AG49" s="126">
        <f>INDEX(Calcs!$AC$5:$AG$51, MATCH('Rotation Assembler'!$A49, Calcs!$AC$5:$AC$51, 0), MATCH('Rotation Assembler'!AG$32, Calcs!$AC$5:$AG$5, 0))</f>
        <v>0</v>
      </c>
      <c r="AH49" s="126">
        <f>INDEX(Calcs!$AC$5:$AG$51, MATCH('Rotation Assembler'!$A49, Calcs!$AC$5:$AC$51, 0), MATCH('Rotation Assembler'!AH$32, Calcs!$AC$5:$AG$5, 0))</f>
        <v>0</v>
      </c>
      <c r="AI49" s="126">
        <f>INDEX(Calcs!$AC$5:$AG$51, MATCH('Rotation Assembler'!$A49, Calcs!$AC$5:$AC$51, 0), MATCH('Rotation Assembler'!AI$32, Calcs!$AC$5:$AG$5, 0))</f>
        <v>0</v>
      </c>
      <c r="AJ49" s="126" t="e">
        <f>INDEX(Calcs!$AC$5:$AG$51, MATCH('Rotation Assembler'!$A49, Calcs!$AC$5:$AC$51, 0), MATCH('Rotation Assembler'!AJ$32, Calcs!$AC$5:$AG$5, 0))</f>
        <v>#N/A</v>
      </c>
      <c r="AK49" s="126" t="e">
        <f>INDEX(Calcs!$AC$5:$AG$51, MATCH('Rotation Assembler'!$A49, Calcs!$AC$5:$AC$51, 0), MATCH('Rotation Assembler'!AK$32, Calcs!$AC$5:$AG$5, 0))</f>
        <v>#N/A</v>
      </c>
      <c r="AL49" s="126" t="e">
        <f>INDEX(Calcs!$AC$5:$AG$51, MATCH('Rotation Assembler'!$A49, Calcs!$AC$5:$AC$51, 0), MATCH('Rotation Assembler'!AL$32, Calcs!$AC$5:$AG$5, 0))</f>
        <v>#N/A</v>
      </c>
      <c r="AM49" s="126" t="e">
        <f>INDEX(Calcs!$AC$5:$AG$51, MATCH('Rotation Assembler'!$A49, Calcs!$AC$5:$AC$51, 0), MATCH('Rotation Assembler'!AM$32, Calcs!$AC$5:$AG$5, 0))</f>
        <v>#N/A</v>
      </c>
      <c r="AN49" s="126" t="e">
        <f>INDEX(Calcs!$AC$5:$AG$51, MATCH('Rotation Assembler'!$A49, Calcs!$AC$5:$AC$51, 0), MATCH('Rotation Assembler'!AN$32, Calcs!$AC$5:$AG$5, 0))</f>
        <v>#N/A</v>
      </c>
      <c r="AO49" s="126" t="e">
        <f>INDEX(Calcs!$AC$5:$AG$51, MATCH('Rotation Assembler'!$A49, Calcs!$AC$5:$AC$51, 0), MATCH('Rotation Assembler'!AO$32, Calcs!$AC$5:$AG$5, 0))</f>
        <v>#N/A</v>
      </c>
      <c r="AP49" s="126" t="e">
        <f>INDEX(Calcs!$AC$5:$AG$51, MATCH('Rotation Assembler'!$A49, Calcs!$AC$5:$AC$51, 0), MATCH('Rotation Assembler'!AP$32, Calcs!$AC$5:$AG$5, 0))</f>
        <v>#N/A</v>
      </c>
      <c r="AQ49" s="126" t="e">
        <f>INDEX(Calcs!$AC$5:$AG$51, MATCH('Rotation Assembler'!$A49, Calcs!$AC$5:$AC$51, 0), MATCH('Rotation Assembler'!AQ$32, Calcs!$AC$5:$AG$5, 0))</f>
        <v>#N/A</v>
      </c>
      <c r="AR49" s="126" t="e">
        <f>INDEX(Calcs!$AC$5:$AG$51, MATCH('Rotation Assembler'!$A49, Calcs!$AC$5:$AC$51, 0), MATCH('Rotation Assembler'!AR$32, Calcs!$AC$5:$AG$5, 0))</f>
        <v>#N/A</v>
      </c>
      <c r="AS49" s="126" t="e">
        <f>INDEX(Calcs!$AC$5:$AG$51, MATCH('Rotation Assembler'!$A49, Calcs!$AC$5:$AC$51, 0), MATCH('Rotation Assembler'!AS$32, Calcs!$AC$5:$AG$5, 0))</f>
        <v>#N/A</v>
      </c>
      <c r="AT49" s="126" t="e">
        <f>INDEX(Calcs!$AC$5:$AG$51, MATCH('Rotation Assembler'!$A49, Calcs!$AC$5:$AC$51, 0), MATCH('Rotation Assembler'!AT$32, Calcs!$AC$5:$AG$5, 0))</f>
        <v>#N/A</v>
      </c>
      <c r="AU49" s="126" t="e">
        <f>INDEX(Calcs!$AC$5:$AG$51, MATCH('Rotation Assembler'!$A49, Calcs!$AC$5:$AC$51, 0), MATCH('Rotation Assembler'!AU$32, Calcs!$AC$5:$AG$5, 0))</f>
        <v>#N/A</v>
      </c>
      <c r="AV49" s="126" t="e">
        <f>INDEX(Calcs!$AC$5:$AG$51, MATCH('Rotation Assembler'!$A49, Calcs!$AC$5:$AC$51, 0), MATCH('Rotation Assembler'!AV$32, Calcs!$AC$5:$AG$5, 0))</f>
        <v>#N/A</v>
      </c>
      <c r="AW49" s="126" t="e">
        <f>INDEX(Calcs!$AC$5:$AG$51, MATCH('Rotation Assembler'!$A49, Calcs!$AC$5:$AC$51, 0), MATCH('Rotation Assembler'!AW$32, Calcs!$AC$5:$AG$5, 0))</f>
        <v>#N/A</v>
      </c>
      <c r="AX49" s="126" t="e">
        <f>INDEX(Calcs!$AC$5:$AG$51, MATCH('Rotation Assembler'!$A49, Calcs!$AC$5:$AC$51, 0), MATCH('Rotation Assembler'!AX$32, Calcs!$AC$5:$AG$5, 0))</f>
        <v>#N/A</v>
      </c>
      <c r="AY49" s="126" t="e">
        <f>INDEX(Calcs!$AC$5:$AG$51, MATCH('Rotation Assembler'!$A49, Calcs!$AC$5:$AC$51, 0), MATCH('Rotation Assembler'!AY$32, Calcs!$AC$5:$AG$5, 0))</f>
        <v>#N/A</v>
      </c>
      <c r="AZ49" s="126" t="e">
        <f>INDEX(Calcs!$AC$5:$AG$51, MATCH('Rotation Assembler'!$A49, Calcs!$AC$5:$AC$51, 0), MATCH('Rotation Assembler'!AZ$32, Calcs!$AC$5:$AG$5, 0))</f>
        <v>#N/A</v>
      </c>
      <c r="BA49" s="126" t="e">
        <f>INDEX(Calcs!$AC$5:$AG$51, MATCH('Rotation Assembler'!$A49, Calcs!$AC$5:$AC$51, 0), MATCH('Rotation Assembler'!BA$32, Calcs!$AC$5:$AG$5, 0))</f>
        <v>#N/A</v>
      </c>
      <c r="BB49" s="126" t="e">
        <f>INDEX(Calcs!$AC$5:$AG$51, MATCH('Rotation Assembler'!$A49, Calcs!$AC$5:$AC$51, 0), MATCH('Rotation Assembler'!BB$32, Calcs!$AC$5:$AG$5, 0))</f>
        <v>#N/A</v>
      </c>
      <c r="BC49" s="126" t="e">
        <f>INDEX(Calcs!$AC$5:$AG$51, MATCH('Rotation Assembler'!$A49, Calcs!$AC$5:$AC$51, 0), MATCH('Rotation Assembler'!BC$32, Calcs!$AC$5:$AG$5, 0))</f>
        <v>#N/A</v>
      </c>
      <c r="BD49" s="126" t="e">
        <f>INDEX(Calcs!$AC$5:$AG$51, MATCH('Rotation Assembler'!$A49, Calcs!$AC$5:$AC$51, 0), MATCH('Rotation Assembler'!BD$32, Calcs!$AC$5:$AG$5, 0))</f>
        <v>#N/A</v>
      </c>
      <c r="BE49" s="126" t="e">
        <f>INDEX(Calcs!$AC$5:$AG$51, MATCH('Rotation Assembler'!$A49, Calcs!$AC$5:$AC$51, 0), MATCH('Rotation Assembler'!BE$32, Calcs!$AC$5:$AG$5, 0))</f>
        <v>#N/A</v>
      </c>
      <c r="BF49" s="126" t="e">
        <f>INDEX(Calcs!$AC$5:$AG$51, MATCH('Rotation Assembler'!$A49, Calcs!$AC$5:$AC$51, 0), MATCH('Rotation Assembler'!BF$32, Calcs!$AC$5:$AG$5, 0))</f>
        <v>#N/A</v>
      </c>
      <c r="BG49" s="126" t="e">
        <f>INDEX(Calcs!$AC$5:$AG$51, MATCH('Rotation Assembler'!$A49, Calcs!$AC$5:$AC$51, 0), MATCH('Rotation Assembler'!BG$32, Calcs!$AC$5:$AG$5, 0))</f>
        <v>#N/A</v>
      </c>
      <c r="BH49" s="126" t="e">
        <f>INDEX(Calcs!$AC$5:$AG$51, MATCH('Rotation Assembler'!$A49, Calcs!$AC$5:$AC$51, 0), MATCH('Rotation Assembler'!BH$32, Calcs!$AC$5:$AG$5, 0))</f>
        <v>#N/A</v>
      </c>
      <c r="BI49" s="126"/>
      <c r="BJ49" s="126"/>
      <c r="BK49" s="126"/>
      <c r="BL49" s="126"/>
      <c r="BM49" s="126"/>
      <c r="BN49" s="126"/>
      <c r="BO49" s="126"/>
      <c r="BP49" s="126"/>
      <c r="BQ49" s="126"/>
      <c r="BR49" s="126"/>
      <c r="BS49" s="126"/>
      <c r="BT49" s="126"/>
      <c r="BU49" s="126"/>
      <c r="BV49" s="126"/>
      <c r="BW49" s="126"/>
      <c r="BX49" s="126"/>
      <c r="BY49" s="126"/>
      <c r="BZ49" s="126"/>
      <c r="CA49" s="126"/>
      <c r="CB49" s="126"/>
      <c r="CC49" s="126"/>
      <c r="CD49" s="126"/>
      <c r="CE49" s="126"/>
      <c r="CF49" s="126"/>
      <c r="CG49" s="126"/>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row>
    <row r="50" spans="1:107" hidden="1" outlineLevel="1" x14ac:dyDescent="0.25">
      <c r="A50" s="122" t="s">
        <v>76</v>
      </c>
      <c r="B50" s="126">
        <f>INDEX(Calcs!$AC$5:$AG$51, MATCH('Rotation Assembler'!$A50, Calcs!$AC$5:$AC$51, 0), MATCH('Rotation Assembler'!B$32, Calcs!$AC$5:$AG$5, 0))</f>
        <v>0</v>
      </c>
      <c r="C50" s="126">
        <f>INDEX(Calcs!$AC$5:$AG$51, MATCH('Rotation Assembler'!$A50, Calcs!$AC$5:$AC$51, 0), MATCH('Rotation Assembler'!C$32, Calcs!$AC$5:$AG$5, 0))</f>
        <v>0</v>
      </c>
      <c r="D50" s="126">
        <f>INDEX(Calcs!$AC$5:$AG$51, MATCH('Rotation Assembler'!$A50, Calcs!$AC$5:$AC$51, 0), MATCH('Rotation Assembler'!D$32, Calcs!$AC$5:$AG$5, 0))</f>
        <v>0</v>
      </c>
      <c r="E50" s="126">
        <f>INDEX(Calcs!$AC$5:$AG$51, MATCH('Rotation Assembler'!$A50, Calcs!$AC$5:$AC$51, 0), MATCH('Rotation Assembler'!E$32, Calcs!$AC$5:$AG$5, 0))</f>
        <v>0</v>
      </c>
      <c r="F50" s="126">
        <f>INDEX(Calcs!$AC$5:$AG$51, MATCH('Rotation Assembler'!$A50, Calcs!$AC$5:$AC$51, 0), MATCH('Rotation Assembler'!F$32, Calcs!$AC$5:$AG$5, 0))</f>
        <v>0</v>
      </c>
      <c r="G50" s="126">
        <f>INDEX(Calcs!$AC$5:$AG$51, MATCH('Rotation Assembler'!$A50, Calcs!$AC$5:$AC$51, 0), MATCH('Rotation Assembler'!G$32, Calcs!$AC$5:$AG$5, 0))</f>
        <v>0</v>
      </c>
      <c r="H50" s="126">
        <f>INDEX(Calcs!$AC$5:$AG$51, MATCH('Rotation Assembler'!$A50, Calcs!$AC$5:$AC$51, 0), MATCH('Rotation Assembler'!H$32, Calcs!$AC$5:$AG$5, 0))</f>
        <v>0</v>
      </c>
      <c r="I50" s="126">
        <f>INDEX(Calcs!$AC$5:$AG$51, MATCH('Rotation Assembler'!$A50, Calcs!$AC$5:$AC$51, 0), MATCH('Rotation Assembler'!I$32, Calcs!$AC$5:$AG$5, 0))</f>
        <v>0</v>
      </c>
      <c r="J50" s="126">
        <f>INDEX(Calcs!$AC$5:$AG$51, MATCH('Rotation Assembler'!$A50, Calcs!$AC$5:$AC$51, 0), MATCH('Rotation Assembler'!J$32, Calcs!$AC$5:$AG$5, 0))</f>
        <v>0</v>
      </c>
      <c r="K50" s="126">
        <f>INDEX(Calcs!$AC$5:$AG$51, MATCH('Rotation Assembler'!$A50, Calcs!$AC$5:$AC$51, 0), MATCH('Rotation Assembler'!K$32, Calcs!$AC$5:$AG$5, 0))</f>
        <v>0</v>
      </c>
      <c r="L50" s="126">
        <f>INDEX(Calcs!$AC$5:$AG$51, MATCH('Rotation Assembler'!$A50, Calcs!$AC$5:$AC$51, 0), MATCH('Rotation Assembler'!L$32, Calcs!$AC$5:$AG$5, 0))</f>
        <v>0</v>
      </c>
      <c r="M50" s="126">
        <f>INDEX(Calcs!$AC$5:$AG$51, MATCH('Rotation Assembler'!$A50, Calcs!$AC$5:$AC$51, 0), MATCH('Rotation Assembler'!M$32, Calcs!$AC$5:$AG$5, 0))</f>
        <v>0</v>
      </c>
      <c r="N50" s="126">
        <f>INDEX(Calcs!$AC$5:$AG$51, MATCH('Rotation Assembler'!$A50, Calcs!$AC$5:$AC$51, 0), MATCH('Rotation Assembler'!N$32, Calcs!$AC$5:$AG$5, 0))</f>
        <v>0</v>
      </c>
      <c r="O50" s="126">
        <f>INDEX(Calcs!$AC$5:$AG$51, MATCH('Rotation Assembler'!$A50, Calcs!$AC$5:$AC$51, 0), MATCH('Rotation Assembler'!O$32, Calcs!$AC$5:$AG$5, 0))</f>
        <v>0</v>
      </c>
      <c r="P50" s="126">
        <f>INDEX(Calcs!$AC$5:$AG$51, MATCH('Rotation Assembler'!$A50, Calcs!$AC$5:$AC$51, 0), MATCH('Rotation Assembler'!P$32, Calcs!$AC$5:$AG$5, 0))</f>
        <v>0</v>
      </c>
      <c r="Q50" s="126">
        <f>INDEX(Calcs!$AC$5:$AG$51, MATCH('Rotation Assembler'!$A50, Calcs!$AC$5:$AC$51, 0), MATCH('Rotation Assembler'!Q$32, Calcs!$AC$5:$AG$5, 0))</f>
        <v>0</v>
      </c>
      <c r="R50" s="126">
        <f>INDEX(Calcs!$AC$5:$AG$51, MATCH('Rotation Assembler'!$A50, Calcs!$AC$5:$AC$51, 0), MATCH('Rotation Assembler'!R$32, Calcs!$AC$5:$AG$5, 0))</f>
        <v>0</v>
      </c>
      <c r="S50" s="126">
        <f>INDEX(Calcs!$AC$5:$AG$51, MATCH('Rotation Assembler'!$A50, Calcs!$AC$5:$AC$51, 0), MATCH('Rotation Assembler'!S$32, Calcs!$AC$5:$AG$5, 0))</f>
        <v>0</v>
      </c>
      <c r="T50" s="126">
        <f>INDEX(Calcs!$AC$5:$AG$51, MATCH('Rotation Assembler'!$A50, Calcs!$AC$5:$AC$51, 0), MATCH('Rotation Assembler'!T$32, Calcs!$AC$5:$AG$5, 0))</f>
        <v>0</v>
      </c>
      <c r="U50" s="126">
        <f>INDEX(Calcs!$AC$5:$AG$51, MATCH('Rotation Assembler'!$A50, Calcs!$AC$5:$AC$51, 0), MATCH('Rotation Assembler'!U$32, Calcs!$AC$5:$AG$5, 0))</f>
        <v>0</v>
      </c>
      <c r="V50" s="126">
        <f>INDEX(Calcs!$AC$5:$AG$51, MATCH('Rotation Assembler'!$A50, Calcs!$AC$5:$AC$51, 0), MATCH('Rotation Assembler'!V$32, Calcs!$AC$5:$AG$5, 0))</f>
        <v>0</v>
      </c>
      <c r="W50" s="126">
        <f>INDEX(Calcs!$AC$5:$AG$51, MATCH('Rotation Assembler'!$A50, Calcs!$AC$5:$AC$51, 0), MATCH('Rotation Assembler'!W$32, Calcs!$AC$5:$AG$5, 0))</f>
        <v>0</v>
      </c>
      <c r="X50" s="126">
        <f>INDEX(Calcs!$AC$5:$AG$51, MATCH('Rotation Assembler'!$A50, Calcs!$AC$5:$AC$51, 0), MATCH('Rotation Assembler'!X$32, Calcs!$AC$5:$AG$5, 0))</f>
        <v>0</v>
      </c>
      <c r="Y50" s="126">
        <f>INDEX(Calcs!$AC$5:$AG$51, MATCH('Rotation Assembler'!$A50, Calcs!$AC$5:$AC$51, 0), MATCH('Rotation Assembler'!Y$32, Calcs!$AC$5:$AG$5, 0))</f>
        <v>0</v>
      </c>
      <c r="Z50" s="126">
        <f>INDEX(Calcs!$AC$5:$AG$51, MATCH('Rotation Assembler'!$A50, Calcs!$AC$5:$AC$51, 0), MATCH('Rotation Assembler'!Z$32, Calcs!$AC$5:$AG$5, 0))</f>
        <v>0</v>
      </c>
      <c r="AA50" s="126">
        <f>INDEX(Calcs!$AC$5:$AG$51, MATCH('Rotation Assembler'!$A50, Calcs!$AC$5:$AC$51, 0), MATCH('Rotation Assembler'!AA$32, Calcs!$AC$5:$AG$5, 0))</f>
        <v>0</v>
      </c>
      <c r="AB50" s="126">
        <f>INDEX(Calcs!$AC$5:$AG$51, MATCH('Rotation Assembler'!$A50, Calcs!$AC$5:$AC$51, 0), MATCH('Rotation Assembler'!AB$32, Calcs!$AC$5:$AG$5, 0))</f>
        <v>0</v>
      </c>
      <c r="AC50" s="126">
        <f>INDEX(Calcs!$AC$5:$AG$51, MATCH('Rotation Assembler'!$A50, Calcs!$AC$5:$AC$51, 0), MATCH('Rotation Assembler'!AC$32, Calcs!$AC$5:$AG$5, 0))</f>
        <v>0</v>
      </c>
      <c r="AD50" s="126">
        <f>INDEX(Calcs!$AC$5:$AG$51, MATCH('Rotation Assembler'!$A50, Calcs!$AC$5:$AC$51, 0), MATCH('Rotation Assembler'!AD$32, Calcs!$AC$5:$AG$5, 0))</f>
        <v>0</v>
      </c>
      <c r="AE50" s="126">
        <f>INDEX(Calcs!$AC$5:$AG$51, MATCH('Rotation Assembler'!$A50, Calcs!$AC$5:$AC$51, 0), MATCH('Rotation Assembler'!AE$32, Calcs!$AC$5:$AG$5, 0))</f>
        <v>0</v>
      </c>
      <c r="AF50" s="126">
        <f>INDEX(Calcs!$AC$5:$AG$51, MATCH('Rotation Assembler'!$A50, Calcs!$AC$5:$AC$51, 0), MATCH('Rotation Assembler'!AF$32, Calcs!$AC$5:$AG$5, 0))</f>
        <v>0</v>
      </c>
      <c r="AG50" s="126">
        <f>INDEX(Calcs!$AC$5:$AG$51, MATCH('Rotation Assembler'!$A50, Calcs!$AC$5:$AC$51, 0), MATCH('Rotation Assembler'!AG$32, Calcs!$AC$5:$AG$5, 0))</f>
        <v>0</v>
      </c>
      <c r="AH50" s="126">
        <f>INDEX(Calcs!$AC$5:$AG$51, MATCH('Rotation Assembler'!$A50, Calcs!$AC$5:$AC$51, 0), MATCH('Rotation Assembler'!AH$32, Calcs!$AC$5:$AG$5, 0))</f>
        <v>0</v>
      </c>
      <c r="AI50" s="126">
        <f>INDEX(Calcs!$AC$5:$AG$51, MATCH('Rotation Assembler'!$A50, Calcs!$AC$5:$AC$51, 0), MATCH('Rotation Assembler'!AI$32, Calcs!$AC$5:$AG$5, 0))</f>
        <v>0</v>
      </c>
      <c r="AJ50" s="126" t="e">
        <f>INDEX(Calcs!$AC$5:$AG$51, MATCH('Rotation Assembler'!$A50, Calcs!$AC$5:$AC$51, 0), MATCH('Rotation Assembler'!AJ$32, Calcs!$AC$5:$AG$5, 0))</f>
        <v>#N/A</v>
      </c>
      <c r="AK50" s="126" t="e">
        <f>INDEX(Calcs!$AC$5:$AG$51, MATCH('Rotation Assembler'!$A50, Calcs!$AC$5:$AC$51, 0), MATCH('Rotation Assembler'!AK$32, Calcs!$AC$5:$AG$5, 0))</f>
        <v>#N/A</v>
      </c>
      <c r="AL50" s="126" t="e">
        <f>INDEX(Calcs!$AC$5:$AG$51, MATCH('Rotation Assembler'!$A50, Calcs!$AC$5:$AC$51, 0), MATCH('Rotation Assembler'!AL$32, Calcs!$AC$5:$AG$5, 0))</f>
        <v>#N/A</v>
      </c>
      <c r="AM50" s="126" t="e">
        <f>INDEX(Calcs!$AC$5:$AG$51, MATCH('Rotation Assembler'!$A50, Calcs!$AC$5:$AC$51, 0), MATCH('Rotation Assembler'!AM$32, Calcs!$AC$5:$AG$5, 0))</f>
        <v>#N/A</v>
      </c>
      <c r="AN50" s="126" t="e">
        <f>INDEX(Calcs!$AC$5:$AG$51, MATCH('Rotation Assembler'!$A50, Calcs!$AC$5:$AC$51, 0), MATCH('Rotation Assembler'!AN$32, Calcs!$AC$5:$AG$5, 0))</f>
        <v>#N/A</v>
      </c>
      <c r="AO50" s="126" t="e">
        <f>INDEX(Calcs!$AC$5:$AG$51, MATCH('Rotation Assembler'!$A50, Calcs!$AC$5:$AC$51, 0), MATCH('Rotation Assembler'!AO$32, Calcs!$AC$5:$AG$5, 0))</f>
        <v>#N/A</v>
      </c>
      <c r="AP50" s="126" t="e">
        <f>INDEX(Calcs!$AC$5:$AG$51, MATCH('Rotation Assembler'!$A50, Calcs!$AC$5:$AC$51, 0), MATCH('Rotation Assembler'!AP$32, Calcs!$AC$5:$AG$5, 0))</f>
        <v>#N/A</v>
      </c>
      <c r="AQ50" s="126" t="e">
        <f>INDEX(Calcs!$AC$5:$AG$51, MATCH('Rotation Assembler'!$A50, Calcs!$AC$5:$AC$51, 0), MATCH('Rotation Assembler'!AQ$32, Calcs!$AC$5:$AG$5, 0))</f>
        <v>#N/A</v>
      </c>
      <c r="AR50" s="126" t="e">
        <f>INDEX(Calcs!$AC$5:$AG$51, MATCH('Rotation Assembler'!$A50, Calcs!$AC$5:$AC$51, 0), MATCH('Rotation Assembler'!AR$32, Calcs!$AC$5:$AG$5, 0))</f>
        <v>#N/A</v>
      </c>
      <c r="AS50" s="126" t="e">
        <f>INDEX(Calcs!$AC$5:$AG$51, MATCH('Rotation Assembler'!$A50, Calcs!$AC$5:$AC$51, 0), MATCH('Rotation Assembler'!AS$32, Calcs!$AC$5:$AG$5, 0))</f>
        <v>#N/A</v>
      </c>
      <c r="AT50" s="126" t="e">
        <f>INDEX(Calcs!$AC$5:$AG$51, MATCH('Rotation Assembler'!$A50, Calcs!$AC$5:$AC$51, 0), MATCH('Rotation Assembler'!AT$32, Calcs!$AC$5:$AG$5, 0))</f>
        <v>#N/A</v>
      </c>
      <c r="AU50" s="126" t="e">
        <f>INDEX(Calcs!$AC$5:$AG$51, MATCH('Rotation Assembler'!$A50, Calcs!$AC$5:$AC$51, 0), MATCH('Rotation Assembler'!AU$32, Calcs!$AC$5:$AG$5, 0))</f>
        <v>#N/A</v>
      </c>
      <c r="AV50" s="126" t="e">
        <f>INDEX(Calcs!$AC$5:$AG$51, MATCH('Rotation Assembler'!$A50, Calcs!$AC$5:$AC$51, 0), MATCH('Rotation Assembler'!AV$32, Calcs!$AC$5:$AG$5, 0))</f>
        <v>#N/A</v>
      </c>
      <c r="AW50" s="126" t="e">
        <f>INDEX(Calcs!$AC$5:$AG$51, MATCH('Rotation Assembler'!$A50, Calcs!$AC$5:$AC$51, 0), MATCH('Rotation Assembler'!AW$32, Calcs!$AC$5:$AG$5, 0))</f>
        <v>#N/A</v>
      </c>
      <c r="AX50" s="126" t="e">
        <f>INDEX(Calcs!$AC$5:$AG$51, MATCH('Rotation Assembler'!$A50, Calcs!$AC$5:$AC$51, 0), MATCH('Rotation Assembler'!AX$32, Calcs!$AC$5:$AG$5, 0))</f>
        <v>#N/A</v>
      </c>
      <c r="AY50" s="126" t="e">
        <f>INDEX(Calcs!$AC$5:$AG$51, MATCH('Rotation Assembler'!$A50, Calcs!$AC$5:$AC$51, 0), MATCH('Rotation Assembler'!AY$32, Calcs!$AC$5:$AG$5, 0))</f>
        <v>#N/A</v>
      </c>
      <c r="AZ50" s="126" t="e">
        <f>INDEX(Calcs!$AC$5:$AG$51, MATCH('Rotation Assembler'!$A50, Calcs!$AC$5:$AC$51, 0), MATCH('Rotation Assembler'!AZ$32, Calcs!$AC$5:$AG$5, 0))</f>
        <v>#N/A</v>
      </c>
      <c r="BA50" s="126" t="e">
        <f>INDEX(Calcs!$AC$5:$AG$51, MATCH('Rotation Assembler'!$A50, Calcs!$AC$5:$AC$51, 0), MATCH('Rotation Assembler'!BA$32, Calcs!$AC$5:$AG$5, 0))</f>
        <v>#N/A</v>
      </c>
      <c r="BB50" s="126" t="e">
        <f>INDEX(Calcs!$AC$5:$AG$51, MATCH('Rotation Assembler'!$A50, Calcs!$AC$5:$AC$51, 0), MATCH('Rotation Assembler'!BB$32, Calcs!$AC$5:$AG$5, 0))</f>
        <v>#N/A</v>
      </c>
      <c r="BC50" s="126" t="e">
        <f>INDEX(Calcs!$AC$5:$AG$51, MATCH('Rotation Assembler'!$A50, Calcs!$AC$5:$AC$51, 0), MATCH('Rotation Assembler'!BC$32, Calcs!$AC$5:$AG$5, 0))</f>
        <v>#N/A</v>
      </c>
      <c r="BD50" s="126" t="e">
        <f>INDEX(Calcs!$AC$5:$AG$51, MATCH('Rotation Assembler'!$A50, Calcs!$AC$5:$AC$51, 0), MATCH('Rotation Assembler'!BD$32, Calcs!$AC$5:$AG$5, 0))</f>
        <v>#N/A</v>
      </c>
      <c r="BE50" s="126" t="e">
        <f>INDEX(Calcs!$AC$5:$AG$51, MATCH('Rotation Assembler'!$A50, Calcs!$AC$5:$AC$51, 0), MATCH('Rotation Assembler'!BE$32, Calcs!$AC$5:$AG$5, 0))</f>
        <v>#N/A</v>
      </c>
      <c r="BF50" s="126" t="e">
        <f>INDEX(Calcs!$AC$5:$AG$51, MATCH('Rotation Assembler'!$A50, Calcs!$AC$5:$AC$51, 0), MATCH('Rotation Assembler'!BF$32, Calcs!$AC$5:$AG$5, 0))</f>
        <v>#N/A</v>
      </c>
      <c r="BG50" s="126" t="e">
        <f>INDEX(Calcs!$AC$5:$AG$51, MATCH('Rotation Assembler'!$A50, Calcs!$AC$5:$AC$51, 0), MATCH('Rotation Assembler'!BG$32, Calcs!$AC$5:$AG$5, 0))</f>
        <v>#N/A</v>
      </c>
      <c r="BH50" s="126" t="e">
        <f>INDEX(Calcs!$AC$5:$AG$51, MATCH('Rotation Assembler'!$A50, Calcs!$AC$5:$AC$51, 0), MATCH('Rotation Assembler'!BH$32, Calcs!$AC$5:$AG$5, 0))</f>
        <v>#N/A</v>
      </c>
      <c r="BI50" s="126"/>
      <c r="BJ50" s="126"/>
      <c r="BK50" s="126"/>
      <c r="BL50" s="126"/>
      <c r="BM50" s="126"/>
      <c r="BN50" s="126"/>
      <c r="BO50" s="126"/>
      <c r="BP50" s="126"/>
      <c r="BQ50" s="126"/>
      <c r="BR50" s="126"/>
      <c r="BS50" s="126"/>
      <c r="BT50" s="126"/>
      <c r="BU50" s="126"/>
      <c r="BV50" s="126"/>
      <c r="BW50" s="126"/>
      <c r="BX50" s="126"/>
      <c r="BY50" s="126"/>
      <c r="BZ50" s="126"/>
      <c r="CA50" s="126"/>
      <c r="CB50" s="126"/>
      <c r="CC50" s="126"/>
      <c r="CD50" s="126"/>
      <c r="CE50" s="126"/>
      <c r="CF50" s="126"/>
      <c r="CG50" s="126"/>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row>
    <row r="51" spans="1:107" hidden="1" outlineLevel="1" x14ac:dyDescent="0.25">
      <c r="A51" s="122" t="s">
        <v>77</v>
      </c>
      <c r="B51" s="126">
        <f>INDEX(Calcs!$AC$5:$AG$51, MATCH('Rotation Assembler'!$A51, Calcs!$AC$5:$AC$51, 0), MATCH('Rotation Assembler'!B$32, Calcs!$AC$5:$AG$5, 0))</f>
        <v>0</v>
      </c>
      <c r="C51" s="126">
        <f>INDEX(Calcs!$AC$5:$AG$51, MATCH('Rotation Assembler'!$A51, Calcs!$AC$5:$AC$51, 0), MATCH('Rotation Assembler'!C$32, Calcs!$AC$5:$AG$5, 0))</f>
        <v>0</v>
      </c>
      <c r="D51" s="126">
        <f>INDEX(Calcs!$AC$5:$AG$51, MATCH('Rotation Assembler'!$A51, Calcs!$AC$5:$AC$51, 0), MATCH('Rotation Assembler'!D$32, Calcs!$AC$5:$AG$5, 0))</f>
        <v>0</v>
      </c>
      <c r="E51" s="126">
        <f>INDEX(Calcs!$AC$5:$AG$51, MATCH('Rotation Assembler'!$A51, Calcs!$AC$5:$AC$51, 0), MATCH('Rotation Assembler'!E$32, Calcs!$AC$5:$AG$5, 0))</f>
        <v>0</v>
      </c>
      <c r="F51" s="126">
        <f>INDEX(Calcs!$AC$5:$AG$51, MATCH('Rotation Assembler'!$A51, Calcs!$AC$5:$AC$51, 0), MATCH('Rotation Assembler'!F$32, Calcs!$AC$5:$AG$5, 0))</f>
        <v>0</v>
      </c>
      <c r="G51" s="126">
        <f>INDEX(Calcs!$AC$5:$AG$51, MATCH('Rotation Assembler'!$A51, Calcs!$AC$5:$AC$51, 0), MATCH('Rotation Assembler'!G$32, Calcs!$AC$5:$AG$5, 0))</f>
        <v>0</v>
      </c>
      <c r="H51" s="126">
        <f>INDEX(Calcs!$AC$5:$AG$51, MATCH('Rotation Assembler'!$A51, Calcs!$AC$5:$AC$51, 0), MATCH('Rotation Assembler'!H$32, Calcs!$AC$5:$AG$5, 0))</f>
        <v>0</v>
      </c>
      <c r="I51" s="126">
        <f>INDEX(Calcs!$AC$5:$AG$51, MATCH('Rotation Assembler'!$A51, Calcs!$AC$5:$AC$51, 0), MATCH('Rotation Assembler'!I$32, Calcs!$AC$5:$AG$5, 0))</f>
        <v>0</v>
      </c>
      <c r="J51" s="126">
        <f>INDEX(Calcs!$AC$5:$AG$51, MATCH('Rotation Assembler'!$A51, Calcs!$AC$5:$AC$51, 0), MATCH('Rotation Assembler'!J$32, Calcs!$AC$5:$AG$5, 0))</f>
        <v>0</v>
      </c>
      <c r="K51" s="126">
        <f>INDEX(Calcs!$AC$5:$AG$51, MATCH('Rotation Assembler'!$A51, Calcs!$AC$5:$AC$51, 0), MATCH('Rotation Assembler'!K$32, Calcs!$AC$5:$AG$5, 0))</f>
        <v>0</v>
      </c>
      <c r="L51" s="126">
        <f>INDEX(Calcs!$AC$5:$AG$51, MATCH('Rotation Assembler'!$A51, Calcs!$AC$5:$AC$51, 0), MATCH('Rotation Assembler'!L$32, Calcs!$AC$5:$AG$5, 0))</f>
        <v>0</v>
      </c>
      <c r="M51" s="126">
        <f>INDEX(Calcs!$AC$5:$AG$51, MATCH('Rotation Assembler'!$A51, Calcs!$AC$5:$AC$51, 0), MATCH('Rotation Assembler'!M$32, Calcs!$AC$5:$AG$5, 0))</f>
        <v>0</v>
      </c>
      <c r="N51" s="126">
        <f>INDEX(Calcs!$AC$5:$AG$51, MATCH('Rotation Assembler'!$A51, Calcs!$AC$5:$AC$51, 0), MATCH('Rotation Assembler'!N$32, Calcs!$AC$5:$AG$5, 0))</f>
        <v>0</v>
      </c>
      <c r="O51" s="126">
        <f>INDEX(Calcs!$AC$5:$AG$51, MATCH('Rotation Assembler'!$A51, Calcs!$AC$5:$AC$51, 0), MATCH('Rotation Assembler'!O$32, Calcs!$AC$5:$AG$5, 0))</f>
        <v>0</v>
      </c>
      <c r="P51" s="126">
        <f>INDEX(Calcs!$AC$5:$AG$51, MATCH('Rotation Assembler'!$A51, Calcs!$AC$5:$AC$51, 0), MATCH('Rotation Assembler'!P$32, Calcs!$AC$5:$AG$5, 0))</f>
        <v>0</v>
      </c>
      <c r="Q51" s="126">
        <f>INDEX(Calcs!$AC$5:$AG$51, MATCH('Rotation Assembler'!$A51, Calcs!$AC$5:$AC$51, 0), MATCH('Rotation Assembler'!Q$32, Calcs!$AC$5:$AG$5, 0))</f>
        <v>0</v>
      </c>
      <c r="R51" s="126">
        <f>INDEX(Calcs!$AC$5:$AG$51, MATCH('Rotation Assembler'!$A51, Calcs!$AC$5:$AC$51, 0), MATCH('Rotation Assembler'!R$32, Calcs!$AC$5:$AG$5, 0))</f>
        <v>0</v>
      </c>
      <c r="S51" s="126">
        <f>INDEX(Calcs!$AC$5:$AG$51, MATCH('Rotation Assembler'!$A51, Calcs!$AC$5:$AC$51, 0), MATCH('Rotation Assembler'!S$32, Calcs!$AC$5:$AG$5, 0))</f>
        <v>0</v>
      </c>
      <c r="T51" s="126">
        <f>INDEX(Calcs!$AC$5:$AG$51, MATCH('Rotation Assembler'!$A51, Calcs!$AC$5:$AC$51, 0), MATCH('Rotation Assembler'!T$32, Calcs!$AC$5:$AG$5, 0))</f>
        <v>0</v>
      </c>
      <c r="U51" s="126">
        <f>INDEX(Calcs!$AC$5:$AG$51, MATCH('Rotation Assembler'!$A51, Calcs!$AC$5:$AC$51, 0), MATCH('Rotation Assembler'!U$32, Calcs!$AC$5:$AG$5, 0))</f>
        <v>0</v>
      </c>
      <c r="V51" s="126">
        <f>INDEX(Calcs!$AC$5:$AG$51, MATCH('Rotation Assembler'!$A51, Calcs!$AC$5:$AC$51, 0), MATCH('Rotation Assembler'!V$32, Calcs!$AC$5:$AG$5, 0))</f>
        <v>0</v>
      </c>
      <c r="W51" s="126">
        <f>INDEX(Calcs!$AC$5:$AG$51, MATCH('Rotation Assembler'!$A51, Calcs!$AC$5:$AC$51, 0), MATCH('Rotation Assembler'!W$32, Calcs!$AC$5:$AG$5, 0))</f>
        <v>0</v>
      </c>
      <c r="X51" s="126">
        <f>INDEX(Calcs!$AC$5:$AG$51, MATCH('Rotation Assembler'!$A51, Calcs!$AC$5:$AC$51, 0), MATCH('Rotation Assembler'!X$32, Calcs!$AC$5:$AG$5, 0))</f>
        <v>0</v>
      </c>
      <c r="Y51" s="126">
        <f>INDEX(Calcs!$AC$5:$AG$51, MATCH('Rotation Assembler'!$A51, Calcs!$AC$5:$AC$51, 0), MATCH('Rotation Assembler'!Y$32, Calcs!$AC$5:$AG$5, 0))</f>
        <v>0</v>
      </c>
      <c r="Z51" s="126">
        <f>INDEX(Calcs!$AC$5:$AG$51, MATCH('Rotation Assembler'!$A51, Calcs!$AC$5:$AC$51, 0), MATCH('Rotation Assembler'!Z$32, Calcs!$AC$5:$AG$5, 0))</f>
        <v>0</v>
      </c>
      <c r="AA51" s="126">
        <f>INDEX(Calcs!$AC$5:$AG$51, MATCH('Rotation Assembler'!$A51, Calcs!$AC$5:$AC$51, 0), MATCH('Rotation Assembler'!AA$32, Calcs!$AC$5:$AG$5, 0))</f>
        <v>0</v>
      </c>
      <c r="AB51" s="126">
        <f>INDEX(Calcs!$AC$5:$AG$51, MATCH('Rotation Assembler'!$A51, Calcs!$AC$5:$AC$51, 0), MATCH('Rotation Assembler'!AB$32, Calcs!$AC$5:$AG$5, 0))</f>
        <v>0</v>
      </c>
      <c r="AC51" s="126">
        <f>INDEX(Calcs!$AC$5:$AG$51, MATCH('Rotation Assembler'!$A51, Calcs!$AC$5:$AC$51, 0), MATCH('Rotation Assembler'!AC$32, Calcs!$AC$5:$AG$5, 0))</f>
        <v>0</v>
      </c>
      <c r="AD51" s="126">
        <f>INDEX(Calcs!$AC$5:$AG$51, MATCH('Rotation Assembler'!$A51, Calcs!$AC$5:$AC$51, 0), MATCH('Rotation Assembler'!AD$32, Calcs!$AC$5:$AG$5, 0))</f>
        <v>0</v>
      </c>
      <c r="AE51" s="126">
        <f>INDEX(Calcs!$AC$5:$AG$51, MATCH('Rotation Assembler'!$A51, Calcs!$AC$5:$AC$51, 0), MATCH('Rotation Assembler'!AE$32, Calcs!$AC$5:$AG$5, 0))</f>
        <v>0</v>
      </c>
      <c r="AF51" s="126">
        <f>INDEX(Calcs!$AC$5:$AG$51, MATCH('Rotation Assembler'!$A51, Calcs!$AC$5:$AC$51, 0), MATCH('Rotation Assembler'!AF$32, Calcs!$AC$5:$AG$5, 0))</f>
        <v>0</v>
      </c>
      <c r="AG51" s="126">
        <f>INDEX(Calcs!$AC$5:$AG$51, MATCH('Rotation Assembler'!$A51, Calcs!$AC$5:$AC$51, 0), MATCH('Rotation Assembler'!AG$32, Calcs!$AC$5:$AG$5, 0))</f>
        <v>0</v>
      </c>
      <c r="AH51" s="126">
        <f>INDEX(Calcs!$AC$5:$AG$51, MATCH('Rotation Assembler'!$A51, Calcs!$AC$5:$AC$51, 0), MATCH('Rotation Assembler'!AH$32, Calcs!$AC$5:$AG$5, 0))</f>
        <v>0</v>
      </c>
      <c r="AI51" s="126">
        <f>INDEX(Calcs!$AC$5:$AG$51, MATCH('Rotation Assembler'!$A51, Calcs!$AC$5:$AC$51, 0), MATCH('Rotation Assembler'!AI$32, Calcs!$AC$5:$AG$5, 0))</f>
        <v>0</v>
      </c>
      <c r="AJ51" s="126" t="e">
        <f>INDEX(Calcs!$AC$5:$AG$51, MATCH('Rotation Assembler'!$A51, Calcs!$AC$5:$AC$51, 0), MATCH('Rotation Assembler'!AJ$32, Calcs!$AC$5:$AG$5, 0))</f>
        <v>#N/A</v>
      </c>
      <c r="AK51" s="126" t="e">
        <f>INDEX(Calcs!$AC$5:$AG$51, MATCH('Rotation Assembler'!$A51, Calcs!$AC$5:$AC$51, 0), MATCH('Rotation Assembler'!AK$32, Calcs!$AC$5:$AG$5, 0))</f>
        <v>#N/A</v>
      </c>
      <c r="AL51" s="126" t="e">
        <f>INDEX(Calcs!$AC$5:$AG$51, MATCH('Rotation Assembler'!$A51, Calcs!$AC$5:$AC$51, 0), MATCH('Rotation Assembler'!AL$32, Calcs!$AC$5:$AG$5, 0))</f>
        <v>#N/A</v>
      </c>
      <c r="AM51" s="126" t="e">
        <f>INDEX(Calcs!$AC$5:$AG$51, MATCH('Rotation Assembler'!$A51, Calcs!$AC$5:$AC$51, 0), MATCH('Rotation Assembler'!AM$32, Calcs!$AC$5:$AG$5, 0))</f>
        <v>#N/A</v>
      </c>
      <c r="AN51" s="126" t="e">
        <f>INDEX(Calcs!$AC$5:$AG$51, MATCH('Rotation Assembler'!$A51, Calcs!$AC$5:$AC$51, 0), MATCH('Rotation Assembler'!AN$32, Calcs!$AC$5:$AG$5, 0))</f>
        <v>#N/A</v>
      </c>
      <c r="AO51" s="126" t="e">
        <f>INDEX(Calcs!$AC$5:$AG$51, MATCH('Rotation Assembler'!$A51, Calcs!$AC$5:$AC$51, 0), MATCH('Rotation Assembler'!AO$32, Calcs!$AC$5:$AG$5, 0))</f>
        <v>#N/A</v>
      </c>
      <c r="AP51" s="126" t="e">
        <f>INDEX(Calcs!$AC$5:$AG$51, MATCH('Rotation Assembler'!$A51, Calcs!$AC$5:$AC$51, 0), MATCH('Rotation Assembler'!AP$32, Calcs!$AC$5:$AG$5, 0))</f>
        <v>#N/A</v>
      </c>
      <c r="AQ51" s="126" t="e">
        <f>INDEX(Calcs!$AC$5:$AG$51, MATCH('Rotation Assembler'!$A51, Calcs!$AC$5:$AC$51, 0), MATCH('Rotation Assembler'!AQ$32, Calcs!$AC$5:$AG$5, 0))</f>
        <v>#N/A</v>
      </c>
      <c r="AR51" s="126" t="e">
        <f>INDEX(Calcs!$AC$5:$AG$51, MATCH('Rotation Assembler'!$A51, Calcs!$AC$5:$AC$51, 0), MATCH('Rotation Assembler'!AR$32, Calcs!$AC$5:$AG$5, 0))</f>
        <v>#N/A</v>
      </c>
      <c r="AS51" s="126" t="e">
        <f>INDEX(Calcs!$AC$5:$AG$51, MATCH('Rotation Assembler'!$A51, Calcs!$AC$5:$AC$51, 0), MATCH('Rotation Assembler'!AS$32, Calcs!$AC$5:$AG$5, 0))</f>
        <v>#N/A</v>
      </c>
      <c r="AT51" s="126" t="e">
        <f>INDEX(Calcs!$AC$5:$AG$51, MATCH('Rotation Assembler'!$A51, Calcs!$AC$5:$AC$51, 0), MATCH('Rotation Assembler'!AT$32, Calcs!$AC$5:$AG$5, 0))</f>
        <v>#N/A</v>
      </c>
      <c r="AU51" s="126" t="e">
        <f>INDEX(Calcs!$AC$5:$AG$51, MATCH('Rotation Assembler'!$A51, Calcs!$AC$5:$AC$51, 0), MATCH('Rotation Assembler'!AU$32, Calcs!$AC$5:$AG$5, 0))</f>
        <v>#N/A</v>
      </c>
      <c r="AV51" s="126" t="e">
        <f>INDEX(Calcs!$AC$5:$AG$51, MATCH('Rotation Assembler'!$A51, Calcs!$AC$5:$AC$51, 0), MATCH('Rotation Assembler'!AV$32, Calcs!$AC$5:$AG$5, 0))</f>
        <v>#N/A</v>
      </c>
      <c r="AW51" s="126" t="e">
        <f>INDEX(Calcs!$AC$5:$AG$51, MATCH('Rotation Assembler'!$A51, Calcs!$AC$5:$AC$51, 0), MATCH('Rotation Assembler'!AW$32, Calcs!$AC$5:$AG$5, 0))</f>
        <v>#N/A</v>
      </c>
      <c r="AX51" s="126" t="e">
        <f>INDEX(Calcs!$AC$5:$AG$51, MATCH('Rotation Assembler'!$A51, Calcs!$AC$5:$AC$51, 0), MATCH('Rotation Assembler'!AX$32, Calcs!$AC$5:$AG$5, 0))</f>
        <v>#N/A</v>
      </c>
      <c r="AY51" s="126" t="e">
        <f>INDEX(Calcs!$AC$5:$AG$51, MATCH('Rotation Assembler'!$A51, Calcs!$AC$5:$AC$51, 0), MATCH('Rotation Assembler'!AY$32, Calcs!$AC$5:$AG$5, 0))</f>
        <v>#N/A</v>
      </c>
      <c r="AZ51" s="126" t="e">
        <f>INDEX(Calcs!$AC$5:$AG$51, MATCH('Rotation Assembler'!$A51, Calcs!$AC$5:$AC$51, 0), MATCH('Rotation Assembler'!AZ$32, Calcs!$AC$5:$AG$5, 0))</f>
        <v>#N/A</v>
      </c>
      <c r="BA51" s="126" t="e">
        <f>INDEX(Calcs!$AC$5:$AG$51, MATCH('Rotation Assembler'!$A51, Calcs!$AC$5:$AC$51, 0), MATCH('Rotation Assembler'!BA$32, Calcs!$AC$5:$AG$5, 0))</f>
        <v>#N/A</v>
      </c>
      <c r="BB51" s="126" t="e">
        <f>INDEX(Calcs!$AC$5:$AG$51, MATCH('Rotation Assembler'!$A51, Calcs!$AC$5:$AC$51, 0), MATCH('Rotation Assembler'!BB$32, Calcs!$AC$5:$AG$5, 0))</f>
        <v>#N/A</v>
      </c>
      <c r="BC51" s="126" t="e">
        <f>INDEX(Calcs!$AC$5:$AG$51, MATCH('Rotation Assembler'!$A51, Calcs!$AC$5:$AC$51, 0), MATCH('Rotation Assembler'!BC$32, Calcs!$AC$5:$AG$5, 0))</f>
        <v>#N/A</v>
      </c>
      <c r="BD51" s="126" t="e">
        <f>INDEX(Calcs!$AC$5:$AG$51, MATCH('Rotation Assembler'!$A51, Calcs!$AC$5:$AC$51, 0), MATCH('Rotation Assembler'!BD$32, Calcs!$AC$5:$AG$5, 0))</f>
        <v>#N/A</v>
      </c>
      <c r="BE51" s="126" t="e">
        <f>INDEX(Calcs!$AC$5:$AG$51, MATCH('Rotation Assembler'!$A51, Calcs!$AC$5:$AC$51, 0), MATCH('Rotation Assembler'!BE$32, Calcs!$AC$5:$AG$5, 0))</f>
        <v>#N/A</v>
      </c>
      <c r="BF51" s="126" t="e">
        <f>INDEX(Calcs!$AC$5:$AG$51, MATCH('Rotation Assembler'!$A51, Calcs!$AC$5:$AC$51, 0), MATCH('Rotation Assembler'!BF$32, Calcs!$AC$5:$AG$5, 0))</f>
        <v>#N/A</v>
      </c>
      <c r="BG51" s="126" t="e">
        <f>INDEX(Calcs!$AC$5:$AG$51, MATCH('Rotation Assembler'!$A51, Calcs!$AC$5:$AC$51, 0), MATCH('Rotation Assembler'!BG$32, Calcs!$AC$5:$AG$5, 0))</f>
        <v>#N/A</v>
      </c>
      <c r="BH51" s="126" t="e">
        <f>INDEX(Calcs!$AC$5:$AG$51, MATCH('Rotation Assembler'!$A51, Calcs!$AC$5:$AC$51, 0), MATCH('Rotation Assembler'!BH$32, Calcs!$AC$5:$AG$5, 0))</f>
        <v>#N/A</v>
      </c>
      <c r="BI51" s="126"/>
      <c r="BJ51" s="126"/>
      <c r="BK51" s="126"/>
      <c r="BL51" s="126"/>
      <c r="BM51" s="126"/>
      <c r="BN51" s="126"/>
      <c r="BO51" s="126"/>
      <c r="BP51" s="126"/>
      <c r="BQ51" s="126"/>
      <c r="BR51" s="126"/>
      <c r="BS51" s="126"/>
      <c r="BT51" s="126"/>
      <c r="BU51" s="126"/>
      <c r="BV51" s="126"/>
      <c r="BW51" s="126"/>
      <c r="BX51" s="126"/>
      <c r="BY51" s="126"/>
      <c r="BZ51" s="126"/>
      <c r="CA51" s="126"/>
      <c r="CB51" s="126"/>
      <c r="CC51" s="126"/>
      <c r="CD51" s="126"/>
      <c r="CE51" s="126"/>
      <c r="CF51" s="126"/>
      <c r="CG51" s="126"/>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row>
    <row r="52" spans="1:107" hidden="1" outlineLevel="1" x14ac:dyDescent="0.25">
      <c r="A52" s="122" t="s">
        <v>78</v>
      </c>
      <c r="B52" s="126">
        <f>INDEX(Calcs!$AC$5:$AG$51, MATCH('Rotation Assembler'!$A52, Calcs!$AC$5:$AC$51, 0), MATCH('Rotation Assembler'!B$32, Calcs!$AC$5:$AG$5, 0))</f>
        <v>0</v>
      </c>
      <c r="C52" s="126">
        <f>INDEX(Calcs!$AC$5:$AG$51, MATCH('Rotation Assembler'!$A52, Calcs!$AC$5:$AC$51, 0), MATCH('Rotation Assembler'!C$32, Calcs!$AC$5:$AG$5, 0))</f>
        <v>0</v>
      </c>
      <c r="D52" s="126">
        <f>INDEX(Calcs!$AC$5:$AG$51, MATCH('Rotation Assembler'!$A52, Calcs!$AC$5:$AC$51, 0), MATCH('Rotation Assembler'!D$32, Calcs!$AC$5:$AG$5, 0))</f>
        <v>0</v>
      </c>
      <c r="E52" s="126">
        <f>INDEX(Calcs!$AC$5:$AG$51, MATCH('Rotation Assembler'!$A52, Calcs!$AC$5:$AC$51, 0), MATCH('Rotation Assembler'!E$32, Calcs!$AC$5:$AG$5, 0))</f>
        <v>0</v>
      </c>
      <c r="F52" s="126">
        <f>INDEX(Calcs!$AC$5:$AG$51, MATCH('Rotation Assembler'!$A52, Calcs!$AC$5:$AC$51, 0), MATCH('Rotation Assembler'!F$32, Calcs!$AC$5:$AG$5, 0))</f>
        <v>0</v>
      </c>
      <c r="G52" s="126">
        <f>INDEX(Calcs!$AC$5:$AG$51, MATCH('Rotation Assembler'!$A52, Calcs!$AC$5:$AC$51, 0), MATCH('Rotation Assembler'!G$32, Calcs!$AC$5:$AG$5, 0))</f>
        <v>0</v>
      </c>
      <c r="H52" s="126">
        <f>INDEX(Calcs!$AC$5:$AG$51, MATCH('Rotation Assembler'!$A52, Calcs!$AC$5:$AC$51, 0), MATCH('Rotation Assembler'!H$32, Calcs!$AC$5:$AG$5, 0))</f>
        <v>0</v>
      </c>
      <c r="I52" s="126">
        <f>INDEX(Calcs!$AC$5:$AG$51, MATCH('Rotation Assembler'!$A52, Calcs!$AC$5:$AC$51, 0), MATCH('Rotation Assembler'!I$32, Calcs!$AC$5:$AG$5, 0))</f>
        <v>0</v>
      </c>
      <c r="J52" s="126">
        <f>INDEX(Calcs!$AC$5:$AG$51, MATCH('Rotation Assembler'!$A52, Calcs!$AC$5:$AC$51, 0), MATCH('Rotation Assembler'!J$32, Calcs!$AC$5:$AG$5, 0))</f>
        <v>0</v>
      </c>
      <c r="K52" s="126">
        <f>INDEX(Calcs!$AC$5:$AG$51, MATCH('Rotation Assembler'!$A52, Calcs!$AC$5:$AC$51, 0), MATCH('Rotation Assembler'!K$32, Calcs!$AC$5:$AG$5, 0))</f>
        <v>0</v>
      </c>
      <c r="L52" s="126">
        <f>INDEX(Calcs!$AC$5:$AG$51, MATCH('Rotation Assembler'!$A52, Calcs!$AC$5:$AC$51, 0), MATCH('Rotation Assembler'!L$32, Calcs!$AC$5:$AG$5, 0))</f>
        <v>0</v>
      </c>
      <c r="M52" s="126">
        <f>INDEX(Calcs!$AC$5:$AG$51, MATCH('Rotation Assembler'!$A52, Calcs!$AC$5:$AC$51, 0), MATCH('Rotation Assembler'!M$32, Calcs!$AC$5:$AG$5, 0))</f>
        <v>0</v>
      </c>
      <c r="N52" s="126">
        <f>INDEX(Calcs!$AC$5:$AG$51, MATCH('Rotation Assembler'!$A52, Calcs!$AC$5:$AC$51, 0), MATCH('Rotation Assembler'!N$32, Calcs!$AC$5:$AG$5, 0))</f>
        <v>0</v>
      </c>
      <c r="O52" s="126">
        <f>INDEX(Calcs!$AC$5:$AG$51, MATCH('Rotation Assembler'!$A52, Calcs!$AC$5:$AC$51, 0), MATCH('Rotation Assembler'!O$32, Calcs!$AC$5:$AG$5, 0))</f>
        <v>0</v>
      </c>
      <c r="P52" s="126">
        <f>INDEX(Calcs!$AC$5:$AG$51, MATCH('Rotation Assembler'!$A52, Calcs!$AC$5:$AC$51, 0), MATCH('Rotation Assembler'!P$32, Calcs!$AC$5:$AG$5, 0))</f>
        <v>0</v>
      </c>
      <c r="Q52" s="126">
        <f>INDEX(Calcs!$AC$5:$AG$51, MATCH('Rotation Assembler'!$A52, Calcs!$AC$5:$AC$51, 0), MATCH('Rotation Assembler'!Q$32, Calcs!$AC$5:$AG$5, 0))</f>
        <v>0</v>
      </c>
      <c r="R52" s="126">
        <f>INDEX(Calcs!$AC$5:$AG$51, MATCH('Rotation Assembler'!$A52, Calcs!$AC$5:$AC$51, 0), MATCH('Rotation Assembler'!R$32, Calcs!$AC$5:$AG$5, 0))</f>
        <v>0</v>
      </c>
      <c r="S52" s="126">
        <f>INDEX(Calcs!$AC$5:$AG$51, MATCH('Rotation Assembler'!$A52, Calcs!$AC$5:$AC$51, 0), MATCH('Rotation Assembler'!S$32, Calcs!$AC$5:$AG$5, 0))</f>
        <v>0</v>
      </c>
      <c r="T52" s="126">
        <f>INDEX(Calcs!$AC$5:$AG$51, MATCH('Rotation Assembler'!$A52, Calcs!$AC$5:$AC$51, 0), MATCH('Rotation Assembler'!T$32, Calcs!$AC$5:$AG$5, 0))</f>
        <v>0</v>
      </c>
      <c r="U52" s="126">
        <f>INDEX(Calcs!$AC$5:$AG$51, MATCH('Rotation Assembler'!$A52, Calcs!$AC$5:$AC$51, 0), MATCH('Rotation Assembler'!U$32, Calcs!$AC$5:$AG$5, 0))</f>
        <v>0</v>
      </c>
      <c r="V52" s="126">
        <f>INDEX(Calcs!$AC$5:$AG$51, MATCH('Rotation Assembler'!$A52, Calcs!$AC$5:$AC$51, 0), MATCH('Rotation Assembler'!V$32, Calcs!$AC$5:$AG$5, 0))</f>
        <v>0</v>
      </c>
      <c r="W52" s="126">
        <f>INDEX(Calcs!$AC$5:$AG$51, MATCH('Rotation Assembler'!$A52, Calcs!$AC$5:$AC$51, 0), MATCH('Rotation Assembler'!W$32, Calcs!$AC$5:$AG$5, 0))</f>
        <v>0</v>
      </c>
      <c r="X52" s="126">
        <f>INDEX(Calcs!$AC$5:$AG$51, MATCH('Rotation Assembler'!$A52, Calcs!$AC$5:$AC$51, 0), MATCH('Rotation Assembler'!X$32, Calcs!$AC$5:$AG$5, 0))</f>
        <v>0</v>
      </c>
      <c r="Y52" s="126">
        <f>INDEX(Calcs!$AC$5:$AG$51, MATCH('Rotation Assembler'!$A52, Calcs!$AC$5:$AC$51, 0), MATCH('Rotation Assembler'!Y$32, Calcs!$AC$5:$AG$5, 0))</f>
        <v>0</v>
      </c>
      <c r="Z52" s="126">
        <f>INDEX(Calcs!$AC$5:$AG$51, MATCH('Rotation Assembler'!$A52, Calcs!$AC$5:$AC$51, 0), MATCH('Rotation Assembler'!Z$32, Calcs!$AC$5:$AG$5, 0))</f>
        <v>0</v>
      </c>
      <c r="AA52" s="126">
        <f>INDEX(Calcs!$AC$5:$AG$51, MATCH('Rotation Assembler'!$A52, Calcs!$AC$5:$AC$51, 0), MATCH('Rotation Assembler'!AA$32, Calcs!$AC$5:$AG$5, 0))</f>
        <v>0</v>
      </c>
      <c r="AB52" s="126">
        <f>INDEX(Calcs!$AC$5:$AG$51, MATCH('Rotation Assembler'!$A52, Calcs!$AC$5:$AC$51, 0), MATCH('Rotation Assembler'!AB$32, Calcs!$AC$5:$AG$5, 0))</f>
        <v>0</v>
      </c>
      <c r="AC52" s="126">
        <f>INDEX(Calcs!$AC$5:$AG$51, MATCH('Rotation Assembler'!$A52, Calcs!$AC$5:$AC$51, 0), MATCH('Rotation Assembler'!AC$32, Calcs!$AC$5:$AG$5, 0))</f>
        <v>0</v>
      </c>
      <c r="AD52" s="126">
        <f>INDEX(Calcs!$AC$5:$AG$51, MATCH('Rotation Assembler'!$A52, Calcs!$AC$5:$AC$51, 0), MATCH('Rotation Assembler'!AD$32, Calcs!$AC$5:$AG$5, 0))</f>
        <v>0</v>
      </c>
      <c r="AE52" s="126">
        <f>INDEX(Calcs!$AC$5:$AG$51, MATCH('Rotation Assembler'!$A52, Calcs!$AC$5:$AC$51, 0), MATCH('Rotation Assembler'!AE$32, Calcs!$AC$5:$AG$5, 0))</f>
        <v>0</v>
      </c>
      <c r="AF52" s="126">
        <f>INDEX(Calcs!$AC$5:$AG$51, MATCH('Rotation Assembler'!$A52, Calcs!$AC$5:$AC$51, 0), MATCH('Rotation Assembler'!AF$32, Calcs!$AC$5:$AG$5, 0))</f>
        <v>0</v>
      </c>
      <c r="AG52" s="126">
        <f>INDEX(Calcs!$AC$5:$AG$51, MATCH('Rotation Assembler'!$A52, Calcs!$AC$5:$AC$51, 0), MATCH('Rotation Assembler'!AG$32, Calcs!$AC$5:$AG$5, 0))</f>
        <v>0</v>
      </c>
      <c r="AH52" s="126">
        <f>INDEX(Calcs!$AC$5:$AG$51, MATCH('Rotation Assembler'!$A52, Calcs!$AC$5:$AC$51, 0), MATCH('Rotation Assembler'!AH$32, Calcs!$AC$5:$AG$5, 0))</f>
        <v>0</v>
      </c>
      <c r="AI52" s="126">
        <f>INDEX(Calcs!$AC$5:$AG$51, MATCH('Rotation Assembler'!$A52, Calcs!$AC$5:$AC$51, 0), MATCH('Rotation Assembler'!AI$32, Calcs!$AC$5:$AG$5, 0))</f>
        <v>0</v>
      </c>
      <c r="AJ52" s="126" t="e">
        <f>INDEX(Calcs!$AC$5:$AG$51, MATCH('Rotation Assembler'!$A52, Calcs!$AC$5:$AC$51, 0), MATCH('Rotation Assembler'!AJ$32, Calcs!$AC$5:$AG$5, 0))</f>
        <v>#N/A</v>
      </c>
      <c r="AK52" s="126" t="e">
        <f>INDEX(Calcs!$AC$5:$AG$51, MATCH('Rotation Assembler'!$A52, Calcs!$AC$5:$AC$51, 0), MATCH('Rotation Assembler'!AK$32, Calcs!$AC$5:$AG$5, 0))</f>
        <v>#N/A</v>
      </c>
      <c r="AL52" s="126" t="e">
        <f>INDEX(Calcs!$AC$5:$AG$51, MATCH('Rotation Assembler'!$A52, Calcs!$AC$5:$AC$51, 0), MATCH('Rotation Assembler'!AL$32, Calcs!$AC$5:$AG$5, 0))</f>
        <v>#N/A</v>
      </c>
      <c r="AM52" s="126" t="e">
        <f>INDEX(Calcs!$AC$5:$AG$51, MATCH('Rotation Assembler'!$A52, Calcs!$AC$5:$AC$51, 0), MATCH('Rotation Assembler'!AM$32, Calcs!$AC$5:$AG$5, 0))</f>
        <v>#N/A</v>
      </c>
      <c r="AN52" s="126" t="e">
        <f>INDEX(Calcs!$AC$5:$AG$51, MATCH('Rotation Assembler'!$A52, Calcs!$AC$5:$AC$51, 0), MATCH('Rotation Assembler'!AN$32, Calcs!$AC$5:$AG$5, 0))</f>
        <v>#N/A</v>
      </c>
      <c r="AO52" s="126" t="e">
        <f>INDEX(Calcs!$AC$5:$AG$51, MATCH('Rotation Assembler'!$A52, Calcs!$AC$5:$AC$51, 0), MATCH('Rotation Assembler'!AO$32, Calcs!$AC$5:$AG$5, 0))</f>
        <v>#N/A</v>
      </c>
      <c r="AP52" s="126" t="e">
        <f>INDEX(Calcs!$AC$5:$AG$51, MATCH('Rotation Assembler'!$A52, Calcs!$AC$5:$AC$51, 0), MATCH('Rotation Assembler'!AP$32, Calcs!$AC$5:$AG$5, 0))</f>
        <v>#N/A</v>
      </c>
      <c r="AQ52" s="126" t="e">
        <f>INDEX(Calcs!$AC$5:$AG$51, MATCH('Rotation Assembler'!$A52, Calcs!$AC$5:$AC$51, 0), MATCH('Rotation Assembler'!AQ$32, Calcs!$AC$5:$AG$5, 0))</f>
        <v>#N/A</v>
      </c>
      <c r="AR52" s="126" t="e">
        <f>INDEX(Calcs!$AC$5:$AG$51, MATCH('Rotation Assembler'!$A52, Calcs!$AC$5:$AC$51, 0), MATCH('Rotation Assembler'!AR$32, Calcs!$AC$5:$AG$5, 0))</f>
        <v>#N/A</v>
      </c>
      <c r="AS52" s="126" t="e">
        <f>INDEX(Calcs!$AC$5:$AG$51, MATCH('Rotation Assembler'!$A52, Calcs!$AC$5:$AC$51, 0), MATCH('Rotation Assembler'!AS$32, Calcs!$AC$5:$AG$5, 0))</f>
        <v>#N/A</v>
      </c>
      <c r="AT52" s="126" t="e">
        <f>INDEX(Calcs!$AC$5:$AG$51, MATCH('Rotation Assembler'!$A52, Calcs!$AC$5:$AC$51, 0), MATCH('Rotation Assembler'!AT$32, Calcs!$AC$5:$AG$5, 0))</f>
        <v>#N/A</v>
      </c>
      <c r="AU52" s="126" t="e">
        <f>INDEX(Calcs!$AC$5:$AG$51, MATCH('Rotation Assembler'!$A52, Calcs!$AC$5:$AC$51, 0), MATCH('Rotation Assembler'!AU$32, Calcs!$AC$5:$AG$5, 0))</f>
        <v>#N/A</v>
      </c>
      <c r="AV52" s="126" t="e">
        <f>INDEX(Calcs!$AC$5:$AG$51, MATCH('Rotation Assembler'!$A52, Calcs!$AC$5:$AC$51, 0), MATCH('Rotation Assembler'!AV$32, Calcs!$AC$5:$AG$5, 0))</f>
        <v>#N/A</v>
      </c>
      <c r="AW52" s="126" t="e">
        <f>INDEX(Calcs!$AC$5:$AG$51, MATCH('Rotation Assembler'!$A52, Calcs!$AC$5:$AC$51, 0), MATCH('Rotation Assembler'!AW$32, Calcs!$AC$5:$AG$5, 0))</f>
        <v>#N/A</v>
      </c>
      <c r="AX52" s="126" t="e">
        <f>INDEX(Calcs!$AC$5:$AG$51, MATCH('Rotation Assembler'!$A52, Calcs!$AC$5:$AC$51, 0), MATCH('Rotation Assembler'!AX$32, Calcs!$AC$5:$AG$5, 0))</f>
        <v>#N/A</v>
      </c>
      <c r="AY52" s="126" t="e">
        <f>INDEX(Calcs!$AC$5:$AG$51, MATCH('Rotation Assembler'!$A52, Calcs!$AC$5:$AC$51, 0), MATCH('Rotation Assembler'!AY$32, Calcs!$AC$5:$AG$5, 0))</f>
        <v>#N/A</v>
      </c>
      <c r="AZ52" s="126" t="e">
        <f>INDEX(Calcs!$AC$5:$AG$51, MATCH('Rotation Assembler'!$A52, Calcs!$AC$5:$AC$51, 0), MATCH('Rotation Assembler'!AZ$32, Calcs!$AC$5:$AG$5, 0))</f>
        <v>#N/A</v>
      </c>
      <c r="BA52" s="126" t="e">
        <f>INDEX(Calcs!$AC$5:$AG$51, MATCH('Rotation Assembler'!$A52, Calcs!$AC$5:$AC$51, 0), MATCH('Rotation Assembler'!BA$32, Calcs!$AC$5:$AG$5, 0))</f>
        <v>#N/A</v>
      </c>
      <c r="BB52" s="126" t="e">
        <f>INDEX(Calcs!$AC$5:$AG$51, MATCH('Rotation Assembler'!$A52, Calcs!$AC$5:$AC$51, 0), MATCH('Rotation Assembler'!BB$32, Calcs!$AC$5:$AG$5, 0))</f>
        <v>#N/A</v>
      </c>
      <c r="BC52" s="126" t="e">
        <f>INDEX(Calcs!$AC$5:$AG$51, MATCH('Rotation Assembler'!$A52, Calcs!$AC$5:$AC$51, 0), MATCH('Rotation Assembler'!BC$32, Calcs!$AC$5:$AG$5, 0))</f>
        <v>#N/A</v>
      </c>
      <c r="BD52" s="126" t="e">
        <f>INDEX(Calcs!$AC$5:$AG$51, MATCH('Rotation Assembler'!$A52, Calcs!$AC$5:$AC$51, 0), MATCH('Rotation Assembler'!BD$32, Calcs!$AC$5:$AG$5, 0))</f>
        <v>#N/A</v>
      </c>
      <c r="BE52" s="126" t="e">
        <f>INDEX(Calcs!$AC$5:$AG$51, MATCH('Rotation Assembler'!$A52, Calcs!$AC$5:$AC$51, 0), MATCH('Rotation Assembler'!BE$32, Calcs!$AC$5:$AG$5, 0))</f>
        <v>#N/A</v>
      </c>
      <c r="BF52" s="126" t="e">
        <f>INDEX(Calcs!$AC$5:$AG$51, MATCH('Rotation Assembler'!$A52, Calcs!$AC$5:$AC$51, 0), MATCH('Rotation Assembler'!BF$32, Calcs!$AC$5:$AG$5, 0))</f>
        <v>#N/A</v>
      </c>
      <c r="BG52" s="126" t="e">
        <f>INDEX(Calcs!$AC$5:$AG$51, MATCH('Rotation Assembler'!$A52, Calcs!$AC$5:$AC$51, 0), MATCH('Rotation Assembler'!BG$32, Calcs!$AC$5:$AG$5, 0))</f>
        <v>#N/A</v>
      </c>
      <c r="BH52" s="126" t="e">
        <f>INDEX(Calcs!$AC$5:$AG$51, MATCH('Rotation Assembler'!$A52, Calcs!$AC$5:$AC$51, 0), MATCH('Rotation Assembler'!BH$32, Calcs!$AC$5:$AG$5, 0))</f>
        <v>#N/A</v>
      </c>
      <c r="BI52" s="126"/>
      <c r="BJ52" s="126"/>
      <c r="BK52" s="126"/>
      <c r="BL52" s="126"/>
      <c r="BM52" s="126"/>
      <c r="BN52" s="126"/>
      <c r="BO52" s="126"/>
      <c r="BP52" s="126"/>
      <c r="BQ52" s="126"/>
      <c r="BR52" s="126"/>
      <c r="BS52" s="126"/>
      <c r="BT52" s="126"/>
      <c r="BU52" s="126"/>
      <c r="BV52" s="126"/>
      <c r="BW52" s="126"/>
      <c r="BX52" s="126"/>
      <c r="BY52" s="126"/>
      <c r="BZ52" s="126"/>
      <c r="CA52" s="126"/>
      <c r="CB52" s="126"/>
      <c r="CC52" s="126"/>
      <c r="CD52" s="126"/>
      <c r="CE52" s="126"/>
      <c r="CF52" s="126"/>
      <c r="CG52" s="126"/>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row>
    <row r="53" spans="1:107" hidden="1" outlineLevel="1" x14ac:dyDescent="0.25">
      <c r="A53" s="122" t="s">
        <v>79</v>
      </c>
      <c r="B53" s="126">
        <f>INDEX(Calcs!$AC$5:$AG$51, MATCH('Rotation Assembler'!$A53, Calcs!$AC$5:$AC$51, 0), MATCH('Rotation Assembler'!B$32, Calcs!$AC$5:$AG$5, 0))</f>
        <v>0</v>
      </c>
      <c r="C53" s="126">
        <f>INDEX(Calcs!$AC$5:$AG$51, MATCH('Rotation Assembler'!$A53, Calcs!$AC$5:$AC$51, 0), MATCH('Rotation Assembler'!C$32, Calcs!$AC$5:$AG$5, 0))</f>
        <v>0</v>
      </c>
      <c r="D53" s="126">
        <f>INDEX(Calcs!$AC$5:$AG$51, MATCH('Rotation Assembler'!$A53, Calcs!$AC$5:$AC$51, 0), MATCH('Rotation Assembler'!D$32, Calcs!$AC$5:$AG$5, 0))</f>
        <v>0</v>
      </c>
      <c r="E53" s="126">
        <f>INDEX(Calcs!$AC$5:$AG$51, MATCH('Rotation Assembler'!$A53, Calcs!$AC$5:$AC$51, 0), MATCH('Rotation Assembler'!E$32, Calcs!$AC$5:$AG$5, 0))</f>
        <v>0</v>
      </c>
      <c r="F53" s="126">
        <f>INDEX(Calcs!$AC$5:$AG$51, MATCH('Rotation Assembler'!$A53, Calcs!$AC$5:$AC$51, 0), MATCH('Rotation Assembler'!F$32, Calcs!$AC$5:$AG$5, 0))</f>
        <v>0</v>
      </c>
      <c r="G53" s="126">
        <f>INDEX(Calcs!$AC$5:$AG$51, MATCH('Rotation Assembler'!$A53, Calcs!$AC$5:$AC$51, 0), MATCH('Rotation Assembler'!G$32, Calcs!$AC$5:$AG$5, 0))</f>
        <v>0</v>
      </c>
      <c r="H53" s="126">
        <f>INDEX(Calcs!$AC$5:$AG$51, MATCH('Rotation Assembler'!$A53, Calcs!$AC$5:$AC$51, 0), MATCH('Rotation Assembler'!H$32, Calcs!$AC$5:$AG$5, 0))</f>
        <v>0</v>
      </c>
      <c r="I53" s="126">
        <f>INDEX(Calcs!$AC$5:$AG$51, MATCH('Rotation Assembler'!$A53, Calcs!$AC$5:$AC$51, 0), MATCH('Rotation Assembler'!I$32, Calcs!$AC$5:$AG$5, 0))</f>
        <v>0</v>
      </c>
      <c r="J53" s="126">
        <f>INDEX(Calcs!$AC$5:$AG$51, MATCH('Rotation Assembler'!$A53, Calcs!$AC$5:$AC$51, 0), MATCH('Rotation Assembler'!J$32, Calcs!$AC$5:$AG$5, 0))</f>
        <v>0</v>
      </c>
      <c r="K53" s="126">
        <f>INDEX(Calcs!$AC$5:$AG$51, MATCH('Rotation Assembler'!$A53, Calcs!$AC$5:$AC$51, 0), MATCH('Rotation Assembler'!K$32, Calcs!$AC$5:$AG$5, 0))</f>
        <v>0</v>
      </c>
      <c r="L53" s="126">
        <f>INDEX(Calcs!$AC$5:$AG$51, MATCH('Rotation Assembler'!$A53, Calcs!$AC$5:$AC$51, 0), MATCH('Rotation Assembler'!L$32, Calcs!$AC$5:$AG$5, 0))</f>
        <v>0</v>
      </c>
      <c r="M53" s="126">
        <f>INDEX(Calcs!$AC$5:$AG$51, MATCH('Rotation Assembler'!$A53, Calcs!$AC$5:$AC$51, 0), MATCH('Rotation Assembler'!M$32, Calcs!$AC$5:$AG$5, 0))</f>
        <v>0</v>
      </c>
      <c r="N53" s="126">
        <f>INDEX(Calcs!$AC$5:$AG$51, MATCH('Rotation Assembler'!$A53, Calcs!$AC$5:$AC$51, 0), MATCH('Rotation Assembler'!N$32, Calcs!$AC$5:$AG$5, 0))</f>
        <v>0</v>
      </c>
      <c r="O53" s="126">
        <f>INDEX(Calcs!$AC$5:$AG$51, MATCH('Rotation Assembler'!$A53, Calcs!$AC$5:$AC$51, 0), MATCH('Rotation Assembler'!O$32, Calcs!$AC$5:$AG$5, 0))</f>
        <v>0</v>
      </c>
      <c r="P53" s="126">
        <f>INDEX(Calcs!$AC$5:$AG$51, MATCH('Rotation Assembler'!$A53, Calcs!$AC$5:$AC$51, 0), MATCH('Rotation Assembler'!P$32, Calcs!$AC$5:$AG$5, 0))</f>
        <v>0</v>
      </c>
      <c r="Q53" s="126">
        <f>INDEX(Calcs!$AC$5:$AG$51, MATCH('Rotation Assembler'!$A53, Calcs!$AC$5:$AC$51, 0), MATCH('Rotation Assembler'!Q$32, Calcs!$AC$5:$AG$5, 0))</f>
        <v>0</v>
      </c>
      <c r="R53" s="126">
        <f>INDEX(Calcs!$AC$5:$AG$51, MATCH('Rotation Assembler'!$A53, Calcs!$AC$5:$AC$51, 0), MATCH('Rotation Assembler'!R$32, Calcs!$AC$5:$AG$5, 0))</f>
        <v>0</v>
      </c>
      <c r="S53" s="126">
        <f>INDEX(Calcs!$AC$5:$AG$51, MATCH('Rotation Assembler'!$A53, Calcs!$AC$5:$AC$51, 0), MATCH('Rotation Assembler'!S$32, Calcs!$AC$5:$AG$5, 0))</f>
        <v>0</v>
      </c>
      <c r="T53" s="126">
        <f>INDEX(Calcs!$AC$5:$AG$51, MATCH('Rotation Assembler'!$A53, Calcs!$AC$5:$AC$51, 0), MATCH('Rotation Assembler'!T$32, Calcs!$AC$5:$AG$5, 0))</f>
        <v>0</v>
      </c>
      <c r="U53" s="126">
        <f>INDEX(Calcs!$AC$5:$AG$51, MATCH('Rotation Assembler'!$A53, Calcs!$AC$5:$AC$51, 0), MATCH('Rotation Assembler'!U$32, Calcs!$AC$5:$AG$5, 0))</f>
        <v>0</v>
      </c>
      <c r="V53" s="126">
        <f>INDEX(Calcs!$AC$5:$AG$51, MATCH('Rotation Assembler'!$A53, Calcs!$AC$5:$AC$51, 0), MATCH('Rotation Assembler'!V$32, Calcs!$AC$5:$AG$5, 0))</f>
        <v>0</v>
      </c>
      <c r="W53" s="126">
        <f>INDEX(Calcs!$AC$5:$AG$51, MATCH('Rotation Assembler'!$A53, Calcs!$AC$5:$AC$51, 0), MATCH('Rotation Assembler'!W$32, Calcs!$AC$5:$AG$5, 0))</f>
        <v>0</v>
      </c>
      <c r="X53" s="126">
        <f>INDEX(Calcs!$AC$5:$AG$51, MATCH('Rotation Assembler'!$A53, Calcs!$AC$5:$AC$51, 0), MATCH('Rotation Assembler'!X$32, Calcs!$AC$5:$AG$5, 0))</f>
        <v>0</v>
      </c>
      <c r="Y53" s="126">
        <f>INDEX(Calcs!$AC$5:$AG$51, MATCH('Rotation Assembler'!$A53, Calcs!$AC$5:$AC$51, 0), MATCH('Rotation Assembler'!Y$32, Calcs!$AC$5:$AG$5, 0))</f>
        <v>0</v>
      </c>
      <c r="Z53" s="126">
        <f>INDEX(Calcs!$AC$5:$AG$51, MATCH('Rotation Assembler'!$A53, Calcs!$AC$5:$AC$51, 0), MATCH('Rotation Assembler'!Z$32, Calcs!$AC$5:$AG$5, 0))</f>
        <v>0</v>
      </c>
      <c r="AA53" s="126">
        <f>INDEX(Calcs!$AC$5:$AG$51, MATCH('Rotation Assembler'!$A53, Calcs!$AC$5:$AC$51, 0), MATCH('Rotation Assembler'!AA$32, Calcs!$AC$5:$AG$5, 0))</f>
        <v>0</v>
      </c>
      <c r="AB53" s="126">
        <f>INDEX(Calcs!$AC$5:$AG$51, MATCH('Rotation Assembler'!$A53, Calcs!$AC$5:$AC$51, 0), MATCH('Rotation Assembler'!AB$32, Calcs!$AC$5:$AG$5, 0))</f>
        <v>0</v>
      </c>
      <c r="AC53" s="126">
        <f>INDEX(Calcs!$AC$5:$AG$51, MATCH('Rotation Assembler'!$A53, Calcs!$AC$5:$AC$51, 0), MATCH('Rotation Assembler'!AC$32, Calcs!$AC$5:$AG$5, 0))</f>
        <v>0</v>
      </c>
      <c r="AD53" s="126">
        <f>INDEX(Calcs!$AC$5:$AG$51, MATCH('Rotation Assembler'!$A53, Calcs!$AC$5:$AC$51, 0), MATCH('Rotation Assembler'!AD$32, Calcs!$AC$5:$AG$5, 0))</f>
        <v>0</v>
      </c>
      <c r="AE53" s="126">
        <f>INDEX(Calcs!$AC$5:$AG$51, MATCH('Rotation Assembler'!$A53, Calcs!$AC$5:$AC$51, 0), MATCH('Rotation Assembler'!AE$32, Calcs!$AC$5:$AG$5, 0))</f>
        <v>0</v>
      </c>
      <c r="AF53" s="126">
        <f>INDEX(Calcs!$AC$5:$AG$51, MATCH('Rotation Assembler'!$A53, Calcs!$AC$5:$AC$51, 0), MATCH('Rotation Assembler'!AF$32, Calcs!$AC$5:$AG$5, 0))</f>
        <v>0</v>
      </c>
      <c r="AG53" s="126">
        <f>INDEX(Calcs!$AC$5:$AG$51, MATCH('Rotation Assembler'!$A53, Calcs!$AC$5:$AC$51, 0), MATCH('Rotation Assembler'!AG$32, Calcs!$AC$5:$AG$5, 0))</f>
        <v>0</v>
      </c>
      <c r="AH53" s="126">
        <f>INDEX(Calcs!$AC$5:$AG$51, MATCH('Rotation Assembler'!$A53, Calcs!$AC$5:$AC$51, 0), MATCH('Rotation Assembler'!AH$32, Calcs!$AC$5:$AG$5, 0))</f>
        <v>0</v>
      </c>
      <c r="AI53" s="126">
        <f>INDEX(Calcs!$AC$5:$AG$51, MATCH('Rotation Assembler'!$A53, Calcs!$AC$5:$AC$51, 0), MATCH('Rotation Assembler'!AI$32, Calcs!$AC$5:$AG$5, 0))</f>
        <v>0</v>
      </c>
      <c r="AJ53" s="126" t="e">
        <f>INDEX(Calcs!$AC$5:$AG$51, MATCH('Rotation Assembler'!$A53, Calcs!$AC$5:$AC$51, 0), MATCH('Rotation Assembler'!AJ$32, Calcs!$AC$5:$AG$5, 0))</f>
        <v>#N/A</v>
      </c>
      <c r="AK53" s="126" t="e">
        <f>INDEX(Calcs!$AC$5:$AG$51, MATCH('Rotation Assembler'!$A53, Calcs!$AC$5:$AC$51, 0), MATCH('Rotation Assembler'!AK$32, Calcs!$AC$5:$AG$5, 0))</f>
        <v>#N/A</v>
      </c>
      <c r="AL53" s="126" t="e">
        <f>INDEX(Calcs!$AC$5:$AG$51, MATCH('Rotation Assembler'!$A53, Calcs!$AC$5:$AC$51, 0), MATCH('Rotation Assembler'!AL$32, Calcs!$AC$5:$AG$5, 0))</f>
        <v>#N/A</v>
      </c>
      <c r="AM53" s="126" t="e">
        <f>INDEX(Calcs!$AC$5:$AG$51, MATCH('Rotation Assembler'!$A53, Calcs!$AC$5:$AC$51, 0), MATCH('Rotation Assembler'!AM$32, Calcs!$AC$5:$AG$5, 0))</f>
        <v>#N/A</v>
      </c>
      <c r="AN53" s="126" t="e">
        <f>INDEX(Calcs!$AC$5:$AG$51, MATCH('Rotation Assembler'!$A53, Calcs!$AC$5:$AC$51, 0), MATCH('Rotation Assembler'!AN$32, Calcs!$AC$5:$AG$5, 0))</f>
        <v>#N/A</v>
      </c>
      <c r="AO53" s="126" t="e">
        <f>INDEX(Calcs!$AC$5:$AG$51, MATCH('Rotation Assembler'!$A53, Calcs!$AC$5:$AC$51, 0), MATCH('Rotation Assembler'!AO$32, Calcs!$AC$5:$AG$5, 0))</f>
        <v>#N/A</v>
      </c>
      <c r="AP53" s="126" t="e">
        <f>INDEX(Calcs!$AC$5:$AG$51, MATCH('Rotation Assembler'!$A53, Calcs!$AC$5:$AC$51, 0), MATCH('Rotation Assembler'!AP$32, Calcs!$AC$5:$AG$5, 0))</f>
        <v>#N/A</v>
      </c>
      <c r="AQ53" s="126" t="e">
        <f>INDEX(Calcs!$AC$5:$AG$51, MATCH('Rotation Assembler'!$A53, Calcs!$AC$5:$AC$51, 0), MATCH('Rotation Assembler'!AQ$32, Calcs!$AC$5:$AG$5, 0))</f>
        <v>#N/A</v>
      </c>
      <c r="AR53" s="126" t="e">
        <f>INDEX(Calcs!$AC$5:$AG$51, MATCH('Rotation Assembler'!$A53, Calcs!$AC$5:$AC$51, 0), MATCH('Rotation Assembler'!AR$32, Calcs!$AC$5:$AG$5, 0))</f>
        <v>#N/A</v>
      </c>
      <c r="AS53" s="126" t="e">
        <f>INDEX(Calcs!$AC$5:$AG$51, MATCH('Rotation Assembler'!$A53, Calcs!$AC$5:$AC$51, 0), MATCH('Rotation Assembler'!AS$32, Calcs!$AC$5:$AG$5, 0))</f>
        <v>#N/A</v>
      </c>
      <c r="AT53" s="126" t="e">
        <f>INDEX(Calcs!$AC$5:$AG$51, MATCH('Rotation Assembler'!$A53, Calcs!$AC$5:$AC$51, 0), MATCH('Rotation Assembler'!AT$32, Calcs!$AC$5:$AG$5, 0))</f>
        <v>#N/A</v>
      </c>
      <c r="AU53" s="126" t="e">
        <f>INDEX(Calcs!$AC$5:$AG$51, MATCH('Rotation Assembler'!$A53, Calcs!$AC$5:$AC$51, 0), MATCH('Rotation Assembler'!AU$32, Calcs!$AC$5:$AG$5, 0))</f>
        <v>#N/A</v>
      </c>
      <c r="AV53" s="126" t="e">
        <f>INDEX(Calcs!$AC$5:$AG$51, MATCH('Rotation Assembler'!$A53, Calcs!$AC$5:$AC$51, 0), MATCH('Rotation Assembler'!AV$32, Calcs!$AC$5:$AG$5, 0))</f>
        <v>#N/A</v>
      </c>
      <c r="AW53" s="126" t="e">
        <f>INDEX(Calcs!$AC$5:$AG$51, MATCH('Rotation Assembler'!$A53, Calcs!$AC$5:$AC$51, 0), MATCH('Rotation Assembler'!AW$32, Calcs!$AC$5:$AG$5, 0))</f>
        <v>#N/A</v>
      </c>
      <c r="AX53" s="126" t="e">
        <f>INDEX(Calcs!$AC$5:$AG$51, MATCH('Rotation Assembler'!$A53, Calcs!$AC$5:$AC$51, 0), MATCH('Rotation Assembler'!AX$32, Calcs!$AC$5:$AG$5, 0))</f>
        <v>#N/A</v>
      </c>
      <c r="AY53" s="126" t="e">
        <f>INDEX(Calcs!$AC$5:$AG$51, MATCH('Rotation Assembler'!$A53, Calcs!$AC$5:$AC$51, 0), MATCH('Rotation Assembler'!AY$32, Calcs!$AC$5:$AG$5, 0))</f>
        <v>#N/A</v>
      </c>
      <c r="AZ53" s="126" t="e">
        <f>INDEX(Calcs!$AC$5:$AG$51, MATCH('Rotation Assembler'!$A53, Calcs!$AC$5:$AC$51, 0), MATCH('Rotation Assembler'!AZ$32, Calcs!$AC$5:$AG$5, 0))</f>
        <v>#N/A</v>
      </c>
      <c r="BA53" s="126" t="e">
        <f>INDEX(Calcs!$AC$5:$AG$51, MATCH('Rotation Assembler'!$A53, Calcs!$AC$5:$AC$51, 0), MATCH('Rotation Assembler'!BA$32, Calcs!$AC$5:$AG$5, 0))</f>
        <v>#N/A</v>
      </c>
      <c r="BB53" s="126" t="e">
        <f>INDEX(Calcs!$AC$5:$AG$51, MATCH('Rotation Assembler'!$A53, Calcs!$AC$5:$AC$51, 0), MATCH('Rotation Assembler'!BB$32, Calcs!$AC$5:$AG$5, 0))</f>
        <v>#N/A</v>
      </c>
      <c r="BC53" s="126" t="e">
        <f>INDEX(Calcs!$AC$5:$AG$51, MATCH('Rotation Assembler'!$A53, Calcs!$AC$5:$AC$51, 0), MATCH('Rotation Assembler'!BC$32, Calcs!$AC$5:$AG$5, 0))</f>
        <v>#N/A</v>
      </c>
      <c r="BD53" s="126" t="e">
        <f>INDEX(Calcs!$AC$5:$AG$51, MATCH('Rotation Assembler'!$A53, Calcs!$AC$5:$AC$51, 0), MATCH('Rotation Assembler'!BD$32, Calcs!$AC$5:$AG$5, 0))</f>
        <v>#N/A</v>
      </c>
      <c r="BE53" s="126" t="e">
        <f>INDEX(Calcs!$AC$5:$AG$51, MATCH('Rotation Assembler'!$A53, Calcs!$AC$5:$AC$51, 0), MATCH('Rotation Assembler'!BE$32, Calcs!$AC$5:$AG$5, 0))</f>
        <v>#N/A</v>
      </c>
      <c r="BF53" s="126" t="e">
        <f>INDEX(Calcs!$AC$5:$AG$51, MATCH('Rotation Assembler'!$A53, Calcs!$AC$5:$AC$51, 0), MATCH('Rotation Assembler'!BF$32, Calcs!$AC$5:$AG$5, 0))</f>
        <v>#N/A</v>
      </c>
      <c r="BG53" s="126" t="e">
        <f>INDEX(Calcs!$AC$5:$AG$51, MATCH('Rotation Assembler'!$A53, Calcs!$AC$5:$AC$51, 0), MATCH('Rotation Assembler'!BG$32, Calcs!$AC$5:$AG$5, 0))</f>
        <v>#N/A</v>
      </c>
      <c r="BH53" s="126" t="e">
        <f>INDEX(Calcs!$AC$5:$AG$51, MATCH('Rotation Assembler'!$A53, Calcs!$AC$5:$AC$51, 0), MATCH('Rotation Assembler'!BH$32, Calcs!$AC$5:$AG$5, 0))</f>
        <v>#N/A</v>
      </c>
      <c r="BI53" s="126"/>
      <c r="BJ53" s="126"/>
      <c r="BK53" s="126"/>
      <c r="BL53" s="126"/>
      <c r="BM53" s="126"/>
      <c r="BN53" s="126"/>
      <c r="BO53" s="126"/>
      <c r="BP53" s="126"/>
      <c r="BQ53" s="126"/>
      <c r="BR53" s="126"/>
      <c r="BS53" s="126"/>
      <c r="BT53" s="126"/>
      <c r="BU53" s="126"/>
      <c r="BV53" s="126"/>
      <c r="BW53" s="126"/>
      <c r="BX53" s="126"/>
      <c r="BY53" s="126"/>
      <c r="BZ53" s="126"/>
      <c r="CA53" s="126"/>
      <c r="CB53" s="126"/>
      <c r="CC53" s="126"/>
      <c r="CD53" s="126"/>
      <c r="CE53" s="126"/>
      <c r="CF53" s="126"/>
      <c r="CG53" s="126"/>
      <c r="CH53" s="126"/>
      <c r="CI53" s="126"/>
      <c r="CJ53" s="126"/>
      <c r="CK53" s="126"/>
      <c r="CL53" s="126"/>
      <c r="CM53" s="126"/>
      <c r="CN53" s="126"/>
      <c r="CO53" s="126"/>
      <c r="CP53" s="126"/>
      <c r="CQ53" s="126"/>
      <c r="CR53" s="126"/>
      <c r="CS53" s="126"/>
      <c r="CT53" s="126"/>
      <c r="CU53" s="126"/>
      <c r="CV53" s="126"/>
      <c r="CW53" s="126"/>
      <c r="CX53" s="126"/>
      <c r="CY53" s="126"/>
      <c r="CZ53" s="126"/>
      <c r="DA53" s="126"/>
      <c r="DB53" s="126"/>
      <c r="DC53" s="126"/>
    </row>
    <row r="54" spans="1:107" hidden="1" outlineLevel="1" x14ac:dyDescent="0.25">
      <c r="A54" s="122" t="s">
        <v>80</v>
      </c>
      <c r="B54" s="126">
        <f>INDEX(Calcs!$AC$5:$AG$51, MATCH('Rotation Assembler'!$A54, Calcs!$AC$5:$AC$51, 0), MATCH('Rotation Assembler'!B$32, Calcs!$AC$5:$AG$5, 0))</f>
        <v>0</v>
      </c>
      <c r="C54" s="126">
        <f>INDEX(Calcs!$AC$5:$AG$51, MATCH('Rotation Assembler'!$A54, Calcs!$AC$5:$AC$51, 0), MATCH('Rotation Assembler'!C$32, Calcs!$AC$5:$AG$5, 0))</f>
        <v>0</v>
      </c>
      <c r="D54" s="126">
        <f>INDEX(Calcs!$AC$5:$AG$51, MATCH('Rotation Assembler'!$A54, Calcs!$AC$5:$AC$51, 0), MATCH('Rotation Assembler'!D$32, Calcs!$AC$5:$AG$5, 0))</f>
        <v>0</v>
      </c>
      <c r="E54" s="126">
        <f>INDEX(Calcs!$AC$5:$AG$51, MATCH('Rotation Assembler'!$A54, Calcs!$AC$5:$AC$51, 0), MATCH('Rotation Assembler'!E$32, Calcs!$AC$5:$AG$5, 0))</f>
        <v>0</v>
      </c>
      <c r="F54" s="126">
        <f>INDEX(Calcs!$AC$5:$AG$51, MATCH('Rotation Assembler'!$A54, Calcs!$AC$5:$AC$51, 0), MATCH('Rotation Assembler'!F$32, Calcs!$AC$5:$AG$5, 0))</f>
        <v>0</v>
      </c>
      <c r="G54" s="126">
        <f>INDEX(Calcs!$AC$5:$AG$51, MATCH('Rotation Assembler'!$A54, Calcs!$AC$5:$AC$51, 0), MATCH('Rotation Assembler'!G$32, Calcs!$AC$5:$AG$5, 0))</f>
        <v>0</v>
      </c>
      <c r="H54" s="126">
        <f>INDEX(Calcs!$AC$5:$AG$51, MATCH('Rotation Assembler'!$A54, Calcs!$AC$5:$AC$51, 0), MATCH('Rotation Assembler'!H$32, Calcs!$AC$5:$AG$5, 0))</f>
        <v>0</v>
      </c>
      <c r="I54" s="126">
        <f>INDEX(Calcs!$AC$5:$AG$51, MATCH('Rotation Assembler'!$A54, Calcs!$AC$5:$AC$51, 0), MATCH('Rotation Assembler'!I$32, Calcs!$AC$5:$AG$5, 0))</f>
        <v>0</v>
      </c>
      <c r="J54" s="126">
        <f>INDEX(Calcs!$AC$5:$AG$51, MATCH('Rotation Assembler'!$A54, Calcs!$AC$5:$AC$51, 0), MATCH('Rotation Assembler'!J$32, Calcs!$AC$5:$AG$5, 0))</f>
        <v>0</v>
      </c>
      <c r="K54" s="126">
        <f>INDEX(Calcs!$AC$5:$AG$51, MATCH('Rotation Assembler'!$A54, Calcs!$AC$5:$AC$51, 0), MATCH('Rotation Assembler'!K$32, Calcs!$AC$5:$AG$5, 0))</f>
        <v>0</v>
      </c>
      <c r="L54" s="126">
        <f>INDEX(Calcs!$AC$5:$AG$51, MATCH('Rotation Assembler'!$A54, Calcs!$AC$5:$AC$51, 0), MATCH('Rotation Assembler'!L$32, Calcs!$AC$5:$AG$5, 0))</f>
        <v>0</v>
      </c>
      <c r="M54" s="126">
        <f>INDEX(Calcs!$AC$5:$AG$51, MATCH('Rotation Assembler'!$A54, Calcs!$AC$5:$AC$51, 0), MATCH('Rotation Assembler'!M$32, Calcs!$AC$5:$AG$5, 0))</f>
        <v>0</v>
      </c>
      <c r="N54" s="126">
        <f>INDEX(Calcs!$AC$5:$AG$51, MATCH('Rotation Assembler'!$A54, Calcs!$AC$5:$AC$51, 0), MATCH('Rotation Assembler'!N$32, Calcs!$AC$5:$AG$5, 0))</f>
        <v>0</v>
      </c>
      <c r="O54" s="126">
        <f>INDEX(Calcs!$AC$5:$AG$51, MATCH('Rotation Assembler'!$A54, Calcs!$AC$5:$AC$51, 0), MATCH('Rotation Assembler'!O$32, Calcs!$AC$5:$AG$5, 0))</f>
        <v>0</v>
      </c>
      <c r="P54" s="126">
        <f>INDEX(Calcs!$AC$5:$AG$51, MATCH('Rotation Assembler'!$A54, Calcs!$AC$5:$AC$51, 0), MATCH('Rotation Assembler'!P$32, Calcs!$AC$5:$AG$5, 0))</f>
        <v>0</v>
      </c>
      <c r="Q54" s="126">
        <f>INDEX(Calcs!$AC$5:$AG$51, MATCH('Rotation Assembler'!$A54, Calcs!$AC$5:$AC$51, 0), MATCH('Rotation Assembler'!Q$32, Calcs!$AC$5:$AG$5, 0))</f>
        <v>0</v>
      </c>
      <c r="R54" s="126">
        <f>INDEX(Calcs!$AC$5:$AG$51, MATCH('Rotation Assembler'!$A54, Calcs!$AC$5:$AC$51, 0), MATCH('Rotation Assembler'!R$32, Calcs!$AC$5:$AG$5, 0))</f>
        <v>0</v>
      </c>
      <c r="S54" s="126">
        <f>INDEX(Calcs!$AC$5:$AG$51, MATCH('Rotation Assembler'!$A54, Calcs!$AC$5:$AC$51, 0), MATCH('Rotation Assembler'!S$32, Calcs!$AC$5:$AG$5, 0))</f>
        <v>0</v>
      </c>
      <c r="T54" s="126">
        <f>INDEX(Calcs!$AC$5:$AG$51, MATCH('Rotation Assembler'!$A54, Calcs!$AC$5:$AC$51, 0), MATCH('Rotation Assembler'!T$32, Calcs!$AC$5:$AG$5, 0))</f>
        <v>0</v>
      </c>
      <c r="U54" s="126">
        <f>INDEX(Calcs!$AC$5:$AG$51, MATCH('Rotation Assembler'!$A54, Calcs!$AC$5:$AC$51, 0), MATCH('Rotation Assembler'!U$32, Calcs!$AC$5:$AG$5, 0))</f>
        <v>0</v>
      </c>
      <c r="V54" s="126">
        <f>INDEX(Calcs!$AC$5:$AG$51, MATCH('Rotation Assembler'!$A54, Calcs!$AC$5:$AC$51, 0), MATCH('Rotation Assembler'!V$32, Calcs!$AC$5:$AG$5, 0))</f>
        <v>0</v>
      </c>
      <c r="W54" s="126">
        <f>INDEX(Calcs!$AC$5:$AG$51, MATCH('Rotation Assembler'!$A54, Calcs!$AC$5:$AC$51, 0), MATCH('Rotation Assembler'!W$32, Calcs!$AC$5:$AG$5, 0))</f>
        <v>0</v>
      </c>
      <c r="X54" s="126">
        <f>INDEX(Calcs!$AC$5:$AG$51, MATCH('Rotation Assembler'!$A54, Calcs!$AC$5:$AC$51, 0), MATCH('Rotation Assembler'!X$32, Calcs!$AC$5:$AG$5, 0))</f>
        <v>0</v>
      </c>
      <c r="Y54" s="126">
        <f>INDEX(Calcs!$AC$5:$AG$51, MATCH('Rotation Assembler'!$A54, Calcs!$AC$5:$AC$51, 0), MATCH('Rotation Assembler'!Y$32, Calcs!$AC$5:$AG$5, 0))</f>
        <v>0</v>
      </c>
      <c r="Z54" s="126">
        <f>INDEX(Calcs!$AC$5:$AG$51, MATCH('Rotation Assembler'!$A54, Calcs!$AC$5:$AC$51, 0), MATCH('Rotation Assembler'!Z$32, Calcs!$AC$5:$AG$5, 0))</f>
        <v>0</v>
      </c>
      <c r="AA54" s="126">
        <f>INDEX(Calcs!$AC$5:$AG$51, MATCH('Rotation Assembler'!$A54, Calcs!$AC$5:$AC$51, 0), MATCH('Rotation Assembler'!AA$32, Calcs!$AC$5:$AG$5, 0))</f>
        <v>0</v>
      </c>
      <c r="AB54" s="126">
        <f>INDEX(Calcs!$AC$5:$AG$51, MATCH('Rotation Assembler'!$A54, Calcs!$AC$5:$AC$51, 0), MATCH('Rotation Assembler'!AB$32, Calcs!$AC$5:$AG$5, 0))</f>
        <v>0</v>
      </c>
      <c r="AC54" s="126">
        <f>INDEX(Calcs!$AC$5:$AG$51, MATCH('Rotation Assembler'!$A54, Calcs!$AC$5:$AC$51, 0), MATCH('Rotation Assembler'!AC$32, Calcs!$AC$5:$AG$5, 0))</f>
        <v>0</v>
      </c>
      <c r="AD54" s="126">
        <f>INDEX(Calcs!$AC$5:$AG$51, MATCH('Rotation Assembler'!$A54, Calcs!$AC$5:$AC$51, 0), MATCH('Rotation Assembler'!AD$32, Calcs!$AC$5:$AG$5, 0))</f>
        <v>0</v>
      </c>
      <c r="AE54" s="126">
        <f>INDEX(Calcs!$AC$5:$AG$51, MATCH('Rotation Assembler'!$A54, Calcs!$AC$5:$AC$51, 0), MATCH('Rotation Assembler'!AE$32, Calcs!$AC$5:$AG$5, 0))</f>
        <v>0</v>
      </c>
      <c r="AF54" s="126">
        <f>INDEX(Calcs!$AC$5:$AG$51, MATCH('Rotation Assembler'!$A54, Calcs!$AC$5:$AC$51, 0), MATCH('Rotation Assembler'!AF$32, Calcs!$AC$5:$AG$5, 0))</f>
        <v>0</v>
      </c>
      <c r="AG54" s="126">
        <f>INDEX(Calcs!$AC$5:$AG$51, MATCH('Rotation Assembler'!$A54, Calcs!$AC$5:$AC$51, 0), MATCH('Rotation Assembler'!AG$32, Calcs!$AC$5:$AG$5, 0))</f>
        <v>0</v>
      </c>
      <c r="AH54" s="126">
        <f>INDEX(Calcs!$AC$5:$AG$51, MATCH('Rotation Assembler'!$A54, Calcs!$AC$5:$AC$51, 0), MATCH('Rotation Assembler'!AH$32, Calcs!$AC$5:$AG$5, 0))</f>
        <v>0</v>
      </c>
      <c r="AI54" s="126">
        <f>INDEX(Calcs!$AC$5:$AG$51, MATCH('Rotation Assembler'!$A54, Calcs!$AC$5:$AC$51, 0), MATCH('Rotation Assembler'!AI$32, Calcs!$AC$5:$AG$5, 0))</f>
        <v>0</v>
      </c>
      <c r="AJ54" s="126" t="e">
        <f>INDEX(Calcs!$AC$5:$AG$51, MATCH('Rotation Assembler'!$A54, Calcs!$AC$5:$AC$51, 0), MATCH('Rotation Assembler'!AJ$32, Calcs!$AC$5:$AG$5, 0))</f>
        <v>#N/A</v>
      </c>
      <c r="AK54" s="126" t="e">
        <f>INDEX(Calcs!$AC$5:$AG$51, MATCH('Rotation Assembler'!$A54, Calcs!$AC$5:$AC$51, 0), MATCH('Rotation Assembler'!AK$32, Calcs!$AC$5:$AG$5, 0))</f>
        <v>#N/A</v>
      </c>
      <c r="AL54" s="126" t="e">
        <f>INDEX(Calcs!$AC$5:$AG$51, MATCH('Rotation Assembler'!$A54, Calcs!$AC$5:$AC$51, 0), MATCH('Rotation Assembler'!AL$32, Calcs!$AC$5:$AG$5, 0))</f>
        <v>#N/A</v>
      </c>
      <c r="AM54" s="126" t="e">
        <f>INDEX(Calcs!$AC$5:$AG$51, MATCH('Rotation Assembler'!$A54, Calcs!$AC$5:$AC$51, 0), MATCH('Rotation Assembler'!AM$32, Calcs!$AC$5:$AG$5, 0))</f>
        <v>#N/A</v>
      </c>
      <c r="AN54" s="126" t="e">
        <f>INDEX(Calcs!$AC$5:$AG$51, MATCH('Rotation Assembler'!$A54, Calcs!$AC$5:$AC$51, 0), MATCH('Rotation Assembler'!AN$32, Calcs!$AC$5:$AG$5, 0))</f>
        <v>#N/A</v>
      </c>
      <c r="AO54" s="126" t="e">
        <f>INDEX(Calcs!$AC$5:$AG$51, MATCH('Rotation Assembler'!$A54, Calcs!$AC$5:$AC$51, 0), MATCH('Rotation Assembler'!AO$32, Calcs!$AC$5:$AG$5, 0))</f>
        <v>#N/A</v>
      </c>
      <c r="AP54" s="126" t="e">
        <f>INDEX(Calcs!$AC$5:$AG$51, MATCH('Rotation Assembler'!$A54, Calcs!$AC$5:$AC$51, 0), MATCH('Rotation Assembler'!AP$32, Calcs!$AC$5:$AG$5, 0))</f>
        <v>#N/A</v>
      </c>
      <c r="AQ54" s="126" t="e">
        <f>INDEX(Calcs!$AC$5:$AG$51, MATCH('Rotation Assembler'!$A54, Calcs!$AC$5:$AC$51, 0), MATCH('Rotation Assembler'!AQ$32, Calcs!$AC$5:$AG$5, 0))</f>
        <v>#N/A</v>
      </c>
      <c r="AR54" s="126" t="e">
        <f>INDEX(Calcs!$AC$5:$AG$51, MATCH('Rotation Assembler'!$A54, Calcs!$AC$5:$AC$51, 0), MATCH('Rotation Assembler'!AR$32, Calcs!$AC$5:$AG$5, 0))</f>
        <v>#N/A</v>
      </c>
      <c r="AS54" s="126" t="e">
        <f>INDEX(Calcs!$AC$5:$AG$51, MATCH('Rotation Assembler'!$A54, Calcs!$AC$5:$AC$51, 0), MATCH('Rotation Assembler'!AS$32, Calcs!$AC$5:$AG$5, 0))</f>
        <v>#N/A</v>
      </c>
      <c r="AT54" s="126" t="e">
        <f>INDEX(Calcs!$AC$5:$AG$51, MATCH('Rotation Assembler'!$A54, Calcs!$AC$5:$AC$51, 0), MATCH('Rotation Assembler'!AT$32, Calcs!$AC$5:$AG$5, 0))</f>
        <v>#N/A</v>
      </c>
      <c r="AU54" s="126" t="e">
        <f>INDEX(Calcs!$AC$5:$AG$51, MATCH('Rotation Assembler'!$A54, Calcs!$AC$5:$AC$51, 0), MATCH('Rotation Assembler'!AU$32, Calcs!$AC$5:$AG$5, 0))</f>
        <v>#N/A</v>
      </c>
      <c r="AV54" s="126" t="e">
        <f>INDEX(Calcs!$AC$5:$AG$51, MATCH('Rotation Assembler'!$A54, Calcs!$AC$5:$AC$51, 0), MATCH('Rotation Assembler'!AV$32, Calcs!$AC$5:$AG$5, 0))</f>
        <v>#N/A</v>
      </c>
      <c r="AW54" s="126" t="e">
        <f>INDEX(Calcs!$AC$5:$AG$51, MATCH('Rotation Assembler'!$A54, Calcs!$AC$5:$AC$51, 0), MATCH('Rotation Assembler'!AW$32, Calcs!$AC$5:$AG$5, 0))</f>
        <v>#N/A</v>
      </c>
      <c r="AX54" s="126" t="e">
        <f>INDEX(Calcs!$AC$5:$AG$51, MATCH('Rotation Assembler'!$A54, Calcs!$AC$5:$AC$51, 0), MATCH('Rotation Assembler'!AX$32, Calcs!$AC$5:$AG$5, 0))</f>
        <v>#N/A</v>
      </c>
      <c r="AY54" s="126" t="e">
        <f>INDEX(Calcs!$AC$5:$AG$51, MATCH('Rotation Assembler'!$A54, Calcs!$AC$5:$AC$51, 0), MATCH('Rotation Assembler'!AY$32, Calcs!$AC$5:$AG$5, 0))</f>
        <v>#N/A</v>
      </c>
      <c r="AZ54" s="126" t="e">
        <f>INDEX(Calcs!$AC$5:$AG$51, MATCH('Rotation Assembler'!$A54, Calcs!$AC$5:$AC$51, 0), MATCH('Rotation Assembler'!AZ$32, Calcs!$AC$5:$AG$5, 0))</f>
        <v>#N/A</v>
      </c>
      <c r="BA54" s="126" t="e">
        <f>INDEX(Calcs!$AC$5:$AG$51, MATCH('Rotation Assembler'!$A54, Calcs!$AC$5:$AC$51, 0), MATCH('Rotation Assembler'!BA$32, Calcs!$AC$5:$AG$5, 0))</f>
        <v>#N/A</v>
      </c>
      <c r="BB54" s="126" t="e">
        <f>INDEX(Calcs!$AC$5:$AG$51, MATCH('Rotation Assembler'!$A54, Calcs!$AC$5:$AC$51, 0), MATCH('Rotation Assembler'!BB$32, Calcs!$AC$5:$AG$5, 0))</f>
        <v>#N/A</v>
      </c>
      <c r="BC54" s="126" t="e">
        <f>INDEX(Calcs!$AC$5:$AG$51, MATCH('Rotation Assembler'!$A54, Calcs!$AC$5:$AC$51, 0), MATCH('Rotation Assembler'!BC$32, Calcs!$AC$5:$AG$5, 0))</f>
        <v>#N/A</v>
      </c>
      <c r="BD54" s="126" t="e">
        <f>INDEX(Calcs!$AC$5:$AG$51, MATCH('Rotation Assembler'!$A54, Calcs!$AC$5:$AC$51, 0), MATCH('Rotation Assembler'!BD$32, Calcs!$AC$5:$AG$5, 0))</f>
        <v>#N/A</v>
      </c>
      <c r="BE54" s="126" t="e">
        <f>INDEX(Calcs!$AC$5:$AG$51, MATCH('Rotation Assembler'!$A54, Calcs!$AC$5:$AC$51, 0), MATCH('Rotation Assembler'!BE$32, Calcs!$AC$5:$AG$5, 0))</f>
        <v>#N/A</v>
      </c>
      <c r="BF54" s="126" t="e">
        <f>INDEX(Calcs!$AC$5:$AG$51, MATCH('Rotation Assembler'!$A54, Calcs!$AC$5:$AC$51, 0), MATCH('Rotation Assembler'!BF$32, Calcs!$AC$5:$AG$5, 0))</f>
        <v>#N/A</v>
      </c>
      <c r="BG54" s="126" t="e">
        <f>INDEX(Calcs!$AC$5:$AG$51, MATCH('Rotation Assembler'!$A54, Calcs!$AC$5:$AC$51, 0), MATCH('Rotation Assembler'!BG$32, Calcs!$AC$5:$AG$5, 0))</f>
        <v>#N/A</v>
      </c>
      <c r="BH54" s="126" t="e">
        <f>INDEX(Calcs!$AC$5:$AG$51, MATCH('Rotation Assembler'!$A54, Calcs!$AC$5:$AC$51, 0), MATCH('Rotation Assembler'!BH$32, Calcs!$AC$5:$AG$5, 0))</f>
        <v>#N/A</v>
      </c>
      <c r="BI54" s="126"/>
      <c r="BJ54" s="126"/>
      <c r="BK54" s="126"/>
      <c r="BL54" s="126"/>
      <c r="BM54" s="126"/>
      <c r="BN54" s="126"/>
      <c r="BO54" s="126"/>
      <c r="BP54" s="126"/>
      <c r="BQ54" s="126"/>
      <c r="BR54" s="126"/>
      <c r="BS54" s="126"/>
      <c r="BT54" s="126"/>
      <c r="BU54" s="126"/>
      <c r="BV54" s="126"/>
      <c r="BW54" s="126"/>
      <c r="BX54" s="126"/>
      <c r="BY54" s="126"/>
      <c r="BZ54" s="126"/>
      <c r="CA54" s="126"/>
      <c r="CB54" s="126"/>
      <c r="CC54" s="126"/>
      <c r="CD54" s="126"/>
      <c r="CE54" s="126"/>
      <c r="CF54" s="126"/>
      <c r="CG54" s="126"/>
      <c r="CH54" s="126"/>
      <c r="CI54" s="126"/>
      <c r="CJ54" s="126"/>
      <c r="CK54" s="126"/>
      <c r="CL54" s="126"/>
      <c r="CM54" s="126"/>
      <c r="CN54" s="126"/>
      <c r="CO54" s="126"/>
      <c r="CP54" s="126"/>
      <c r="CQ54" s="126"/>
      <c r="CR54" s="126"/>
      <c r="CS54" s="126"/>
      <c r="CT54" s="126"/>
      <c r="CU54" s="126"/>
      <c r="CV54" s="126"/>
      <c r="CW54" s="126"/>
      <c r="CX54" s="126"/>
      <c r="CY54" s="126"/>
      <c r="CZ54" s="126"/>
      <c r="DA54" s="126"/>
      <c r="DB54" s="126"/>
      <c r="DC54" s="126"/>
    </row>
    <row r="55" spans="1:107" hidden="1" outlineLevel="1" x14ac:dyDescent="0.25">
      <c r="A55" s="122" t="s">
        <v>81</v>
      </c>
      <c r="B55" s="126">
        <f>INDEX(Calcs!$AC$5:$AG$51, MATCH('Rotation Assembler'!$A55, Calcs!$AC$5:$AC$51, 0), MATCH('Rotation Assembler'!B$32, Calcs!$AC$5:$AG$5, 0))</f>
        <v>0</v>
      </c>
      <c r="C55" s="126">
        <f>INDEX(Calcs!$AC$5:$AG$51, MATCH('Rotation Assembler'!$A55, Calcs!$AC$5:$AC$51, 0), MATCH('Rotation Assembler'!C$32, Calcs!$AC$5:$AG$5, 0))</f>
        <v>0</v>
      </c>
      <c r="D55" s="126">
        <f>INDEX(Calcs!$AC$5:$AG$51, MATCH('Rotation Assembler'!$A55, Calcs!$AC$5:$AC$51, 0), MATCH('Rotation Assembler'!D$32, Calcs!$AC$5:$AG$5, 0))</f>
        <v>0</v>
      </c>
      <c r="E55" s="126">
        <f>INDEX(Calcs!$AC$5:$AG$51, MATCH('Rotation Assembler'!$A55, Calcs!$AC$5:$AC$51, 0), MATCH('Rotation Assembler'!E$32, Calcs!$AC$5:$AG$5, 0))</f>
        <v>0</v>
      </c>
      <c r="F55" s="126">
        <f>INDEX(Calcs!$AC$5:$AG$51, MATCH('Rotation Assembler'!$A55, Calcs!$AC$5:$AC$51, 0), MATCH('Rotation Assembler'!F$32, Calcs!$AC$5:$AG$5, 0))</f>
        <v>0</v>
      </c>
      <c r="G55" s="126">
        <f>INDEX(Calcs!$AC$5:$AG$51, MATCH('Rotation Assembler'!$A55, Calcs!$AC$5:$AC$51, 0), MATCH('Rotation Assembler'!G$32, Calcs!$AC$5:$AG$5, 0))</f>
        <v>0</v>
      </c>
      <c r="H55" s="126">
        <f>INDEX(Calcs!$AC$5:$AG$51, MATCH('Rotation Assembler'!$A55, Calcs!$AC$5:$AC$51, 0), MATCH('Rotation Assembler'!H$32, Calcs!$AC$5:$AG$5, 0))</f>
        <v>0.2</v>
      </c>
      <c r="I55" s="126">
        <f>INDEX(Calcs!$AC$5:$AG$51, MATCH('Rotation Assembler'!$A55, Calcs!$AC$5:$AC$51, 0), MATCH('Rotation Assembler'!I$32, Calcs!$AC$5:$AG$5, 0))</f>
        <v>0</v>
      </c>
      <c r="J55" s="126">
        <f>INDEX(Calcs!$AC$5:$AG$51, MATCH('Rotation Assembler'!$A55, Calcs!$AC$5:$AC$51, 0), MATCH('Rotation Assembler'!J$32, Calcs!$AC$5:$AG$5, 0))</f>
        <v>0</v>
      </c>
      <c r="K55" s="126">
        <f>INDEX(Calcs!$AC$5:$AG$51, MATCH('Rotation Assembler'!$A55, Calcs!$AC$5:$AC$51, 0), MATCH('Rotation Assembler'!K$32, Calcs!$AC$5:$AG$5, 0))</f>
        <v>0</v>
      </c>
      <c r="L55" s="126">
        <f>INDEX(Calcs!$AC$5:$AG$51, MATCH('Rotation Assembler'!$A55, Calcs!$AC$5:$AC$51, 0), MATCH('Rotation Assembler'!L$32, Calcs!$AC$5:$AG$5, 0))</f>
        <v>0</v>
      </c>
      <c r="M55" s="126">
        <f>INDEX(Calcs!$AC$5:$AG$51, MATCH('Rotation Assembler'!$A55, Calcs!$AC$5:$AC$51, 0), MATCH('Rotation Assembler'!M$32, Calcs!$AC$5:$AG$5, 0))</f>
        <v>0</v>
      </c>
      <c r="N55" s="126">
        <f>INDEX(Calcs!$AC$5:$AG$51, MATCH('Rotation Assembler'!$A55, Calcs!$AC$5:$AC$51, 0), MATCH('Rotation Assembler'!N$32, Calcs!$AC$5:$AG$5, 0))</f>
        <v>0</v>
      </c>
      <c r="O55" s="126">
        <f>INDEX(Calcs!$AC$5:$AG$51, MATCH('Rotation Assembler'!$A55, Calcs!$AC$5:$AC$51, 0), MATCH('Rotation Assembler'!O$32, Calcs!$AC$5:$AG$5, 0))</f>
        <v>0.2</v>
      </c>
      <c r="P55" s="126">
        <f>INDEX(Calcs!$AC$5:$AG$51, MATCH('Rotation Assembler'!$A55, Calcs!$AC$5:$AC$51, 0), MATCH('Rotation Assembler'!P$32, Calcs!$AC$5:$AG$5, 0))</f>
        <v>0.2</v>
      </c>
      <c r="Q55" s="126">
        <f>INDEX(Calcs!$AC$5:$AG$51, MATCH('Rotation Assembler'!$A55, Calcs!$AC$5:$AC$51, 0), MATCH('Rotation Assembler'!Q$32, Calcs!$AC$5:$AG$5, 0))</f>
        <v>0.2</v>
      </c>
      <c r="R55" s="126">
        <f>INDEX(Calcs!$AC$5:$AG$51, MATCH('Rotation Assembler'!$A55, Calcs!$AC$5:$AC$51, 0), MATCH('Rotation Assembler'!R$32, Calcs!$AC$5:$AG$5, 0))</f>
        <v>0.2</v>
      </c>
      <c r="S55" s="126">
        <f>INDEX(Calcs!$AC$5:$AG$51, MATCH('Rotation Assembler'!$A55, Calcs!$AC$5:$AC$51, 0), MATCH('Rotation Assembler'!S$32, Calcs!$AC$5:$AG$5, 0))</f>
        <v>0</v>
      </c>
      <c r="T55" s="126">
        <f>INDEX(Calcs!$AC$5:$AG$51, MATCH('Rotation Assembler'!$A55, Calcs!$AC$5:$AC$51, 0), MATCH('Rotation Assembler'!T$32, Calcs!$AC$5:$AG$5, 0))</f>
        <v>0</v>
      </c>
      <c r="U55" s="126">
        <f>INDEX(Calcs!$AC$5:$AG$51, MATCH('Rotation Assembler'!$A55, Calcs!$AC$5:$AC$51, 0), MATCH('Rotation Assembler'!U$32, Calcs!$AC$5:$AG$5, 0))</f>
        <v>0</v>
      </c>
      <c r="V55" s="126">
        <f>INDEX(Calcs!$AC$5:$AG$51, MATCH('Rotation Assembler'!$A55, Calcs!$AC$5:$AC$51, 0), MATCH('Rotation Assembler'!V$32, Calcs!$AC$5:$AG$5, 0))</f>
        <v>0</v>
      </c>
      <c r="W55" s="126">
        <f>INDEX(Calcs!$AC$5:$AG$51, MATCH('Rotation Assembler'!$A55, Calcs!$AC$5:$AC$51, 0), MATCH('Rotation Assembler'!W$32, Calcs!$AC$5:$AG$5, 0))</f>
        <v>0</v>
      </c>
      <c r="X55" s="126">
        <f>INDEX(Calcs!$AC$5:$AG$51, MATCH('Rotation Assembler'!$A55, Calcs!$AC$5:$AC$51, 0), MATCH('Rotation Assembler'!X$32, Calcs!$AC$5:$AG$5, 0))</f>
        <v>0</v>
      </c>
      <c r="Y55" s="126">
        <f>INDEX(Calcs!$AC$5:$AG$51, MATCH('Rotation Assembler'!$A55, Calcs!$AC$5:$AC$51, 0), MATCH('Rotation Assembler'!Y$32, Calcs!$AC$5:$AG$5, 0))</f>
        <v>0</v>
      </c>
      <c r="Z55" s="126">
        <f>INDEX(Calcs!$AC$5:$AG$51, MATCH('Rotation Assembler'!$A55, Calcs!$AC$5:$AC$51, 0), MATCH('Rotation Assembler'!Z$32, Calcs!$AC$5:$AG$5, 0))</f>
        <v>0</v>
      </c>
      <c r="AA55" s="126">
        <f>INDEX(Calcs!$AC$5:$AG$51, MATCH('Rotation Assembler'!$A55, Calcs!$AC$5:$AC$51, 0), MATCH('Rotation Assembler'!AA$32, Calcs!$AC$5:$AG$5, 0))</f>
        <v>0</v>
      </c>
      <c r="AB55" s="126">
        <f>INDEX(Calcs!$AC$5:$AG$51, MATCH('Rotation Assembler'!$A55, Calcs!$AC$5:$AC$51, 0), MATCH('Rotation Assembler'!AB$32, Calcs!$AC$5:$AG$5, 0))</f>
        <v>0</v>
      </c>
      <c r="AC55" s="126">
        <f>INDEX(Calcs!$AC$5:$AG$51, MATCH('Rotation Assembler'!$A55, Calcs!$AC$5:$AC$51, 0), MATCH('Rotation Assembler'!AC$32, Calcs!$AC$5:$AG$5, 0))</f>
        <v>0</v>
      </c>
      <c r="AD55" s="126">
        <f>INDEX(Calcs!$AC$5:$AG$51, MATCH('Rotation Assembler'!$A55, Calcs!$AC$5:$AC$51, 0), MATCH('Rotation Assembler'!AD$32, Calcs!$AC$5:$AG$5, 0))</f>
        <v>0</v>
      </c>
      <c r="AE55" s="126">
        <f>INDEX(Calcs!$AC$5:$AG$51, MATCH('Rotation Assembler'!$A55, Calcs!$AC$5:$AC$51, 0), MATCH('Rotation Assembler'!AE$32, Calcs!$AC$5:$AG$5, 0))</f>
        <v>0.2</v>
      </c>
      <c r="AF55" s="126">
        <f>INDEX(Calcs!$AC$5:$AG$51, MATCH('Rotation Assembler'!$A55, Calcs!$AC$5:$AC$51, 0), MATCH('Rotation Assembler'!AF$32, Calcs!$AC$5:$AG$5, 0))</f>
        <v>0</v>
      </c>
      <c r="AG55" s="126">
        <f>INDEX(Calcs!$AC$5:$AG$51, MATCH('Rotation Assembler'!$A55, Calcs!$AC$5:$AC$51, 0), MATCH('Rotation Assembler'!AG$32, Calcs!$AC$5:$AG$5, 0))</f>
        <v>0</v>
      </c>
      <c r="AH55" s="126">
        <f>INDEX(Calcs!$AC$5:$AG$51, MATCH('Rotation Assembler'!$A55, Calcs!$AC$5:$AC$51, 0), MATCH('Rotation Assembler'!AH$32, Calcs!$AC$5:$AG$5, 0))</f>
        <v>0</v>
      </c>
      <c r="AI55" s="126">
        <f>INDEX(Calcs!$AC$5:$AG$51, MATCH('Rotation Assembler'!$A55, Calcs!$AC$5:$AC$51, 0), MATCH('Rotation Assembler'!AI$32, Calcs!$AC$5:$AG$5, 0))</f>
        <v>0</v>
      </c>
      <c r="AJ55" s="126" t="e">
        <f>INDEX(Calcs!$AC$5:$AG$51, MATCH('Rotation Assembler'!$A55, Calcs!$AC$5:$AC$51, 0), MATCH('Rotation Assembler'!AJ$32, Calcs!$AC$5:$AG$5, 0))</f>
        <v>#N/A</v>
      </c>
      <c r="AK55" s="126" t="e">
        <f>INDEX(Calcs!$AC$5:$AG$51, MATCH('Rotation Assembler'!$A55, Calcs!$AC$5:$AC$51, 0), MATCH('Rotation Assembler'!AK$32, Calcs!$AC$5:$AG$5, 0))</f>
        <v>#N/A</v>
      </c>
      <c r="AL55" s="126" t="e">
        <f>INDEX(Calcs!$AC$5:$AG$51, MATCH('Rotation Assembler'!$A55, Calcs!$AC$5:$AC$51, 0), MATCH('Rotation Assembler'!AL$32, Calcs!$AC$5:$AG$5, 0))</f>
        <v>#N/A</v>
      </c>
      <c r="AM55" s="126" t="e">
        <f>INDEX(Calcs!$AC$5:$AG$51, MATCH('Rotation Assembler'!$A55, Calcs!$AC$5:$AC$51, 0), MATCH('Rotation Assembler'!AM$32, Calcs!$AC$5:$AG$5, 0))</f>
        <v>#N/A</v>
      </c>
      <c r="AN55" s="126" t="e">
        <f>INDEX(Calcs!$AC$5:$AG$51, MATCH('Rotation Assembler'!$A55, Calcs!$AC$5:$AC$51, 0), MATCH('Rotation Assembler'!AN$32, Calcs!$AC$5:$AG$5, 0))</f>
        <v>#N/A</v>
      </c>
      <c r="AO55" s="126" t="e">
        <f>INDEX(Calcs!$AC$5:$AG$51, MATCH('Rotation Assembler'!$A55, Calcs!$AC$5:$AC$51, 0), MATCH('Rotation Assembler'!AO$32, Calcs!$AC$5:$AG$5, 0))</f>
        <v>#N/A</v>
      </c>
      <c r="AP55" s="126" t="e">
        <f>INDEX(Calcs!$AC$5:$AG$51, MATCH('Rotation Assembler'!$A55, Calcs!$AC$5:$AC$51, 0), MATCH('Rotation Assembler'!AP$32, Calcs!$AC$5:$AG$5, 0))</f>
        <v>#N/A</v>
      </c>
      <c r="AQ55" s="126" t="e">
        <f>INDEX(Calcs!$AC$5:$AG$51, MATCH('Rotation Assembler'!$A55, Calcs!$AC$5:$AC$51, 0), MATCH('Rotation Assembler'!AQ$32, Calcs!$AC$5:$AG$5, 0))</f>
        <v>#N/A</v>
      </c>
      <c r="AR55" s="126" t="e">
        <f>INDEX(Calcs!$AC$5:$AG$51, MATCH('Rotation Assembler'!$A55, Calcs!$AC$5:$AC$51, 0), MATCH('Rotation Assembler'!AR$32, Calcs!$AC$5:$AG$5, 0))</f>
        <v>#N/A</v>
      </c>
      <c r="AS55" s="126" t="e">
        <f>INDEX(Calcs!$AC$5:$AG$51, MATCH('Rotation Assembler'!$A55, Calcs!$AC$5:$AC$51, 0), MATCH('Rotation Assembler'!AS$32, Calcs!$AC$5:$AG$5, 0))</f>
        <v>#N/A</v>
      </c>
      <c r="AT55" s="126" t="e">
        <f>INDEX(Calcs!$AC$5:$AG$51, MATCH('Rotation Assembler'!$A55, Calcs!$AC$5:$AC$51, 0), MATCH('Rotation Assembler'!AT$32, Calcs!$AC$5:$AG$5, 0))</f>
        <v>#N/A</v>
      </c>
      <c r="AU55" s="126" t="e">
        <f>INDEX(Calcs!$AC$5:$AG$51, MATCH('Rotation Assembler'!$A55, Calcs!$AC$5:$AC$51, 0), MATCH('Rotation Assembler'!AU$32, Calcs!$AC$5:$AG$5, 0))</f>
        <v>#N/A</v>
      </c>
      <c r="AV55" s="126" t="e">
        <f>INDEX(Calcs!$AC$5:$AG$51, MATCH('Rotation Assembler'!$A55, Calcs!$AC$5:$AC$51, 0), MATCH('Rotation Assembler'!AV$32, Calcs!$AC$5:$AG$5, 0))</f>
        <v>#N/A</v>
      </c>
      <c r="AW55" s="126" t="e">
        <f>INDEX(Calcs!$AC$5:$AG$51, MATCH('Rotation Assembler'!$A55, Calcs!$AC$5:$AC$51, 0), MATCH('Rotation Assembler'!AW$32, Calcs!$AC$5:$AG$5, 0))</f>
        <v>#N/A</v>
      </c>
      <c r="AX55" s="126" t="e">
        <f>INDEX(Calcs!$AC$5:$AG$51, MATCH('Rotation Assembler'!$A55, Calcs!$AC$5:$AC$51, 0), MATCH('Rotation Assembler'!AX$32, Calcs!$AC$5:$AG$5, 0))</f>
        <v>#N/A</v>
      </c>
      <c r="AY55" s="126" t="e">
        <f>INDEX(Calcs!$AC$5:$AG$51, MATCH('Rotation Assembler'!$A55, Calcs!$AC$5:$AC$51, 0), MATCH('Rotation Assembler'!AY$32, Calcs!$AC$5:$AG$5, 0))</f>
        <v>#N/A</v>
      </c>
      <c r="AZ55" s="126" t="e">
        <f>INDEX(Calcs!$AC$5:$AG$51, MATCH('Rotation Assembler'!$A55, Calcs!$AC$5:$AC$51, 0), MATCH('Rotation Assembler'!AZ$32, Calcs!$AC$5:$AG$5, 0))</f>
        <v>#N/A</v>
      </c>
      <c r="BA55" s="126" t="e">
        <f>INDEX(Calcs!$AC$5:$AG$51, MATCH('Rotation Assembler'!$A55, Calcs!$AC$5:$AC$51, 0), MATCH('Rotation Assembler'!BA$32, Calcs!$AC$5:$AG$5, 0))</f>
        <v>#N/A</v>
      </c>
      <c r="BB55" s="126" t="e">
        <f>INDEX(Calcs!$AC$5:$AG$51, MATCH('Rotation Assembler'!$A55, Calcs!$AC$5:$AC$51, 0), MATCH('Rotation Assembler'!BB$32, Calcs!$AC$5:$AG$5, 0))</f>
        <v>#N/A</v>
      </c>
      <c r="BC55" s="126" t="e">
        <f>INDEX(Calcs!$AC$5:$AG$51, MATCH('Rotation Assembler'!$A55, Calcs!$AC$5:$AC$51, 0), MATCH('Rotation Assembler'!BC$32, Calcs!$AC$5:$AG$5, 0))</f>
        <v>#N/A</v>
      </c>
      <c r="BD55" s="126" t="e">
        <f>INDEX(Calcs!$AC$5:$AG$51, MATCH('Rotation Assembler'!$A55, Calcs!$AC$5:$AC$51, 0), MATCH('Rotation Assembler'!BD$32, Calcs!$AC$5:$AG$5, 0))</f>
        <v>#N/A</v>
      </c>
      <c r="BE55" s="126" t="e">
        <f>INDEX(Calcs!$AC$5:$AG$51, MATCH('Rotation Assembler'!$A55, Calcs!$AC$5:$AC$51, 0), MATCH('Rotation Assembler'!BE$32, Calcs!$AC$5:$AG$5, 0))</f>
        <v>#N/A</v>
      </c>
      <c r="BF55" s="126" t="e">
        <f>INDEX(Calcs!$AC$5:$AG$51, MATCH('Rotation Assembler'!$A55, Calcs!$AC$5:$AC$51, 0), MATCH('Rotation Assembler'!BF$32, Calcs!$AC$5:$AG$5, 0))</f>
        <v>#N/A</v>
      </c>
      <c r="BG55" s="126" t="e">
        <f>INDEX(Calcs!$AC$5:$AG$51, MATCH('Rotation Assembler'!$A55, Calcs!$AC$5:$AC$51, 0), MATCH('Rotation Assembler'!BG$32, Calcs!$AC$5:$AG$5, 0))</f>
        <v>#N/A</v>
      </c>
      <c r="BH55" s="126" t="e">
        <f>INDEX(Calcs!$AC$5:$AG$51, MATCH('Rotation Assembler'!$A55, Calcs!$AC$5:$AC$51, 0), MATCH('Rotation Assembler'!BH$32, Calcs!$AC$5:$AG$5, 0))</f>
        <v>#N/A</v>
      </c>
      <c r="BI55" s="126"/>
      <c r="BJ55" s="126"/>
      <c r="BK55" s="126"/>
      <c r="BL55" s="126"/>
      <c r="BM55" s="126"/>
      <c r="BN55" s="126"/>
      <c r="BO55" s="126"/>
      <c r="BP55" s="126"/>
      <c r="BQ55" s="126"/>
      <c r="BR55" s="126"/>
      <c r="BS55" s="126"/>
      <c r="BT55" s="126"/>
      <c r="BU55" s="126"/>
      <c r="BV55" s="126"/>
      <c r="BW55" s="126"/>
      <c r="BX55" s="126"/>
      <c r="BY55" s="126"/>
      <c r="BZ55" s="126"/>
      <c r="CA55" s="126"/>
      <c r="CB55" s="126"/>
      <c r="CC55" s="126"/>
      <c r="CD55" s="126"/>
      <c r="CE55" s="126"/>
      <c r="CF55" s="126"/>
      <c r="CG55" s="126"/>
      <c r="CH55" s="126"/>
      <c r="CI55" s="126"/>
      <c r="CJ55" s="126"/>
      <c r="CK55" s="126"/>
      <c r="CL55" s="126"/>
      <c r="CM55" s="126"/>
      <c r="CN55" s="126"/>
      <c r="CO55" s="126"/>
      <c r="CP55" s="126"/>
      <c r="CQ55" s="126"/>
      <c r="CR55" s="126"/>
      <c r="CS55" s="126"/>
      <c r="CT55" s="126"/>
      <c r="CU55" s="126"/>
      <c r="CV55" s="126"/>
      <c r="CW55" s="126"/>
      <c r="CX55" s="126"/>
      <c r="CY55" s="126"/>
      <c r="CZ55" s="126"/>
      <c r="DA55" s="126"/>
      <c r="DB55" s="126"/>
      <c r="DC55" s="126"/>
    </row>
    <row r="56" spans="1:107" hidden="1" outlineLevel="1" x14ac:dyDescent="0.25">
      <c r="A56" s="122" t="s">
        <v>83</v>
      </c>
      <c r="B56" s="126">
        <f>INDEX(Calcs!$AC$5:$AG$51, MATCH('Rotation Assembler'!$A56, Calcs!$AC$5:$AC$51, 0), MATCH('Rotation Assembler'!B$32, Calcs!$AC$5:$AG$5, 0))</f>
        <v>0</v>
      </c>
      <c r="C56" s="126">
        <f>INDEX(Calcs!$AC$5:$AG$51, MATCH('Rotation Assembler'!$A56, Calcs!$AC$5:$AC$51, 0), MATCH('Rotation Assembler'!C$32, Calcs!$AC$5:$AG$5, 0))</f>
        <v>0</v>
      </c>
      <c r="D56" s="126">
        <f>INDEX(Calcs!$AC$5:$AG$51, MATCH('Rotation Assembler'!$A56, Calcs!$AC$5:$AC$51, 0), MATCH('Rotation Assembler'!D$32, Calcs!$AC$5:$AG$5, 0))</f>
        <v>0.6</v>
      </c>
      <c r="E56" s="126">
        <f>INDEX(Calcs!$AC$5:$AG$51, MATCH('Rotation Assembler'!$A56, Calcs!$AC$5:$AC$51, 0), MATCH('Rotation Assembler'!E$32, Calcs!$AC$5:$AG$5, 0))</f>
        <v>0.6</v>
      </c>
      <c r="F56" s="126">
        <f>INDEX(Calcs!$AC$5:$AG$51, MATCH('Rotation Assembler'!$A56, Calcs!$AC$5:$AC$51, 0), MATCH('Rotation Assembler'!F$32, Calcs!$AC$5:$AG$5, 0))</f>
        <v>0.6</v>
      </c>
      <c r="G56" s="126">
        <f>INDEX(Calcs!$AC$5:$AG$51, MATCH('Rotation Assembler'!$A56, Calcs!$AC$5:$AC$51, 0), MATCH('Rotation Assembler'!G$32, Calcs!$AC$5:$AG$5, 0))</f>
        <v>0.6</v>
      </c>
      <c r="H56" s="126">
        <f>INDEX(Calcs!$AC$5:$AG$51, MATCH('Rotation Assembler'!$A56, Calcs!$AC$5:$AC$51, 0), MATCH('Rotation Assembler'!H$32, Calcs!$AC$5:$AG$5, 0))</f>
        <v>0</v>
      </c>
      <c r="I56" s="126">
        <f>INDEX(Calcs!$AC$5:$AG$51, MATCH('Rotation Assembler'!$A56, Calcs!$AC$5:$AC$51, 0), MATCH('Rotation Assembler'!I$32, Calcs!$AC$5:$AG$5, 0))</f>
        <v>0.6</v>
      </c>
      <c r="J56" s="126">
        <f>INDEX(Calcs!$AC$5:$AG$51, MATCH('Rotation Assembler'!$A56, Calcs!$AC$5:$AC$51, 0), MATCH('Rotation Assembler'!J$32, Calcs!$AC$5:$AG$5, 0))</f>
        <v>0.6</v>
      </c>
      <c r="K56" s="126">
        <f>INDEX(Calcs!$AC$5:$AG$51, MATCH('Rotation Assembler'!$A56, Calcs!$AC$5:$AC$51, 0), MATCH('Rotation Assembler'!K$32, Calcs!$AC$5:$AG$5, 0))</f>
        <v>0.6</v>
      </c>
      <c r="L56" s="126">
        <f>INDEX(Calcs!$AC$5:$AG$51, MATCH('Rotation Assembler'!$A56, Calcs!$AC$5:$AC$51, 0), MATCH('Rotation Assembler'!L$32, Calcs!$AC$5:$AG$5, 0))</f>
        <v>0.6</v>
      </c>
      <c r="M56" s="126">
        <f>INDEX(Calcs!$AC$5:$AG$51, MATCH('Rotation Assembler'!$A56, Calcs!$AC$5:$AC$51, 0), MATCH('Rotation Assembler'!M$32, Calcs!$AC$5:$AG$5, 0))</f>
        <v>0.6</v>
      </c>
      <c r="N56" s="126">
        <f>INDEX(Calcs!$AC$5:$AG$51, MATCH('Rotation Assembler'!$A56, Calcs!$AC$5:$AC$51, 0), MATCH('Rotation Assembler'!N$32, Calcs!$AC$5:$AG$5, 0))</f>
        <v>0.6</v>
      </c>
      <c r="O56" s="126">
        <f>INDEX(Calcs!$AC$5:$AG$51, MATCH('Rotation Assembler'!$A56, Calcs!$AC$5:$AC$51, 0), MATCH('Rotation Assembler'!O$32, Calcs!$AC$5:$AG$5, 0))</f>
        <v>0</v>
      </c>
      <c r="P56" s="126">
        <f>INDEX(Calcs!$AC$5:$AG$51, MATCH('Rotation Assembler'!$A56, Calcs!$AC$5:$AC$51, 0), MATCH('Rotation Assembler'!P$32, Calcs!$AC$5:$AG$5, 0))</f>
        <v>0</v>
      </c>
      <c r="Q56" s="126">
        <f>INDEX(Calcs!$AC$5:$AG$51, MATCH('Rotation Assembler'!$A56, Calcs!$AC$5:$AC$51, 0), MATCH('Rotation Assembler'!Q$32, Calcs!$AC$5:$AG$5, 0))</f>
        <v>0</v>
      </c>
      <c r="R56" s="126">
        <f>INDEX(Calcs!$AC$5:$AG$51, MATCH('Rotation Assembler'!$A56, Calcs!$AC$5:$AC$51, 0), MATCH('Rotation Assembler'!R$32, Calcs!$AC$5:$AG$5, 0))</f>
        <v>0</v>
      </c>
      <c r="S56" s="126">
        <f>INDEX(Calcs!$AC$5:$AG$51, MATCH('Rotation Assembler'!$A56, Calcs!$AC$5:$AC$51, 0), MATCH('Rotation Assembler'!S$32, Calcs!$AC$5:$AG$5, 0))</f>
        <v>0</v>
      </c>
      <c r="T56" s="126">
        <f>INDEX(Calcs!$AC$5:$AG$51, MATCH('Rotation Assembler'!$A56, Calcs!$AC$5:$AC$51, 0), MATCH('Rotation Assembler'!T$32, Calcs!$AC$5:$AG$5, 0))</f>
        <v>0</v>
      </c>
      <c r="U56" s="126">
        <f>INDEX(Calcs!$AC$5:$AG$51, MATCH('Rotation Assembler'!$A56, Calcs!$AC$5:$AC$51, 0), MATCH('Rotation Assembler'!U$32, Calcs!$AC$5:$AG$5, 0))</f>
        <v>0</v>
      </c>
      <c r="V56" s="126">
        <f>INDEX(Calcs!$AC$5:$AG$51, MATCH('Rotation Assembler'!$A56, Calcs!$AC$5:$AC$51, 0), MATCH('Rotation Assembler'!V$32, Calcs!$AC$5:$AG$5, 0))</f>
        <v>0</v>
      </c>
      <c r="W56" s="126">
        <f>INDEX(Calcs!$AC$5:$AG$51, MATCH('Rotation Assembler'!$A56, Calcs!$AC$5:$AC$51, 0), MATCH('Rotation Assembler'!W$32, Calcs!$AC$5:$AG$5, 0))</f>
        <v>0</v>
      </c>
      <c r="X56" s="126">
        <f>INDEX(Calcs!$AC$5:$AG$51, MATCH('Rotation Assembler'!$A56, Calcs!$AC$5:$AC$51, 0), MATCH('Rotation Assembler'!X$32, Calcs!$AC$5:$AG$5, 0))</f>
        <v>0</v>
      </c>
      <c r="Y56" s="126">
        <f>INDEX(Calcs!$AC$5:$AG$51, MATCH('Rotation Assembler'!$A56, Calcs!$AC$5:$AC$51, 0), MATCH('Rotation Assembler'!Y$32, Calcs!$AC$5:$AG$5, 0))</f>
        <v>0</v>
      </c>
      <c r="Z56" s="126">
        <f>INDEX(Calcs!$AC$5:$AG$51, MATCH('Rotation Assembler'!$A56, Calcs!$AC$5:$AC$51, 0), MATCH('Rotation Assembler'!Z$32, Calcs!$AC$5:$AG$5, 0))</f>
        <v>0</v>
      </c>
      <c r="AA56" s="126">
        <f>INDEX(Calcs!$AC$5:$AG$51, MATCH('Rotation Assembler'!$A56, Calcs!$AC$5:$AC$51, 0), MATCH('Rotation Assembler'!AA$32, Calcs!$AC$5:$AG$5, 0))</f>
        <v>0</v>
      </c>
      <c r="AB56" s="126">
        <f>INDEX(Calcs!$AC$5:$AG$51, MATCH('Rotation Assembler'!$A56, Calcs!$AC$5:$AC$51, 0), MATCH('Rotation Assembler'!AB$32, Calcs!$AC$5:$AG$5, 0))</f>
        <v>0</v>
      </c>
      <c r="AC56" s="126">
        <f>INDEX(Calcs!$AC$5:$AG$51, MATCH('Rotation Assembler'!$A56, Calcs!$AC$5:$AC$51, 0), MATCH('Rotation Assembler'!AC$32, Calcs!$AC$5:$AG$5, 0))</f>
        <v>0.6</v>
      </c>
      <c r="AD56" s="126">
        <f>INDEX(Calcs!$AC$5:$AG$51, MATCH('Rotation Assembler'!$A56, Calcs!$AC$5:$AC$51, 0), MATCH('Rotation Assembler'!AD$32, Calcs!$AC$5:$AG$5, 0))</f>
        <v>0.6</v>
      </c>
      <c r="AE56" s="126">
        <f>INDEX(Calcs!$AC$5:$AG$51, MATCH('Rotation Assembler'!$A56, Calcs!$AC$5:$AC$51, 0), MATCH('Rotation Assembler'!AE$32, Calcs!$AC$5:$AG$5, 0))</f>
        <v>0</v>
      </c>
      <c r="AF56" s="126">
        <f>INDEX(Calcs!$AC$5:$AG$51, MATCH('Rotation Assembler'!$A56, Calcs!$AC$5:$AC$51, 0), MATCH('Rotation Assembler'!AF$32, Calcs!$AC$5:$AG$5, 0))</f>
        <v>0</v>
      </c>
      <c r="AG56" s="126">
        <f>INDEX(Calcs!$AC$5:$AG$51, MATCH('Rotation Assembler'!$A56, Calcs!$AC$5:$AC$51, 0), MATCH('Rotation Assembler'!AG$32, Calcs!$AC$5:$AG$5, 0))</f>
        <v>0</v>
      </c>
      <c r="AH56" s="126">
        <f>INDEX(Calcs!$AC$5:$AG$51, MATCH('Rotation Assembler'!$A56, Calcs!$AC$5:$AC$51, 0), MATCH('Rotation Assembler'!AH$32, Calcs!$AC$5:$AG$5, 0))</f>
        <v>0</v>
      </c>
      <c r="AI56" s="126">
        <f>INDEX(Calcs!$AC$5:$AG$51, MATCH('Rotation Assembler'!$A56, Calcs!$AC$5:$AC$51, 0), MATCH('Rotation Assembler'!AI$32, Calcs!$AC$5:$AG$5, 0))</f>
        <v>0</v>
      </c>
      <c r="AJ56" s="126" t="e">
        <f>INDEX(Calcs!$AC$5:$AG$51, MATCH('Rotation Assembler'!$A56, Calcs!$AC$5:$AC$51, 0), MATCH('Rotation Assembler'!AJ$32, Calcs!$AC$5:$AG$5, 0))</f>
        <v>#N/A</v>
      </c>
      <c r="AK56" s="126" t="e">
        <f>INDEX(Calcs!$AC$5:$AG$51, MATCH('Rotation Assembler'!$A56, Calcs!$AC$5:$AC$51, 0), MATCH('Rotation Assembler'!AK$32, Calcs!$AC$5:$AG$5, 0))</f>
        <v>#N/A</v>
      </c>
      <c r="AL56" s="126" t="e">
        <f>INDEX(Calcs!$AC$5:$AG$51, MATCH('Rotation Assembler'!$A56, Calcs!$AC$5:$AC$51, 0), MATCH('Rotation Assembler'!AL$32, Calcs!$AC$5:$AG$5, 0))</f>
        <v>#N/A</v>
      </c>
      <c r="AM56" s="126" t="e">
        <f>INDEX(Calcs!$AC$5:$AG$51, MATCH('Rotation Assembler'!$A56, Calcs!$AC$5:$AC$51, 0), MATCH('Rotation Assembler'!AM$32, Calcs!$AC$5:$AG$5, 0))</f>
        <v>#N/A</v>
      </c>
      <c r="AN56" s="126" t="e">
        <f>INDEX(Calcs!$AC$5:$AG$51, MATCH('Rotation Assembler'!$A56, Calcs!$AC$5:$AC$51, 0), MATCH('Rotation Assembler'!AN$32, Calcs!$AC$5:$AG$5, 0))</f>
        <v>#N/A</v>
      </c>
      <c r="AO56" s="126" t="e">
        <f>INDEX(Calcs!$AC$5:$AG$51, MATCH('Rotation Assembler'!$A56, Calcs!$AC$5:$AC$51, 0), MATCH('Rotation Assembler'!AO$32, Calcs!$AC$5:$AG$5, 0))</f>
        <v>#N/A</v>
      </c>
      <c r="AP56" s="126" t="e">
        <f>INDEX(Calcs!$AC$5:$AG$51, MATCH('Rotation Assembler'!$A56, Calcs!$AC$5:$AC$51, 0), MATCH('Rotation Assembler'!AP$32, Calcs!$AC$5:$AG$5, 0))</f>
        <v>#N/A</v>
      </c>
      <c r="AQ56" s="126" t="e">
        <f>INDEX(Calcs!$AC$5:$AG$51, MATCH('Rotation Assembler'!$A56, Calcs!$AC$5:$AC$51, 0), MATCH('Rotation Assembler'!AQ$32, Calcs!$AC$5:$AG$5, 0))</f>
        <v>#N/A</v>
      </c>
      <c r="AR56" s="126" t="e">
        <f>INDEX(Calcs!$AC$5:$AG$51, MATCH('Rotation Assembler'!$A56, Calcs!$AC$5:$AC$51, 0), MATCH('Rotation Assembler'!AR$32, Calcs!$AC$5:$AG$5, 0))</f>
        <v>#N/A</v>
      </c>
      <c r="AS56" s="126" t="e">
        <f>INDEX(Calcs!$AC$5:$AG$51, MATCH('Rotation Assembler'!$A56, Calcs!$AC$5:$AC$51, 0), MATCH('Rotation Assembler'!AS$32, Calcs!$AC$5:$AG$5, 0))</f>
        <v>#N/A</v>
      </c>
      <c r="AT56" s="126" t="e">
        <f>INDEX(Calcs!$AC$5:$AG$51, MATCH('Rotation Assembler'!$A56, Calcs!$AC$5:$AC$51, 0), MATCH('Rotation Assembler'!AT$32, Calcs!$AC$5:$AG$5, 0))</f>
        <v>#N/A</v>
      </c>
      <c r="AU56" s="126" t="e">
        <f>INDEX(Calcs!$AC$5:$AG$51, MATCH('Rotation Assembler'!$A56, Calcs!$AC$5:$AC$51, 0), MATCH('Rotation Assembler'!AU$32, Calcs!$AC$5:$AG$5, 0))</f>
        <v>#N/A</v>
      </c>
      <c r="AV56" s="126" t="e">
        <f>INDEX(Calcs!$AC$5:$AG$51, MATCH('Rotation Assembler'!$A56, Calcs!$AC$5:$AC$51, 0), MATCH('Rotation Assembler'!AV$32, Calcs!$AC$5:$AG$5, 0))</f>
        <v>#N/A</v>
      </c>
      <c r="AW56" s="126" t="e">
        <f>INDEX(Calcs!$AC$5:$AG$51, MATCH('Rotation Assembler'!$A56, Calcs!$AC$5:$AC$51, 0), MATCH('Rotation Assembler'!AW$32, Calcs!$AC$5:$AG$5, 0))</f>
        <v>#N/A</v>
      </c>
      <c r="AX56" s="126" t="e">
        <f>INDEX(Calcs!$AC$5:$AG$51, MATCH('Rotation Assembler'!$A56, Calcs!$AC$5:$AC$51, 0), MATCH('Rotation Assembler'!AX$32, Calcs!$AC$5:$AG$5, 0))</f>
        <v>#N/A</v>
      </c>
      <c r="AY56" s="126" t="e">
        <f>INDEX(Calcs!$AC$5:$AG$51, MATCH('Rotation Assembler'!$A56, Calcs!$AC$5:$AC$51, 0), MATCH('Rotation Assembler'!AY$32, Calcs!$AC$5:$AG$5, 0))</f>
        <v>#N/A</v>
      </c>
      <c r="AZ56" s="126" t="e">
        <f>INDEX(Calcs!$AC$5:$AG$51, MATCH('Rotation Assembler'!$A56, Calcs!$AC$5:$AC$51, 0), MATCH('Rotation Assembler'!AZ$32, Calcs!$AC$5:$AG$5, 0))</f>
        <v>#N/A</v>
      </c>
      <c r="BA56" s="126" t="e">
        <f>INDEX(Calcs!$AC$5:$AG$51, MATCH('Rotation Assembler'!$A56, Calcs!$AC$5:$AC$51, 0), MATCH('Rotation Assembler'!BA$32, Calcs!$AC$5:$AG$5, 0))</f>
        <v>#N/A</v>
      </c>
      <c r="BB56" s="126" t="e">
        <f>INDEX(Calcs!$AC$5:$AG$51, MATCH('Rotation Assembler'!$A56, Calcs!$AC$5:$AC$51, 0), MATCH('Rotation Assembler'!BB$32, Calcs!$AC$5:$AG$5, 0))</f>
        <v>#N/A</v>
      </c>
      <c r="BC56" s="126" t="e">
        <f>INDEX(Calcs!$AC$5:$AG$51, MATCH('Rotation Assembler'!$A56, Calcs!$AC$5:$AC$51, 0), MATCH('Rotation Assembler'!BC$32, Calcs!$AC$5:$AG$5, 0))</f>
        <v>#N/A</v>
      </c>
      <c r="BD56" s="126" t="e">
        <f>INDEX(Calcs!$AC$5:$AG$51, MATCH('Rotation Assembler'!$A56, Calcs!$AC$5:$AC$51, 0), MATCH('Rotation Assembler'!BD$32, Calcs!$AC$5:$AG$5, 0))</f>
        <v>#N/A</v>
      </c>
      <c r="BE56" s="126" t="e">
        <f>INDEX(Calcs!$AC$5:$AG$51, MATCH('Rotation Assembler'!$A56, Calcs!$AC$5:$AC$51, 0), MATCH('Rotation Assembler'!BE$32, Calcs!$AC$5:$AG$5, 0))</f>
        <v>#N/A</v>
      </c>
      <c r="BF56" s="126" t="e">
        <f>INDEX(Calcs!$AC$5:$AG$51, MATCH('Rotation Assembler'!$A56, Calcs!$AC$5:$AC$51, 0), MATCH('Rotation Assembler'!BF$32, Calcs!$AC$5:$AG$5, 0))</f>
        <v>#N/A</v>
      </c>
      <c r="BG56" s="126" t="e">
        <f>INDEX(Calcs!$AC$5:$AG$51, MATCH('Rotation Assembler'!$A56, Calcs!$AC$5:$AC$51, 0), MATCH('Rotation Assembler'!BG$32, Calcs!$AC$5:$AG$5, 0))</f>
        <v>#N/A</v>
      </c>
      <c r="BH56" s="126" t="e">
        <f>INDEX(Calcs!$AC$5:$AG$51, MATCH('Rotation Assembler'!$A56, Calcs!$AC$5:$AC$51, 0), MATCH('Rotation Assembler'!BH$32, Calcs!$AC$5:$AG$5, 0))</f>
        <v>#N/A</v>
      </c>
      <c r="BI56" s="126"/>
      <c r="BJ56" s="126"/>
      <c r="BK56" s="126"/>
      <c r="BL56" s="126"/>
      <c r="BM56" s="126"/>
      <c r="BN56" s="126"/>
      <c r="BO56" s="126"/>
      <c r="BP56" s="126"/>
      <c r="BQ56" s="126"/>
      <c r="BR56" s="126"/>
      <c r="BS56" s="126"/>
      <c r="BT56" s="126"/>
      <c r="BU56" s="126"/>
      <c r="BV56" s="126"/>
      <c r="BW56" s="126"/>
      <c r="BX56" s="126"/>
      <c r="BY56" s="126"/>
      <c r="BZ56" s="126"/>
      <c r="CA56" s="126"/>
      <c r="CB56" s="126"/>
      <c r="CC56" s="126"/>
      <c r="CD56" s="126"/>
      <c r="CE56" s="126"/>
      <c r="CF56" s="126"/>
      <c r="CG56" s="126"/>
      <c r="CH56" s="126"/>
      <c r="CI56" s="126"/>
      <c r="CJ56" s="126"/>
      <c r="CK56" s="126"/>
      <c r="CL56" s="126"/>
      <c r="CM56" s="126"/>
      <c r="CN56" s="126"/>
      <c r="CO56" s="126"/>
      <c r="CP56" s="126"/>
      <c r="CQ56" s="126"/>
      <c r="CR56" s="126"/>
      <c r="CS56" s="126"/>
      <c r="CT56" s="126"/>
      <c r="CU56" s="126"/>
      <c r="CV56" s="126"/>
      <c r="CW56" s="126"/>
      <c r="CX56" s="126"/>
      <c r="CY56" s="126"/>
      <c r="CZ56" s="126"/>
      <c r="DA56" s="126"/>
      <c r="DB56" s="126"/>
      <c r="DC56" s="126"/>
    </row>
    <row r="57" spans="1:107" hidden="1" outlineLevel="1" x14ac:dyDescent="0.25">
      <c r="A57" s="122" t="s">
        <v>84</v>
      </c>
      <c r="B57" s="126">
        <f>INDEX(Calcs!$AC$5:$AG$51, MATCH('Rotation Assembler'!$A57, Calcs!$AC$5:$AC$51, 0), MATCH('Rotation Assembler'!B$32, Calcs!$AC$5:$AG$5, 0))</f>
        <v>0</v>
      </c>
      <c r="C57" s="126">
        <f>INDEX(Calcs!$AC$5:$AG$51, MATCH('Rotation Assembler'!$A57, Calcs!$AC$5:$AC$51, 0), MATCH('Rotation Assembler'!C$32, Calcs!$AC$5:$AG$5, 0))</f>
        <v>0</v>
      </c>
      <c r="D57" s="126">
        <f>INDEX(Calcs!$AC$5:$AG$51, MATCH('Rotation Assembler'!$A57, Calcs!$AC$5:$AC$51, 0), MATCH('Rotation Assembler'!D$32, Calcs!$AC$5:$AG$5, 0))</f>
        <v>0</v>
      </c>
      <c r="E57" s="126">
        <f>INDEX(Calcs!$AC$5:$AG$51, MATCH('Rotation Assembler'!$A57, Calcs!$AC$5:$AC$51, 0), MATCH('Rotation Assembler'!E$32, Calcs!$AC$5:$AG$5, 0))</f>
        <v>0</v>
      </c>
      <c r="F57" s="126">
        <f>INDEX(Calcs!$AC$5:$AG$51, MATCH('Rotation Assembler'!$A57, Calcs!$AC$5:$AC$51, 0), MATCH('Rotation Assembler'!F$32, Calcs!$AC$5:$AG$5, 0))</f>
        <v>0</v>
      </c>
      <c r="G57" s="126">
        <f>INDEX(Calcs!$AC$5:$AG$51, MATCH('Rotation Assembler'!$A57, Calcs!$AC$5:$AC$51, 0), MATCH('Rotation Assembler'!G$32, Calcs!$AC$5:$AG$5, 0))</f>
        <v>0</v>
      </c>
      <c r="H57" s="126">
        <f>INDEX(Calcs!$AC$5:$AG$51, MATCH('Rotation Assembler'!$A57, Calcs!$AC$5:$AC$51, 0), MATCH('Rotation Assembler'!H$32, Calcs!$AC$5:$AG$5, 0))</f>
        <v>0</v>
      </c>
      <c r="I57" s="126">
        <f>INDEX(Calcs!$AC$5:$AG$51, MATCH('Rotation Assembler'!$A57, Calcs!$AC$5:$AC$51, 0), MATCH('Rotation Assembler'!I$32, Calcs!$AC$5:$AG$5, 0))</f>
        <v>0</v>
      </c>
      <c r="J57" s="126">
        <f>INDEX(Calcs!$AC$5:$AG$51, MATCH('Rotation Assembler'!$A57, Calcs!$AC$5:$AC$51, 0), MATCH('Rotation Assembler'!J$32, Calcs!$AC$5:$AG$5, 0))</f>
        <v>0</v>
      </c>
      <c r="K57" s="126">
        <f>INDEX(Calcs!$AC$5:$AG$51, MATCH('Rotation Assembler'!$A57, Calcs!$AC$5:$AC$51, 0), MATCH('Rotation Assembler'!K$32, Calcs!$AC$5:$AG$5, 0))</f>
        <v>0</v>
      </c>
      <c r="L57" s="126">
        <f>INDEX(Calcs!$AC$5:$AG$51, MATCH('Rotation Assembler'!$A57, Calcs!$AC$5:$AC$51, 0), MATCH('Rotation Assembler'!L$32, Calcs!$AC$5:$AG$5, 0))</f>
        <v>0</v>
      </c>
      <c r="M57" s="126">
        <f>INDEX(Calcs!$AC$5:$AG$51, MATCH('Rotation Assembler'!$A57, Calcs!$AC$5:$AC$51, 0), MATCH('Rotation Assembler'!M$32, Calcs!$AC$5:$AG$5, 0))</f>
        <v>0</v>
      </c>
      <c r="N57" s="126">
        <f>INDEX(Calcs!$AC$5:$AG$51, MATCH('Rotation Assembler'!$A57, Calcs!$AC$5:$AC$51, 0), MATCH('Rotation Assembler'!N$32, Calcs!$AC$5:$AG$5, 0))</f>
        <v>0</v>
      </c>
      <c r="O57" s="126">
        <f>INDEX(Calcs!$AC$5:$AG$51, MATCH('Rotation Assembler'!$A57, Calcs!$AC$5:$AC$51, 0), MATCH('Rotation Assembler'!O$32, Calcs!$AC$5:$AG$5, 0))</f>
        <v>0</v>
      </c>
      <c r="P57" s="126">
        <f>INDEX(Calcs!$AC$5:$AG$51, MATCH('Rotation Assembler'!$A57, Calcs!$AC$5:$AC$51, 0), MATCH('Rotation Assembler'!P$32, Calcs!$AC$5:$AG$5, 0))</f>
        <v>0</v>
      </c>
      <c r="Q57" s="126">
        <f>INDEX(Calcs!$AC$5:$AG$51, MATCH('Rotation Assembler'!$A57, Calcs!$AC$5:$AC$51, 0), MATCH('Rotation Assembler'!Q$32, Calcs!$AC$5:$AG$5, 0))</f>
        <v>0</v>
      </c>
      <c r="R57" s="126">
        <f>INDEX(Calcs!$AC$5:$AG$51, MATCH('Rotation Assembler'!$A57, Calcs!$AC$5:$AC$51, 0), MATCH('Rotation Assembler'!R$32, Calcs!$AC$5:$AG$5, 0))</f>
        <v>0</v>
      </c>
      <c r="S57" s="126">
        <f>INDEX(Calcs!$AC$5:$AG$51, MATCH('Rotation Assembler'!$A57, Calcs!$AC$5:$AC$51, 0), MATCH('Rotation Assembler'!S$32, Calcs!$AC$5:$AG$5, 0))</f>
        <v>0</v>
      </c>
      <c r="T57" s="126">
        <f>INDEX(Calcs!$AC$5:$AG$51, MATCH('Rotation Assembler'!$A57, Calcs!$AC$5:$AC$51, 0), MATCH('Rotation Assembler'!T$32, Calcs!$AC$5:$AG$5, 0))</f>
        <v>0</v>
      </c>
      <c r="U57" s="126">
        <f>INDEX(Calcs!$AC$5:$AG$51, MATCH('Rotation Assembler'!$A57, Calcs!$AC$5:$AC$51, 0), MATCH('Rotation Assembler'!U$32, Calcs!$AC$5:$AG$5, 0))</f>
        <v>0</v>
      </c>
      <c r="V57" s="126">
        <f>INDEX(Calcs!$AC$5:$AG$51, MATCH('Rotation Assembler'!$A57, Calcs!$AC$5:$AC$51, 0), MATCH('Rotation Assembler'!V$32, Calcs!$AC$5:$AG$5, 0))</f>
        <v>0</v>
      </c>
      <c r="W57" s="126">
        <f>INDEX(Calcs!$AC$5:$AG$51, MATCH('Rotation Assembler'!$A57, Calcs!$AC$5:$AC$51, 0), MATCH('Rotation Assembler'!W$32, Calcs!$AC$5:$AG$5, 0))</f>
        <v>0</v>
      </c>
      <c r="X57" s="126">
        <f>INDEX(Calcs!$AC$5:$AG$51, MATCH('Rotation Assembler'!$A57, Calcs!$AC$5:$AC$51, 0), MATCH('Rotation Assembler'!X$32, Calcs!$AC$5:$AG$5, 0))</f>
        <v>0</v>
      </c>
      <c r="Y57" s="126">
        <f>INDEX(Calcs!$AC$5:$AG$51, MATCH('Rotation Assembler'!$A57, Calcs!$AC$5:$AC$51, 0), MATCH('Rotation Assembler'!Y$32, Calcs!$AC$5:$AG$5, 0))</f>
        <v>0</v>
      </c>
      <c r="Z57" s="126">
        <f>INDEX(Calcs!$AC$5:$AG$51, MATCH('Rotation Assembler'!$A57, Calcs!$AC$5:$AC$51, 0), MATCH('Rotation Assembler'!Z$32, Calcs!$AC$5:$AG$5, 0))</f>
        <v>0</v>
      </c>
      <c r="AA57" s="126">
        <f>INDEX(Calcs!$AC$5:$AG$51, MATCH('Rotation Assembler'!$A57, Calcs!$AC$5:$AC$51, 0), MATCH('Rotation Assembler'!AA$32, Calcs!$AC$5:$AG$5, 0))</f>
        <v>0</v>
      </c>
      <c r="AB57" s="126">
        <f>INDEX(Calcs!$AC$5:$AG$51, MATCH('Rotation Assembler'!$A57, Calcs!$AC$5:$AC$51, 0), MATCH('Rotation Assembler'!AB$32, Calcs!$AC$5:$AG$5, 0))</f>
        <v>0</v>
      </c>
      <c r="AC57" s="126">
        <f>INDEX(Calcs!$AC$5:$AG$51, MATCH('Rotation Assembler'!$A57, Calcs!$AC$5:$AC$51, 0), MATCH('Rotation Assembler'!AC$32, Calcs!$AC$5:$AG$5, 0))</f>
        <v>0</v>
      </c>
      <c r="AD57" s="126">
        <f>INDEX(Calcs!$AC$5:$AG$51, MATCH('Rotation Assembler'!$A57, Calcs!$AC$5:$AC$51, 0), MATCH('Rotation Assembler'!AD$32, Calcs!$AC$5:$AG$5, 0))</f>
        <v>0</v>
      </c>
      <c r="AE57" s="126">
        <f>INDEX(Calcs!$AC$5:$AG$51, MATCH('Rotation Assembler'!$A57, Calcs!$AC$5:$AC$51, 0), MATCH('Rotation Assembler'!AE$32, Calcs!$AC$5:$AG$5, 0))</f>
        <v>0</v>
      </c>
      <c r="AF57" s="126">
        <f>INDEX(Calcs!$AC$5:$AG$51, MATCH('Rotation Assembler'!$A57, Calcs!$AC$5:$AC$51, 0), MATCH('Rotation Assembler'!AF$32, Calcs!$AC$5:$AG$5, 0))</f>
        <v>0</v>
      </c>
      <c r="AG57" s="126">
        <f>INDEX(Calcs!$AC$5:$AG$51, MATCH('Rotation Assembler'!$A57, Calcs!$AC$5:$AC$51, 0), MATCH('Rotation Assembler'!AG$32, Calcs!$AC$5:$AG$5, 0))</f>
        <v>0</v>
      </c>
      <c r="AH57" s="126">
        <f>INDEX(Calcs!$AC$5:$AG$51, MATCH('Rotation Assembler'!$A57, Calcs!$AC$5:$AC$51, 0), MATCH('Rotation Assembler'!AH$32, Calcs!$AC$5:$AG$5, 0))</f>
        <v>0</v>
      </c>
      <c r="AI57" s="126">
        <f>INDEX(Calcs!$AC$5:$AG$51, MATCH('Rotation Assembler'!$A57, Calcs!$AC$5:$AC$51, 0), MATCH('Rotation Assembler'!AI$32, Calcs!$AC$5:$AG$5, 0))</f>
        <v>0</v>
      </c>
      <c r="AJ57" s="126" t="e">
        <f>INDEX(Calcs!$AC$5:$AG$51, MATCH('Rotation Assembler'!$A57, Calcs!$AC$5:$AC$51, 0), MATCH('Rotation Assembler'!AJ$32, Calcs!$AC$5:$AG$5, 0))</f>
        <v>#N/A</v>
      </c>
      <c r="AK57" s="126" t="e">
        <f>INDEX(Calcs!$AC$5:$AG$51, MATCH('Rotation Assembler'!$A57, Calcs!$AC$5:$AC$51, 0), MATCH('Rotation Assembler'!AK$32, Calcs!$AC$5:$AG$5, 0))</f>
        <v>#N/A</v>
      </c>
      <c r="AL57" s="126" t="e">
        <f>INDEX(Calcs!$AC$5:$AG$51, MATCH('Rotation Assembler'!$A57, Calcs!$AC$5:$AC$51, 0), MATCH('Rotation Assembler'!AL$32, Calcs!$AC$5:$AG$5, 0))</f>
        <v>#N/A</v>
      </c>
      <c r="AM57" s="126" t="e">
        <f>INDEX(Calcs!$AC$5:$AG$51, MATCH('Rotation Assembler'!$A57, Calcs!$AC$5:$AC$51, 0), MATCH('Rotation Assembler'!AM$32, Calcs!$AC$5:$AG$5, 0))</f>
        <v>#N/A</v>
      </c>
      <c r="AN57" s="126" t="e">
        <f>INDEX(Calcs!$AC$5:$AG$51, MATCH('Rotation Assembler'!$A57, Calcs!$AC$5:$AC$51, 0), MATCH('Rotation Assembler'!AN$32, Calcs!$AC$5:$AG$5, 0))</f>
        <v>#N/A</v>
      </c>
      <c r="AO57" s="126" t="e">
        <f>INDEX(Calcs!$AC$5:$AG$51, MATCH('Rotation Assembler'!$A57, Calcs!$AC$5:$AC$51, 0), MATCH('Rotation Assembler'!AO$32, Calcs!$AC$5:$AG$5, 0))</f>
        <v>#N/A</v>
      </c>
      <c r="AP57" s="126" t="e">
        <f>INDEX(Calcs!$AC$5:$AG$51, MATCH('Rotation Assembler'!$A57, Calcs!$AC$5:$AC$51, 0), MATCH('Rotation Assembler'!AP$32, Calcs!$AC$5:$AG$5, 0))</f>
        <v>#N/A</v>
      </c>
      <c r="AQ57" s="126" t="e">
        <f>INDEX(Calcs!$AC$5:$AG$51, MATCH('Rotation Assembler'!$A57, Calcs!$AC$5:$AC$51, 0), MATCH('Rotation Assembler'!AQ$32, Calcs!$AC$5:$AG$5, 0))</f>
        <v>#N/A</v>
      </c>
      <c r="AR57" s="126" t="e">
        <f>INDEX(Calcs!$AC$5:$AG$51, MATCH('Rotation Assembler'!$A57, Calcs!$AC$5:$AC$51, 0), MATCH('Rotation Assembler'!AR$32, Calcs!$AC$5:$AG$5, 0))</f>
        <v>#N/A</v>
      </c>
      <c r="AS57" s="126" t="e">
        <f>INDEX(Calcs!$AC$5:$AG$51, MATCH('Rotation Assembler'!$A57, Calcs!$AC$5:$AC$51, 0), MATCH('Rotation Assembler'!AS$32, Calcs!$AC$5:$AG$5, 0))</f>
        <v>#N/A</v>
      </c>
      <c r="AT57" s="126" t="e">
        <f>INDEX(Calcs!$AC$5:$AG$51, MATCH('Rotation Assembler'!$A57, Calcs!$AC$5:$AC$51, 0), MATCH('Rotation Assembler'!AT$32, Calcs!$AC$5:$AG$5, 0))</f>
        <v>#N/A</v>
      </c>
      <c r="AU57" s="126" t="e">
        <f>INDEX(Calcs!$AC$5:$AG$51, MATCH('Rotation Assembler'!$A57, Calcs!$AC$5:$AC$51, 0), MATCH('Rotation Assembler'!AU$32, Calcs!$AC$5:$AG$5, 0))</f>
        <v>#N/A</v>
      </c>
      <c r="AV57" s="126" t="e">
        <f>INDEX(Calcs!$AC$5:$AG$51, MATCH('Rotation Assembler'!$A57, Calcs!$AC$5:$AC$51, 0), MATCH('Rotation Assembler'!AV$32, Calcs!$AC$5:$AG$5, 0))</f>
        <v>#N/A</v>
      </c>
      <c r="AW57" s="126" t="e">
        <f>INDEX(Calcs!$AC$5:$AG$51, MATCH('Rotation Assembler'!$A57, Calcs!$AC$5:$AC$51, 0), MATCH('Rotation Assembler'!AW$32, Calcs!$AC$5:$AG$5, 0))</f>
        <v>#N/A</v>
      </c>
      <c r="AX57" s="126" t="e">
        <f>INDEX(Calcs!$AC$5:$AG$51, MATCH('Rotation Assembler'!$A57, Calcs!$AC$5:$AC$51, 0), MATCH('Rotation Assembler'!AX$32, Calcs!$AC$5:$AG$5, 0))</f>
        <v>#N/A</v>
      </c>
      <c r="AY57" s="126" t="e">
        <f>INDEX(Calcs!$AC$5:$AG$51, MATCH('Rotation Assembler'!$A57, Calcs!$AC$5:$AC$51, 0), MATCH('Rotation Assembler'!AY$32, Calcs!$AC$5:$AG$5, 0))</f>
        <v>#N/A</v>
      </c>
      <c r="AZ57" s="126" t="e">
        <f>INDEX(Calcs!$AC$5:$AG$51, MATCH('Rotation Assembler'!$A57, Calcs!$AC$5:$AC$51, 0), MATCH('Rotation Assembler'!AZ$32, Calcs!$AC$5:$AG$5, 0))</f>
        <v>#N/A</v>
      </c>
      <c r="BA57" s="126" t="e">
        <f>INDEX(Calcs!$AC$5:$AG$51, MATCH('Rotation Assembler'!$A57, Calcs!$AC$5:$AC$51, 0), MATCH('Rotation Assembler'!BA$32, Calcs!$AC$5:$AG$5, 0))</f>
        <v>#N/A</v>
      </c>
      <c r="BB57" s="126" t="e">
        <f>INDEX(Calcs!$AC$5:$AG$51, MATCH('Rotation Assembler'!$A57, Calcs!$AC$5:$AC$51, 0), MATCH('Rotation Assembler'!BB$32, Calcs!$AC$5:$AG$5, 0))</f>
        <v>#N/A</v>
      </c>
      <c r="BC57" s="126" t="e">
        <f>INDEX(Calcs!$AC$5:$AG$51, MATCH('Rotation Assembler'!$A57, Calcs!$AC$5:$AC$51, 0), MATCH('Rotation Assembler'!BC$32, Calcs!$AC$5:$AG$5, 0))</f>
        <v>#N/A</v>
      </c>
      <c r="BD57" s="126" t="e">
        <f>INDEX(Calcs!$AC$5:$AG$51, MATCH('Rotation Assembler'!$A57, Calcs!$AC$5:$AC$51, 0), MATCH('Rotation Assembler'!BD$32, Calcs!$AC$5:$AG$5, 0))</f>
        <v>#N/A</v>
      </c>
      <c r="BE57" s="126" t="e">
        <f>INDEX(Calcs!$AC$5:$AG$51, MATCH('Rotation Assembler'!$A57, Calcs!$AC$5:$AC$51, 0), MATCH('Rotation Assembler'!BE$32, Calcs!$AC$5:$AG$5, 0))</f>
        <v>#N/A</v>
      </c>
      <c r="BF57" s="126" t="e">
        <f>INDEX(Calcs!$AC$5:$AG$51, MATCH('Rotation Assembler'!$A57, Calcs!$AC$5:$AC$51, 0), MATCH('Rotation Assembler'!BF$32, Calcs!$AC$5:$AG$5, 0))</f>
        <v>#N/A</v>
      </c>
      <c r="BG57" s="126" t="e">
        <f>INDEX(Calcs!$AC$5:$AG$51, MATCH('Rotation Assembler'!$A57, Calcs!$AC$5:$AC$51, 0), MATCH('Rotation Assembler'!BG$32, Calcs!$AC$5:$AG$5, 0))</f>
        <v>#N/A</v>
      </c>
      <c r="BH57" s="126" t="e">
        <f>INDEX(Calcs!$AC$5:$AG$51, MATCH('Rotation Assembler'!$A57, Calcs!$AC$5:$AC$51, 0), MATCH('Rotation Assembler'!BH$32, Calcs!$AC$5:$AG$5, 0))</f>
        <v>#N/A</v>
      </c>
      <c r="BI57" s="126"/>
      <c r="BJ57" s="126"/>
      <c r="BK57" s="126"/>
      <c r="BL57" s="126"/>
      <c r="BM57" s="126"/>
      <c r="BN57" s="126"/>
      <c r="BO57" s="126"/>
      <c r="BP57" s="126"/>
      <c r="BQ57" s="126"/>
      <c r="BR57" s="126"/>
      <c r="BS57" s="126"/>
      <c r="BT57" s="126"/>
      <c r="BU57" s="126"/>
      <c r="BV57" s="126"/>
      <c r="BW57" s="126"/>
      <c r="BX57" s="126"/>
      <c r="BY57" s="126"/>
      <c r="BZ57" s="126"/>
      <c r="CA57" s="126"/>
      <c r="CB57" s="126"/>
      <c r="CC57" s="126"/>
      <c r="CD57" s="126"/>
      <c r="CE57" s="126"/>
      <c r="CF57" s="126"/>
      <c r="CG57" s="126"/>
      <c r="CH57" s="126"/>
      <c r="CI57" s="126"/>
      <c r="CJ57" s="126"/>
      <c r="CK57" s="126"/>
      <c r="CL57" s="126"/>
      <c r="CM57" s="126"/>
      <c r="CN57" s="126"/>
      <c r="CO57" s="126"/>
      <c r="CP57" s="126"/>
      <c r="CQ57" s="126"/>
      <c r="CR57" s="126"/>
      <c r="CS57" s="126"/>
      <c r="CT57" s="126"/>
      <c r="CU57" s="126"/>
      <c r="CV57" s="126"/>
      <c r="CW57" s="126"/>
      <c r="CX57" s="126"/>
      <c r="CY57" s="126"/>
      <c r="CZ57" s="126"/>
      <c r="DA57" s="126"/>
      <c r="DB57" s="126"/>
      <c r="DC57" s="126"/>
    </row>
    <row r="58" spans="1:107" hidden="1" outlineLevel="1" x14ac:dyDescent="0.25">
      <c r="A58" s="122" t="s">
        <v>85</v>
      </c>
      <c r="B58" s="126">
        <f>INDEX(Calcs!$AC$5:$AG$51, MATCH('Rotation Assembler'!$A58, Calcs!$AC$5:$AC$51, 0), MATCH('Rotation Assembler'!B$32, Calcs!$AC$5:$AG$5, 0))</f>
        <v>0</v>
      </c>
      <c r="C58" s="126">
        <f>INDEX(Calcs!$AC$5:$AG$51, MATCH('Rotation Assembler'!$A58, Calcs!$AC$5:$AC$51, 0), MATCH('Rotation Assembler'!C$32, Calcs!$AC$5:$AG$5, 0))</f>
        <v>0</v>
      </c>
      <c r="D58" s="126">
        <f>INDEX(Calcs!$AC$5:$AG$51, MATCH('Rotation Assembler'!$A58, Calcs!$AC$5:$AC$51, 0), MATCH('Rotation Assembler'!D$32, Calcs!$AC$5:$AG$5, 0))</f>
        <v>0</v>
      </c>
      <c r="E58" s="126">
        <f>INDEX(Calcs!$AC$5:$AG$51, MATCH('Rotation Assembler'!$A58, Calcs!$AC$5:$AC$51, 0), MATCH('Rotation Assembler'!E$32, Calcs!$AC$5:$AG$5, 0))</f>
        <v>0</v>
      </c>
      <c r="F58" s="126">
        <f>INDEX(Calcs!$AC$5:$AG$51, MATCH('Rotation Assembler'!$A58, Calcs!$AC$5:$AC$51, 0), MATCH('Rotation Assembler'!F$32, Calcs!$AC$5:$AG$5, 0))</f>
        <v>0</v>
      </c>
      <c r="G58" s="126">
        <f>INDEX(Calcs!$AC$5:$AG$51, MATCH('Rotation Assembler'!$A58, Calcs!$AC$5:$AC$51, 0), MATCH('Rotation Assembler'!G$32, Calcs!$AC$5:$AG$5, 0))</f>
        <v>0</v>
      </c>
      <c r="H58" s="126">
        <f>INDEX(Calcs!$AC$5:$AG$51, MATCH('Rotation Assembler'!$A58, Calcs!$AC$5:$AC$51, 0), MATCH('Rotation Assembler'!H$32, Calcs!$AC$5:$AG$5, 0))</f>
        <v>0</v>
      </c>
      <c r="I58" s="126">
        <f>INDEX(Calcs!$AC$5:$AG$51, MATCH('Rotation Assembler'!$A58, Calcs!$AC$5:$AC$51, 0), MATCH('Rotation Assembler'!I$32, Calcs!$AC$5:$AG$5, 0))</f>
        <v>0</v>
      </c>
      <c r="J58" s="126">
        <f>INDEX(Calcs!$AC$5:$AG$51, MATCH('Rotation Assembler'!$A58, Calcs!$AC$5:$AC$51, 0), MATCH('Rotation Assembler'!J$32, Calcs!$AC$5:$AG$5, 0))</f>
        <v>0</v>
      </c>
      <c r="K58" s="126">
        <f>INDEX(Calcs!$AC$5:$AG$51, MATCH('Rotation Assembler'!$A58, Calcs!$AC$5:$AC$51, 0), MATCH('Rotation Assembler'!K$32, Calcs!$AC$5:$AG$5, 0))</f>
        <v>0</v>
      </c>
      <c r="L58" s="126">
        <f>INDEX(Calcs!$AC$5:$AG$51, MATCH('Rotation Assembler'!$A58, Calcs!$AC$5:$AC$51, 0), MATCH('Rotation Assembler'!L$32, Calcs!$AC$5:$AG$5, 0))</f>
        <v>0</v>
      </c>
      <c r="M58" s="126">
        <f>INDEX(Calcs!$AC$5:$AG$51, MATCH('Rotation Assembler'!$A58, Calcs!$AC$5:$AC$51, 0), MATCH('Rotation Assembler'!M$32, Calcs!$AC$5:$AG$5, 0))</f>
        <v>0</v>
      </c>
      <c r="N58" s="126">
        <f>INDEX(Calcs!$AC$5:$AG$51, MATCH('Rotation Assembler'!$A58, Calcs!$AC$5:$AC$51, 0), MATCH('Rotation Assembler'!N$32, Calcs!$AC$5:$AG$5, 0))</f>
        <v>0</v>
      </c>
      <c r="O58" s="126">
        <f>INDEX(Calcs!$AC$5:$AG$51, MATCH('Rotation Assembler'!$A58, Calcs!$AC$5:$AC$51, 0), MATCH('Rotation Assembler'!O$32, Calcs!$AC$5:$AG$5, 0))</f>
        <v>0</v>
      </c>
      <c r="P58" s="126">
        <f>INDEX(Calcs!$AC$5:$AG$51, MATCH('Rotation Assembler'!$A58, Calcs!$AC$5:$AC$51, 0), MATCH('Rotation Assembler'!P$32, Calcs!$AC$5:$AG$5, 0))</f>
        <v>0</v>
      </c>
      <c r="Q58" s="126">
        <f>INDEX(Calcs!$AC$5:$AG$51, MATCH('Rotation Assembler'!$A58, Calcs!$AC$5:$AC$51, 0), MATCH('Rotation Assembler'!Q$32, Calcs!$AC$5:$AG$5, 0))</f>
        <v>0</v>
      </c>
      <c r="R58" s="126">
        <f>INDEX(Calcs!$AC$5:$AG$51, MATCH('Rotation Assembler'!$A58, Calcs!$AC$5:$AC$51, 0), MATCH('Rotation Assembler'!R$32, Calcs!$AC$5:$AG$5, 0))</f>
        <v>0</v>
      </c>
      <c r="S58" s="126">
        <f>INDEX(Calcs!$AC$5:$AG$51, MATCH('Rotation Assembler'!$A58, Calcs!$AC$5:$AC$51, 0), MATCH('Rotation Assembler'!S$32, Calcs!$AC$5:$AG$5, 0))</f>
        <v>0</v>
      </c>
      <c r="T58" s="126">
        <f>INDEX(Calcs!$AC$5:$AG$51, MATCH('Rotation Assembler'!$A58, Calcs!$AC$5:$AC$51, 0), MATCH('Rotation Assembler'!T$32, Calcs!$AC$5:$AG$5, 0))</f>
        <v>0</v>
      </c>
      <c r="U58" s="126">
        <f>INDEX(Calcs!$AC$5:$AG$51, MATCH('Rotation Assembler'!$A58, Calcs!$AC$5:$AC$51, 0), MATCH('Rotation Assembler'!U$32, Calcs!$AC$5:$AG$5, 0))</f>
        <v>0</v>
      </c>
      <c r="V58" s="126">
        <f>INDEX(Calcs!$AC$5:$AG$51, MATCH('Rotation Assembler'!$A58, Calcs!$AC$5:$AC$51, 0), MATCH('Rotation Assembler'!V$32, Calcs!$AC$5:$AG$5, 0))</f>
        <v>0</v>
      </c>
      <c r="W58" s="126">
        <f>INDEX(Calcs!$AC$5:$AG$51, MATCH('Rotation Assembler'!$A58, Calcs!$AC$5:$AC$51, 0), MATCH('Rotation Assembler'!W$32, Calcs!$AC$5:$AG$5, 0))</f>
        <v>0</v>
      </c>
      <c r="X58" s="126">
        <f>INDEX(Calcs!$AC$5:$AG$51, MATCH('Rotation Assembler'!$A58, Calcs!$AC$5:$AC$51, 0), MATCH('Rotation Assembler'!X$32, Calcs!$AC$5:$AG$5, 0))</f>
        <v>0</v>
      </c>
      <c r="Y58" s="126">
        <f>INDEX(Calcs!$AC$5:$AG$51, MATCH('Rotation Assembler'!$A58, Calcs!$AC$5:$AC$51, 0), MATCH('Rotation Assembler'!Y$32, Calcs!$AC$5:$AG$5, 0))</f>
        <v>0</v>
      </c>
      <c r="Z58" s="126">
        <f>INDEX(Calcs!$AC$5:$AG$51, MATCH('Rotation Assembler'!$A58, Calcs!$AC$5:$AC$51, 0), MATCH('Rotation Assembler'!Z$32, Calcs!$AC$5:$AG$5, 0))</f>
        <v>0</v>
      </c>
      <c r="AA58" s="126">
        <f>INDEX(Calcs!$AC$5:$AG$51, MATCH('Rotation Assembler'!$A58, Calcs!$AC$5:$AC$51, 0), MATCH('Rotation Assembler'!AA$32, Calcs!$AC$5:$AG$5, 0))</f>
        <v>0</v>
      </c>
      <c r="AB58" s="126">
        <f>INDEX(Calcs!$AC$5:$AG$51, MATCH('Rotation Assembler'!$A58, Calcs!$AC$5:$AC$51, 0), MATCH('Rotation Assembler'!AB$32, Calcs!$AC$5:$AG$5, 0))</f>
        <v>0</v>
      </c>
      <c r="AC58" s="126">
        <f>INDEX(Calcs!$AC$5:$AG$51, MATCH('Rotation Assembler'!$A58, Calcs!$AC$5:$AC$51, 0), MATCH('Rotation Assembler'!AC$32, Calcs!$AC$5:$AG$5, 0))</f>
        <v>0</v>
      </c>
      <c r="AD58" s="126">
        <f>INDEX(Calcs!$AC$5:$AG$51, MATCH('Rotation Assembler'!$A58, Calcs!$AC$5:$AC$51, 0), MATCH('Rotation Assembler'!AD$32, Calcs!$AC$5:$AG$5, 0))</f>
        <v>0</v>
      </c>
      <c r="AE58" s="126">
        <f>INDEX(Calcs!$AC$5:$AG$51, MATCH('Rotation Assembler'!$A58, Calcs!$AC$5:$AC$51, 0), MATCH('Rotation Assembler'!AE$32, Calcs!$AC$5:$AG$5, 0))</f>
        <v>0</v>
      </c>
      <c r="AF58" s="126">
        <f>INDEX(Calcs!$AC$5:$AG$51, MATCH('Rotation Assembler'!$A58, Calcs!$AC$5:$AC$51, 0), MATCH('Rotation Assembler'!AF$32, Calcs!$AC$5:$AG$5, 0))</f>
        <v>0</v>
      </c>
      <c r="AG58" s="126">
        <f>INDEX(Calcs!$AC$5:$AG$51, MATCH('Rotation Assembler'!$A58, Calcs!$AC$5:$AC$51, 0), MATCH('Rotation Assembler'!AG$32, Calcs!$AC$5:$AG$5, 0))</f>
        <v>0</v>
      </c>
      <c r="AH58" s="126">
        <f>INDEX(Calcs!$AC$5:$AG$51, MATCH('Rotation Assembler'!$A58, Calcs!$AC$5:$AC$51, 0), MATCH('Rotation Assembler'!AH$32, Calcs!$AC$5:$AG$5, 0))</f>
        <v>0</v>
      </c>
      <c r="AI58" s="126">
        <f>INDEX(Calcs!$AC$5:$AG$51, MATCH('Rotation Assembler'!$A58, Calcs!$AC$5:$AC$51, 0), MATCH('Rotation Assembler'!AI$32, Calcs!$AC$5:$AG$5, 0))</f>
        <v>0</v>
      </c>
      <c r="AJ58" s="126" t="e">
        <f>INDEX(Calcs!$AC$5:$AG$51, MATCH('Rotation Assembler'!$A58, Calcs!$AC$5:$AC$51, 0), MATCH('Rotation Assembler'!AJ$32, Calcs!$AC$5:$AG$5, 0))</f>
        <v>#N/A</v>
      </c>
      <c r="AK58" s="126" t="e">
        <f>INDEX(Calcs!$AC$5:$AG$51, MATCH('Rotation Assembler'!$A58, Calcs!$AC$5:$AC$51, 0), MATCH('Rotation Assembler'!AK$32, Calcs!$AC$5:$AG$5, 0))</f>
        <v>#N/A</v>
      </c>
      <c r="AL58" s="126" t="e">
        <f>INDEX(Calcs!$AC$5:$AG$51, MATCH('Rotation Assembler'!$A58, Calcs!$AC$5:$AC$51, 0), MATCH('Rotation Assembler'!AL$32, Calcs!$AC$5:$AG$5, 0))</f>
        <v>#N/A</v>
      </c>
      <c r="AM58" s="126" t="e">
        <f>INDEX(Calcs!$AC$5:$AG$51, MATCH('Rotation Assembler'!$A58, Calcs!$AC$5:$AC$51, 0), MATCH('Rotation Assembler'!AM$32, Calcs!$AC$5:$AG$5, 0))</f>
        <v>#N/A</v>
      </c>
      <c r="AN58" s="126" t="e">
        <f>INDEX(Calcs!$AC$5:$AG$51, MATCH('Rotation Assembler'!$A58, Calcs!$AC$5:$AC$51, 0), MATCH('Rotation Assembler'!AN$32, Calcs!$AC$5:$AG$5, 0))</f>
        <v>#N/A</v>
      </c>
      <c r="AO58" s="126" t="e">
        <f>INDEX(Calcs!$AC$5:$AG$51, MATCH('Rotation Assembler'!$A58, Calcs!$AC$5:$AC$51, 0), MATCH('Rotation Assembler'!AO$32, Calcs!$AC$5:$AG$5, 0))</f>
        <v>#N/A</v>
      </c>
      <c r="AP58" s="126" t="e">
        <f>INDEX(Calcs!$AC$5:$AG$51, MATCH('Rotation Assembler'!$A58, Calcs!$AC$5:$AC$51, 0), MATCH('Rotation Assembler'!AP$32, Calcs!$AC$5:$AG$5, 0))</f>
        <v>#N/A</v>
      </c>
      <c r="AQ58" s="126" t="e">
        <f>INDEX(Calcs!$AC$5:$AG$51, MATCH('Rotation Assembler'!$A58, Calcs!$AC$5:$AC$51, 0), MATCH('Rotation Assembler'!AQ$32, Calcs!$AC$5:$AG$5, 0))</f>
        <v>#N/A</v>
      </c>
      <c r="AR58" s="126" t="e">
        <f>INDEX(Calcs!$AC$5:$AG$51, MATCH('Rotation Assembler'!$A58, Calcs!$AC$5:$AC$51, 0), MATCH('Rotation Assembler'!AR$32, Calcs!$AC$5:$AG$5, 0))</f>
        <v>#N/A</v>
      </c>
      <c r="AS58" s="126" t="e">
        <f>INDEX(Calcs!$AC$5:$AG$51, MATCH('Rotation Assembler'!$A58, Calcs!$AC$5:$AC$51, 0), MATCH('Rotation Assembler'!AS$32, Calcs!$AC$5:$AG$5, 0))</f>
        <v>#N/A</v>
      </c>
      <c r="AT58" s="126" t="e">
        <f>INDEX(Calcs!$AC$5:$AG$51, MATCH('Rotation Assembler'!$A58, Calcs!$AC$5:$AC$51, 0), MATCH('Rotation Assembler'!AT$32, Calcs!$AC$5:$AG$5, 0))</f>
        <v>#N/A</v>
      </c>
      <c r="AU58" s="126" t="e">
        <f>INDEX(Calcs!$AC$5:$AG$51, MATCH('Rotation Assembler'!$A58, Calcs!$AC$5:$AC$51, 0), MATCH('Rotation Assembler'!AU$32, Calcs!$AC$5:$AG$5, 0))</f>
        <v>#N/A</v>
      </c>
      <c r="AV58" s="126" t="e">
        <f>INDEX(Calcs!$AC$5:$AG$51, MATCH('Rotation Assembler'!$A58, Calcs!$AC$5:$AC$51, 0), MATCH('Rotation Assembler'!AV$32, Calcs!$AC$5:$AG$5, 0))</f>
        <v>#N/A</v>
      </c>
      <c r="AW58" s="126" t="e">
        <f>INDEX(Calcs!$AC$5:$AG$51, MATCH('Rotation Assembler'!$A58, Calcs!$AC$5:$AC$51, 0), MATCH('Rotation Assembler'!AW$32, Calcs!$AC$5:$AG$5, 0))</f>
        <v>#N/A</v>
      </c>
      <c r="AX58" s="126" t="e">
        <f>INDEX(Calcs!$AC$5:$AG$51, MATCH('Rotation Assembler'!$A58, Calcs!$AC$5:$AC$51, 0), MATCH('Rotation Assembler'!AX$32, Calcs!$AC$5:$AG$5, 0))</f>
        <v>#N/A</v>
      </c>
      <c r="AY58" s="126" t="e">
        <f>INDEX(Calcs!$AC$5:$AG$51, MATCH('Rotation Assembler'!$A58, Calcs!$AC$5:$AC$51, 0), MATCH('Rotation Assembler'!AY$32, Calcs!$AC$5:$AG$5, 0))</f>
        <v>#N/A</v>
      </c>
      <c r="AZ58" s="126" t="e">
        <f>INDEX(Calcs!$AC$5:$AG$51, MATCH('Rotation Assembler'!$A58, Calcs!$AC$5:$AC$51, 0), MATCH('Rotation Assembler'!AZ$32, Calcs!$AC$5:$AG$5, 0))</f>
        <v>#N/A</v>
      </c>
      <c r="BA58" s="126" t="e">
        <f>INDEX(Calcs!$AC$5:$AG$51, MATCH('Rotation Assembler'!$A58, Calcs!$AC$5:$AC$51, 0), MATCH('Rotation Assembler'!BA$32, Calcs!$AC$5:$AG$5, 0))</f>
        <v>#N/A</v>
      </c>
      <c r="BB58" s="126" t="e">
        <f>INDEX(Calcs!$AC$5:$AG$51, MATCH('Rotation Assembler'!$A58, Calcs!$AC$5:$AC$51, 0), MATCH('Rotation Assembler'!BB$32, Calcs!$AC$5:$AG$5, 0))</f>
        <v>#N/A</v>
      </c>
      <c r="BC58" s="126" t="e">
        <f>INDEX(Calcs!$AC$5:$AG$51, MATCH('Rotation Assembler'!$A58, Calcs!$AC$5:$AC$51, 0), MATCH('Rotation Assembler'!BC$32, Calcs!$AC$5:$AG$5, 0))</f>
        <v>#N/A</v>
      </c>
      <c r="BD58" s="126" t="e">
        <f>INDEX(Calcs!$AC$5:$AG$51, MATCH('Rotation Assembler'!$A58, Calcs!$AC$5:$AC$51, 0), MATCH('Rotation Assembler'!BD$32, Calcs!$AC$5:$AG$5, 0))</f>
        <v>#N/A</v>
      </c>
      <c r="BE58" s="126" t="e">
        <f>INDEX(Calcs!$AC$5:$AG$51, MATCH('Rotation Assembler'!$A58, Calcs!$AC$5:$AC$51, 0), MATCH('Rotation Assembler'!BE$32, Calcs!$AC$5:$AG$5, 0))</f>
        <v>#N/A</v>
      </c>
      <c r="BF58" s="126" t="e">
        <f>INDEX(Calcs!$AC$5:$AG$51, MATCH('Rotation Assembler'!$A58, Calcs!$AC$5:$AC$51, 0), MATCH('Rotation Assembler'!BF$32, Calcs!$AC$5:$AG$5, 0))</f>
        <v>#N/A</v>
      </c>
      <c r="BG58" s="126" t="e">
        <f>INDEX(Calcs!$AC$5:$AG$51, MATCH('Rotation Assembler'!$A58, Calcs!$AC$5:$AC$51, 0), MATCH('Rotation Assembler'!BG$32, Calcs!$AC$5:$AG$5, 0))</f>
        <v>#N/A</v>
      </c>
      <c r="BH58" s="126" t="e">
        <f>INDEX(Calcs!$AC$5:$AG$51, MATCH('Rotation Assembler'!$A58, Calcs!$AC$5:$AC$51, 0), MATCH('Rotation Assembler'!BH$32, Calcs!$AC$5:$AG$5, 0))</f>
        <v>#N/A</v>
      </c>
      <c r="BI58" s="126"/>
      <c r="BJ58" s="126"/>
      <c r="BK58" s="126"/>
      <c r="BL58" s="126"/>
      <c r="BM58" s="126"/>
      <c r="BN58" s="126"/>
      <c r="BO58" s="126"/>
      <c r="BP58" s="126"/>
      <c r="BQ58" s="126"/>
      <c r="BR58" s="126"/>
      <c r="BS58" s="126"/>
      <c r="BT58" s="126"/>
      <c r="BU58" s="126"/>
      <c r="BV58" s="126"/>
      <c r="BW58" s="126"/>
      <c r="BX58" s="126"/>
      <c r="BY58" s="126"/>
      <c r="BZ58" s="126"/>
      <c r="CA58" s="126"/>
      <c r="CB58" s="126"/>
      <c r="CC58" s="126"/>
      <c r="CD58" s="126"/>
      <c r="CE58" s="126"/>
      <c r="CF58" s="126"/>
      <c r="CG58" s="126"/>
      <c r="CH58" s="126"/>
      <c r="CI58" s="126"/>
      <c r="CJ58" s="126"/>
      <c r="CK58" s="126"/>
      <c r="CL58" s="126"/>
      <c r="CM58" s="126"/>
      <c r="CN58" s="126"/>
      <c r="CO58" s="126"/>
      <c r="CP58" s="126"/>
      <c r="CQ58" s="126"/>
      <c r="CR58" s="126"/>
      <c r="CS58" s="126"/>
      <c r="CT58" s="126"/>
      <c r="CU58" s="126"/>
      <c r="CV58" s="126"/>
      <c r="CW58" s="126"/>
      <c r="CX58" s="126"/>
      <c r="CY58" s="126"/>
      <c r="CZ58" s="126"/>
      <c r="DA58" s="126"/>
      <c r="DB58" s="126"/>
      <c r="DC58" s="126"/>
    </row>
    <row r="59" spans="1:107" hidden="1" outlineLevel="1" x14ac:dyDescent="0.25">
      <c r="A59" s="122" t="s">
        <v>86</v>
      </c>
      <c r="B59" s="126">
        <f>INDEX(Calcs!$AC$5:$AG$51, MATCH('Rotation Assembler'!$A59, Calcs!$AC$5:$AC$51, 0), MATCH('Rotation Assembler'!B$32, Calcs!$AC$5:$AG$5, 0))</f>
        <v>0</v>
      </c>
      <c r="C59" s="126">
        <f>INDEX(Calcs!$AC$5:$AG$51, MATCH('Rotation Assembler'!$A59, Calcs!$AC$5:$AC$51, 0), MATCH('Rotation Assembler'!C$32, Calcs!$AC$5:$AG$5, 0))</f>
        <v>0</v>
      </c>
      <c r="D59" s="126">
        <f>INDEX(Calcs!$AC$5:$AG$51, MATCH('Rotation Assembler'!$A59, Calcs!$AC$5:$AC$51, 0), MATCH('Rotation Assembler'!D$32, Calcs!$AC$5:$AG$5, 0))</f>
        <v>0</v>
      </c>
      <c r="E59" s="126">
        <f>INDEX(Calcs!$AC$5:$AG$51, MATCH('Rotation Assembler'!$A59, Calcs!$AC$5:$AC$51, 0), MATCH('Rotation Assembler'!E$32, Calcs!$AC$5:$AG$5, 0))</f>
        <v>0</v>
      </c>
      <c r="F59" s="126">
        <f>INDEX(Calcs!$AC$5:$AG$51, MATCH('Rotation Assembler'!$A59, Calcs!$AC$5:$AC$51, 0), MATCH('Rotation Assembler'!F$32, Calcs!$AC$5:$AG$5, 0))</f>
        <v>0</v>
      </c>
      <c r="G59" s="126">
        <f>INDEX(Calcs!$AC$5:$AG$51, MATCH('Rotation Assembler'!$A59, Calcs!$AC$5:$AC$51, 0), MATCH('Rotation Assembler'!G$32, Calcs!$AC$5:$AG$5, 0))</f>
        <v>0</v>
      </c>
      <c r="H59" s="126">
        <f>INDEX(Calcs!$AC$5:$AG$51, MATCH('Rotation Assembler'!$A59, Calcs!$AC$5:$AC$51, 0), MATCH('Rotation Assembler'!H$32, Calcs!$AC$5:$AG$5, 0))</f>
        <v>0</v>
      </c>
      <c r="I59" s="126">
        <f>INDEX(Calcs!$AC$5:$AG$51, MATCH('Rotation Assembler'!$A59, Calcs!$AC$5:$AC$51, 0), MATCH('Rotation Assembler'!I$32, Calcs!$AC$5:$AG$5, 0))</f>
        <v>0</v>
      </c>
      <c r="J59" s="126">
        <f>INDEX(Calcs!$AC$5:$AG$51, MATCH('Rotation Assembler'!$A59, Calcs!$AC$5:$AC$51, 0), MATCH('Rotation Assembler'!J$32, Calcs!$AC$5:$AG$5, 0))</f>
        <v>0</v>
      </c>
      <c r="K59" s="126">
        <f>INDEX(Calcs!$AC$5:$AG$51, MATCH('Rotation Assembler'!$A59, Calcs!$AC$5:$AC$51, 0), MATCH('Rotation Assembler'!K$32, Calcs!$AC$5:$AG$5, 0))</f>
        <v>0</v>
      </c>
      <c r="L59" s="126">
        <f>INDEX(Calcs!$AC$5:$AG$51, MATCH('Rotation Assembler'!$A59, Calcs!$AC$5:$AC$51, 0), MATCH('Rotation Assembler'!L$32, Calcs!$AC$5:$AG$5, 0))</f>
        <v>0</v>
      </c>
      <c r="M59" s="126">
        <f>INDEX(Calcs!$AC$5:$AG$51, MATCH('Rotation Assembler'!$A59, Calcs!$AC$5:$AC$51, 0), MATCH('Rotation Assembler'!M$32, Calcs!$AC$5:$AG$5, 0))</f>
        <v>0</v>
      </c>
      <c r="N59" s="126">
        <f>INDEX(Calcs!$AC$5:$AG$51, MATCH('Rotation Assembler'!$A59, Calcs!$AC$5:$AC$51, 0), MATCH('Rotation Assembler'!N$32, Calcs!$AC$5:$AG$5, 0))</f>
        <v>0</v>
      </c>
      <c r="O59" s="126">
        <f>INDEX(Calcs!$AC$5:$AG$51, MATCH('Rotation Assembler'!$A59, Calcs!$AC$5:$AC$51, 0), MATCH('Rotation Assembler'!O$32, Calcs!$AC$5:$AG$5, 0))</f>
        <v>0</v>
      </c>
      <c r="P59" s="126">
        <f>INDEX(Calcs!$AC$5:$AG$51, MATCH('Rotation Assembler'!$A59, Calcs!$AC$5:$AC$51, 0), MATCH('Rotation Assembler'!P$32, Calcs!$AC$5:$AG$5, 0))</f>
        <v>0</v>
      </c>
      <c r="Q59" s="126">
        <f>INDEX(Calcs!$AC$5:$AG$51, MATCH('Rotation Assembler'!$A59, Calcs!$AC$5:$AC$51, 0), MATCH('Rotation Assembler'!Q$32, Calcs!$AC$5:$AG$5, 0))</f>
        <v>0</v>
      </c>
      <c r="R59" s="126">
        <f>INDEX(Calcs!$AC$5:$AG$51, MATCH('Rotation Assembler'!$A59, Calcs!$AC$5:$AC$51, 0), MATCH('Rotation Assembler'!R$32, Calcs!$AC$5:$AG$5, 0))</f>
        <v>0</v>
      </c>
      <c r="S59" s="126">
        <f>INDEX(Calcs!$AC$5:$AG$51, MATCH('Rotation Assembler'!$A59, Calcs!$AC$5:$AC$51, 0), MATCH('Rotation Assembler'!S$32, Calcs!$AC$5:$AG$5, 0))</f>
        <v>0</v>
      </c>
      <c r="T59" s="126">
        <f>INDEX(Calcs!$AC$5:$AG$51, MATCH('Rotation Assembler'!$A59, Calcs!$AC$5:$AC$51, 0), MATCH('Rotation Assembler'!T$32, Calcs!$AC$5:$AG$5, 0))</f>
        <v>0</v>
      </c>
      <c r="U59" s="126">
        <f>INDEX(Calcs!$AC$5:$AG$51, MATCH('Rotation Assembler'!$A59, Calcs!$AC$5:$AC$51, 0), MATCH('Rotation Assembler'!U$32, Calcs!$AC$5:$AG$5, 0))</f>
        <v>0</v>
      </c>
      <c r="V59" s="126">
        <f>INDEX(Calcs!$AC$5:$AG$51, MATCH('Rotation Assembler'!$A59, Calcs!$AC$5:$AC$51, 0), MATCH('Rotation Assembler'!V$32, Calcs!$AC$5:$AG$5, 0))</f>
        <v>0</v>
      </c>
      <c r="W59" s="126">
        <f>INDEX(Calcs!$AC$5:$AG$51, MATCH('Rotation Assembler'!$A59, Calcs!$AC$5:$AC$51, 0), MATCH('Rotation Assembler'!W$32, Calcs!$AC$5:$AG$5, 0))</f>
        <v>0</v>
      </c>
      <c r="X59" s="126">
        <f>INDEX(Calcs!$AC$5:$AG$51, MATCH('Rotation Assembler'!$A59, Calcs!$AC$5:$AC$51, 0), MATCH('Rotation Assembler'!X$32, Calcs!$AC$5:$AG$5, 0))</f>
        <v>0</v>
      </c>
      <c r="Y59" s="126">
        <f>INDEX(Calcs!$AC$5:$AG$51, MATCH('Rotation Assembler'!$A59, Calcs!$AC$5:$AC$51, 0), MATCH('Rotation Assembler'!Y$32, Calcs!$AC$5:$AG$5, 0))</f>
        <v>0</v>
      </c>
      <c r="Z59" s="126">
        <f>INDEX(Calcs!$AC$5:$AG$51, MATCH('Rotation Assembler'!$A59, Calcs!$AC$5:$AC$51, 0), MATCH('Rotation Assembler'!Z$32, Calcs!$AC$5:$AG$5, 0))</f>
        <v>0</v>
      </c>
      <c r="AA59" s="126">
        <f>INDEX(Calcs!$AC$5:$AG$51, MATCH('Rotation Assembler'!$A59, Calcs!$AC$5:$AC$51, 0), MATCH('Rotation Assembler'!AA$32, Calcs!$AC$5:$AG$5, 0))</f>
        <v>0</v>
      </c>
      <c r="AB59" s="126">
        <f>INDEX(Calcs!$AC$5:$AG$51, MATCH('Rotation Assembler'!$A59, Calcs!$AC$5:$AC$51, 0), MATCH('Rotation Assembler'!AB$32, Calcs!$AC$5:$AG$5, 0))</f>
        <v>0</v>
      </c>
      <c r="AC59" s="126">
        <f>INDEX(Calcs!$AC$5:$AG$51, MATCH('Rotation Assembler'!$A59, Calcs!$AC$5:$AC$51, 0), MATCH('Rotation Assembler'!AC$32, Calcs!$AC$5:$AG$5, 0))</f>
        <v>0</v>
      </c>
      <c r="AD59" s="126">
        <f>INDEX(Calcs!$AC$5:$AG$51, MATCH('Rotation Assembler'!$A59, Calcs!$AC$5:$AC$51, 0), MATCH('Rotation Assembler'!AD$32, Calcs!$AC$5:$AG$5, 0))</f>
        <v>0</v>
      </c>
      <c r="AE59" s="126">
        <f>INDEX(Calcs!$AC$5:$AG$51, MATCH('Rotation Assembler'!$A59, Calcs!$AC$5:$AC$51, 0), MATCH('Rotation Assembler'!AE$32, Calcs!$AC$5:$AG$5, 0))</f>
        <v>0</v>
      </c>
      <c r="AF59" s="126">
        <f>INDEX(Calcs!$AC$5:$AG$51, MATCH('Rotation Assembler'!$A59, Calcs!$AC$5:$AC$51, 0), MATCH('Rotation Assembler'!AF$32, Calcs!$AC$5:$AG$5, 0))</f>
        <v>0</v>
      </c>
      <c r="AG59" s="126">
        <f>INDEX(Calcs!$AC$5:$AG$51, MATCH('Rotation Assembler'!$A59, Calcs!$AC$5:$AC$51, 0), MATCH('Rotation Assembler'!AG$32, Calcs!$AC$5:$AG$5, 0))</f>
        <v>0</v>
      </c>
      <c r="AH59" s="126">
        <f>INDEX(Calcs!$AC$5:$AG$51, MATCH('Rotation Assembler'!$A59, Calcs!$AC$5:$AC$51, 0), MATCH('Rotation Assembler'!AH$32, Calcs!$AC$5:$AG$5, 0))</f>
        <v>0</v>
      </c>
      <c r="AI59" s="126">
        <f>INDEX(Calcs!$AC$5:$AG$51, MATCH('Rotation Assembler'!$A59, Calcs!$AC$5:$AC$51, 0), MATCH('Rotation Assembler'!AI$32, Calcs!$AC$5:$AG$5, 0))</f>
        <v>0</v>
      </c>
      <c r="AJ59" s="126" t="e">
        <f>INDEX(Calcs!$AC$5:$AG$51, MATCH('Rotation Assembler'!$A59, Calcs!$AC$5:$AC$51, 0), MATCH('Rotation Assembler'!AJ$32, Calcs!$AC$5:$AG$5, 0))</f>
        <v>#N/A</v>
      </c>
      <c r="AK59" s="126" t="e">
        <f>INDEX(Calcs!$AC$5:$AG$51, MATCH('Rotation Assembler'!$A59, Calcs!$AC$5:$AC$51, 0), MATCH('Rotation Assembler'!AK$32, Calcs!$AC$5:$AG$5, 0))</f>
        <v>#N/A</v>
      </c>
      <c r="AL59" s="126" t="e">
        <f>INDEX(Calcs!$AC$5:$AG$51, MATCH('Rotation Assembler'!$A59, Calcs!$AC$5:$AC$51, 0), MATCH('Rotation Assembler'!AL$32, Calcs!$AC$5:$AG$5, 0))</f>
        <v>#N/A</v>
      </c>
      <c r="AM59" s="126" t="e">
        <f>INDEX(Calcs!$AC$5:$AG$51, MATCH('Rotation Assembler'!$A59, Calcs!$AC$5:$AC$51, 0), MATCH('Rotation Assembler'!AM$32, Calcs!$AC$5:$AG$5, 0))</f>
        <v>#N/A</v>
      </c>
      <c r="AN59" s="126" t="e">
        <f>INDEX(Calcs!$AC$5:$AG$51, MATCH('Rotation Assembler'!$A59, Calcs!$AC$5:$AC$51, 0), MATCH('Rotation Assembler'!AN$32, Calcs!$AC$5:$AG$5, 0))</f>
        <v>#N/A</v>
      </c>
      <c r="AO59" s="126" t="e">
        <f>INDEX(Calcs!$AC$5:$AG$51, MATCH('Rotation Assembler'!$A59, Calcs!$AC$5:$AC$51, 0), MATCH('Rotation Assembler'!AO$32, Calcs!$AC$5:$AG$5, 0))</f>
        <v>#N/A</v>
      </c>
      <c r="AP59" s="126" t="e">
        <f>INDEX(Calcs!$AC$5:$AG$51, MATCH('Rotation Assembler'!$A59, Calcs!$AC$5:$AC$51, 0), MATCH('Rotation Assembler'!AP$32, Calcs!$AC$5:$AG$5, 0))</f>
        <v>#N/A</v>
      </c>
      <c r="AQ59" s="126" t="e">
        <f>INDEX(Calcs!$AC$5:$AG$51, MATCH('Rotation Assembler'!$A59, Calcs!$AC$5:$AC$51, 0), MATCH('Rotation Assembler'!AQ$32, Calcs!$AC$5:$AG$5, 0))</f>
        <v>#N/A</v>
      </c>
      <c r="AR59" s="126" t="e">
        <f>INDEX(Calcs!$AC$5:$AG$51, MATCH('Rotation Assembler'!$A59, Calcs!$AC$5:$AC$51, 0), MATCH('Rotation Assembler'!AR$32, Calcs!$AC$5:$AG$5, 0))</f>
        <v>#N/A</v>
      </c>
      <c r="AS59" s="126" t="e">
        <f>INDEX(Calcs!$AC$5:$AG$51, MATCH('Rotation Assembler'!$A59, Calcs!$AC$5:$AC$51, 0), MATCH('Rotation Assembler'!AS$32, Calcs!$AC$5:$AG$5, 0))</f>
        <v>#N/A</v>
      </c>
      <c r="AT59" s="126" t="e">
        <f>INDEX(Calcs!$AC$5:$AG$51, MATCH('Rotation Assembler'!$A59, Calcs!$AC$5:$AC$51, 0), MATCH('Rotation Assembler'!AT$32, Calcs!$AC$5:$AG$5, 0))</f>
        <v>#N/A</v>
      </c>
      <c r="AU59" s="126" t="e">
        <f>INDEX(Calcs!$AC$5:$AG$51, MATCH('Rotation Assembler'!$A59, Calcs!$AC$5:$AC$51, 0), MATCH('Rotation Assembler'!AU$32, Calcs!$AC$5:$AG$5, 0))</f>
        <v>#N/A</v>
      </c>
      <c r="AV59" s="126" t="e">
        <f>INDEX(Calcs!$AC$5:$AG$51, MATCH('Rotation Assembler'!$A59, Calcs!$AC$5:$AC$51, 0), MATCH('Rotation Assembler'!AV$32, Calcs!$AC$5:$AG$5, 0))</f>
        <v>#N/A</v>
      </c>
      <c r="AW59" s="126" t="e">
        <f>INDEX(Calcs!$AC$5:$AG$51, MATCH('Rotation Assembler'!$A59, Calcs!$AC$5:$AC$51, 0), MATCH('Rotation Assembler'!AW$32, Calcs!$AC$5:$AG$5, 0))</f>
        <v>#N/A</v>
      </c>
      <c r="AX59" s="126" t="e">
        <f>INDEX(Calcs!$AC$5:$AG$51, MATCH('Rotation Assembler'!$A59, Calcs!$AC$5:$AC$51, 0), MATCH('Rotation Assembler'!AX$32, Calcs!$AC$5:$AG$5, 0))</f>
        <v>#N/A</v>
      </c>
      <c r="AY59" s="126" t="e">
        <f>INDEX(Calcs!$AC$5:$AG$51, MATCH('Rotation Assembler'!$A59, Calcs!$AC$5:$AC$51, 0), MATCH('Rotation Assembler'!AY$32, Calcs!$AC$5:$AG$5, 0))</f>
        <v>#N/A</v>
      </c>
      <c r="AZ59" s="126" t="e">
        <f>INDEX(Calcs!$AC$5:$AG$51, MATCH('Rotation Assembler'!$A59, Calcs!$AC$5:$AC$51, 0), MATCH('Rotation Assembler'!AZ$32, Calcs!$AC$5:$AG$5, 0))</f>
        <v>#N/A</v>
      </c>
      <c r="BA59" s="126" t="e">
        <f>INDEX(Calcs!$AC$5:$AG$51, MATCH('Rotation Assembler'!$A59, Calcs!$AC$5:$AC$51, 0), MATCH('Rotation Assembler'!BA$32, Calcs!$AC$5:$AG$5, 0))</f>
        <v>#N/A</v>
      </c>
      <c r="BB59" s="126" t="e">
        <f>INDEX(Calcs!$AC$5:$AG$51, MATCH('Rotation Assembler'!$A59, Calcs!$AC$5:$AC$51, 0), MATCH('Rotation Assembler'!BB$32, Calcs!$AC$5:$AG$5, 0))</f>
        <v>#N/A</v>
      </c>
      <c r="BC59" s="126" t="e">
        <f>INDEX(Calcs!$AC$5:$AG$51, MATCH('Rotation Assembler'!$A59, Calcs!$AC$5:$AC$51, 0), MATCH('Rotation Assembler'!BC$32, Calcs!$AC$5:$AG$5, 0))</f>
        <v>#N/A</v>
      </c>
      <c r="BD59" s="126" t="e">
        <f>INDEX(Calcs!$AC$5:$AG$51, MATCH('Rotation Assembler'!$A59, Calcs!$AC$5:$AC$51, 0), MATCH('Rotation Assembler'!BD$32, Calcs!$AC$5:$AG$5, 0))</f>
        <v>#N/A</v>
      </c>
      <c r="BE59" s="126" t="e">
        <f>INDEX(Calcs!$AC$5:$AG$51, MATCH('Rotation Assembler'!$A59, Calcs!$AC$5:$AC$51, 0), MATCH('Rotation Assembler'!BE$32, Calcs!$AC$5:$AG$5, 0))</f>
        <v>#N/A</v>
      </c>
      <c r="BF59" s="126" t="e">
        <f>INDEX(Calcs!$AC$5:$AG$51, MATCH('Rotation Assembler'!$A59, Calcs!$AC$5:$AC$51, 0), MATCH('Rotation Assembler'!BF$32, Calcs!$AC$5:$AG$5, 0))</f>
        <v>#N/A</v>
      </c>
      <c r="BG59" s="126" t="e">
        <f>INDEX(Calcs!$AC$5:$AG$51, MATCH('Rotation Assembler'!$A59, Calcs!$AC$5:$AC$51, 0), MATCH('Rotation Assembler'!BG$32, Calcs!$AC$5:$AG$5, 0))</f>
        <v>#N/A</v>
      </c>
      <c r="BH59" s="126" t="e">
        <f>INDEX(Calcs!$AC$5:$AG$51, MATCH('Rotation Assembler'!$A59, Calcs!$AC$5:$AC$51, 0), MATCH('Rotation Assembler'!BH$32, Calcs!$AC$5:$AG$5, 0))</f>
        <v>#N/A</v>
      </c>
      <c r="BI59" s="126"/>
      <c r="BJ59" s="126"/>
      <c r="BK59" s="126"/>
      <c r="BL59" s="126"/>
      <c r="BM59" s="126"/>
      <c r="BN59" s="126"/>
      <c r="BO59" s="126"/>
      <c r="BP59" s="126"/>
      <c r="BQ59" s="126"/>
      <c r="BR59" s="126"/>
      <c r="BS59" s="126"/>
      <c r="BT59" s="126"/>
      <c r="BU59" s="126"/>
      <c r="BV59" s="126"/>
      <c r="BW59" s="126"/>
      <c r="BX59" s="126"/>
      <c r="BY59" s="126"/>
      <c r="BZ59" s="126"/>
      <c r="CA59" s="126"/>
      <c r="CB59" s="126"/>
      <c r="CC59" s="126"/>
      <c r="CD59" s="126"/>
      <c r="CE59" s="126"/>
      <c r="CF59" s="126"/>
      <c r="CG59" s="126"/>
      <c r="CH59" s="126"/>
      <c r="CI59" s="126"/>
      <c r="CJ59" s="126"/>
      <c r="CK59" s="126"/>
      <c r="CL59" s="126"/>
      <c r="CM59" s="126"/>
      <c r="CN59" s="126"/>
      <c r="CO59" s="126"/>
      <c r="CP59" s="126"/>
      <c r="CQ59" s="126"/>
      <c r="CR59" s="126"/>
      <c r="CS59" s="126"/>
      <c r="CT59" s="126"/>
      <c r="CU59" s="126"/>
      <c r="CV59" s="126"/>
      <c r="CW59" s="126"/>
      <c r="CX59" s="126"/>
      <c r="CY59" s="126"/>
      <c r="CZ59" s="126"/>
      <c r="DA59" s="126"/>
      <c r="DB59" s="126"/>
      <c r="DC59" s="126"/>
    </row>
    <row r="60" spans="1:107" hidden="1" outlineLevel="1" x14ac:dyDescent="0.25">
      <c r="A60" s="122" t="s">
        <v>87</v>
      </c>
      <c r="B60" s="126">
        <f>INDEX(Calcs!$AC$5:$AG$51, MATCH('Rotation Assembler'!$A60, Calcs!$AC$5:$AC$51, 0), MATCH('Rotation Assembler'!B$32, Calcs!$AC$5:$AG$5, 0))</f>
        <v>0</v>
      </c>
      <c r="C60" s="126">
        <f>INDEX(Calcs!$AC$5:$AG$51, MATCH('Rotation Assembler'!$A60, Calcs!$AC$5:$AC$51, 0), MATCH('Rotation Assembler'!C$32, Calcs!$AC$5:$AG$5, 0))</f>
        <v>0</v>
      </c>
      <c r="D60" s="126">
        <f>INDEX(Calcs!$AC$5:$AG$51, MATCH('Rotation Assembler'!$A60, Calcs!$AC$5:$AC$51, 0), MATCH('Rotation Assembler'!D$32, Calcs!$AC$5:$AG$5, 0))</f>
        <v>0</v>
      </c>
      <c r="E60" s="126">
        <f>INDEX(Calcs!$AC$5:$AG$51, MATCH('Rotation Assembler'!$A60, Calcs!$AC$5:$AC$51, 0), MATCH('Rotation Assembler'!E$32, Calcs!$AC$5:$AG$5, 0))</f>
        <v>0</v>
      </c>
      <c r="F60" s="126">
        <f>INDEX(Calcs!$AC$5:$AG$51, MATCH('Rotation Assembler'!$A60, Calcs!$AC$5:$AC$51, 0), MATCH('Rotation Assembler'!F$32, Calcs!$AC$5:$AG$5, 0))</f>
        <v>0</v>
      </c>
      <c r="G60" s="126">
        <f>INDEX(Calcs!$AC$5:$AG$51, MATCH('Rotation Assembler'!$A60, Calcs!$AC$5:$AC$51, 0), MATCH('Rotation Assembler'!G$32, Calcs!$AC$5:$AG$5, 0))</f>
        <v>0</v>
      </c>
      <c r="H60" s="126">
        <f>INDEX(Calcs!$AC$5:$AG$51, MATCH('Rotation Assembler'!$A60, Calcs!$AC$5:$AC$51, 0), MATCH('Rotation Assembler'!H$32, Calcs!$AC$5:$AG$5, 0))</f>
        <v>0</v>
      </c>
      <c r="I60" s="126">
        <f>INDEX(Calcs!$AC$5:$AG$51, MATCH('Rotation Assembler'!$A60, Calcs!$AC$5:$AC$51, 0), MATCH('Rotation Assembler'!I$32, Calcs!$AC$5:$AG$5, 0))</f>
        <v>0</v>
      </c>
      <c r="J60" s="126">
        <f>INDEX(Calcs!$AC$5:$AG$51, MATCH('Rotation Assembler'!$A60, Calcs!$AC$5:$AC$51, 0), MATCH('Rotation Assembler'!J$32, Calcs!$AC$5:$AG$5, 0))</f>
        <v>0</v>
      </c>
      <c r="K60" s="126">
        <f>INDEX(Calcs!$AC$5:$AG$51, MATCH('Rotation Assembler'!$A60, Calcs!$AC$5:$AC$51, 0), MATCH('Rotation Assembler'!K$32, Calcs!$AC$5:$AG$5, 0))</f>
        <v>0</v>
      </c>
      <c r="L60" s="126">
        <f>INDEX(Calcs!$AC$5:$AG$51, MATCH('Rotation Assembler'!$A60, Calcs!$AC$5:$AC$51, 0), MATCH('Rotation Assembler'!L$32, Calcs!$AC$5:$AG$5, 0))</f>
        <v>0</v>
      </c>
      <c r="M60" s="126">
        <f>INDEX(Calcs!$AC$5:$AG$51, MATCH('Rotation Assembler'!$A60, Calcs!$AC$5:$AC$51, 0), MATCH('Rotation Assembler'!M$32, Calcs!$AC$5:$AG$5, 0))</f>
        <v>0</v>
      </c>
      <c r="N60" s="126">
        <f>INDEX(Calcs!$AC$5:$AG$51, MATCH('Rotation Assembler'!$A60, Calcs!$AC$5:$AC$51, 0), MATCH('Rotation Assembler'!N$32, Calcs!$AC$5:$AG$5, 0))</f>
        <v>0</v>
      </c>
      <c r="O60" s="126">
        <f>INDEX(Calcs!$AC$5:$AG$51, MATCH('Rotation Assembler'!$A60, Calcs!$AC$5:$AC$51, 0), MATCH('Rotation Assembler'!O$32, Calcs!$AC$5:$AG$5, 0))</f>
        <v>0</v>
      </c>
      <c r="P60" s="126">
        <f>INDEX(Calcs!$AC$5:$AG$51, MATCH('Rotation Assembler'!$A60, Calcs!$AC$5:$AC$51, 0), MATCH('Rotation Assembler'!P$32, Calcs!$AC$5:$AG$5, 0))</f>
        <v>0</v>
      </c>
      <c r="Q60" s="126">
        <f>INDEX(Calcs!$AC$5:$AG$51, MATCH('Rotation Assembler'!$A60, Calcs!$AC$5:$AC$51, 0), MATCH('Rotation Assembler'!Q$32, Calcs!$AC$5:$AG$5, 0))</f>
        <v>0</v>
      </c>
      <c r="R60" s="126">
        <f>INDEX(Calcs!$AC$5:$AG$51, MATCH('Rotation Assembler'!$A60, Calcs!$AC$5:$AC$51, 0), MATCH('Rotation Assembler'!R$32, Calcs!$AC$5:$AG$5, 0))</f>
        <v>0</v>
      </c>
      <c r="S60" s="126">
        <f>INDEX(Calcs!$AC$5:$AG$51, MATCH('Rotation Assembler'!$A60, Calcs!$AC$5:$AC$51, 0), MATCH('Rotation Assembler'!S$32, Calcs!$AC$5:$AG$5, 0))</f>
        <v>0</v>
      </c>
      <c r="T60" s="126">
        <f>INDEX(Calcs!$AC$5:$AG$51, MATCH('Rotation Assembler'!$A60, Calcs!$AC$5:$AC$51, 0), MATCH('Rotation Assembler'!T$32, Calcs!$AC$5:$AG$5, 0))</f>
        <v>0</v>
      </c>
      <c r="U60" s="126">
        <f>INDEX(Calcs!$AC$5:$AG$51, MATCH('Rotation Assembler'!$A60, Calcs!$AC$5:$AC$51, 0), MATCH('Rotation Assembler'!U$32, Calcs!$AC$5:$AG$5, 0))</f>
        <v>0</v>
      </c>
      <c r="V60" s="126">
        <f>INDEX(Calcs!$AC$5:$AG$51, MATCH('Rotation Assembler'!$A60, Calcs!$AC$5:$AC$51, 0), MATCH('Rotation Assembler'!V$32, Calcs!$AC$5:$AG$5, 0))</f>
        <v>0</v>
      </c>
      <c r="W60" s="126">
        <f>INDEX(Calcs!$AC$5:$AG$51, MATCH('Rotation Assembler'!$A60, Calcs!$AC$5:$AC$51, 0), MATCH('Rotation Assembler'!W$32, Calcs!$AC$5:$AG$5, 0))</f>
        <v>0</v>
      </c>
      <c r="X60" s="126">
        <f>INDEX(Calcs!$AC$5:$AG$51, MATCH('Rotation Assembler'!$A60, Calcs!$AC$5:$AC$51, 0), MATCH('Rotation Assembler'!X$32, Calcs!$AC$5:$AG$5, 0))</f>
        <v>0</v>
      </c>
      <c r="Y60" s="126">
        <f>INDEX(Calcs!$AC$5:$AG$51, MATCH('Rotation Assembler'!$A60, Calcs!$AC$5:$AC$51, 0), MATCH('Rotation Assembler'!Y$32, Calcs!$AC$5:$AG$5, 0))</f>
        <v>0</v>
      </c>
      <c r="Z60" s="126">
        <f>INDEX(Calcs!$AC$5:$AG$51, MATCH('Rotation Assembler'!$A60, Calcs!$AC$5:$AC$51, 0), MATCH('Rotation Assembler'!Z$32, Calcs!$AC$5:$AG$5, 0))</f>
        <v>0</v>
      </c>
      <c r="AA60" s="126">
        <f>INDEX(Calcs!$AC$5:$AG$51, MATCH('Rotation Assembler'!$A60, Calcs!$AC$5:$AC$51, 0), MATCH('Rotation Assembler'!AA$32, Calcs!$AC$5:$AG$5, 0))</f>
        <v>0</v>
      </c>
      <c r="AB60" s="126">
        <f>INDEX(Calcs!$AC$5:$AG$51, MATCH('Rotation Assembler'!$A60, Calcs!$AC$5:$AC$51, 0), MATCH('Rotation Assembler'!AB$32, Calcs!$AC$5:$AG$5, 0))</f>
        <v>0</v>
      </c>
      <c r="AC60" s="126">
        <f>INDEX(Calcs!$AC$5:$AG$51, MATCH('Rotation Assembler'!$A60, Calcs!$AC$5:$AC$51, 0), MATCH('Rotation Assembler'!AC$32, Calcs!$AC$5:$AG$5, 0))</f>
        <v>0</v>
      </c>
      <c r="AD60" s="126">
        <f>INDEX(Calcs!$AC$5:$AG$51, MATCH('Rotation Assembler'!$A60, Calcs!$AC$5:$AC$51, 0), MATCH('Rotation Assembler'!AD$32, Calcs!$AC$5:$AG$5, 0))</f>
        <v>0</v>
      </c>
      <c r="AE60" s="126">
        <f>INDEX(Calcs!$AC$5:$AG$51, MATCH('Rotation Assembler'!$A60, Calcs!$AC$5:$AC$51, 0), MATCH('Rotation Assembler'!AE$32, Calcs!$AC$5:$AG$5, 0))</f>
        <v>0</v>
      </c>
      <c r="AF60" s="126">
        <f>INDEX(Calcs!$AC$5:$AG$51, MATCH('Rotation Assembler'!$A60, Calcs!$AC$5:$AC$51, 0), MATCH('Rotation Assembler'!AF$32, Calcs!$AC$5:$AG$5, 0))</f>
        <v>0</v>
      </c>
      <c r="AG60" s="126">
        <f>INDEX(Calcs!$AC$5:$AG$51, MATCH('Rotation Assembler'!$A60, Calcs!$AC$5:$AC$51, 0), MATCH('Rotation Assembler'!AG$32, Calcs!$AC$5:$AG$5, 0))</f>
        <v>0</v>
      </c>
      <c r="AH60" s="126">
        <f>INDEX(Calcs!$AC$5:$AG$51, MATCH('Rotation Assembler'!$A60, Calcs!$AC$5:$AC$51, 0), MATCH('Rotation Assembler'!AH$32, Calcs!$AC$5:$AG$5, 0))</f>
        <v>0</v>
      </c>
      <c r="AI60" s="126">
        <f>INDEX(Calcs!$AC$5:$AG$51, MATCH('Rotation Assembler'!$A60, Calcs!$AC$5:$AC$51, 0), MATCH('Rotation Assembler'!AI$32, Calcs!$AC$5:$AG$5, 0))</f>
        <v>0</v>
      </c>
      <c r="AJ60" s="126" t="e">
        <f>INDEX(Calcs!$AC$5:$AG$51, MATCH('Rotation Assembler'!$A60, Calcs!$AC$5:$AC$51, 0), MATCH('Rotation Assembler'!AJ$32, Calcs!$AC$5:$AG$5, 0))</f>
        <v>#N/A</v>
      </c>
      <c r="AK60" s="126" t="e">
        <f>INDEX(Calcs!$AC$5:$AG$51, MATCH('Rotation Assembler'!$A60, Calcs!$AC$5:$AC$51, 0), MATCH('Rotation Assembler'!AK$32, Calcs!$AC$5:$AG$5, 0))</f>
        <v>#N/A</v>
      </c>
      <c r="AL60" s="126" t="e">
        <f>INDEX(Calcs!$AC$5:$AG$51, MATCH('Rotation Assembler'!$A60, Calcs!$AC$5:$AC$51, 0), MATCH('Rotation Assembler'!AL$32, Calcs!$AC$5:$AG$5, 0))</f>
        <v>#N/A</v>
      </c>
      <c r="AM60" s="126" t="e">
        <f>INDEX(Calcs!$AC$5:$AG$51, MATCH('Rotation Assembler'!$A60, Calcs!$AC$5:$AC$51, 0), MATCH('Rotation Assembler'!AM$32, Calcs!$AC$5:$AG$5, 0))</f>
        <v>#N/A</v>
      </c>
      <c r="AN60" s="126" t="e">
        <f>INDEX(Calcs!$AC$5:$AG$51, MATCH('Rotation Assembler'!$A60, Calcs!$AC$5:$AC$51, 0), MATCH('Rotation Assembler'!AN$32, Calcs!$AC$5:$AG$5, 0))</f>
        <v>#N/A</v>
      </c>
      <c r="AO60" s="126" t="e">
        <f>INDEX(Calcs!$AC$5:$AG$51, MATCH('Rotation Assembler'!$A60, Calcs!$AC$5:$AC$51, 0), MATCH('Rotation Assembler'!AO$32, Calcs!$AC$5:$AG$5, 0))</f>
        <v>#N/A</v>
      </c>
      <c r="AP60" s="126" t="e">
        <f>INDEX(Calcs!$AC$5:$AG$51, MATCH('Rotation Assembler'!$A60, Calcs!$AC$5:$AC$51, 0), MATCH('Rotation Assembler'!AP$32, Calcs!$AC$5:$AG$5, 0))</f>
        <v>#N/A</v>
      </c>
      <c r="AQ60" s="126" t="e">
        <f>INDEX(Calcs!$AC$5:$AG$51, MATCH('Rotation Assembler'!$A60, Calcs!$AC$5:$AC$51, 0), MATCH('Rotation Assembler'!AQ$32, Calcs!$AC$5:$AG$5, 0))</f>
        <v>#N/A</v>
      </c>
      <c r="AR60" s="126" t="e">
        <f>INDEX(Calcs!$AC$5:$AG$51, MATCH('Rotation Assembler'!$A60, Calcs!$AC$5:$AC$51, 0), MATCH('Rotation Assembler'!AR$32, Calcs!$AC$5:$AG$5, 0))</f>
        <v>#N/A</v>
      </c>
      <c r="AS60" s="126" t="e">
        <f>INDEX(Calcs!$AC$5:$AG$51, MATCH('Rotation Assembler'!$A60, Calcs!$AC$5:$AC$51, 0), MATCH('Rotation Assembler'!AS$32, Calcs!$AC$5:$AG$5, 0))</f>
        <v>#N/A</v>
      </c>
      <c r="AT60" s="126" t="e">
        <f>INDEX(Calcs!$AC$5:$AG$51, MATCH('Rotation Assembler'!$A60, Calcs!$AC$5:$AC$51, 0), MATCH('Rotation Assembler'!AT$32, Calcs!$AC$5:$AG$5, 0))</f>
        <v>#N/A</v>
      </c>
      <c r="AU60" s="126" t="e">
        <f>INDEX(Calcs!$AC$5:$AG$51, MATCH('Rotation Assembler'!$A60, Calcs!$AC$5:$AC$51, 0), MATCH('Rotation Assembler'!AU$32, Calcs!$AC$5:$AG$5, 0))</f>
        <v>#N/A</v>
      </c>
      <c r="AV60" s="126" t="e">
        <f>INDEX(Calcs!$AC$5:$AG$51, MATCH('Rotation Assembler'!$A60, Calcs!$AC$5:$AC$51, 0), MATCH('Rotation Assembler'!AV$32, Calcs!$AC$5:$AG$5, 0))</f>
        <v>#N/A</v>
      </c>
      <c r="AW60" s="126" t="e">
        <f>INDEX(Calcs!$AC$5:$AG$51, MATCH('Rotation Assembler'!$A60, Calcs!$AC$5:$AC$51, 0), MATCH('Rotation Assembler'!AW$32, Calcs!$AC$5:$AG$5, 0))</f>
        <v>#N/A</v>
      </c>
      <c r="AX60" s="126" t="e">
        <f>INDEX(Calcs!$AC$5:$AG$51, MATCH('Rotation Assembler'!$A60, Calcs!$AC$5:$AC$51, 0), MATCH('Rotation Assembler'!AX$32, Calcs!$AC$5:$AG$5, 0))</f>
        <v>#N/A</v>
      </c>
      <c r="AY60" s="126" t="e">
        <f>INDEX(Calcs!$AC$5:$AG$51, MATCH('Rotation Assembler'!$A60, Calcs!$AC$5:$AC$51, 0), MATCH('Rotation Assembler'!AY$32, Calcs!$AC$5:$AG$5, 0))</f>
        <v>#N/A</v>
      </c>
      <c r="AZ60" s="126" t="e">
        <f>INDEX(Calcs!$AC$5:$AG$51, MATCH('Rotation Assembler'!$A60, Calcs!$AC$5:$AC$51, 0), MATCH('Rotation Assembler'!AZ$32, Calcs!$AC$5:$AG$5, 0))</f>
        <v>#N/A</v>
      </c>
      <c r="BA60" s="126" t="e">
        <f>INDEX(Calcs!$AC$5:$AG$51, MATCH('Rotation Assembler'!$A60, Calcs!$AC$5:$AC$51, 0), MATCH('Rotation Assembler'!BA$32, Calcs!$AC$5:$AG$5, 0))</f>
        <v>#N/A</v>
      </c>
      <c r="BB60" s="126" t="e">
        <f>INDEX(Calcs!$AC$5:$AG$51, MATCH('Rotation Assembler'!$A60, Calcs!$AC$5:$AC$51, 0), MATCH('Rotation Assembler'!BB$32, Calcs!$AC$5:$AG$5, 0))</f>
        <v>#N/A</v>
      </c>
      <c r="BC60" s="126" t="e">
        <f>INDEX(Calcs!$AC$5:$AG$51, MATCH('Rotation Assembler'!$A60, Calcs!$AC$5:$AC$51, 0), MATCH('Rotation Assembler'!BC$32, Calcs!$AC$5:$AG$5, 0))</f>
        <v>#N/A</v>
      </c>
      <c r="BD60" s="126" t="e">
        <f>INDEX(Calcs!$AC$5:$AG$51, MATCH('Rotation Assembler'!$A60, Calcs!$AC$5:$AC$51, 0), MATCH('Rotation Assembler'!BD$32, Calcs!$AC$5:$AG$5, 0))</f>
        <v>#N/A</v>
      </c>
      <c r="BE60" s="126" t="e">
        <f>INDEX(Calcs!$AC$5:$AG$51, MATCH('Rotation Assembler'!$A60, Calcs!$AC$5:$AC$51, 0), MATCH('Rotation Assembler'!BE$32, Calcs!$AC$5:$AG$5, 0))</f>
        <v>#N/A</v>
      </c>
      <c r="BF60" s="126" t="e">
        <f>INDEX(Calcs!$AC$5:$AG$51, MATCH('Rotation Assembler'!$A60, Calcs!$AC$5:$AC$51, 0), MATCH('Rotation Assembler'!BF$32, Calcs!$AC$5:$AG$5, 0))</f>
        <v>#N/A</v>
      </c>
      <c r="BG60" s="126" t="e">
        <f>INDEX(Calcs!$AC$5:$AG$51, MATCH('Rotation Assembler'!$A60, Calcs!$AC$5:$AC$51, 0), MATCH('Rotation Assembler'!BG$32, Calcs!$AC$5:$AG$5, 0))</f>
        <v>#N/A</v>
      </c>
      <c r="BH60" s="126" t="e">
        <f>INDEX(Calcs!$AC$5:$AG$51, MATCH('Rotation Assembler'!$A60, Calcs!$AC$5:$AC$51, 0), MATCH('Rotation Assembler'!BH$32, Calcs!$AC$5:$AG$5, 0))</f>
        <v>#N/A</v>
      </c>
      <c r="BI60" s="126"/>
      <c r="BJ60" s="126"/>
      <c r="BK60" s="126"/>
      <c r="BL60" s="126"/>
      <c r="BM60" s="126"/>
      <c r="BN60" s="126"/>
      <c r="BO60" s="126"/>
      <c r="BP60" s="126"/>
      <c r="BQ60" s="126"/>
      <c r="BR60" s="126"/>
      <c r="BS60" s="126"/>
      <c r="BT60" s="126"/>
      <c r="BU60" s="126"/>
      <c r="BV60" s="126"/>
      <c r="BW60" s="126"/>
      <c r="BX60" s="126"/>
      <c r="BY60" s="126"/>
      <c r="BZ60" s="126"/>
      <c r="CA60" s="126"/>
      <c r="CB60" s="126"/>
      <c r="CC60" s="126"/>
      <c r="CD60" s="126"/>
      <c r="CE60" s="126"/>
      <c r="CF60" s="126"/>
      <c r="CG60" s="126"/>
      <c r="CH60" s="126"/>
      <c r="CI60" s="126"/>
      <c r="CJ60" s="126"/>
      <c r="CK60" s="126"/>
      <c r="CL60" s="126"/>
      <c r="CM60" s="126"/>
      <c r="CN60" s="126"/>
      <c r="CO60" s="126"/>
      <c r="CP60" s="126"/>
      <c r="CQ60" s="126"/>
      <c r="CR60" s="126"/>
      <c r="CS60" s="126"/>
      <c r="CT60" s="126"/>
      <c r="CU60" s="126"/>
      <c r="CV60" s="126"/>
      <c r="CW60" s="126"/>
      <c r="CX60" s="126"/>
      <c r="CY60" s="126"/>
      <c r="CZ60" s="126"/>
      <c r="DA60" s="126"/>
      <c r="DB60" s="126"/>
      <c r="DC60" s="126"/>
    </row>
    <row r="61" spans="1:107" hidden="1" outlineLevel="1" x14ac:dyDescent="0.25">
      <c r="A61" s="122" t="s">
        <v>90</v>
      </c>
      <c r="B61" s="126">
        <f>INDEX(Calcs!$AC$5:$AG$51, MATCH('Rotation Assembler'!$A61, Calcs!$AC$5:$AC$51, 0), MATCH('Rotation Assembler'!B$32, Calcs!$AC$5:$AG$5, 0))</f>
        <v>0</v>
      </c>
      <c r="C61" s="126">
        <f>INDEX(Calcs!$AC$5:$AG$51, MATCH('Rotation Assembler'!$A61, Calcs!$AC$5:$AC$51, 0), MATCH('Rotation Assembler'!C$32, Calcs!$AC$5:$AG$5, 0))</f>
        <v>0</v>
      </c>
      <c r="D61" s="126">
        <f>INDEX(Calcs!$AC$5:$AG$51, MATCH('Rotation Assembler'!$A61, Calcs!$AC$5:$AC$51, 0), MATCH('Rotation Assembler'!D$32, Calcs!$AC$5:$AG$5, 0))</f>
        <v>0</v>
      </c>
      <c r="E61" s="126">
        <f>INDEX(Calcs!$AC$5:$AG$51, MATCH('Rotation Assembler'!$A61, Calcs!$AC$5:$AC$51, 0), MATCH('Rotation Assembler'!E$32, Calcs!$AC$5:$AG$5, 0))</f>
        <v>0</v>
      </c>
      <c r="F61" s="126">
        <f>INDEX(Calcs!$AC$5:$AG$51, MATCH('Rotation Assembler'!$A61, Calcs!$AC$5:$AC$51, 0), MATCH('Rotation Assembler'!F$32, Calcs!$AC$5:$AG$5, 0))</f>
        <v>0</v>
      </c>
      <c r="G61" s="126">
        <f>INDEX(Calcs!$AC$5:$AG$51, MATCH('Rotation Assembler'!$A61, Calcs!$AC$5:$AC$51, 0), MATCH('Rotation Assembler'!G$32, Calcs!$AC$5:$AG$5, 0))</f>
        <v>0</v>
      </c>
      <c r="H61" s="126">
        <f>INDEX(Calcs!$AC$5:$AG$51, MATCH('Rotation Assembler'!$A61, Calcs!$AC$5:$AC$51, 0), MATCH('Rotation Assembler'!H$32, Calcs!$AC$5:$AG$5, 0))</f>
        <v>0</v>
      </c>
      <c r="I61" s="126">
        <f>INDEX(Calcs!$AC$5:$AG$51, MATCH('Rotation Assembler'!$A61, Calcs!$AC$5:$AC$51, 0), MATCH('Rotation Assembler'!I$32, Calcs!$AC$5:$AG$5, 0))</f>
        <v>0</v>
      </c>
      <c r="J61" s="126">
        <f>INDEX(Calcs!$AC$5:$AG$51, MATCH('Rotation Assembler'!$A61, Calcs!$AC$5:$AC$51, 0), MATCH('Rotation Assembler'!J$32, Calcs!$AC$5:$AG$5, 0))</f>
        <v>0</v>
      </c>
      <c r="K61" s="126">
        <f>INDEX(Calcs!$AC$5:$AG$51, MATCH('Rotation Assembler'!$A61, Calcs!$AC$5:$AC$51, 0), MATCH('Rotation Assembler'!K$32, Calcs!$AC$5:$AG$5, 0))</f>
        <v>0</v>
      </c>
      <c r="L61" s="126">
        <f>INDEX(Calcs!$AC$5:$AG$51, MATCH('Rotation Assembler'!$A61, Calcs!$AC$5:$AC$51, 0), MATCH('Rotation Assembler'!L$32, Calcs!$AC$5:$AG$5, 0))</f>
        <v>0</v>
      </c>
      <c r="M61" s="126">
        <f>INDEX(Calcs!$AC$5:$AG$51, MATCH('Rotation Assembler'!$A61, Calcs!$AC$5:$AC$51, 0), MATCH('Rotation Assembler'!M$32, Calcs!$AC$5:$AG$5, 0))</f>
        <v>0</v>
      </c>
      <c r="N61" s="126">
        <f>INDEX(Calcs!$AC$5:$AG$51, MATCH('Rotation Assembler'!$A61, Calcs!$AC$5:$AC$51, 0), MATCH('Rotation Assembler'!N$32, Calcs!$AC$5:$AG$5, 0))</f>
        <v>0</v>
      </c>
      <c r="O61" s="126">
        <f>INDEX(Calcs!$AC$5:$AG$51, MATCH('Rotation Assembler'!$A61, Calcs!$AC$5:$AC$51, 0), MATCH('Rotation Assembler'!O$32, Calcs!$AC$5:$AG$5, 0))</f>
        <v>0</v>
      </c>
      <c r="P61" s="126">
        <f>INDEX(Calcs!$AC$5:$AG$51, MATCH('Rotation Assembler'!$A61, Calcs!$AC$5:$AC$51, 0), MATCH('Rotation Assembler'!P$32, Calcs!$AC$5:$AG$5, 0))</f>
        <v>0</v>
      </c>
      <c r="Q61" s="126">
        <f>INDEX(Calcs!$AC$5:$AG$51, MATCH('Rotation Assembler'!$A61, Calcs!$AC$5:$AC$51, 0), MATCH('Rotation Assembler'!Q$32, Calcs!$AC$5:$AG$5, 0))</f>
        <v>0</v>
      </c>
      <c r="R61" s="126">
        <f>INDEX(Calcs!$AC$5:$AG$51, MATCH('Rotation Assembler'!$A61, Calcs!$AC$5:$AC$51, 0), MATCH('Rotation Assembler'!R$32, Calcs!$AC$5:$AG$5, 0))</f>
        <v>0</v>
      </c>
      <c r="S61" s="126">
        <f>INDEX(Calcs!$AC$5:$AG$51, MATCH('Rotation Assembler'!$A61, Calcs!$AC$5:$AC$51, 0), MATCH('Rotation Assembler'!S$32, Calcs!$AC$5:$AG$5, 0))</f>
        <v>0</v>
      </c>
      <c r="T61" s="126">
        <f>INDEX(Calcs!$AC$5:$AG$51, MATCH('Rotation Assembler'!$A61, Calcs!$AC$5:$AC$51, 0), MATCH('Rotation Assembler'!T$32, Calcs!$AC$5:$AG$5, 0))</f>
        <v>0</v>
      </c>
      <c r="U61" s="126">
        <f>INDEX(Calcs!$AC$5:$AG$51, MATCH('Rotation Assembler'!$A61, Calcs!$AC$5:$AC$51, 0), MATCH('Rotation Assembler'!U$32, Calcs!$AC$5:$AG$5, 0))</f>
        <v>0</v>
      </c>
      <c r="V61" s="126">
        <f>INDEX(Calcs!$AC$5:$AG$51, MATCH('Rotation Assembler'!$A61, Calcs!$AC$5:$AC$51, 0), MATCH('Rotation Assembler'!V$32, Calcs!$AC$5:$AG$5, 0))</f>
        <v>0</v>
      </c>
      <c r="W61" s="126">
        <f>INDEX(Calcs!$AC$5:$AG$51, MATCH('Rotation Assembler'!$A61, Calcs!$AC$5:$AC$51, 0), MATCH('Rotation Assembler'!W$32, Calcs!$AC$5:$AG$5, 0))</f>
        <v>0</v>
      </c>
      <c r="X61" s="126">
        <f>INDEX(Calcs!$AC$5:$AG$51, MATCH('Rotation Assembler'!$A61, Calcs!$AC$5:$AC$51, 0), MATCH('Rotation Assembler'!X$32, Calcs!$AC$5:$AG$5, 0))</f>
        <v>0</v>
      </c>
      <c r="Y61" s="126">
        <f>INDEX(Calcs!$AC$5:$AG$51, MATCH('Rotation Assembler'!$A61, Calcs!$AC$5:$AC$51, 0), MATCH('Rotation Assembler'!Y$32, Calcs!$AC$5:$AG$5, 0))</f>
        <v>0</v>
      </c>
      <c r="Z61" s="126">
        <f>INDEX(Calcs!$AC$5:$AG$51, MATCH('Rotation Assembler'!$A61, Calcs!$AC$5:$AC$51, 0), MATCH('Rotation Assembler'!Z$32, Calcs!$AC$5:$AG$5, 0))</f>
        <v>0</v>
      </c>
      <c r="AA61" s="126">
        <f>INDEX(Calcs!$AC$5:$AG$51, MATCH('Rotation Assembler'!$A61, Calcs!$AC$5:$AC$51, 0), MATCH('Rotation Assembler'!AA$32, Calcs!$AC$5:$AG$5, 0))</f>
        <v>0</v>
      </c>
      <c r="AB61" s="126">
        <f>INDEX(Calcs!$AC$5:$AG$51, MATCH('Rotation Assembler'!$A61, Calcs!$AC$5:$AC$51, 0), MATCH('Rotation Assembler'!AB$32, Calcs!$AC$5:$AG$5, 0))</f>
        <v>0</v>
      </c>
      <c r="AC61" s="126">
        <f>INDEX(Calcs!$AC$5:$AG$51, MATCH('Rotation Assembler'!$A61, Calcs!$AC$5:$AC$51, 0), MATCH('Rotation Assembler'!AC$32, Calcs!$AC$5:$AG$5, 0))</f>
        <v>0</v>
      </c>
      <c r="AD61" s="126">
        <f>INDEX(Calcs!$AC$5:$AG$51, MATCH('Rotation Assembler'!$A61, Calcs!$AC$5:$AC$51, 0), MATCH('Rotation Assembler'!AD$32, Calcs!$AC$5:$AG$5, 0))</f>
        <v>0</v>
      </c>
      <c r="AE61" s="126">
        <f>INDEX(Calcs!$AC$5:$AG$51, MATCH('Rotation Assembler'!$A61, Calcs!$AC$5:$AC$51, 0), MATCH('Rotation Assembler'!AE$32, Calcs!$AC$5:$AG$5, 0))</f>
        <v>0</v>
      </c>
      <c r="AF61" s="126">
        <f>INDEX(Calcs!$AC$5:$AG$51, MATCH('Rotation Assembler'!$A61, Calcs!$AC$5:$AC$51, 0), MATCH('Rotation Assembler'!AF$32, Calcs!$AC$5:$AG$5, 0))</f>
        <v>0</v>
      </c>
      <c r="AG61" s="126">
        <f>INDEX(Calcs!$AC$5:$AG$51, MATCH('Rotation Assembler'!$A61, Calcs!$AC$5:$AC$51, 0), MATCH('Rotation Assembler'!AG$32, Calcs!$AC$5:$AG$5, 0))</f>
        <v>0</v>
      </c>
      <c r="AH61" s="126">
        <f>INDEX(Calcs!$AC$5:$AG$51, MATCH('Rotation Assembler'!$A61, Calcs!$AC$5:$AC$51, 0), MATCH('Rotation Assembler'!AH$32, Calcs!$AC$5:$AG$5, 0))</f>
        <v>0</v>
      </c>
      <c r="AI61" s="126">
        <f>INDEX(Calcs!$AC$5:$AG$51, MATCH('Rotation Assembler'!$A61, Calcs!$AC$5:$AC$51, 0), MATCH('Rotation Assembler'!AI$32, Calcs!$AC$5:$AG$5, 0))</f>
        <v>0</v>
      </c>
      <c r="AJ61" s="126" t="e">
        <f>INDEX(Calcs!$AC$5:$AG$51, MATCH('Rotation Assembler'!$A61, Calcs!$AC$5:$AC$51, 0), MATCH('Rotation Assembler'!AJ$32, Calcs!$AC$5:$AG$5, 0))</f>
        <v>#N/A</v>
      </c>
      <c r="AK61" s="126" t="e">
        <f>INDEX(Calcs!$AC$5:$AG$51, MATCH('Rotation Assembler'!$A61, Calcs!$AC$5:$AC$51, 0), MATCH('Rotation Assembler'!AK$32, Calcs!$AC$5:$AG$5, 0))</f>
        <v>#N/A</v>
      </c>
      <c r="AL61" s="126" t="e">
        <f>INDEX(Calcs!$AC$5:$AG$51, MATCH('Rotation Assembler'!$A61, Calcs!$AC$5:$AC$51, 0), MATCH('Rotation Assembler'!AL$32, Calcs!$AC$5:$AG$5, 0))</f>
        <v>#N/A</v>
      </c>
      <c r="AM61" s="126" t="e">
        <f>INDEX(Calcs!$AC$5:$AG$51, MATCH('Rotation Assembler'!$A61, Calcs!$AC$5:$AC$51, 0), MATCH('Rotation Assembler'!AM$32, Calcs!$AC$5:$AG$5, 0))</f>
        <v>#N/A</v>
      </c>
      <c r="AN61" s="126" t="e">
        <f>INDEX(Calcs!$AC$5:$AG$51, MATCH('Rotation Assembler'!$A61, Calcs!$AC$5:$AC$51, 0), MATCH('Rotation Assembler'!AN$32, Calcs!$AC$5:$AG$5, 0))</f>
        <v>#N/A</v>
      </c>
      <c r="AO61" s="126" t="e">
        <f>INDEX(Calcs!$AC$5:$AG$51, MATCH('Rotation Assembler'!$A61, Calcs!$AC$5:$AC$51, 0), MATCH('Rotation Assembler'!AO$32, Calcs!$AC$5:$AG$5, 0))</f>
        <v>#N/A</v>
      </c>
      <c r="AP61" s="126" t="e">
        <f>INDEX(Calcs!$AC$5:$AG$51, MATCH('Rotation Assembler'!$A61, Calcs!$AC$5:$AC$51, 0), MATCH('Rotation Assembler'!AP$32, Calcs!$AC$5:$AG$5, 0))</f>
        <v>#N/A</v>
      </c>
      <c r="AQ61" s="126" t="e">
        <f>INDEX(Calcs!$AC$5:$AG$51, MATCH('Rotation Assembler'!$A61, Calcs!$AC$5:$AC$51, 0), MATCH('Rotation Assembler'!AQ$32, Calcs!$AC$5:$AG$5, 0))</f>
        <v>#N/A</v>
      </c>
      <c r="AR61" s="126" t="e">
        <f>INDEX(Calcs!$AC$5:$AG$51, MATCH('Rotation Assembler'!$A61, Calcs!$AC$5:$AC$51, 0), MATCH('Rotation Assembler'!AR$32, Calcs!$AC$5:$AG$5, 0))</f>
        <v>#N/A</v>
      </c>
      <c r="AS61" s="126" t="e">
        <f>INDEX(Calcs!$AC$5:$AG$51, MATCH('Rotation Assembler'!$A61, Calcs!$AC$5:$AC$51, 0), MATCH('Rotation Assembler'!AS$32, Calcs!$AC$5:$AG$5, 0))</f>
        <v>#N/A</v>
      </c>
      <c r="AT61" s="126" t="e">
        <f>INDEX(Calcs!$AC$5:$AG$51, MATCH('Rotation Assembler'!$A61, Calcs!$AC$5:$AC$51, 0), MATCH('Rotation Assembler'!AT$32, Calcs!$AC$5:$AG$5, 0))</f>
        <v>#N/A</v>
      </c>
      <c r="AU61" s="126" t="e">
        <f>INDEX(Calcs!$AC$5:$AG$51, MATCH('Rotation Assembler'!$A61, Calcs!$AC$5:$AC$51, 0), MATCH('Rotation Assembler'!AU$32, Calcs!$AC$5:$AG$5, 0))</f>
        <v>#N/A</v>
      </c>
      <c r="AV61" s="126" t="e">
        <f>INDEX(Calcs!$AC$5:$AG$51, MATCH('Rotation Assembler'!$A61, Calcs!$AC$5:$AC$51, 0), MATCH('Rotation Assembler'!AV$32, Calcs!$AC$5:$AG$5, 0))</f>
        <v>#N/A</v>
      </c>
      <c r="AW61" s="126" t="e">
        <f>INDEX(Calcs!$AC$5:$AG$51, MATCH('Rotation Assembler'!$A61, Calcs!$AC$5:$AC$51, 0), MATCH('Rotation Assembler'!AW$32, Calcs!$AC$5:$AG$5, 0))</f>
        <v>#N/A</v>
      </c>
      <c r="AX61" s="126" t="e">
        <f>INDEX(Calcs!$AC$5:$AG$51, MATCH('Rotation Assembler'!$A61, Calcs!$AC$5:$AC$51, 0), MATCH('Rotation Assembler'!AX$32, Calcs!$AC$5:$AG$5, 0))</f>
        <v>#N/A</v>
      </c>
      <c r="AY61" s="126" t="e">
        <f>INDEX(Calcs!$AC$5:$AG$51, MATCH('Rotation Assembler'!$A61, Calcs!$AC$5:$AC$51, 0), MATCH('Rotation Assembler'!AY$32, Calcs!$AC$5:$AG$5, 0))</f>
        <v>#N/A</v>
      </c>
      <c r="AZ61" s="126" t="e">
        <f>INDEX(Calcs!$AC$5:$AG$51, MATCH('Rotation Assembler'!$A61, Calcs!$AC$5:$AC$51, 0), MATCH('Rotation Assembler'!AZ$32, Calcs!$AC$5:$AG$5, 0))</f>
        <v>#N/A</v>
      </c>
      <c r="BA61" s="126" t="e">
        <f>INDEX(Calcs!$AC$5:$AG$51, MATCH('Rotation Assembler'!$A61, Calcs!$AC$5:$AC$51, 0), MATCH('Rotation Assembler'!BA$32, Calcs!$AC$5:$AG$5, 0))</f>
        <v>#N/A</v>
      </c>
      <c r="BB61" s="126" t="e">
        <f>INDEX(Calcs!$AC$5:$AG$51, MATCH('Rotation Assembler'!$A61, Calcs!$AC$5:$AC$51, 0), MATCH('Rotation Assembler'!BB$32, Calcs!$AC$5:$AG$5, 0))</f>
        <v>#N/A</v>
      </c>
      <c r="BC61" s="126" t="e">
        <f>INDEX(Calcs!$AC$5:$AG$51, MATCH('Rotation Assembler'!$A61, Calcs!$AC$5:$AC$51, 0), MATCH('Rotation Assembler'!BC$32, Calcs!$AC$5:$AG$5, 0))</f>
        <v>#N/A</v>
      </c>
      <c r="BD61" s="126" t="e">
        <f>INDEX(Calcs!$AC$5:$AG$51, MATCH('Rotation Assembler'!$A61, Calcs!$AC$5:$AC$51, 0), MATCH('Rotation Assembler'!BD$32, Calcs!$AC$5:$AG$5, 0))</f>
        <v>#N/A</v>
      </c>
      <c r="BE61" s="126" t="e">
        <f>INDEX(Calcs!$AC$5:$AG$51, MATCH('Rotation Assembler'!$A61, Calcs!$AC$5:$AC$51, 0), MATCH('Rotation Assembler'!BE$32, Calcs!$AC$5:$AG$5, 0))</f>
        <v>#N/A</v>
      </c>
      <c r="BF61" s="126" t="e">
        <f>INDEX(Calcs!$AC$5:$AG$51, MATCH('Rotation Assembler'!$A61, Calcs!$AC$5:$AC$51, 0), MATCH('Rotation Assembler'!BF$32, Calcs!$AC$5:$AG$5, 0))</f>
        <v>#N/A</v>
      </c>
      <c r="BG61" s="126" t="e">
        <f>INDEX(Calcs!$AC$5:$AG$51, MATCH('Rotation Assembler'!$A61, Calcs!$AC$5:$AC$51, 0), MATCH('Rotation Assembler'!BG$32, Calcs!$AC$5:$AG$5, 0))</f>
        <v>#N/A</v>
      </c>
      <c r="BH61" s="126" t="e">
        <f>INDEX(Calcs!$AC$5:$AG$51, MATCH('Rotation Assembler'!$A61, Calcs!$AC$5:$AC$51, 0), MATCH('Rotation Assembler'!BH$32, Calcs!$AC$5:$AG$5, 0))</f>
        <v>#N/A</v>
      </c>
      <c r="BI61" s="126"/>
      <c r="BJ61" s="126"/>
      <c r="BK61" s="126"/>
      <c r="BL61" s="126"/>
      <c r="BM61" s="126"/>
      <c r="BN61" s="126"/>
      <c r="BO61" s="126"/>
      <c r="BP61" s="126"/>
      <c r="BQ61" s="126"/>
      <c r="BR61" s="126"/>
      <c r="BS61" s="126"/>
      <c r="BT61" s="126"/>
      <c r="BU61" s="126"/>
      <c r="BV61" s="126"/>
      <c r="BW61" s="126"/>
      <c r="BX61" s="126"/>
      <c r="BY61" s="126"/>
      <c r="BZ61" s="126"/>
      <c r="CA61" s="126"/>
      <c r="CB61" s="126"/>
      <c r="CC61" s="126"/>
      <c r="CD61" s="126"/>
      <c r="CE61" s="126"/>
      <c r="CF61" s="126"/>
      <c r="CG61" s="126"/>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row>
    <row r="62" spans="1:107" hidden="1" outlineLevel="1" x14ac:dyDescent="0.25">
      <c r="A62" s="122" t="s">
        <v>88</v>
      </c>
      <c r="B62" s="126">
        <f>INDEX(Calcs!$AC$5:$AG$51, MATCH('Rotation Assembler'!$A62, Calcs!$AC$5:$AC$51, 0), MATCH('Rotation Assembler'!B$32, Calcs!$AC$5:$AG$5, 0))</f>
        <v>0</v>
      </c>
      <c r="C62" s="126">
        <f>INDEX(Calcs!$AC$5:$AG$51, MATCH('Rotation Assembler'!$A62, Calcs!$AC$5:$AC$51, 0), MATCH('Rotation Assembler'!C$32, Calcs!$AC$5:$AG$5, 0))</f>
        <v>0</v>
      </c>
      <c r="D62" s="126">
        <f>INDEX(Calcs!$AC$5:$AG$51, MATCH('Rotation Assembler'!$A62, Calcs!$AC$5:$AC$51, 0), MATCH('Rotation Assembler'!D$32, Calcs!$AC$5:$AG$5, 0))</f>
        <v>0</v>
      </c>
      <c r="E62" s="126">
        <f>INDEX(Calcs!$AC$5:$AG$51, MATCH('Rotation Assembler'!$A62, Calcs!$AC$5:$AC$51, 0), MATCH('Rotation Assembler'!E$32, Calcs!$AC$5:$AG$5, 0))</f>
        <v>0</v>
      </c>
      <c r="F62" s="126">
        <f>INDEX(Calcs!$AC$5:$AG$51, MATCH('Rotation Assembler'!$A62, Calcs!$AC$5:$AC$51, 0), MATCH('Rotation Assembler'!F$32, Calcs!$AC$5:$AG$5, 0))</f>
        <v>0</v>
      </c>
      <c r="G62" s="126">
        <f>INDEX(Calcs!$AC$5:$AG$51, MATCH('Rotation Assembler'!$A62, Calcs!$AC$5:$AC$51, 0), MATCH('Rotation Assembler'!G$32, Calcs!$AC$5:$AG$5, 0))</f>
        <v>0</v>
      </c>
      <c r="H62" s="126">
        <f>INDEX(Calcs!$AC$5:$AG$51, MATCH('Rotation Assembler'!$A62, Calcs!$AC$5:$AC$51, 0), MATCH('Rotation Assembler'!H$32, Calcs!$AC$5:$AG$5, 0))</f>
        <v>0</v>
      </c>
      <c r="I62" s="126">
        <f>INDEX(Calcs!$AC$5:$AG$51, MATCH('Rotation Assembler'!$A62, Calcs!$AC$5:$AC$51, 0), MATCH('Rotation Assembler'!I$32, Calcs!$AC$5:$AG$5, 0))</f>
        <v>0</v>
      </c>
      <c r="J62" s="126">
        <f>INDEX(Calcs!$AC$5:$AG$51, MATCH('Rotation Assembler'!$A62, Calcs!$AC$5:$AC$51, 0), MATCH('Rotation Assembler'!J$32, Calcs!$AC$5:$AG$5, 0))</f>
        <v>0</v>
      </c>
      <c r="K62" s="126">
        <f>INDEX(Calcs!$AC$5:$AG$51, MATCH('Rotation Assembler'!$A62, Calcs!$AC$5:$AC$51, 0), MATCH('Rotation Assembler'!K$32, Calcs!$AC$5:$AG$5, 0))</f>
        <v>0</v>
      </c>
      <c r="L62" s="126">
        <f>INDEX(Calcs!$AC$5:$AG$51, MATCH('Rotation Assembler'!$A62, Calcs!$AC$5:$AC$51, 0), MATCH('Rotation Assembler'!L$32, Calcs!$AC$5:$AG$5, 0))</f>
        <v>0</v>
      </c>
      <c r="M62" s="126">
        <f>INDEX(Calcs!$AC$5:$AG$51, MATCH('Rotation Assembler'!$A62, Calcs!$AC$5:$AC$51, 0), MATCH('Rotation Assembler'!M$32, Calcs!$AC$5:$AG$5, 0))</f>
        <v>0</v>
      </c>
      <c r="N62" s="126">
        <f>INDEX(Calcs!$AC$5:$AG$51, MATCH('Rotation Assembler'!$A62, Calcs!$AC$5:$AC$51, 0), MATCH('Rotation Assembler'!N$32, Calcs!$AC$5:$AG$5, 0))</f>
        <v>0</v>
      </c>
      <c r="O62" s="126">
        <f>INDEX(Calcs!$AC$5:$AG$51, MATCH('Rotation Assembler'!$A62, Calcs!$AC$5:$AC$51, 0), MATCH('Rotation Assembler'!O$32, Calcs!$AC$5:$AG$5, 0))</f>
        <v>0</v>
      </c>
      <c r="P62" s="126">
        <f>INDEX(Calcs!$AC$5:$AG$51, MATCH('Rotation Assembler'!$A62, Calcs!$AC$5:$AC$51, 0), MATCH('Rotation Assembler'!P$32, Calcs!$AC$5:$AG$5, 0))</f>
        <v>0</v>
      </c>
      <c r="Q62" s="126">
        <f>INDEX(Calcs!$AC$5:$AG$51, MATCH('Rotation Assembler'!$A62, Calcs!$AC$5:$AC$51, 0), MATCH('Rotation Assembler'!Q$32, Calcs!$AC$5:$AG$5, 0))</f>
        <v>0</v>
      </c>
      <c r="R62" s="126">
        <f>INDEX(Calcs!$AC$5:$AG$51, MATCH('Rotation Assembler'!$A62, Calcs!$AC$5:$AC$51, 0), MATCH('Rotation Assembler'!R$32, Calcs!$AC$5:$AG$5, 0))</f>
        <v>0</v>
      </c>
      <c r="S62" s="126">
        <f>INDEX(Calcs!$AC$5:$AG$51, MATCH('Rotation Assembler'!$A62, Calcs!$AC$5:$AC$51, 0), MATCH('Rotation Assembler'!S$32, Calcs!$AC$5:$AG$5, 0))</f>
        <v>0</v>
      </c>
      <c r="T62" s="126">
        <f>INDEX(Calcs!$AC$5:$AG$51, MATCH('Rotation Assembler'!$A62, Calcs!$AC$5:$AC$51, 0), MATCH('Rotation Assembler'!T$32, Calcs!$AC$5:$AG$5, 0))</f>
        <v>0</v>
      </c>
      <c r="U62" s="126">
        <f>INDEX(Calcs!$AC$5:$AG$51, MATCH('Rotation Assembler'!$A62, Calcs!$AC$5:$AC$51, 0), MATCH('Rotation Assembler'!U$32, Calcs!$AC$5:$AG$5, 0))</f>
        <v>0</v>
      </c>
      <c r="V62" s="126">
        <f>INDEX(Calcs!$AC$5:$AG$51, MATCH('Rotation Assembler'!$A62, Calcs!$AC$5:$AC$51, 0), MATCH('Rotation Assembler'!V$32, Calcs!$AC$5:$AG$5, 0))</f>
        <v>0</v>
      </c>
      <c r="W62" s="126">
        <f>INDEX(Calcs!$AC$5:$AG$51, MATCH('Rotation Assembler'!$A62, Calcs!$AC$5:$AC$51, 0), MATCH('Rotation Assembler'!W$32, Calcs!$AC$5:$AG$5, 0))</f>
        <v>0</v>
      </c>
      <c r="X62" s="126">
        <f>INDEX(Calcs!$AC$5:$AG$51, MATCH('Rotation Assembler'!$A62, Calcs!$AC$5:$AC$51, 0), MATCH('Rotation Assembler'!X$32, Calcs!$AC$5:$AG$5, 0))</f>
        <v>0</v>
      </c>
      <c r="Y62" s="126">
        <f>INDEX(Calcs!$AC$5:$AG$51, MATCH('Rotation Assembler'!$A62, Calcs!$AC$5:$AC$51, 0), MATCH('Rotation Assembler'!Y$32, Calcs!$AC$5:$AG$5, 0))</f>
        <v>0</v>
      </c>
      <c r="Z62" s="126">
        <f>INDEX(Calcs!$AC$5:$AG$51, MATCH('Rotation Assembler'!$A62, Calcs!$AC$5:$AC$51, 0), MATCH('Rotation Assembler'!Z$32, Calcs!$AC$5:$AG$5, 0))</f>
        <v>0</v>
      </c>
      <c r="AA62" s="126">
        <f>INDEX(Calcs!$AC$5:$AG$51, MATCH('Rotation Assembler'!$A62, Calcs!$AC$5:$AC$51, 0), MATCH('Rotation Assembler'!AA$32, Calcs!$AC$5:$AG$5, 0))</f>
        <v>0</v>
      </c>
      <c r="AB62" s="126">
        <f>INDEX(Calcs!$AC$5:$AG$51, MATCH('Rotation Assembler'!$A62, Calcs!$AC$5:$AC$51, 0), MATCH('Rotation Assembler'!AB$32, Calcs!$AC$5:$AG$5, 0))</f>
        <v>0</v>
      </c>
      <c r="AC62" s="126">
        <f>INDEX(Calcs!$AC$5:$AG$51, MATCH('Rotation Assembler'!$A62, Calcs!$AC$5:$AC$51, 0), MATCH('Rotation Assembler'!AC$32, Calcs!$AC$5:$AG$5, 0))</f>
        <v>0</v>
      </c>
      <c r="AD62" s="126">
        <f>INDEX(Calcs!$AC$5:$AG$51, MATCH('Rotation Assembler'!$A62, Calcs!$AC$5:$AC$51, 0), MATCH('Rotation Assembler'!AD$32, Calcs!$AC$5:$AG$5, 0))</f>
        <v>0</v>
      </c>
      <c r="AE62" s="126">
        <f>INDEX(Calcs!$AC$5:$AG$51, MATCH('Rotation Assembler'!$A62, Calcs!$AC$5:$AC$51, 0), MATCH('Rotation Assembler'!AE$32, Calcs!$AC$5:$AG$5, 0))</f>
        <v>0</v>
      </c>
      <c r="AF62" s="126">
        <f>INDEX(Calcs!$AC$5:$AG$51, MATCH('Rotation Assembler'!$A62, Calcs!$AC$5:$AC$51, 0), MATCH('Rotation Assembler'!AF$32, Calcs!$AC$5:$AG$5, 0))</f>
        <v>0</v>
      </c>
      <c r="AG62" s="126">
        <f>INDEX(Calcs!$AC$5:$AG$51, MATCH('Rotation Assembler'!$A62, Calcs!$AC$5:$AC$51, 0), MATCH('Rotation Assembler'!AG$32, Calcs!$AC$5:$AG$5, 0))</f>
        <v>0</v>
      </c>
      <c r="AH62" s="126">
        <f>INDEX(Calcs!$AC$5:$AG$51, MATCH('Rotation Assembler'!$A62, Calcs!$AC$5:$AC$51, 0), MATCH('Rotation Assembler'!AH$32, Calcs!$AC$5:$AG$5, 0))</f>
        <v>0</v>
      </c>
      <c r="AI62" s="126">
        <f>INDEX(Calcs!$AC$5:$AG$51, MATCH('Rotation Assembler'!$A62, Calcs!$AC$5:$AC$51, 0), MATCH('Rotation Assembler'!AI$32, Calcs!$AC$5:$AG$5, 0))</f>
        <v>0</v>
      </c>
      <c r="AJ62" s="126" t="e">
        <f>INDEX(Calcs!$AC$5:$AG$51, MATCH('Rotation Assembler'!$A62, Calcs!$AC$5:$AC$51, 0), MATCH('Rotation Assembler'!AJ$32, Calcs!$AC$5:$AG$5, 0))</f>
        <v>#N/A</v>
      </c>
      <c r="AK62" s="126" t="e">
        <f>INDEX(Calcs!$AC$5:$AG$51, MATCH('Rotation Assembler'!$A62, Calcs!$AC$5:$AC$51, 0), MATCH('Rotation Assembler'!AK$32, Calcs!$AC$5:$AG$5, 0))</f>
        <v>#N/A</v>
      </c>
      <c r="AL62" s="126" t="e">
        <f>INDEX(Calcs!$AC$5:$AG$51, MATCH('Rotation Assembler'!$A62, Calcs!$AC$5:$AC$51, 0), MATCH('Rotation Assembler'!AL$32, Calcs!$AC$5:$AG$5, 0))</f>
        <v>#N/A</v>
      </c>
      <c r="AM62" s="126" t="e">
        <f>INDEX(Calcs!$AC$5:$AG$51, MATCH('Rotation Assembler'!$A62, Calcs!$AC$5:$AC$51, 0), MATCH('Rotation Assembler'!AM$32, Calcs!$AC$5:$AG$5, 0))</f>
        <v>#N/A</v>
      </c>
      <c r="AN62" s="126" t="e">
        <f>INDEX(Calcs!$AC$5:$AG$51, MATCH('Rotation Assembler'!$A62, Calcs!$AC$5:$AC$51, 0), MATCH('Rotation Assembler'!AN$32, Calcs!$AC$5:$AG$5, 0))</f>
        <v>#N/A</v>
      </c>
      <c r="AO62" s="126" t="e">
        <f>INDEX(Calcs!$AC$5:$AG$51, MATCH('Rotation Assembler'!$A62, Calcs!$AC$5:$AC$51, 0), MATCH('Rotation Assembler'!AO$32, Calcs!$AC$5:$AG$5, 0))</f>
        <v>#N/A</v>
      </c>
      <c r="AP62" s="126" t="e">
        <f>INDEX(Calcs!$AC$5:$AG$51, MATCH('Rotation Assembler'!$A62, Calcs!$AC$5:$AC$51, 0), MATCH('Rotation Assembler'!AP$32, Calcs!$AC$5:$AG$5, 0))</f>
        <v>#N/A</v>
      </c>
      <c r="AQ62" s="126" t="e">
        <f>INDEX(Calcs!$AC$5:$AG$51, MATCH('Rotation Assembler'!$A62, Calcs!$AC$5:$AC$51, 0), MATCH('Rotation Assembler'!AQ$32, Calcs!$AC$5:$AG$5, 0))</f>
        <v>#N/A</v>
      </c>
      <c r="AR62" s="126" t="e">
        <f>INDEX(Calcs!$AC$5:$AG$51, MATCH('Rotation Assembler'!$A62, Calcs!$AC$5:$AC$51, 0), MATCH('Rotation Assembler'!AR$32, Calcs!$AC$5:$AG$5, 0))</f>
        <v>#N/A</v>
      </c>
      <c r="AS62" s="126" t="e">
        <f>INDEX(Calcs!$AC$5:$AG$51, MATCH('Rotation Assembler'!$A62, Calcs!$AC$5:$AC$51, 0), MATCH('Rotation Assembler'!AS$32, Calcs!$AC$5:$AG$5, 0))</f>
        <v>#N/A</v>
      </c>
      <c r="AT62" s="126" t="e">
        <f>INDEX(Calcs!$AC$5:$AG$51, MATCH('Rotation Assembler'!$A62, Calcs!$AC$5:$AC$51, 0), MATCH('Rotation Assembler'!AT$32, Calcs!$AC$5:$AG$5, 0))</f>
        <v>#N/A</v>
      </c>
      <c r="AU62" s="126" t="e">
        <f>INDEX(Calcs!$AC$5:$AG$51, MATCH('Rotation Assembler'!$A62, Calcs!$AC$5:$AC$51, 0), MATCH('Rotation Assembler'!AU$32, Calcs!$AC$5:$AG$5, 0))</f>
        <v>#N/A</v>
      </c>
      <c r="AV62" s="126" t="e">
        <f>INDEX(Calcs!$AC$5:$AG$51, MATCH('Rotation Assembler'!$A62, Calcs!$AC$5:$AC$51, 0), MATCH('Rotation Assembler'!AV$32, Calcs!$AC$5:$AG$5, 0))</f>
        <v>#N/A</v>
      </c>
      <c r="AW62" s="126" t="e">
        <f>INDEX(Calcs!$AC$5:$AG$51, MATCH('Rotation Assembler'!$A62, Calcs!$AC$5:$AC$51, 0), MATCH('Rotation Assembler'!AW$32, Calcs!$AC$5:$AG$5, 0))</f>
        <v>#N/A</v>
      </c>
      <c r="AX62" s="126" t="e">
        <f>INDEX(Calcs!$AC$5:$AG$51, MATCH('Rotation Assembler'!$A62, Calcs!$AC$5:$AC$51, 0), MATCH('Rotation Assembler'!AX$32, Calcs!$AC$5:$AG$5, 0))</f>
        <v>#N/A</v>
      </c>
      <c r="AY62" s="126" t="e">
        <f>INDEX(Calcs!$AC$5:$AG$51, MATCH('Rotation Assembler'!$A62, Calcs!$AC$5:$AC$51, 0), MATCH('Rotation Assembler'!AY$32, Calcs!$AC$5:$AG$5, 0))</f>
        <v>#N/A</v>
      </c>
      <c r="AZ62" s="126" t="e">
        <f>INDEX(Calcs!$AC$5:$AG$51, MATCH('Rotation Assembler'!$A62, Calcs!$AC$5:$AC$51, 0), MATCH('Rotation Assembler'!AZ$32, Calcs!$AC$5:$AG$5, 0))</f>
        <v>#N/A</v>
      </c>
      <c r="BA62" s="126" t="e">
        <f>INDEX(Calcs!$AC$5:$AG$51, MATCH('Rotation Assembler'!$A62, Calcs!$AC$5:$AC$51, 0), MATCH('Rotation Assembler'!BA$32, Calcs!$AC$5:$AG$5, 0))</f>
        <v>#N/A</v>
      </c>
      <c r="BB62" s="126" t="e">
        <f>INDEX(Calcs!$AC$5:$AG$51, MATCH('Rotation Assembler'!$A62, Calcs!$AC$5:$AC$51, 0), MATCH('Rotation Assembler'!BB$32, Calcs!$AC$5:$AG$5, 0))</f>
        <v>#N/A</v>
      </c>
      <c r="BC62" s="126" t="e">
        <f>INDEX(Calcs!$AC$5:$AG$51, MATCH('Rotation Assembler'!$A62, Calcs!$AC$5:$AC$51, 0), MATCH('Rotation Assembler'!BC$32, Calcs!$AC$5:$AG$5, 0))</f>
        <v>#N/A</v>
      </c>
      <c r="BD62" s="126" t="e">
        <f>INDEX(Calcs!$AC$5:$AG$51, MATCH('Rotation Assembler'!$A62, Calcs!$AC$5:$AC$51, 0), MATCH('Rotation Assembler'!BD$32, Calcs!$AC$5:$AG$5, 0))</f>
        <v>#N/A</v>
      </c>
      <c r="BE62" s="126" t="e">
        <f>INDEX(Calcs!$AC$5:$AG$51, MATCH('Rotation Assembler'!$A62, Calcs!$AC$5:$AC$51, 0), MATCH('Rotation Assembler'!BE$32, Calcs!$AC$5:$AG$5, 0))</f>
        <v>#N/A</v>
      </c>
      <c r="BF62" s="126" t="e">
        <f>INDEX(Calcs!$AC$5:$AG$51, MATCH('Rotation Assembler'!$A62, Calcs!$AC$5:$AC$51, 0), MATCH('Rotation Assembler'!BF$32, Calcs!$AC$5:$AG$5, 0))</f>
        <v>#N/A</v>
      </c>
      <c r="BG62" s="126" t="e">
        <f>INDEX(Calcs!$AC$5:$AG$51, MATCH('Rotation Assembler'!$A62, Calcs!$AC$5:$AC$51, 0), MATCH('Rotation Assembler'!BG$32, Calcs!$AC$5:$AG$5, 0))</f>
        <v>#N/A</v>
      </c>
      <c r="BH62" s="126" t="e">
        <f>INDEX(Calcs!$AC$5:$AG$51, MATCH('Rotation Assembler'!$A62, Calcs!$AC$5:$AC$51, 0), MATCH('Rotation Assembler'!BH$32, Calcs!$AC$5:$AG$5, 0))</f>
        <v>#N/A</v>
      </c>
      <c r="BI62" s="126"/>
      <c r="BJ62" s="126"/>
      <c r="BK62" s="126"/>
      <c r="BL62" s="126"/>
      <c r="BM62" s="126"/>
      <c r="BN62" s="126"/>
      <c r="BO62" s="126"/>
      <c r="BP62" s="126"/>
      <c r="BQ62" s="126"/>
      <c r="BR62" s="126"/>
      <c r="BS62" s="126"/>
      <c r="BT62" s="126"/>
      <c r="BU62" s="126"/>
      <c r="BV62" s="126"/>
      <c r="BW62" s="126"/>
      <c r="BX62" s="126"/>
      <c r="BY62" s="126"/>
      <c r="BZ62" s="126"/>
      <c r="CA62" s="126"/>
      <c r="CB62" s="126"/>
      <c r="CC62" s="126"/>
      <c r="CD62" s="126"/>
      <c r="CE62" s="126"/>
      <c r="CF62" s="126"/>
      <c r="CG62" s="126"/>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row>
    <row r="63" spans="1:107" hidden="1" outlineLevel="1" x14ac:dyDescent="0.25">
      <c r="A63" s="122" t="s">
        <v>89</v>
      </c>
      <c r="B63" s="126">
        <f>INDEX(Calcs!$AC$5:$AG$51, MATCH('Rotation Assembler'!$A63, Calcs!$AC$5:$AC$51, 0), MATCH('Rotation Assembler'!B$32, Calcs!$AC$5:$AG$5, 0))</f>
        <v>0</v>
      </c>
      <c r="C63" s="126">
        <f>INDEX(Calcs!$AC$5:$AG$51, MATCH('Rotation Assembler'!$A63, Calcs!$AC$5:$AC$51, 0), MATCH('Rotation Assembler'!C$32, Calcs!$AC$5:$AG$5, 0))</f>
        <v>0</v>
      </c>
      <c r="D63" s="126">
        <f>INDEX(Calcs!$AC$5:$AG$51, MATCH('Rotation Assembler'!$A63, Calcs!$AC$5:$AC$51, 0), MATCH('Rotation Assembler'!D$32, Calcs!$AC$5:$AG$5, 0))</f>
        <v>0</v>
      </c>
      <c r="E63" s="126">
        <f>INDEX(Calcs!$AC$5:$AG$51, MATCH('Rotation Assembler'!$A63, Calcs!$AC$5:$AC$51, 0), MATCH('Rotation Assembler'!E$32, Calcs!$AC$5:$AG$5, 0))</f>
        <v>0</v>
      </c>
      <c r="F63" s="126">
        <f>INDEX(Calcs!$AC$5:$AG$51, MATCH('Rotation Assembler'!$A63, Calcs!$AC$5:$AC$51, 0), MATCH('Rotation Assembler'!F$32, Calcs!$AC$5:$AG$5, 0))</f>
        <v>0</v>
      </c>
      <c r="G63" s="126">
        <f>INDEX(Calcs!$AC$5:$AG$51, MATCH('Rotation Assembler'!$A63, Calcs!$AC$5:$AC$51, 0), MATCH('Rotation Assembler'!G$32, Calcs!$AC$5:$AG$5, 0))</f>
        <v>0</v>
      </c>
      <c r="H63" s="126">
        <f>INDEX(Calcs!$AC$5:$AG$51, MATCH('Rotation Assembler'!$A63, Calcs!$AC$5:$AC$51, 0), MATCH('Rotation Assembler'!H$32, Calcs!$AC$5:$AG$5, 0))</f>
        <v>0</v>
      </c>
      <c r="I63" s="126">
        <f>INDEX(Calcs!$AC$5:$AG$51, MATCH('Rotation Assembler'!$A63, Calcs!$AC$5:$AC$51, 0), MATCH('Rotation Assembler'!I$32, Calcs!$AC$5:$AG$5, 0))</f>
        <v>0</v>
      </c>
      <c r="J63" s="126">
        <f>INDEX(Calcs!$AC$5:$AG$51, MATCH('Rotation Assembler'!$A63, Calcs!$AC$5:$AC$51, 0), MATCH('Rotation Assembler'!J$32, Calcs!$AC$5:$AG$5, 0))</f>
        <v>0</v>
      </c>
      <c r="K63" s="126">
        <f>INDEX(Calcs!$AC$5:$AG$51, MATCH('Rotation Assembler'!$A63, Calcs!$AC$5:$AC$51, 0), MATCH('Rotation Assembler'!K$32, Calcs!$AC$5:$AG$5, 0))</f>
        <v>0</v>
      </c>
      <c r="L63" s="126">
        <f>INDEX(Calcs!$AC$5:$AG$51, MATCH('Rotation Assembler'!$A63, Calcs!$AC$5:$AC$51, 0), MATCH('Rotation Assembler'!L$32, Calcs!$AC$5:$AG$5, 0))</f>
        <v>0</v>
      </c>
      <c r="M63" s="126">
        <f>INDEX(Calcs!$AC$5:$AG$51, MATCH('Rotation Assembler'!$A63, Calcs!$AC$5:$AC$51, 0), MATCH('Rotation Assembler'!M$32, Calcs!$AC$5:$AG$5, 0))</f>
        <v>0</v>
      </c>
      <c r="N63" s="126">
        <f>INDEX(Calcs!$AC$5:$AG$51, MATCH('Rotation Assembler'!$A63, Calcs!$AC$5:$AC$51, 0), MATCH('Rotation Assembler'!N$32, Calcs!$AC$5:$AG$5, 0))</f>
        <v>0</v>
      </c>
      <c r="O63" s="126">
        <f>INDEX(Calcs!$AC$5:$AG$51, MATCH('Rotation Assembler'!$A63, Calcs!$AC$5:$AC$51, 0), MATCH('Rotation Assembler'!O$32, Calcs!$AC$5:$AG$5, 0))</f>
        <v>0</v>
      </c>
      <c r="P63" s="126">
        <f>INDEX(Calcs!$AC$5:$AG$51, MATCH('Rotation Assembler'!$A63, Calcs!$AC$5:$AC$51, 0), MATCH('Rotation Assembler'!P$32, Calcs!$AC$5:$AG$5, 0))</f>
        <v>0</v>
      </c>
      <c r="Q63" s="126">
        <f>INDEX(Calcs!$AC$5:$AG$51, MATCH('Rotation Assembler'!$A63, Calcs!$AC$5:$AC$51, 0), MATCH('Rotation Assembler'!Q$32, Calcs!$AC$5:$AG$5, 0))</f>
        <v>0</v>
      </c>
      <c r="R63" s="126">
        <f>INDEX(Calcs!$AC$5:$AG$51, MATCH('Rotation Assembler'!$A63, Calcs!$AC$5:$AC$51, 0), MATCH('Rotation Assembler'!R$32, Calcs!$AC$5:$AG$5, 0))</f>
        <v>0</v>
      </c>
      <c r="S63" s="126">
        <f>INDEX(Calcs!$AC$5:$AG$51, MATCH('Rotation Assembler'!$A63, Calcs!$AC$5:$AC$51, 0), MATCH('Rotation Assembler'!S$32, Calcs!$AC$5:$AG$5, 0))</f>
        <v>0</v>
      </c>
      <c r="T63" s="126">
        <f>INDEX(Calcs!$AC$5:$AG$51, MATCH('Rotation Assembler'!$A63, Calcs!$AC$5:$AC$51, 0), MATCH('Rotation Assembler'!T$32, Calcs!$AC$5:$AG$5, 0))</f>
        <v>0</v>
      </c>
      <c r="U63" s="126">
        <f>INDEX(Calcs!$AC$5:$AG$51, MATCH('Rotation Assembler'!$A63, Calcs!$AC$5:$AC$51, 0), MATCH('Rotation Assembler'!U$32, Calcs!$AC$5:$AG$5, 0))</f>
        <v>0</v>
      </c>
      <c r="V63" s="126">
        <f>INDEX(Calcs!$AC$5:$AG$51, MATCH('Rotation Assembler'!$A63, Calcs!$AC$5:$AC$51, 0), MATCH('Rotation Assembler'!V$32, Calcs!$AC$5:$AG$5, 0))</f>
        <v>0</v>
      </c>
      <c r="W63" s="126">
        <f>INDEX(Calcs!$AC$5:$AG$51, MATCH('Rotation Assembler'!$A63, Calcs!$AC$5:$AC$51, 0), MATCH('Rotation Assembler'!W$32, Calcs!$AC$5:$AG$5, 0))</f>
        <v>0</v>
      </c>
      <c r="X63" s="126">
        <f>INDEX(Calcs!$AC$5:$AG$51, MATCH('Rotation Assembler'!$A63, Calcs!$AC$5:$AC$51, 0), MATCH('Rotation Assembler'!X$32, Calcs!$AC$5:$AG$5, 0))</f>
        <v>0</v>
      </c>
      <c r="Y63" s="126">
        <f>INDEX(Calcs!$AC$5:$AG$51, MATCH('Rotation Assembler'!$A63, Calcs!$AC$5:$AC$51, 0), MATCH('Rotation Assembler'!Y$32, Calcs!$AC$5:$AG$5, 0))</f>
        <v>0</v>
      </c>
      <c r="Z63" s="126">
        <f>INDEX(Calcs!$AC$5:$AG$51, MATCH('Rotation Assembler'!$A63, Calcs!$AC$5:$AC$51, 0), MATCH('Rotation Assembler'!Z$32, Calcs!$AC$5:$AG$5, 0))</f>
        <v>0</v>
      </c>
      <c r="AA63" s="126">
        <f>INDEX(Calcs!$AC$5:$AG$51, MATCH('Rotation Assembler'!$A63, Calcs!$AC$5:$AC$51, 0), MATCH('Rotation Assembler'!AA$32, Calcs!$AC$5:$AG$5, 0))</f>
        <v>0</v>
      </c>
      <c r="AB63" s="126">
        <f>INDEX(Calcs!$AC$5:$AG$51, MATCH('Rotation Assembler'!$A63, Calcs!$AC$5:$AC$51, 0), MATCH('Rotation Assembler'!AB$32, Calcs!$AC$5:$AG$5, 0))</f>
        <v>0</v>
      </c>
      <c r="AC63" s="126">
        <f>INDEX(Calcs!$AC$5:$AG$51, MATCH('Rotation Assembler'!$A63, Calcs!$AC$5:$AC$51, 0), MATCH('Rotation Assembler'!AC$32, Calcs!$AC$5:$AG$5, 0))</f>
        <v>0</v>
      </c>
      <c r="AD63" s="126">
        <f>INDEX(Calcs!$AC$5:$AG$51, MATCH('Rotation Assembler'!$A63, Calcs!$AC$5:$AC$51, 0), MATCH('Rotation Assembler'!AD$32, Calcs!$AC$5:$AG$5, 0))</f>
        <v>0</v>
      </c>
      <c r="AE63" s="126">
        <f>INDEX(Calcs!$AC$5:$AG$51, MATCH('Rotation Assembler'!$A63, Calcs!$AC$5:$AC$51, 0), MATCH('Rotation Assembler'!AE$32, Calcs!$AC$5:$AG$5, 0))</f>
        <v>0</v>
      </c>
      <c r="AF63" s="126">
        <f>INDEX(Calcs!$AC$5:$AG$51, MATCH('Rotation Assembler'!$A63, Calcs!$AC$5:$AC$51, 0), MATCH('Rotation Assembler'!AF$32, Calcs!$AC$5:$AG$5, 0))</f>
        <v>0</v>
      </c>
      <c r="AG63" s="126">
        <f>INDEX(Calcs!$AC$5:$AG$51, MATCH('Rotation Assembler'!$A63, Calcs!$AC$5:$AC$51, 0), MATCH('Rotation Assembler'!AG$32, Calcs!$AC$5:$AG$5, 0))</f>
        <v>0</v>
      </c>
      <c r="AH63" s="126">
        <f>INDEX(Calcs!$AC$5:$AG$51, MATCH('Rotation Assembler'!$A63, Calcs!$AC$5:$AC$51, 0), MATCH('Rotation Assembler'!AH$32, Calcs!$AC$5:$AG$5, 0))</f>
        <v>0</v>
      </c>
      <c r="AI63" s="126">
        <f>INDEX(Calcs!$AC$5:$AG$51, MATCH('Rotation Assembler'!$A63, Calcs!$AC$5:$AC$51, 0), MATCH('Rotation Assembler'!AI$32, Calcs!$AC$5:$AG$5, 0))</f>
        <v>0</v>
      </c>
      <c r="AJ63" s="126" t="e">
        <f>INDEX(Calcs!$AC$5:$AG$51, MATCH('Rotation Assembler'!$A63, Calcs!$AC$5:$AC$51, 0), MATCH('Rotation Assembler'!AJ$32, Calcs!$AC$5:$AG$5, 0))</f>
        <v>#N/A</v>
      </c>
      <c r="AK63" s="126" t="e">
        <f>INDEX(Calcs!$AC$5:$AG$51, MATCH('Rotation Assembler'!$A63, Calcs!$AC$5:$AC$51, 0), MATCH('Rotation Assembler'!AK$32, Calcs!$AC$5:$AG$5, 0))</f>
        <v>#N/A</v>
      </c>
      <c r="AL63" s="126" t="e">
        <f>INDEX(Calcs!$AC$5:$AG$51, MATCH('Rotation Assembler'!$A63, Calcs!$AC$5:$AC$51, 0), MATCH('Rotation Assembler'!AL$32, Calcs!$AC$5:$AG$5, 0))</f>
        <v>#N/A</v>
      </c>
      <c r="AM63" s="126" t="e">
        <f>INDEX(Calcs!$AC$5:$AG$51, MATCH('Rotation Assembler'!$A63, Calcs!$AC$5:$AC$51, 0), MATCH('Rotation Assembler'!AM$32, Calcs!$AC$5:$AG$5, 0))</f>
        <v>#N/A</v>
      </c>
      <c r="AN63" s="126" t="e">
        <f>INDEX(Calcs!$AC$5:$AG$51, MATCH('Rotation Assembler'!$A63, Calcs!$AC$5:$AC$51, 0), MATCH('Rotation Assembler'!AN$32, Calcs!$AC$5:$AG$5, 0))</f>
        <v>#N/A</v>
      </c>
      <c r="AO63" s="126" t="e">
        <f>INDEX(Calcs!$AC$5:$AG$51, MATCH('Rotation Assembler'!$A63, Calcs!$AC$5:$AC$51, 0), MATCH('Rotation Assembler'!AO$32, Calcs!$AC$5:$AG$5, 0))</f>
        <v>#N/A</v>
      </c>
      <c r="AP63" s="126" t="e">
        <f>INDEX(Calcs!$AC$5:$AG$51, MATCH('Rotation Assembler'!$A63, Calcs!$AC$5:$AC$51, 0), MATCH('Rotation Assembler'!AP$32, Calcs!$AC$5:$AG$5, 0))</f>
        <v>#N/A</v>
      </c>
      <c r="AQ63" s="126" t="e">
        <f>INDEX(Calcs!$AC$5:$AG$51, MATCH('Rotation Assembler'!$A63, Calcs!$AC$5:$AC$51, 0), MATCH('Rotation Assembler'!AQ$32, Calcs!$AC$5:$AG$5, 0))</f>
        <v>#N/A</v>
      </c>
      <c r="AR63" s="126" t="e">
        <f>INDEX(Calcs!$AC$5:$AG$51, MATCH('Rotation Assembler'!$A63, Calcs!$AC$5:$AC$51, 0), MATCH('Rotation Assembler'!AR$32, Calcs!$AC$5:$AG$5, 0))</f>
        <v>#N/A</v>
      </c>
      <c r="AS63" s="126" t="e">
        <f>INDEX(Calcs!$AC$5:$AG$51, MATCH('Rotation Assembler'!$A63, Calcs!$AC$5:$AC$51, 0), MATCH('Rotation Assembler'!AS$32, Calcs!$AC$5:$AG$5, 0))</f>
        <v>#N/A</v>
      </c>
      <c r="AT63" s="126" t="e">
        <f>INDEX(Calcs!$AC$5:$AG$51, MATCH('Rotation Assembler'!$A63, Calcs!$AC$5:$AC$51, 0), MATCH('Rotation Assembler'!AT$32, Calcs!$AC$5:$AG$5, 0))</f>
        <v>#N/A</v>
      </c>
      <c r="AU63" s="126" t="e">
        <f>INDEX(Calcs!$AC$5:$AG$51, MATCH('Rotation Assembler'!$A63, Calcs!$AC$5:$AC$51, 0), MATCH('Rotation Assembler'!AU$32, Calcs!$AC$5:$AG$5, 0))</f>
        <v>#N/A</v>
      </c>
      <c r="AV63" s="126" t="e">
        <f>INDEX(Calcs!$AC$5:$AG$51, MATCH('Rotation Assembler'!$A63, Calcs!$AC$5:$AC$51, 0), MATCH('Rotation Assembler'!AV$32, Calcs!$AC$5:$AG$5, 0))</f>
        <v>#N/A</v>
      </c>
      <c r="AW63" s="126" t="e">
        <f>INDEX(Calcs!$AC$5:$AG$51, MATCH('Rotation Assembler'!$A63, Calcs!$AC$5:$AC$51, 0), MATCH('Rotation Assembler'!AW$32, Calcs!$AC$5:$AG$5, 0))</f>
        <v>#N/A</v>
      </c>
      <c r="AX63" s="126" t="e">
        <f>INDEX(Calcs!$AC$5:$AG$51, MATCH('Rotation Assembler'!$A63, Calcs!$AC$5:$AC$51, 0), MATCH('Rotation Assembler'!AX$32, Calcs!$AC$5:$AG$5, 0))</f>
        <v>#N/A</v>
      </c>
      <c r="AY63" s="126" t="e">
        <f>INDEX(Calcs!$AC$5:$AG$51, MATCH('Rotation Assembler'!$A63, Calcs!$AC$5:$AC$51, 0), MATCH('Rotation Assembler'!AY$32, Calcs!$AC$5:$AG$5, 0))</f>
        <v>#N/A</v>
      </c>
      <c r="AZ63" s="126" t="e">
        <f>INDEX(Calcs!$AC$5:$AG$51, MATCH('Rotation Assembler'!$A63, Calcs!$AC$5:$AC$51, 0), MATCH('Rotation Assembler'!AZ$32, Calcs!$AC$5:$AG$5, 0))</f>
        <v>#N/A</v>
      </c>
      <c r="BA63" s="126" t="e">
        <f>INDEX(Calcs!$AC$5:$AG$51, MATCH('Rotation Assembler'!$A63, Calcs!$AC$5:$AC$51, 0), MATCH('Rotation Assembler'!BA$32, Calcs!$AC$5:$AG$5, 0))</f>
        <v>#N/A</v>
      </c>
      <c r="BB63" s="126" t="e">
        <f>INDEX(Calcs!$AC$5:$AG$51, MATCH('Rotation Assembler'!$A63, Calcs!$AC$5:$AC$51, 0), MATCH('Rotation Assembler'!BB$32, Calcs!$AC$5:$AG$5, 0))</f>
        <v>#N/A</v>
      </c>
      <c r="BC63" s="126" t="e">
        <f>INDEX(Calcs!$AC$5:$AG$51, MATCH('Rotation Assembler'!$A63, Calcs!$AC$5:$AC$51, 0), MATCH('Rotation Assembler'!BC$32, Calcs!$AC$5:$AG$5, 0))</f>
        <v>#N/A</v>
      </c>
      <c r="BD63" s="126" t="e">
        <f>INDEX(Calcs!$AC$5:$AG$51, MATCH('Rotation Assembler'!$A63, Calcs!$AC$5:$AC$51, 0), MATCH('Rotation Assembler'!BD$32, Calcs!$AC$5:$AG$5, 0))</f>
        <v>#N/A</v>
      </c>
      <c r="BE63" s="126" t="e">
        <f>INDEX(Calcs!$AC$5:$AG$51, MATCH('Rotation Assembler'!$A63, Calcs!$AC$5:$AC$51, 0), MATCH('Rotation Assembler'!BE$32, Calcs!$AC$5:$AG$5, 0))</f>
        <v>#N/A</v>
      </c>
      <c r="BF63" s="126" t="e">
        <f>INDEX(Calcs!$AC$5:$AG$51, MATCH('Rotation Assembler'!$A63, Calcs!$AC$5:$AC$51, 0), MATCH('Rotation Assembler'!BF$32, Calcs!$AC$5:$AG$5, 0))</f>
        <v>#N/A</v>
      </c>
      <c r="BG63" s="126" t="e">
        <f>INDEX(Calcs!$AC$5:$AG$51, MATCH('Rotation Assembler'!$A63, Calcs!$AC$5:$AC$51, 0), MATCH('Rotation Assembler'!BG$32, Calcs!$AC$5:$AG$5, 0))</f>
        <v>#N/A</v>
      </c>
      <c r="BH63" s="126" t="e">
        <f>INDEX(Calcs!$AC$5:$AG$51, MATCH('Rotation Assembler'!$A63, Calcs!$AC$5:$AC$51, 0), MATCH('Rotation Assembler'!BH$32, Calcs!$AC$5:$AG$5, 0))</f>
        <v>#N/A</v>
      </c>
      <c r="BI63" s="126"/>
      <c r="BJ63" s="126"/>
      <c r="BK63" s="126"/>
      <c r="BL63" s="126"/>
      <c r="BM63" s="126"/>
      <c r="BN63" s="126"/>
      <c r="BO63" s="126"/>
      <c r="BP63" s="126"/>
      <c r="BQ63" s="126"/>
      <c r="BR63" s="126"/>
      <c r="BS63" s="126"/>
      <c r="BT63" s="126"/>
      <c r="BU63" s="126"/>
      <c r="BV63" s="126"/>
      <c r="BW63" s="126"/>
      <c r="BX63" s="126"/>
      <c r="BY63" s="126"/>
      <c r="BZ63" s="126"/>
      <c r="CA63" s="126"/>
      <c r="CB63" s="126"/>
      <c r="CC63" s="126"/>
      <c r="CD63" s="126"/>
      <c r="CE63" s="126"/>
      <c r="CF63" s="126"/>
      <c r="CG63" s="126"/>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row>
    <row r="64" spans="1:107" hidden="1" outlineLevel="1" x14ac:dyDescent="0.25">
      <c r="A64" s="122" t="s">
        <v>91</v>
      </c>
      <c r="B64" s="126">
        <f>INDEX(Calcs!$AC$5:$AG$51, MATCH('Rotation Assembler'!$A64, Calcs!$AC$5:$AC$51, 0), MATCH('Rotation Assembler'!B$32, Calcs!$AC$5:$AG$5, 0))</f>
        <v>0</v>
      </c>
      <c r="C64" s="126">
        <f>INDEX(Calcs!$AC$5:$AG$51, MATCH('Rotation Assembler'!$A64, Calcs!$AC$5:$AC$51, 0), MATCH('Rotation Assembler'!C$32, Calcs!$AC$5:$AG$5, 0))</f>
        <v>0</v>
      </c>
      <c r="D64" s="126">
        <f>INDEX(Calcs!$AC$5:$AG$51, MATCH('Rotation Assembler'!$A64, Calcs!$AC$5:$AC$51, 0), MATCH('Rotation Assembler'!D$32, Calcs!$AC$5:$AG$5, 0))</f>
        <v>0</v>
      </c>
      <c r="E64" s="126">
        <f>INDEX(Calcs!$AC$5:$AG$51, MATCH('Rotation Assembler'!$A64, Calcs!$AC$5:$AC$51, 0), MATCH('Rotation Assembler'!E$32, Calcs!$AC$5:$AG$5, 0))</f>
        <v>0</v>
      </c>
      <c r="F64" s="126">
        <f>INDEX(Calcs!$AC$5:$AG$51, MATCH('Rotation Assembler'!$A64, Calcs!$AC$5:$AC$51, 0), MATCH('Rotation Assembler'!F$32, Calcs!$AC$5:$AG$5, 0))</f>
        <v>0</v>
      </c>
      <c r="G64" s="126">
        <f>INDEX(Calcs!$AC$5:$AG$51, MATCH('Rotation Assembler'!$A64, Calcs!$AC$5:$AC$51, 0), MATCH('Rotation Assembler'!G$32, Calcs!$AC$5:$AG$5, 0))</f>
        <v>0</v>
      </c>
      <c r="H64" s="126">
        <f>INDEX(Calcs!$AC$5:$AG$51, MATCH('Rotation Assembler'!$A64, Calcs!$AC$5:$AC$51, 0), MATCH('Rotation Assembler'!H$32, Calcs!$AC$5:$AG$5, 0))</f>
        <v>0</v>
      </c>
      <c r="I64" s="126">
        <f>INDEX(Calcs!$AC$5:$AG$51, MATCH('Rotation Assembler'!$A64, Calcs!$AC$5:$AC$51, 0), MATCH('Rotation Assembler'!I$32, Calcs!$AC$5:$AG$5, 0))</f>
        <v>0</v>
      </c>
      <c r="J64" s="126">
        <f>INDEX(Calcs!$AC$5:$AG$51, MATCH('Rotation Assembler'!$A64, Calcs!$AC$5:$AC$51, 0), MATCH('Rotation Assembler'!J$32, Calcs!$AC$5:$AG$5, 0))</f>
        <v>0</v>
      </c>
      <c r="K64" s="126">
        <f>INDEX(Calcs!$AC$5:$AG$51, MATCH('Rotation Assembler'!$A64, Calcs!$AC$5:$AC$51, 0), MATCH('Rotation Assembler'!K$32, Calcs!$AC$5:$AG$5, 0))</f>
        <v>0</v>
      </c>
      <c r="L64" s="126">
        <f>INDEX(Calcs!$AC$5:$AG$51, MATCH('Rotation Assembler'!$A64, Calcs!$AC$5:$AC$51, 0), MATCH('Rotation Assembler'!L$32, Calcs!$AC$5:$AG$5, 0))</f>
        <v>0</v>
      </c>
      <c r="M64" s="126">
        <f>INDEX(Calcs!$AC$5:$AG$51, MATCH('Rotation Assembler'!$A64, Calcs!$AC$5:$AC$51, 0), MATCH('Rotation Assembler'!M$32, Calcs!$AC$5:$AG$5, 0))</f>
        <v>0</v>
      </c>
      <c r="N64" s="126">
        <f>INDEX(Calcs!$AC$5:$AG$51, MATCH('Rotation Assembler'!$A64, Calcs!$AC$5:$AC$51, 0), MATCH('Rotation Assembler'!N$32, Calcs!$AC$5:$AG$5, 0))</f>
        <v>0</v>
      </c>
      <c r="O64" s="126">
        <f>INDEX(Calcs!$AC$5:$AG$51, MATCH('Rotation Assembler'!$A64, Calcs!$AC$5:$AC$51, 0), MATCH('Rotation Assembler'!O$32, Calcs!$AC$5:$AG$5, 0))</f>
        <v>0</v>
      </c>
      <c r="P64" s="126">
        <f>INDEX(Calcs!$AC$5:$AG$51, MATCH('Rotation Assembler'!$A64, Calcs!$AC$5:$AC$51, 0), MATCH('Rotation Assembler'!P$32, Calcs!$AC$5:$AG$5, 0))</f>
        <v>0</v>
      </c>
      <c r="Q64" s="126">
        <f>INDEX(Calcs!$AC$5:$AG$51, MATCH('Rotation Assembler'!$A64, Calcs!$AC$5:$AC$51, 0), MATCH('Rotation Assembler'!Q$32, Calcs!$AC$5:$AG$5, 0))</f>
        <v>0</v>
      </c>
      <c r="R64" s="126">
        <f>INDEX(Calcs!$AC$5:$AG$51, MATCH('Rotation Assembler'!$A64, Calcs!$AC$5:$AC$51, 0), MATCH('Rotation Assembler'!R$32, Calcs!$AC$5:$AG$5, 0))</f>
        <v>0</v>
      </c>
      <c r="S64" s="126">
        <f>INDEX(Calcs!$AC$5:$AG$51, MATCH('Rotation Assembler'!$A64, Calcs!$AC$5:$AC$51, 0), MATCH('Rotation Assembler'!S$32, Calcs!$AC$5:$AG$5, 0))</f>
        <v>0</v>
      </c>
      <c r="T64" s="126">
        <f>INDEX(Calcs!$AC$5:$AG$51, MATCH('Rotation Assembler'!$A64, Calcs!$AC$5:$AC$51, 0), MATCH('Rotation Assembler'!T$32, Calcs!$AC$5:$AG$5, 0))</f>
        <v>0</v>
      </c>
      <c r="U64" s="126">
        <f>INDEX(Calcs!$AC$5:$AG$51, MATCH('Rotation Assembler'!$A64, Calcs!$AC$5:$AC$51, 0), MATCH('Rotation Assembler'!U$32, Calcs!$AC$5:$AG$5, 0))</f>
        <v>0</v>
      </c>
      <c r="V64" s="126">
        <f>INDEX(Calcs!$AC$5:$AG$51, MATCH('Rotation Assembler'!$A64, Calcs!$AC$5:$AC$51, 0), MATCH('Rotation Assembler'!V$32, Calcs!$AC$5:$AG$5, 0))</f>
        <v>0</v>
      </c>
      <c r="W64" s="126">
        <f>INDEX(Calcs!$AC$5:$AG$51, MATCH('Rotation Assembler'!$A64, Calcs!$AC$5:$AC$51, 0), MATCH('Rotation Assembler'!W$32, Calcs!$AC$5:$AG$5, 0))</f>
        <v>0</v>
      </c>
      <c r="X64" s="126">
        <f>INDEX(Calcs!$AC$5:$AG$51, MATCH('Rotation Assembler'!$A64, Calcs!$AC$5:$AC$51, 0), MATCH('Rotation Assembler'!X$32, Calcs!$AC$5:$AG$5, 0))</f>
        <v>0</v>
      </c>
      <c r="Y64" s="126">
        <f>INDEX(Calcs!$AC$5:$AG$51, MATCH('Rotation Assembler'!$A64, Calcs!$AC$5:$AC$51, 0), MATCH('Rotation Assembler'!Y$32, Calcs!$AC$5:$AG$5, 0))</f>
        <v>0</v>
      </c>
      <c r="Z64" s="126">
        <f>INDEX(Calcs!$AC$5:$AG$51, MATCH('Rotation Assembler'!$A64, Calcs!$AC$5:$AC$51, 0), MATCH('Rotation Assembler'!Z$32, Calcs!$AC$5:$AG$5, 0))</f>
        <v>0</v>
      </c>
      <c r="AA64" s="126">
        <f>INDEX(Calcs!$AC$5:$AG$51, MATCH('Rotation Assembler'!$A64, Calcs!$AC$5:$AC$51, 0), MATCH('Rotation Assembler'!AA$32, Calcs!$AC$5:$AG$5, 0))</f>
        <v>0</v>
      </c>
      <c r="AB64" s="126">
        <f>INDEX(Calcs!$AC$5:$AG$51, MATCH('Rotation Assembler'!$A64, Calcs!$AC$5:$AC$51, 0), MATCH('Rotation Assembler'!AB$32, Calcs!$AC$5:$AG$5, 0))</f>
        <v>0</v>
      </c>
      <c r="AC64" s="126">
        <f>INDEX(Calcs!$AC$5:$AG$51, MATCH('Rotation Assembler'!$A64, Calcs!$AC$5:$AC$51, 0), MATCH('Rotation Assembler'!AC$32, Calcs!$AC$5:$AG$5, 0))</f>
        <v>0</v>
      </c>
      <c r="AD64" s="126">
        <f>INDEX(Calcs!$AC$5:$AG$51, MATCH('Rotation Assembler'!$A64, Calcs!$AC$5:$AC$51, 0), MATCH('Rotation Assembler'!AD$32, Calcs!$AC$5:$AG$5, 0))</f>
        <v>0</v>
      </c>
      <c r="AE64" s="126">
        <f>INDEX(Calcs!$AC$5:$AG$51, MATCH('Rotation Assembler'!$A64, Calcs!$AC$5:$AC$51, 0), MATCH('Rotation Assembler'!AE$32, Calcs!$AC$5:$AG$5, 0))</f>
        <v>0</v>
      </c>
      <c r="AF64" s="126">
        <f>INDEX(Calcs!$AC$5:$AG$51, MATCH('Rotation Assembler'!$A64, Calcs!$AC$5:$AC$51, 0), MATCH('Rotation Assembler'!AF$32, Calcs!$AC$5:$AG$5, 0))</f>
        <v>0</v>
      </c>
      <c r="AG64" s="126">
        <f>INDEX(Calcs!$AC$5:$AG$51, MATCH('Rotation Assembler'!$A64, Calcs!$AC$5:$AC$51, 0), MATCH('Rotation Assembler'!AG$32, Calcs!$AC$5:$AG$5, 0))</f>
        <v>0</v>
      </c>
      <c r="AH64" s="126">
        <f>INDEX(Calcs!$AC$5:$AG$51, MATCH('Rotation Assembler'!$A64, Calcs!$AC$5:$AC$51, 0), MATCH('Rotation Assembler'!AH$32, Calcs!$AC$5:$AG$5, 0))</f>
        <v>0</v>
      </c>
      <c r="AI64" s="126">
        <f>INDEX(Calcs!$AC$5:$AG$51, MATCH('Rotation Assembler'!$A64, Calcs!$AC$5:$AC$51, 0), MATCH('Rotation Assembler'!AI$32, Calcs!$AC$5:$AG$5, 0))</f>
        <v>0</v>
      </c>
      <c r="AJ64" s="126" t="e">
        <f>INDEX(Calcs!$AC$5:$AG$51, MATCH('Rotation Assembler'!$A64, Calcs!$AC$5:$AC$51, 0), MATCH('Rotation Assembler'!AJ$32, Calcs!$AC$5:$AG$5, 0))</f>
        <v>#N/A</v>
      </c>
      <c r="AK64" s="126" t="e">
        <f>INDEX(Calcs!$AC$5:$AG$51, MATCH('Rotation Assembler'!$A64, Calcs!$AC$5:$AC$51, 0), MATCH('Rotation Assembler'!AK$32, Calcs!$AC$5:$AG$5, 0))</f>
        <v>#N/A</v>
      </c>
      <c r="AL64" s="126" t="e">
        <f>INDEX(Calcs!$AC$5:$AG$51, MATCH('Rotation Assembler'!$A64, Calcs!$AC$5:$AC$51, 0), MATCH('Rotation Assembler'!AL$32, Calcs!$AC$5:$AG$5, 0))</f>
        <v>#N/A</v>
      </c>
      <c r="AM64" s="126" t="e">
        <f>INDEX(Calcs!$AC$5:$AG$51, MATCH('Rotation Assembler'!$A64, Calcs!$AC$5:$AC$51, 0), MATCH('Rotation Assembler'!AM$32, Calcs!$AC$5:$AG$5, 0))</f>
        <v>#N/A</v>
      </c>
      <c r="AN64" s="126" t="e">
        <f>INDEX(Calcs!$AC$5:$AG$51, MATCH('Rotation Assembler'!$A64, Calcs!$AC$5:$AC$51, 0), MATCH('Rotation Assembler'!AN$32, Calcs!$AC$5:$AG$5, 0))</f>
        <v>#N/A</v>
      </c>
      <c r="AO64" s="126" t="e">
        <f>INDEX(Calcs!$AC$5:$AG$51, MATCH('Rotation Assembler'!$A64, Calcs!$AC$5:$AC$51, 0), MATCH('Rotation Assembler'!AO$32, Calcs!$AC$5:$AG$5, 0))</f>
        <v>#N/A</v>
      </c>
      <c r="AP64" s="126" t="e">
        <f>INDEX(Calcs!$AC$5:$AG$51, MATCH('Rotation Assembler'!$A64, Calcs!$AC$5:$AC$51, 0), MATCH('Rotation Assembler'!AP$32, Calcs!$AC$5:$AG$5, 0))</f>
        <v>#N/A</v>
      </c>
      <c r="AQ64" s="126" t="e">
        <f>INDEX(Calcs!$AC$5:$AG$51, MATCH('Rotation Assembler'!$A64, Calcs!$AC$5:$AC$51, 0), MATCH('Rotation Assembler'!AQ$32, Calcs!$AC$5:$AG$5, 0))</f>
        <v>#N/A</v>
      </c>
      <c r="AR64" s="126" t="e">
        <f>INDEX(Calcs!$AC$5:$AG$51, MATCH('Rotation Assembler'!$A64, Calcs!$AC$5:$AC$51, 0), MATCH('Rotation Assembler'!AR$32, Calcs!$AC$5:$AG$5, 0))</f>
        <v>#N/A</v>
      </c>
      <c r="AS64" s="126" t="e">
        <f>INDEX(Calcs!$AC$5:$AG$51, MATCH('Rotation Assembler'!$A64, Calcs!$AC$5:$AC$51, 0), MATCH('Rotation Assembler'!AS$32, Calcs!$AC$5:$AG$5, 0))</f>
        <v>#N/A</v>
      </c>
      <c r="AT64" s="126" t="e">
        <f>INDEX(Calcs!$AC$5:$AG$51, MATCH('Rotation Assembler'!$A64, Calcs!$AC$5:$AC$51, 0), MATCH('Rotation Assembler'!AT$32, Calcs!$AC$5:$AG$5, 0))</f>
        <v>#N/A</v>
      </c>
      <c r="AU64" s="126" t="e">
        <f>INDEX(Calcs!$AC$5:$AG$51, MATCH('Rotation Assembler'!$A64, Calcs!$AC$5:$AC$51, 0), MATCH('Rotation Assembler'!AU$32, Calcs!$AC$5:$AG$5, 0))</f>
        <v>#N/A</v>
      </c>
      <c r="AV64" s="126" t="e">
        <f>INDEX(Calcs!$AC$5:$AG$51, MATCH('Rotation Assembler'!$A64, Calcs!$AC$5:$AC$51, 0), MATCH('Rotation Assembler'!AV$32, Calcs!$AC$5:$AG$5, 0))</f>
        <v>#N/A</v>
      </c>
      <c r="AW64" s="126" t="e">
        <f>INDEX(Calcs!$AC$5:$AG$51, MATCH('Rotation Assembler'!$A64, Calcs!$AC$5:$AC$51, 0), MATCH('Rotation Assembler'!AW$32, Calcs!$AC$5:$AG$5, 0))</f>
        <v>#N/A</v>
      </c>
      <c r="AX64" s="126" t="e">
        <f>INDEX(Calcs!$AC$5:$AG$51, MATCH('Rotation Assembler'!$A64, Calcs!$AC$5:$AC$51, 0), MATCH('Rotation Assembler'!AX$32, Calcs!$AC$5:$AG$5, 0))</f>
        <v>#N/A</v>
      </c>
      <c r="AY64" s="126" t="e">
        <f>INDEX(Calcs!$AC$5:$AG$51, MATCH('Rotation Assembler'!$A64, Calcs!$AC$5:$AC$51, 0), MATCH('Rotation Assembler'!AY$32, Calcs!$AC$5:$AG$5, 0))</f>
        <v>#N/A</v>
      </c>
      <c r="AZ64" s="126" t="e">
        <f>INDEX(Calcs!$AC$5:$AG$51, MATCH('Rotation Assembler'!$A64, Calcs!$AC$5:$AC$51, 0), MATCH('Rotation Assembler'!AZ$32, Calcs!$AC$5:$AG$5, 0))</f>
        <v>#N/A</v>
      </c>
      <c r="BA64" s="126" t="e">
        <f>INDEX(Calcs!$AC$5:$AG$51, MATCH('Rotation Assembler'!$A64, Calcs!$AC$5:$AC$51, 0), MATCH('Rotation Assembler'!BA$32, Calcs!$AC$5:$AG$5, 0))</f>
        <v>#N/A</v>
      </c>
      <c r="BB64" s="126" t="e">
        <f>INDEX(Calcs!$AC$5:$AG$51, MATCH('Rotation Assembler'!$A64, Calcs!$AC$5:$AC$51, 0), MATCH('Rotation Assembler'!BB$32, Calcs!$AC$5:$AG$5, 0))</f>
        <v>#N/A</v>
      </c>
      <c r="BC64" s="126" t="e">
        <f>INDEX(Calcs!$AC$5:$AG$51, MATCH('Rotation Assembler'!$A64, Calcs!$AC$5:$AC$51, 0), MATCH('Rotation Assembler'!BC$32, Calcs!$AC$5:$AG$5, 0))</f>
        <v>#N/A</v>
      </c>
      <c r="BD64" s="126" t="e">
        <f>INDEX(Calcs!$AC$5:$AG$51, MATCH('Rotation Assembler'!$A64, Calcs!$AC$5:$AC$51, 0), MATCH('Rotation Assembler'!BD$32, Calcs!$AC$5:$AG$5, 0))</f>
        <v>#N/A</v>
      </c>
      <c r="BE64" s="126" t="e">
        <f>INDEX(Calcs!$AC$5:$AG$51, MATCH('Rotation Assembler'!$A64, Calcs!$AC$5:$AC$51, 0), MATCH('Rotation Assembler'!BE$32, Calcs!$AC$5:$AG$5, 0))</f>
        <v>#N/A</v>
      </c>
      <c r="BF64" s="126" t="e">
        <f>INDEX(Calcs!$AC$5:$AG$51, MATCH('Rotation Assembler'!$A64, Calcs!$AC$5:$AC$51, 0), MATCH('Rotation Assembler'!BF$32, Calcs!$AC$5:$AG$5, 0))</f>
        <v>#N/A</v>
      </c>
      <c r="BG64" s="126" t="e">
        <f>INDEX(Calcs!$AC$5:$AG$51, MATCH('Rotation Assembler'!$A64, Calcs!$AC$5:$AC$51, 0), MATCH('Rotation Assembler'!BG$32, Calcs!$AC$5:$AG$5, 0))</f>
        <v>#N/A</v>
      </c>
      <c r="BH64" s="126" t="e">
        <f>INDEX(Calcs!$AC$5:$AG$51, MATCH('Rotation Assembler'!$A64, Calcs!$AC$5:$AC$51, 0), MATCH('Rotation Assembler'!BH$32, Calcs!$AC$5:$AG$5, 0))</f>
        <v>#N/A</v>
      </c>
      <c r="BI64" s="126"/>
      <c r="BJ64" s="126"/>
      <c r="BK64" s="126"/>
      <c r="BL64" s="126"/>
      <c r="BM64" s="126"/>
      <c r="BN64" s="126"/>
      <c r="BO64" s="126"/>
      <c r="BP64" s="126"/>
      <c r="BQ64" s="126"/>
      <c r="BR64" s="126"/>
      <c r="BS64" s="126"/>
      <c r="BT64" s="126"/>
      <c r="BU64" s="126"/>
      <c r="BV64" s="126"/>
      <c r="BW64" s="126"/>
      <c r="BX64" s="126"/>
      <c r="BY64" s="126"/>
      <c r="BZ64" s="126"/>
      <c r="CA64" s="126"/>
      <c r="CB64" s="126"/>
      <c r="CC64" s="126"/>
      <c r="CD64" s="126"/>
      <c r="CE64" s="126"/>
      <c r="CF64" s="126"/>
      <c r="CG64" s="126"/>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row>
    <row r="65" spans="1:107" hidden="1" outlineLevel="1" x14ac:dyDescent="0.25">
      <c r="A65" s="122" t="s">
        <v>453</v>
      </c>
      <c r="B65" s="126">
        <f>INDEX(Calcs!$AC$5:$AG$51, MATCH('Rotation Assembler'!$A65, Calcs!$AC$5:$AC$51, 0), MATCH('Rotation Assembler'!B$32, Calcs!$AC$5:$AG$5, 0))</f>
        <v>0</v>
      </c>
      <c r="C65" s="126">
        <f>INDEX(Calcs!$AC$5:$AG$51, MATCH('Rotation Assembler'!$A65, Calcs!$AC$5:$AC$51, 0), MATCH('Rotation Assembler'!C$32, Calcs!$AC$5:$AG$5, 0))</f>
        <v>0</v>
      </c>
      <c r="D65" s="126">
        <f>INDEX(Calcs!$AC$5:$AG$51, MATCH('Rotation Assembler'!$A65, Calcs!$AC$5:$AC$51, 0), MATCH('Rotation Assembler'!D$32, Calcs!$AC$5:$AG$5, 0))</f>
        <v>0</v>
      </c>
      <c r="E65" s="126">
        <f>INDEX(Calcs!$AC$5:$AG$51, MATCH('Rotation Assembler'!$A65, Calcs!$AC$5:$AC$51, 0), MATCH('Rotation Assembler'!E$32, Calcs!$AC$5:$AG$5, 0))</f>
        <v>0</v>
      </c>
      <c r="F65" s="126">
        <f>INDEX(Calcs!$AC$5:$AG$51, MATCH('Rotation Assembler'!$A65, Calcs!$AC$5:$AC$51, 0), MATCH('Rotation Assembler'!F$32, Calcs!$AC$5:$AG$5, 0))</f>
        <v>0</v>
      </c>
      <c r="G65" s="126">
        <f>INDEX(Calcs!$AC$5:$AG$51, MATCH('Rotation Assembler'!$A65, Calcs!$AC$5:$AC$51, 0), MATCH('Rotation Assembler'!G$32, Calcs!$AC$5:$AG$5, 0))</f>
        <v>0</v>
      </c>
      <c r="H65" s="126">
        <f>INDEX(Calcs!$AC$5:$AG$51, MATCH('Rotation Assembler'!$A65, Calcs!$AC$5:$AC$51, 0), MATCH('Rotation Assembler'!H$32, Calcs!$AC$5:$AG$5, 0))</f>
        <v>0</v>
      </c>
      <c r="I65" s="126">
        <f>INDEX(Calcs!$AC$5:$AG$51, MATCH('Rotation Assembler'!$A65, Calcs!$AC$5:$AC$51, 0), MATCH('Rotation Assembler'!I$32, Calcs!$AC$5:$AG$5, 0))</f>
        <v>0</v>
      </c>
      <c r="J65" s="126">
        <f>INDEX(Calcs!$AC$5:$AG$51, MATCH('Rotation Assembler'!$A65, Calcs!$AC$5:$AC$51, 0), MATCH('Rotation Assembler'!J$32, Calcs!$AC$5:$AG$5, 0))</f>
        <v>0</v>
      </c>
      <c r="K65" s="126">
        <f>INDEX(Calcs!$AC$5:$AG$51, MATCH('Rotation Assembler'!$A65, Calcs!$AC$5:$AC$51, 0), MATCH('Rotation Assembler'!K$32, Calcs!$AC$5:$AG$5, 0))</f>
        <v>0</v>
      </c>
      <c r="L65" s="126">
        <f>INDEX(Calcs!$AC$5:$AG$51, MATCH('Rotation Assembler'!$A65, Calcs!$AC$5:$AC$51, 0), MATCH('Rotation Assembler'!L$32, Calcs!$AC$5:$AG$5, 0))</f>
        <v>0</v>
      </c>
      <c r="M65" s="126">
        <f>INDEX(Calcs!$AC$5:$AG$51, MATCH('Rotation Assembler'!$A65, Calcs!$AC$5:$AC$51, 0), MATCH('Rotation Assembler'!M$32, Calcs!$AC$5:$AG$5, 0))</f>
        <v>0</v>
      </c>
      <c r="N65" s="126">
        <f>INDEX(Calcs!$AC$5:$AG$51, MATCH('Rotation Assembler'!$A65, Calcs!$AC$5:$AC$51, 0), MATCH('Rotation Assembler'!N$32, Calcs!$AC$5:$AG$5, 0))</f>
        <v>0</v>
      </c>
      <c r="O65" s="126">
        <f>INDEX(Calcs!$AC$5:$AG$51, MATCH('Rotation Assembler'!$A65, Calcs!$AC$5:$AC$51, 0), MATCH('Rotation Assembler'!O$32, Calcs!$AC$5:$AG$5, 0))</f>
        <v>0</v>
      </c>
      <c r="P65" s="126">
        <f>INDEX(Calcs!$AC$5:$AG$51, MATCH('Rotation Assembler'!$A65, Calcs!$AC$5:$AC$51, 0), MATCH('Rotation Assembler'!P$32, Calcs!$AC$5:$AG$5, 0))</f>
        <v>0</v>
      </c>
      <c r="Q65" s="126">
        <f>INDEX(Calcs!$AC$5:$AG$51, MATCH('Rotation Assembler'!$A65, Calcs!$AC$5:$AC$51, 0), MATCH('Rotation Assembler'!Q$32, Calcs!$AC$5:$AG$5, 0))</f>
        <v>0</v>
      </c>
      <c r="R65" s="126">
        <f>INDEX(Calcs!$AC$5:$AG$51, MATCH('Rotation Assembler'!$A65, Calcs!$AC$5:$AC$51, 0), MATCH('Rotation Assembler'!R$32, Calcs!$AC$5:$AG$5, 0))</f>
        <v>0</v>
      </c>
      <c r="S65" s="126">
        <f>INDEX(Calcs!$AC$5:$AG$51, MATCH('Rotation Assembler'!$A65, Calcs!$AC$5:$AC$51, 0), MATCH('Rotation Assembler'!S$32, Calcs!$AC$5:$AG$5, 0))</f>
        <v>0</v>
      </c>
      <c r="T65" s="126">
        <f>INDEX(Calcs!$AC$5:$AG$51, MATCH('Rotation Assembler'!$A65, Calcs!$AC$5:$AC$51, 0), MATCH('Rotation Assembler'!T$32, Calcs!$AC$5:$AG$5, 0))</f>
        <v>0</v>
      </c>
      <c r="U65" s="126">
        <f>INDEX(Calcs!$AC$5:$AG$51, MATCH('Rotation Assembler'!$A65, Calcs!$AC$5:$AC$51, 0), MATCH('Rotation Assembler'!U$32, Calcs!$AC$5:$AG$5, 0))</f>
        <v>0</v>
      </c>
      <c r="V65" s="126">
        <f>INDEX(Calcs!$AC$5:$AG$51, MATCH('Rotation Assembler'!$A65, Calcs!$AC$5:$AC$51, 0), MATCH('Rotation Assembler'!V$32, Calcs!$AC$5:$AG$5, 0))</f>
        <v>0</v>
      </c>
      <c r="W65" s="126">
        <f>INDEX(Calcs!$AC$5:$AG$51, MATCH('Rotation Assembler'!$A65, Calcs!$AC$5:$AC$51, 0), MATCH('Rotation Assembler'!W$32, Calcs!$AC$5:$AG$5, 0))</f>
        <v>0</v>
      </c>
      <c r="X65" s="126">
        <f>INDEX(Calcs!$AC$5:$AG$51, MATCH('Rotation Assembler'!$A65, Calcs!$AC$5:$AC$51, 0), MATCH('Rotation Assembler'!X$32, Calcs!$AC$5:$AG$5, 0))</f>
        <v>0</v>
      </c>
      <c r="Y65" s="126">
        <f>INDEX(Calcs!$AC$5:$AG$51, MATCH('Rotation Assembler'!$A65, Calcs!$AC$5:$AC$51, 0), MATCH('Rotation Assembler'!Y$32, Calcs!$AC$5:$AG$5, 0))</f>
        <v>0</v>
      </c>
      <c r="Z65" s="126">
        <f>INDEX(Calcs!$AC$5:$AG$51, MATCH('Rotation Assembler'!$A65, Calcs!$AC$5:$AC$51, 0), MATCH('Rotation Assembler'!Z$32, Calcs!$AC$5:$AG$5, 0))</f>
        <v>0</v>
      </c>
      <c r="AA65" s="126">
        <f>INDEX(Calcs!$AC$5:$AG$51, MATCH('Rotation Assembler'!$A65, Calcs!$AC$5:$AC$51, 0), MATCH('Rotation Assembler'!AA$32, Calcs!$AC$5:$AG$5, 0))</f>
        <v>0</v>
      </c>
      <c r="AB65" s="126">
        <f>INDEX(Calcs!$AC$5:$AG$51, MATCH('Rotation Assembler'!$A65, Calcs!$AC$5:$AC$51, 0), MATCH('Rotation Assembler'!AB$32, Calcs!$AC$5:$AG$5, 0))</f>
        <v>0</v>
      </c>
      <c r="AC65" s="126">
        <f>INDEX(Calcs!$AC$5:$AG$51, MATCH('Rotation Assembler'!$A65, Calcs!$AC$5:$AC$51, 0), MATCH('Rotation Assembler'!AC$32, Calcs!$AC$5:$AG$5, 0))</f>
        <v>0</v>
      </c>
      <c r="AD65" s="126">
        <f>INDEX(Calcs!$AC$5:$AG$51, MATCH('Rotation Assembler'!$A65, Calcs!$AC$5:$AC$51, 0), MATCH('Rotation Assembler'!AD$32, Calcs!$AC$5:$AG$5, 0))</f>
        <v>0</v>
      </c>
      <c r="AE65" s="126">
        <f>INDEX(Calcs!$AC$5:$AG$51, MATCH('Rotation Assembler'!$A65, Calcs!$AC$5:$AC$51, 0), MATCH('Rotation Assembler'!AE$32, Calcs!$AC$5:$AG$5, 0))</f>
        <v>0</v>
      </c>
      <c r="AF65" s="126">
        <f>INDEX(Calcs!$AC$5:$AG$51, MATCH('Rotation Assembler'!$A65, Calcs!$AC$5:$AC$51, 0), MATCH('Rotation Assembler'!AF$32, Calcs!$AC$5:$AG$5, 0))</f>
        <v>0</v>
      </c>
      <c r="AG65" s="126">
        <f>INDEX(Calcs!$AC$5:$AG$51, MATCH('Rotation Assembler'!$A65, Calcs!$AC$5:$AC$51, 0), MATCH('Rotation Assembler'!AG$32, Calcs!$AC$5:$AG$5, 0))</f>
        <v>0</v>
      </c>
      <c r="AH65" s="126">
        <f>INDEX(Calcs!$AC$5:$AG$51, MATCH('Rotation Assembler'!$A65, Calcs!$AC$5:$AC$51, 0), MATCH('Rotation Assembler'!AH$32, Calcs!$AC$5:$AG$5, 0))</f>
        <v>0</v>
      </c>
      <c r="AI65" s="126">
        <f>INDEX(Calcs!$AC$5:$AG$51, MATCH('Rotation Assembler'!$A65, Calcs!$AC$5:$AC$51, 0), MATCH('Rotation Assembler'!AI$32, Calcs!$AC$5:$AG$5, 0))</f>
        <v>0</v>
      </c>
      <c r="AJ65" s="126" t="e">
        <f>INDEX(Calcs!$AC$5:$AG$51, MATCH('Rotation Assembler'!$A65, Calcs!$AC$5:$AC$51, 0), MATCH('Rotation Assembler'!AJ$32, Calcs!$AC$5:$AG$5, 0))</f>
        <v>#N/A</v>
      </c>
      <c r="AK65" s="126" t="e">
        <f>INDEX(Calcs!$AC$5:$AG$51, MATCH('Rotation Assembler'!$A65, Calcs!$AC$5:$AC$51, 0), MATCH('Rotation Assembler'!AK$32, Calcs!$AC$5:$AG$5, 0))</f>
        <v>#N/A</v>
      </c>
      <c r="AL65" s="126" t="e">
        <f>INDEX(Calcs!$AC$5:$AG$51, MATCH('Rotation Assembler'!$A65, Calcs!$AC$5:$AC$51, 0), MATCH('Rotation Assembler'!AL$32, Calcs!$AC$5:$AG$5, 0))</f>
        <v>#N/A</v>
      </c>
      <c r="AM65" s="126" t="e">
        <f>INDEX(Calcs!$AC$5:$AG$51, MATCH('Rotation Assembler'!$A65, Calcs!$AC$5:$AC$51, 0), MATCH('Rotation Assembler'!AM$32, Calcs!$AC$5:$AG$5, 0))</f>
        <v>#N/A</v>
      </c>
      <c r="AN65" s="126" t="e">
        <f>INDEX(Calcs!$AC$5:$AG$51, MATCH('Rotation Assembler'!$A65, Calcs!$AC$5:$AC$51, 0), MATCH('Rotation Assembler'!AN$32, Calcs!$AC$5:$AG$5, 0))</f>
        <v>#N/A</v>
      </c>
      <c r="AO65" s="126" t="e">
        <f>INDEX(Calcs!$AC$5:$AG$51, MATCH('Rotation Assembler'!$A65, Calcs!$AC$5:$AC$51, 0), MATCH('Rotation Assembler'!AO$32, Calcs!$AC$5:$AG$5, 0))</f>
        <v>#N/A</v>
      </c>
      <c r="AP65" s="126" t="e">
        <f>INDEX(Calcs!$AC$5:$AG$51, MATCH('Rotation Assembler'!$A65, Calcs!$AC$5:$AC$51, 0), MATCH('Rotation Assembler'!AP$32, Calcs!$AC$5:$AG$5, 0))</f>
        <v>#N/A</v>
      </c>
      <c r="AQ65" s="126" t="e">
        <f>INDEX(Calcs!$AC$5:$AG$51, MATCH('Rotation Assembler'!$A65, Calcs!$AC$5:$AC$51, 0), MATCH('Rotation Assembler'!AQ$32, Calcs!$AC$5:$AG$5, 0))</f>
        <v>#N/A</v>
      </c>
      <c r="AR65" s="126" t="e">
        <f>INDEX(Calcs!$AC$5:$AG$51, MATCH('Rotation Assembler'!$A65, Calcs!$AC$5:$AC$51, 0), MATCH('Rotation Assembler'!AR$32, Calcs!$AC$5:$AG$5, 0))</f>
        <v>#N/A</v>
      </c>
      <c r="AS65" s="126" t="e">
        <f>INDEX(Calcs!$AC$5:$AG$51, MATCH('Rotation Assembler'!$A65, Calcs!$AC$5:$AC$51, 0), MATCH('Rotation Assembler'!AS$32, Calcs!$AC$5:$AG$5, 0))</f>
        <v>#N/A</v>
      </c>
      <c r="AT65" s="126" t="e">
        <f>INDEX(Calcs!$AC$5:$AG$51, MATCH('Rotation Assembler'!$A65, Calcs!$AC$5:$AC$51, 0), MATCH('Rotation Assembler'!AT$32, Calcs!$AC$5:$AG$5, 0))</f>
        <v>#N/A</v>
      </c>
      <c r="AU65" s="126" t="e">
        <f>INDEX(Calcs!$AC$5:$AG$51, MATCH('Rotation Assembler'!$A65, Calcs!$AC$5:$AC$51, 0), MATCH('Rotation Assembler'!AU$32, Calcs!$AC$5:$AG$5, 0))</f>
        <v>#N/A</v>
      </c>
      <c r="AV65" s="126" t="e">
        <f>INDEX(Calcs!$AC$5:$AG$51, MATCH('Rotation Assembler'!$A65, Calcs!$AC$5:$AC$51, 0), MATCH('Rotation Assembler'!AV$32, Calcs!$AC$5:$AG$5, 0))</f>
        <v>#N/A</v>
      </c>
      <c r="AW65" s="126" t="e">
        <f>INDEX(Calcs!$AC$5:$AG$51, MATCH('Rotation Assembler'!$A65, Calcs!$AC$5:$AC$51, 0), MATCH('Rotation Assembler'!AW$32, Calcs!$AC$5:$AG$5, 0))</f>
        <v>#N/A</v>
      </c>
      <c r="AX65" s="126" t="e">
        <f>INDEX(Calcs!$AC$5:$AG$51, MATCH('Rotation Assembler'!$A65, Calcs!$AC$5:$AC$51, 0), MATCH('Rotation Assembler'!AX$32, Calcs!$AC$5:$AG$5, 0))</f>
        <v>#N/A</v>
      </c>
      <c r="AY65" s="126" t="e">
        <f>INDEX(Calcs!$AC$5:$AG$51, MATCH('Rotation Assembler'!$A65, Calcs!$AC$5:$AC$51, 0), MATCH('Rotation Assembler'!AY$32, Calcs!$AC$5:$AG$5, 0))</f>
        <v>#N/A</v>
      </c>
      <c r="AZ65" s="126" t="e">
        <f>INDEX(Calcs!$AC$5:$AG$51, MATCH('Rotation Assembler'!$A65, Calcs!$AC$5:$AC$51, 0), MATCH('Rotation Assembler'!AZ$32, Calcs!$AC$5:$AG$5, 0))</f>
        <v>#N/A</v>
      </c>
      <c r="BA65" s="126" t="e">
        <f>INDEX(Calcs!$AC$5:$AG$51, MATCH('Rotation Assembler'!$A65, Calcs!$AC$5:$AC$51, 0), MATCH('Rotation Assembler'!BA$32, Calcs!$AC$5:$AG$5, 0))</f>
        <v>#N/A</v>
      </c>
      <c r="BB65" s="126" t="e">
        <f>INDEX(Calcs!$AC$5:$AG$51, MATCH('Rotation Assembler'!$A65, Calcs!$AC$5:$AC$51, 0), MATCH('Rotation Assembler'!BB$32, Calcs!$AC$5:$AG$5, 0))</f>
        <v>#N/A</v>
      </c>
      <c r="BC65" s="126" t="e">
        <f>INDEX(Calcs!$AC$5:$AG$51, MATCH('Rotation Assembler'!$A65, Calcs!$AC$5:$AC$51, 0), MATCH('Rotation Assembler'!BC$32, Calcs!$AC$5:$AG$5, 0))</f>
        <v>#N/A</v>
      </c>
      <c r="BD65" s="126" t="e">
        <f>INDEX(Calcs!$AC$5:$AG$51, MATCH('Rotation Assembler'!$A65, Calcs!$AC$5:$AC$51, 0), MATCH('Rotation Assembler'!BD$32, Calcs!$AC$5:$AG$5, 0))</f>
        <v>#N/A</v>
      </c>
      <c r="BE65" s="126" t="e">
        <f>INDEX(Calcs!$AC$5:$AG$51, MATCH('Rotation Assembler'!$A65, Calcs!$AC$5:$AC$51, 0), MATCH('Rotation Assembler'!BE$32, Calcs!$AC$5:$AG$5, 0))</f>
        <v>#N/A</v>
      </c>
      <c r="BF65" s="126" t="e">
        <f>INDEX(Calcs!$AC$5:$AG$51, MATCH('Rotation Assembler'!$A65, Calcs!$AC$5:$AC$51, 0), MATCH('Rotation Assembler'!BF$32, Calcs!$AC$5:$AG$5, 0))</f>
        <v>#N/A</v>
      </c>
      <c r="BG65" s="126" t="e">
        <f>INDEX(Calcs!$AC$5:$AG$51, MATCH('Rotation Assembler'!$A65, Calcs!$AC$5:$AC$51, 0), MATCH('Rotation Assembler'!BG$32, Calcs!$AC$5:$AG$5, 0))</f>
        <v>#N/A</v>
      </c>
      <c r="BH65" s="126" t="e">
        <f>INDEX(Calcs!$AC$5:$AG$51, MATCH('Rotation Assembler'!$A65, Calcs!$AC$5:$AC$51, 0), MATCH('Rotation Assembler'!BH$32, Calcs!$AC$5:$AG$5, 0))</f>
        <v>#N/A</v>
      </c>
      <c r="BI65" s="126"/>
      <c r="BJ65" s="126"/>
      <c r="BK65" s="126"/>
      <c r="BL65" s="126"/>
      <c r="BM65" s="126"/>
      <c r="BN65" s="126"/>
      <c r="BO65" s="126"/>
      <c r="BP65" s="126"/>
      <c r="BQ65" s="126"/>
      <c r="BR65" s="126"/>
      <c r="BS65" s="126"/>
      <c r="BT65" s="126"/>
      <c r="BU65" s="126"/>
      <c r="BV65" s="126"/>
      <c r="BW65" s="126"/>
      <c r="BX65" s="126"/>
      <c r="BY65" s="126"/>
      <c r="BZ65" s="126"/>
      <c r="CA65" s="126"/>
      <c r="CB65" s="126"/>
      <c r="CC65" s="126"/>
      <c r="CD65" s="126"/>
      <c r="CE65" s="126"/>
      <c r="CF65" s="126"/>
      <c r="CG65" s="126"/>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row>
    <row r="66" spans="1:107" hidden="1" outlineLevel="1" x14ac:dyDescent="0.25">
      <c r="A66" s="122" t="s">
        <v>93</v>
      </c>
      <c r="B66" s="126">
        <f>INDEX(Calcs!$AC$5:$AG$51, MATCH('Rotation Assembler'!$A66, Calcs!$AC$5:$AC$51, 0), MATCH('Rotation Assembler'!B$32, Calcs!$AC$5:$AG$5, 0))</f>
        <v>0</v>
      </c>
      <c r="C66" s="126">
        <f>INDEX(Calcs!$AC$5:$AG$51, MATCH('Rotation Assembler'!$A66, Calcs!$AC$5:$AC$51, 0), MATCH('Rotation Assembler'!C$32, Calcs!$AC$5:$AG$5, 0))</f>
        <v>0</v>
      </c>
      <c r="D66" s="126">
        <f>INDEX(Calcs!$AC$5:$AG$51, MATCH('Rotation Assembler'!$A66, Calcs!$AC$5:$AC$51, 0), MATCH('Rotation Assembler'!D$32, Calcs!$AC$5:$AG$5, 0))</f>
        <v>0</v>
      </c>
      <c r="E66" s="126">
        <f>INDEX(Calcs!$AC$5:$AG$51, MATCH('Rotation Assembler'!$A66, Calcs!$AC$5:$AC$51, 0), MATCH('Rotation Assembler'!E$32, Calcs!$AC$5:$AG$5, 0))</f>
        <v>0</v>
      </c>
      <c r="F66" s="126">
        <f>INDEX(Calcs!$AC$5:$AG$51, MATCH('Rotation Assembler'!$A66, Calcs!$AC$5:$AC$51, 0), MATCH('Rotation Assembler'!F$32, Calcs!$AC$5:$AG$5, 0))</f>
        <v>0</v>
      </c>
      <c r="G66" s="126">
        <f>INDEX(Calcs!$AC$5:$AG$51, MATCH('Rotation Assembler'!$A66, Calcs!$AC$5:$AC$51, 0), MATCH('Rotation Assembler'!G$32, Calcs!$AC$5:$AG$5, 0))</f>
        <v>0</v>
      </c>
      <c r="H66" s="126">
        <f>INDEX(Calcs!$AC$5:$AG$51, MATCH('Rotation Assembler'!$A66, Calcs!$AC$5:$AC$51, 0), MATCH('Rotation Assembler'!H$32, Calcs!$AC$5:$AG$5, 0))</f>
        <v>0</v>
      </c>
      <c r="I66" s="126">
        <f>INDEX(Calcs!$AC$5:$AG$51, MATCH('Rotation Assembler'!$A66, Calcs!$AC$5:$AC$51, 0), MATCH('Rotation Assembler'!I$32, Calcs!$AC$5:$AG$5, 0))</f>
        <v>0</v>
      </c>
      <c r="J66" s="126">
        <f>INDEX(Calcs!$AC$5:$AG$51, MATCH('Rotation Assembler'!$A66, Calcs!$AC$5:$AC$51, 0), MATCH('Rotation Assembler'!J$32, Calcs!$AC$5:$AG$5, 0))</f>
        <v>0</v>
      </c>
      <c r="K66" s="126">
        <f>INDEX(Calcs!$AC$5:$AG$51, MATCH('Rotation Assembler'!$A66, Calcs!$AC$5:$AC$51, 0), MATCH('Rotation Assembler'!K$32, Calcs!$AC$5:$AG$5, 0))</f>
        <v>0</v>
      </c>
      <c r="L66" s="126">
        <f>INDEX(Calcs!$AC$5:$AG$51, MATCH('Rotation Assembler'!$A66, Calcs!$AC$5:$AC$51, 0), MATCH('Rotation Assembler'!L$32, Calcs!$AC$5:$AG$5, 0))</f>
        <v>0</v>
      </c>
      <c r="M66" s="126">
        <f>INDEX(Calcs!$AC$5:$AG$51, MATCH('Rotation Assembler'!$A66, Calcs!$AC$5:$AC$51, 0), MATCH('Rotation Assembler'!M$32, Calcs!$AC$5:$AG$5, 0))</f>
        <v>0</v>
      </c>
      <c r="N66" s="126">
        <f>INDEX(Calcs!$AC$5:$AG$51, MATCH('Rotation Assembler'!$A66, Calcs!$AC$5:$AC$51, 0), MATCH('Rotation Assembler'!N$32, Calcs!$AC$5:$AG$5, 0))</f>
        <v>0</v>
      </c>
      <c r="O66" s="126">
        <f>INDEX(Calcs!$AC$5:$AG$51, MATCH('Rotation Assembler'!$A66, Calcs!$AC$5:$AC$51, 0), MATCH('Rotation Assembler'!O$32, Calcs!$AC$5:$AG$5, 0))</f>
        <v>0</v>
      </c>
      <c r="P66" s="126">
        <f>INDEX(Calcs!$AC$5:$AG$51, MATCH('Rotation Assembler'!$A66, Calcs!$AC$5:$AC$51, 0), MATCH('Rotation Assembler'!P$32, Calcs!$AC$5:$AG$5, 0))</f>
        <v>0</v>
      </c>
      <c r="Q66" s="126">
        <f>INDEX(Calcs!$AC$5:$AG$51, MATCH('Rotation Assembler'!$A66, Calcs!$AC$5:$AC$51, 0), MATCH('Rotation Assembler'!Q$32, Calcs!$AC$5:$AG$5, 0))</f>
        <v>0</v>
      </c>
      <c r="R66" s="126">
        <f>INDEX(Calcs!$AC$5:$AG$51, MATCH('Rotation Assembler'!$A66, Calcs!$AC$5:$AC$51, 0), MATCH('Rotation Assembler'!R$32, Calcs!$AC$5:$AG$5, 0))</f>
        <v>0</v>
      </c>
      <c r="S66" s="126">
        <f>INDEX(Calcs!$AC$5:$AG$51, MATCH('Rotation Assembler'!$A66, Calcs!$AC$5:$AC$51, 0), MATCH('Rotation Assembler'!S$32, Calcs!$AC$5:$AG$5, 0))</f>
        <v>0</v>
      </c>
      <c r="T66" s="126">
        <f>INDEX(Calcs!$AC$5:$AG$51, MATCH('Rotation Assembler'!$A66, Calcs!$AC$5:$AC$51, 0), MATCH('Rotation Assembler'!T$32, Calcs!$AC$5:$AG$5, 0))</f>
        <v>0</v>
      </c>
      <c r="U66" s="126">
        <f>INDEX(Calcs!$AC$5:$AG$51, MATCH('Rotation Assembler'!$A66, Calcs!$AC$5:$AC$51, 0), MATCH('Rotation Assembler'!U$32, Calcs!$AC$5:$AG$5, 0))</f>
        <v>0</v>
      </c>
      <c r="V66" s="126">
        <f>INDEX(Calcs!$AC$5:$AG$51, MATCH('Rotation Assembler'!$A66, Calcs!$AC$5:$AC$51, 0), MATCH('Rotation Assembler'!V$32, Calcs!$AC$5:$AG$5, 0))</f>
        <v>0</v>
      </c>
      <c r="W66" s="126">
        <f>INDEX(Calcs!$AC$5:$AG$51, MATCH('Rotation Assembler'!$A66, Calcs!$AC$5:$AC$51, 0), MATCH('Rotation Assembler'!W$32, Calcs!$AC$5:$AG$5, 0))</f>
        <v>0</v>
      </c>
      <c r="X66" s="126">
        <f>INDEX(Calcs!$AC$5:$AG$51, MATCH('Rotation Assembler'!$A66, Calcs!$AC$5:$AC$51, 0), MATCH('Rotation Assembler'!X$32, Calcs!$AC$5:$AG$5, 0))</f>
        <v>0</v>
      </c>
      <c r="Y66" s="126">
        <f>INDEX(Calcs!$AC$5:$AG$51, MATCH('Rotation Assembler'!$A66, Calcs!$AC$5:$AC$51, 0), MATCH('Rotation Assembler'!Y$32, Calcs!$AC$5:$AG$5, 0))</f>
        <v>0</v>
      </c>
      <c r="Z66" s="126">
        <f>INDEX(Calcs!$AC$5:$AG$51, MATCH('Rotation Assembler'!$A66, Calcs!$AC$5:$AC$51, 0), MATCH('Rotation Assembler'!Z$32, Calcs!$AC$5:$AG$5, 0))</f>
        <v>0</v>
      </c>
      <c r="AA66" s="126">
        <f>INDEX(Calcs!$AC$5:$AG$51, MATCH('Rotation Assembler'!$A66, Calcs!$AC$5:$AC$51, 0), MATCH('Rotation Assembler'!AA$32, Calcs!$AC$5:$AG$5, 0))</f>
        <v>0</v>
      </c>
      <c r="AB66" s="126">
        <f>INDEX(Calcs!$AC$5:$AG$51, MATCH('Rotation Assembler'!$A66, Calcs!$AC$5:$AC$51, 0), MATCH('Rotation Assembler'!AB$32, Calcs!$AC$5:$AG$5, 0))</f>
        <v>0</v>
      </c>
      <c r="AC66" s="126">
        <f>INDEX(Calcs!$AC$5:$AG$51, MATCH('Rotation Assembler'!$A66, Calcs!$AC$5:$AC$51, 0), MATCH('Rotation Assembler'!AC$32, Calcs!$AC$5:$AG$5, 0))</f>
        <v>0</v>
      </c>
      <c r="AD66" s="126">
        <f>INDEX(Calcs!$AC$5:$AG$51, MATCH('Rotation Assembler'!$A66, Calcs!$AC$5:$AC$51, 0), MATCH('Rotation Assembler'!AD$32, Calcs!$AC$5:$AG$5, 0))</f>
        <v>0</v>
      </c>
      <c r="AE66" s="126">
        <f>INDEX(Calcs!$AC$5:$AG$51, MATCH('Rotation Assembler'!$A66, Calcs!$AC$5:$AC$51, 0), MATCH('Rotation Assembler'!AE$32, Calcs!$AC$5:$AG$5, 0))</f>
        <v>0</v>
      </c>
      <c r="AF66" s="126">
        <f>INDEX(Calcs!$AC$5:$AG$51, MATCH('Rotation Assembler'!$A66, Calcs!$AC$5:$AC$51, 0), MATCH('Rotation Assembler'!AF$32, Calcs!$AC$5:$AG$5, 0))</f>
        <v>0</v>
      </c>
      <c r="AG66" s="126">
        <f>INDEX(Calcs!$AC$5:$AG$51, MATCH('Rotation Assembler'!$A66, Calcs!$AC$5:$AC$51, 0), MATCH('Rotation Assembler'!AG$32, Calcs!$AC$5:$AG$5, 0))</f>
        <v>0</v>
      </c>
      <c r="AH66" s="126">
        <f>INDEX(Calcs!$AC$5:$AG$51, MATCH('Rotation Assembler'!$A66, Calcs!$AC$5:$AC$51, 0), MATCH('Rotation Assembler'!AH$32, Calcs!$AC$5:$AG$5, 0))</f>
        <v>0</v>
      </c>
      <c r="AI66" s="126">
        <f>INDEX(Calcs!$AC$5:$AG$51, MATCH('Rotation Assembler'!$A66, Calcs!$AC$5:$AC$51, 0), MATCH('Rotation Assembler'!AI$32, Calcs!$AC$5:$AG$5, 0))</f>
        <v>0</v>
      </c>
      <c r="AJ66" s="126" t="e">
        <f>INDEX(Calcs!$AC$5:$AG$51, MATCH('Rotation Assembler'!$A66, Calcs!$AC$5:$AC$51, 0), MATCH('Rotation Assembler'!AJ$32, Calcs!$AC$5:$AG$5, 0))</f>
        <v>#N/A</v>
      </c>
      <c r="AK66" s="126" t="e">
        <f>INDEX(Calcs!$AC$5:$AG$51, MATCH('Rotation Assembler'!$A66, Calcs!$AC$5:$AC$51, 0), MATCH('Rotation Assembler'!AK$32, Calcs!$AC$5:$AG$5, 0))</f>
        <v>#N/A</v>
      </c>
      <c r="AL66" s="126" t="e">
        <f>INDEX(Calcs!$AC$5:$AG$51, MATCH('Rotation Assembler'!$A66, Calcs!$AC$5:$AC$51, 0), MATCH('Rotation Assembler'!AL$32, Calcs!$AC$5:$AG$5, 0))</f>
        <v>#N/A</v>
      </c>
      <c r="AM66" s="126" t="e">
        <f>INDEX(Calcs!$AC$5:$AG$51, MATCH('Rotation Assembler'!$A66, Calcs!$AC$5:$AC$51, 0), MATCH('Rotation Assembler'!AM$32, Calcs!$AC$5:$AG$5, 0))</f>
        <v>#N/A</v>
      </c>
      <c r="AN66" s="126" t="e">
        <f>INDEX(Calcs!$AC$5:$AG$51, MATCH('Rotation Assembler'!$A66, Calcs!$AC$5:$AC$51, 0), MATCH('Rotation Assembler'!AN$32, Calcs!$AC$5:$AG$5, 0))</f>
        <v>#N/A</v>
      </c>
      <c r="AO66" s="126" t="e">
        <f>INDEX(Calcs!$AC$5:$AG$51, MATCH('Rotation Assembler'!$A66, Calcs!$AC$5:$AC$51, 0), MATCH('Rotation Assembler'!AO$32, Calcs!$AC$5:$AG$5, 0))</f>
        <v>#N/A</v>
      </c>
      <c r="AP66" s="126" t="e">
        <f>INDEX(Calcs!$AC$5:$AG$51, MATCH('Rotation Assembler'!$A66, Calcs!$AC$5:$AC$51, 0), MATCH('Rotation Assembler'!AP$32, Calcs!$AC$5:$AG$5, 0))</f>
        <v>#N/A</v>
      </c>
      <c r="AQ66" s="126" t="e">
        <f>INDEX(Calcs!$AC$5:$AG$51, MATCH('Rotation Assembler'!$A66, Calcs!$AC$5:$AC$51, 0), MATCH('Rotation Assembler'!AQ$32, Calcs!$AC$5:$AG$5, 0))</f>
        <v>#N/A</v>
      </c>
      <c r="AR66" s="126" t="e">
        <f>INDEX(Calcs!$AC$5:$AG$51, MATCH('Rotation Assembler'!$A66, Calcs!$AC$5:$AC$51, 0), MATCH('Rotation Assembler'!AR$32, Calcs!$AC$5:$AG$5, 0))</f>
        <v>#N/A</v>
      </c>
      <c r="AS66" s="126" t="e">
        <f>INDEX(Calcs!$AC$5:$AG$51, MATCH('Rotation Assembler'!$A66, Calcs!$AC$5:$AC$51, 0), MATCH('Rotation Assembler'!AS$32, Calcs!$AC$5:$AG$5, 0))</f>
        <v>#N/A</v>
      </c>
      <c r="AT66" s="126" t="e">
        <f>INDEX(Calcs!$AC$5:$AG$51, MATCH('Rotation Assembler'!$A66, Calcs!$AC$5:$AC$51, 0), MATCH('Rotation Assembler'!AT$32, Calcs!$AC$5:$AG$5, 0))</f>
        <v>#N/A</v>
      </c>
      <c r="AU66" s="126" t="e">
        <f>INDEX(Calcs!$AC$5:$AG$51, MATCH('Rotation Assembler'!$A66, Calcs!$AC$5:$AC$51, 0), MATCH('Rotation Assembler'!AU$32, Calcs!$AC$5:$AG$5, 0))</f>
        <v>#N/A</v>
      </c>
      <c r="AV66" s="126" t="e">
        <f>INDEX(Calcs!$AC$5:$AG$51, MATCH('Rotation Assembler'!$A66, Calcs!$AC$5:$AC$51, 0), MATCH('Rotation Assembler'!AV$32, Calcs!$AC$5:$AG$5, 0))</f>
        <v>#N/A</v>
      </c>
      <c r="AW66" s="126" t="e">
        <f>INDEX(Calcs!$AC$5:$AG$51, MATCH('Rotation Assembler'!$A66, Calcs!$AC$5:$AC$51, 0), MATCH('Rotation Assembler'!AW$32, Calcs!$AC$5:$AG$5, 0))</f>
        <v>#N/A</v>
      </c>
      <c r="AX66" s="126" t="e">
        <f>INDEX(Calcs!$AC$5:$AG$51, MATCH('Rotation Assembler'!$A66, Calcs!$AC$5:$AC$51, 0), MATCH('Rotation Assembler'!AX$32, Calcs!$AC$5:$AG$5, 0))</f>
        <v>#N/A</v>
      </c>
      <c r="AY66" s="126" t="e">
        <f>INDEX(Calcs!$AC$5:$AG$51, MATCH('Rotation Assembler'!$A66, Calcs!$AC$5:$AC$51, 0), MATCH('Rotation Assembler'!AY$32, Calcs!$AC$5:$AG$5, 0))</f>
        <v>#N/A</v>
      </c>
      <c r="AZ66" s="126" t="e">
        <f>INDEX(Calcs!$AC$5:$AG$51, MATCH('Rotation Assembler'!$A66, Calcs!$AC$5:$AC$51, 0), MATCH('Rotation Assembler'!AZ$32, Calcs!$AC$5:$AG$5, 0))</f>
        <v>#N/A</v>
      </c>
      <c r="BA66" s="126" t="e">
        <f>INDEX(Calcs!$AC$5:$AG$51, MATCH('Rotation Assembler'!$A66, Calcs!$AC$5:$AC$51, 0), MATCH('Rotation Assembler'!BA$32, Calcs!$AC$5:$AG$5, 0))</f>
        <v>#N/A</v>
      </c>
      <c r="BB66" s="126" t="e">
        <f>INDEX(Calcs!$AC$5:$AG$51, MATCH('Rotation Assembler'!$A66, Calcs!$AC$5:$AC$51, 0), MATCH('Rotation Assembler'!BB$32, Calcs!$AC$5:$AG$5, 0))</f>
        <v>#N/A</v>
      </c>
      <c r="BC66" s="126" t="e">
        <f>INDEX(Calcs!$AC$5:$AG$51, MATCH('Rotation Assembler'!$A66, Calcs!$AC$5:$AC$51, 0), MATCH('Rotation Assembler'!BC$32, Calcs!$AC$5:$AG$5, 0))</f>
        <v>#N/A</v>
      </c>
      <c r="BD66" s="126" t="e">
        <f>INDEX(Calcs!$AC$5:$AG$51, MATCH('Rotation Assembler'!$A66, Calcs!$AC$5:$AC$51, 0), MATCH('Rotation Assembler'!BD$32, Calcs!$AC$5:$AG$5, 0))</f>
        <v>#N/A</v>
      </c>
      <c r="BE66" s="126" t="e">
        <f>INDEX(Calcs!$AC$5:$AG$51, MATCH('Rotation Assembler'!$A66, Calcs!$AC$5:$AC$51, 0), MATCH('Rotation Assembler'!BE$32, Calcs!$AC$5:$AG$5, 0))</f>
        <v>#N/A</v>
      </c>
      <c r="BF66" s="126" t="e">
        <f>INDEX(Calcs!$AC$5:$AG$51, MATCH('Rotation Assembler'!$A66, Calcs!$AC$5:$AC$51, 0), MATCH('Rotation Assembler'!BF$32, Calcs!$AC$5:$AG$5, 0))</f>
        <v>#N/A</v>
      </c>
      <c r="BG66" s="126" t="e">
        <f>INDEX(Calcs!$AC$5:$AG$51, MATCH('Rotation Assembler'!$A66, Calcs!$AC$5:$AC$51, 0), MATCH('Rotation Assembler'!BG$32, Calcs!$AC$5:$AG$5, 0))</f>
        <v>#N/A</v>
      </c>
      <c r="BH66" s="126" t="e">
        <f>INDEX(Calcs!$AC$5:$AG$51, MATCH('Rotation Assembler'!$A66, Calcs!$AC$5:$AC$51, 0), MATCH('Rotation Assembler'!BH$32, Calcs!$AC$5:$AG$5, 0))</f>
        <v>#N/A</v>
      </c>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row>
    <row r="67" spans="1:107" hidden="1" outlineLevel="1" x14ac:dyDescent="0.25">
      <c r="A67" s="122" t="s">
        <v>422</v>
      </c>
      <c r="B67" s="126">
        <f>INDEX(Calcs!$AC$5:$AG$51, MATCH('Rotation Assembler'!$A67, Calcs!$AC$5:$AC$51, 0), MATCH('Rotation Assembler'!B$32, Calcs!$AC$5:$AG$5, 0))</f>
        <v>0</v>
      </c>
      <c r="C67" s="126">
        <f>INDEX(Calcs!$AC$5:$AG$51, MATCH('Rotation Assembler'!$A67, Calcs!$AC$5:$AC$51, 0), MATCH('Rotation Assembler'!C$32, Calcs!$AC$5:$AG$5, 0))</f>
        <v>0</v>
      </c>
      <c r="D67" s="126">
        <f>INDEX(Calcs!$AC$5:$AG$51, MATCH('Rotation Assembler'!$A67, Calcs!$AC$5:$AC$51, 0), MATCH('Rotation Assembler'!D$32, Calcs!$AC$5:$AG$5, 0))</f>
        <v>0</v>
      </c>
      <c r="E67" s="126">
        <f>INDEX(Calcs!$AC$5:$AG$51, MATCH('Rotation Assembler'!$A67, Calcs!$AC$5:$AC$51, 0), MATCH('Rotation Assembler'!E$32, Calcs!$AC$5:$AG$5, 0))</f>
        <v>0</v>
      </c>
      <c r="F67" s="126">
        <f>INDEX(Calcs!$AC$5:$AG$51, MATCH('Rotation Assembler'!$A67, Calcs!$AC$5:$AC$51, 0), MATCH('Rotation Assembler'!F$32, Calcs!$AC$5:$AG$5, 0))</f>
        <v>0</v>
      </c>
      <c r="G67" s="126">
        <f>INDEX(Calcs!$AC$5:$AG$51, MATCH('Rotation Assembler'!$A67, Calcs!$AC$5:$AC$51, 0), MATCH('Rotation Assembler'!G$32, Calcs!$AC$5:$AG$5, 0))</f>
        <v>0</v>
      </c>
      <c r="H67" s="126">
        <f>INDEX(Calcs!$AC$5:$AG$51, MATCH('Rotation Assembler'!$A67, Calcs!$AC$5:$AC$51, 0), MATCH('Rotation Assembler'!H$32, Calcs!$AC$5:$AG$5, 0))</f>
        <v>0</v>
      </c>
      <c r="I67" s="126">
        <f>INDEX(Calcs!$AC$5:$AG$51, MATCH('Rotation Assembler'!$A67, Calcs!$AC$5:$AC$51, 0), MATCH('Rotation Assembler'!I$32, Calcs!$AC$5:$AG$5, 0))</f>
        <v>0</v>
      </c>
      <c r="J67" s="126">
        <f>INDEX(Calcs!$AC$5:$AG$51, MATCH('Rotation Assembler'!$A67, Calcs!$AC$5:$AC$51, 0), MATCH('Rotation Assembler'!J$32, Calcs!$AC$5:$AG$5, 0))</f>
        <v>0</v>
      </c>
      <c r="K67" s="126">
        <f>INDEX(Calcs!$AC$5:$AG$51, MATCH('Rotation Assembler'!$A67, Calcs!$AC$5:$AC$51, 0), MATCH('Rotation Assembler'!K$32, Calcs!$AC$5:$AG$5, 0))</f>
        <v>0</v>
      </c>
      <c r="L67" s="126">
        <f>INDEX(Calcs!$AC$5:$AG$51, MATCH('Rotation Assembler'!$A67, Calcs!$AC$5:$AC$51, 0), MATCH('Rotation Assembler'!L$32, Calcs!$AC$5:$AG$5, 0))</f>
        <v>0</v>
      </c>
      <c r="M67" s="126">
        <f>INDEX(Calcs!$AC$5:$AG$51, MATCH('Rotation Assembler'!$A67, Calcs!$AC$5:$AC$51, 0), MATCH('Rotation Assembler'!M$32, Calcs!$AC$5:$AG$5, 0))</f>
        <v>0</v>
      </c>
      <c r="N67" s="126">
        <f>INDEX(Calcs!$AC$5:$AG$51, MATCH('Rotation Assembler'!$A67, Calcs!$AC$5:$AC$51, 0), MATCH('Rotation Assembler'!N$32, Calcs!$AC$5:$AG$5, 0))</f>
        <v>0</v>
      </c>
      <c r="O67" s="126">
        <f>INDEX(Calcs!$AC$5:$AG$51, MATCH('Rotation Assembler'!$A67, Calcs!$AC$5:$AC$51, 0), MATCH('Rotation Assembler'!O$32, Calcs!$AC$5:$AG$5, 0))</f>
        <v>0</v>
      </c>
      <c r="P67" s="126">
        <f>INDEX(Calcs!$AC$5:$AG$51, MATCH('Rotation Assembler'!$A67, Calcs!$AC$5:$AC$51, 0), MATCH('Rotation Assembler'!P$32, Calcs!$AC$5:$AG$5, 0))</f>
        <v>0</v>
      </c>
      <c r="Q67" s="126">
        <f>INDEX(Calcs!$AC$5:$AG$51, MATCH('Rotation Assembler'!$A67, Calcs!$AC$5:$AC$51, 0), MATCH('Rotation Assembler'!Q$32, Calcs!$AC$5:$AG$5, 0))</f>
        <v>0</v>
      </c>
      <c r="R67" s="126">
        <f>INDEX(Calcs!$AC$5:$AG$51, MATCH('Rotation Assembler'!$A67, Calcs!$AC$5:$AC$51, 0), MATCH('Rotation Assembler'!R$32, Calcs!$AC$5:$AG$5, 0))</f>
        <v>0</v>
      </c>
      <c r="S67" s="126">
        <f>INDEX(Calcs!$AC$5:$AG$51, MATCH('Rotation Assembler'!$A67, Calcs!$AC$5:$AC$51, 0), MATCH('Rotation Assembler'!S$32, Calcs!$AC$5:$AG$5, 0))</f>
        <v>0</v>
      </c>
      <c r="T67" s="126">
        <f>INDEX(Calcs!$AC$5:$AG$51, MATCH('Rotation Assembler'!$A67, Calcs!$AC$5:$AC$51, 0), MATCH('Rotation Assembler'!T$32, Calcs!$AC$5:$AG$5, 0))</f>
        <v>0</v>
      </c>
      <c r="U67" s="126">
        <f>INDEX(Calcs!$AC$5:$AG$51, MATCH('Rotation Assembler'!$A67, Calcs!$AC$5:$AC$51, 0), MATCH('Rotation Assembler'!U$32, Calcs!$AC$5:$AG$5, 0))</f>
        <v>0</v>
      </c>
      <c r="V67" s="126">
        <f>INDEX(Calcs!$AC$5:$AG$51, MATCH('Rotation Assembler'!$A67, Calcs!$AC$5:$AC$51, 0), MATCH('Rotation Assembler'!V$32, Calcs!$AC$5:$AG$5, 0))</f>
        <v>0</v>
      </c>
      <c r="W67" s="126">
        <f>INDEX(Calcs!$AC$5:$AG$51, MATCH('Rotation Assembler'!$A67, Calcs!$AC$5:$AC$51, 0), MATCH('Rotation Assembler'!W$32, Calcs!$AC$5:$AG$5, 0))</f>
        <v>0</v>
      </c>
      <c r="X67" s="126">
        <f>INDEX(Calcs!$AC$5:$AG$51, MATCH('Rotation Assembler'!$A67, Calcs!$AC$5:$AC$51, 0), MATCH('Rotation Assembler'!X$32, Calcs!$AC$5:$AG$5, 0))</f>
        <v>0</v>
      </c>
      <c r="Y67" s="126">
        <f>INDEX(Calcs!$AC$5:$AG$51, MATCH('Rotation Assembler'!$A67, Calcs!$AC$5:$AC$51, 0), MATCH('Rotation Assembler'!Y$32, Calcs!$AC$5:$AG$5, 0))</f>
        <v>0</v>
      </c>
      <c r="Z67" s="126">
        <f>INDEX(Calcs!$AC$5:$AG$51, MATCH('Rotation Assembler'!$A67, Calcs!$AC$5:$AC$51, 0), MATCH('Rotation Assembler'!Z$32, Calcs!$AC$5:$AG$5, 0))</f>
        <v>0</v>
      </c>
      <c r="AA67" s="126">
        <f>INDEX(Calcs!$AC$5:$AG$51, MATCH('Rotation Assembler'!$A67, Calcs!$AC$5:$AC$51, 0), MATCH('Rotation Assembler'!AA$32, Calcs!$AC$5:$AG$5, 0))</f>
        <v>0</v>
      </c>
      <c r="AB67" s="126">
        <f>INDEX(Calcs!$AC$5:$AG$51, MATCH('Rotation Assembler'!$A67, Calcs!$AC$5:$AC$51, 0), MATCH('Rotation Assembler'!AB$32, Calcs!$AC$5:$AG$5, 0))</f>
        <v>0</v>
      </c>
      <c r="AC67" s="126">
        <f>INDEX(Calcs!$AC$5:$AG$51, MATCH('Rotation Assembler'!$A67, Calcs!$AC$5:$AC$51, 0), MATCH('Rotation Assembler'!AC$32, Calcs!$AC$5:$AG$5, 0))</f>
        <v>0</v>
      </c>
      <c r="AD67" s="126">
        <f>INDEX(Calcs!$AC$5:$AG$51, MATCH('Rotation Assembler'!$A67, Calcs!$AC$5:$AC$51, 0), MATCH('Rotation Assembler'!AD$32, Calcs!$AC$5:$AG$5, 0))</f>
        <v>0</v>
      </c>
      <c r="AE67" s="126">
        <f>INDEX(Calcs!$AC$5:$AG$51, MATCH('Rotation Assembler'!$A67, Calcs!$AC$5:$AC$51, 0), MATCH('Rotation Assembler'!AE$32, Calcs!$AC$5:$AG$5, 0))</f>
        <v>0</v>
      </c>
      <c r="AF67" s="126">
        <f>INDEX(Calcs!$AC$5:$AG$51, MATCH('Rotation Assembler'!$A67, Calcs!$AC$5:$AC$51, 0), MATCH('Rotation Assembler'!AF$32, Calcs!$AC$5:$AG$5, 0))</f>
        <v>0</v>
      </c>
      <c r="AG67" s="126">
        <f>INDEX(Calcs!$AC$5:$AG$51, MATCH('Rotation Assembler'!$A67, Calcs!$AC$5:$AC$51, 0), MATCH('Rotation Assembler'!AG$32, Calcs!$AC$5:$AG$5, 0))</f>
        <v>0</v>
      </c>
      <c r="AH67" s="126">
        <f>INDEX(Calcs!$AC$5:$AG$51, MATCH('Rotation Assembler'!$A67, Calcs!$AC$5:$AC$51, 0), MATCH('Rotation Assembler'!AH$32, Calcs!$AC$5:$AG$5, 0))</f>
        <v>0</v>
      </c>
      <c r="AI67" s="126">
        <f>INDEX(Calcs!$AC$5:$AG$51, MATCH('Rotation Assembler'!$A67, Calcs!$AC$5:$AC$51, 0), MATCH('Rotation Assembler'!AI$32, Calcs!$AC$5:$AG$5, 0))</f>
        <v>0</v>
      </c>
      <c r="AJ67" s="126" t="e">
        <f>INDEX(Calcs!$AC$5:$AG$51, MATCH('Rotation Assembler'!$A67, Calcs!$AC$5:$AC$51, 0), MATCH('Rotation Assembler'!AJ$32, Calcs!$AC$5:$AG$5, 0))</f>
        <v>#N/A</v>
      </c>
      <c r="AK67" s="126" t="e">
        <f>INDEX(Calcs!$AC$5:$AG$51, MATCH('Rotation Assembler'!$A67, Calcs!$AC$5:$AC$51, 0), MATCH('Rotation Assembler'!AK$32, Calcs!$AC$5:$AG$5, 0))</f>
        <v>#N/A</v>
      </c>
      <c r="AL67" s="126" t="e">
        <f>INDEX(Calcs!$AC$5:$AG$51, MATCH('Rotation Assembler'!$A67, Calcs!$AC$5:$AC$51, 0), MATCH('Rotation Assembler'!AL$32, Calcs!$AC$5:$AG$5, 0))</f>
        <v>#N/A</v>
      </c>
      <c r="AM67" s="126" t="e">
        <f>INDEX(Calcs!$AC$5:$AG$51, MATCH('Rotation Assembler'!$A67, Calcs!$AC$5:$AC$51, 0), MATCH('Rotation Assembler'!AM$32, Calcs!$AC$5:$AG$5, 0))</f>
        <v>#N/A</v>
      </c>
      <c r="AN67" s="126" t="e">
        <f>INDEX(Calcs!$AC$5:$AG$51, MATCH('Rotation Assembler'!$A67, Calcs!$AC$5:$AC$51, 0), MATCH('Rotation Assembler'!AN$32, Calcs!$AC$5:$AG$5, 0))</f>
        <v>#N/A</v>
      </c>
      <c r="AO67" s="126" t="e">
        <f>INDEX(Calcs!$AC$5:$AG$51, MATCH('Rotation Assembler'!$A67, Calcs!$AC$5:$AC$51, 0), MATCH('Rotation Assembler'!AO$32, Calcs!$AC$5:$AG$5, 0))</f>
        <v>#N/A</v>
      </c>
      <c r="AP67" s="126" t="e">
        <f>INDEX(Calcs!$AC$5:$AG$51, MATCH('Rotation Assembler'!$A67, Calcs!$AC$5:$AC$51, 0), MATCH('Rotation Assembler'!AP$32, Calcs!$AC$5:$AG$5, 0))</f>
        <v>#N/A</v>
      </c>
      <c r="AQ67" s="126" t="e">
        <f>INDEX(Calcs!$AC$5:$AG$51, MATCH('Rotation Assembler'!$A67, Calcs!$AC$5:$AC$51, 0), MATCH('Rotation Assembler'!AQ$32, Calcs!$AC$5:$AG$5, 0))</f>
        <v>#N/A</v>
      </c>
      <c r="AR67" s="126" t="e">
        <f>INDEX(Calcs!$AC$5:$AG$51, MATCH('Rotation Assembler'!$A67, Calcs!$AC$5:$AC$51, 0), MATCH('Rotation Assembler'!AR$32, Calcs!$AC$5:$AG$5, 0))</f>
        <v>#N/A</v>
      </c>
      <c r="AS67" s="126" t="e">
        <f>INDEX(Calcs!$AC$5:$AG$51, MATCH('Rotation Assembler'!$A67, Calcs!$AC$5:$AC$51, 0), MATCH('Rotation Assembler'!AS$32, Calcs!$AC$5:$AG$5, 0))</f>
        <v>#N/A</v>
      </c>
      <c r="AT67" s="126" t="e">
        <f>INDEX(Calcs!$AC$5:$AG$51, MATCH('Rotation Assembler'!$A67, Calcs!$AC$5:$AC$51, 0), MATCH('Rotation Assembler'!AT$32, Calcs!$AC$5:$AG$5, 0))</f>
        <v>#N/A</v>
      </c>
      <c r="AU67" s="126" t="e">
        <f>INDEX(Calcs!$AC$5:$AG$51, MATCH('Rotation Assembler'!$A67, Calcs!$AC$5:$AC$51, 0), MATCH('Rotation Assembler'!AU$32, Calcs!$AC$5:$AG$5, 0))</f>
        <v>#N/A</v>
      </c>
      <c r="AV67" s="126" t="e">
        <f>INDEX(Calcs!$AC$5:$AG$51, MATCH('Rotation Assembler'!$A67, Calcs!$AC$5:$AC$51, 0), MATCH('Rotation Assembler'!AV$32, Calcs!$AC$5:$AG$5, 0))</f>
        <v>#N/A</v>
      </c>
      <c r="AW67" s="126" t="e">
        <f>INDEX(Calcs!$AC$5:$AG$51, MATCH('Rotation Assembler'!$A67, Calcs!$AC$5:$AC$51, 0), MATCH('Rotation Assembler'!AW$32, Calcs!$AC$5:$AG$5, 0))</f>
        <v>#N/A</v>
      </c>
      <c r="AX67" s="126" t="e">
        <f>INDEX(Calcs!$AC$5:$AG$51, MATCH('Rotation Assembler'!$A67, Calcs!$AC$5:$AC$51, 0), MATCH('Rotation Assembler'!AX$32, Calcs!$AC$5:$AG$5, 0))</f>
        <v>#N/A</v>
      </c>
      <c r="AY67" s="126" t="e">
        <f>INDEX(Calcs!$AC$5:$AG$51, MATCH('Rotation Assembler'!$A67, Calcs!$AC$5:$AC$51, 0), MATCH('Rotation Assembler'!AY$32, Calcs!$AC$5:$AG$5, 0))</f>
        <v>#N/A</v>
      </c>
      <c r="AZ67" s="126" t="e">
        <f>INDEX(Calcs!$AC$5:$AG$51, MATCH('Rotation Assembler'!$A67, Calcs!$AC$5:$AC$51, 0), MATCH('Rotation Assembler'!AZ$32, Calcs!$AC$5:$AG$5, 0))</f>
        <v>#N/A</v>
      </c>
      <c r="BA67" s="126" t="e">
        <f>INDEX(Calcs!$AC$5:$AG$51, MATCH('Rotation Assembler'!$A67, Calcs!$AC$5:$AC$51, 0), MATCH('Rotation Assembler'!BA$32, Calcs!$AC$5:$AG$5, 0))</f>
        <v>#N/A</v>
      </c>
      <c r="BB67" s="126" t="e">
        <f>INDEX(Calcs!$AC$5:$AG$51, MATCH('Rotation Assembler'!$A67, Calcs!$AC$5:$AC$51, 0), MATCH('Rotation Assembler'!BB$32, Calcs!$AC$5:$AG$5, 0))</f>
        <v>#N/A</v>
      </c>
      <c r="BC67" s="126" t="e">
        <f>INDEX(Calcs!$AC$5:$AG$51, MATCH('Rotation Assembler'!$A67, Calcs!$AC$5:$AC$51, 0), MATCH('Rotation Assembler'!BC$32, Calcs!$AC$5:$AG$5, 0))</f>
        <v>#N/A</v>
      </c>
      <c r="BD67" s="126" t="e">
        <f>INDEX(Calcs!$AC$5:$AG$51, MATCH('Rotation Assembler'!$A67, Calcs!$AC$5:$AC$51, 0), MATCH('Rotation Assembler'!BD$32, Calcs!$AC$5:$AG$5, 0))</f>
        <v>#N/A</v>
      </c>
      <c r="BE67" s="126" t="e">
        <f>INDEX(Calcs!$AC$5:$AG$51, MATCH('Rotation Assembler'!$A67, Calcs!$AC$5:$AC$51, 0), MATCH('Rotation Assembler'!BE$32, Calcs!$AC$5:$AG$5, 0))</f>
        <v>#N/A</v>
      </c>
      <c r="BF67" s="126" t="e">
        <f>INDEX(Calcs!$AC$5:$AG$51, MATCH('Rotation Assembler'!$A67, Calcs!$AC$5:$AC$51, 0), MATCH('Rotation Assembler'!BF$32, Calcs!$AC$5:$AG$5, 0))</f>
        <v>#N/A</v>
      </c>
      <c r="BG67" s="126" t="e">
        <f>INDEX(Calcs!$AC$5:$AG$51, MATCH('Rotation Assembler'!$A67, Calcs!$AC$5:$AC$51, 0), MATCH('Rotation Assembler'!BG$32, Calcs!$AC$5:$AG$5, 0))</f>
        <v>#N/A</v>
      </c>
      <c r="BH67" s="126" t="e">
        <f>INDEX(Calcs!$AC$5:$AG$51, MATCH('Rotation Assembler'!$A67, Calcs!$AC$5:$AC$51, 0), MATCH('Rotation Assembler'!BH$32, Calcs!$AC$5:$AG$5, 0))</f>
        <v>#N/A</v>
      </c>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row>
    <row r="68" spans="1:107" hidden="1" outlineLevel="1" x14ac:dyDescent="0.25">
      <c r="A68" s="122" t="s">
        <v>452</v>
      </c>
      <c r="B68" s="126">
        <f>INDEX(Calcs!$AC$5:$AG$51, MATCH('Rotation Assembler'!$A68, Calcs!$AC$5:$AC$51, 0), MATCH('Rotation Assembler'!B$32, Calcs!$AC$5:$AG$5, 0))</f>
        <v>0</v>
      </c>
      <c r="C68" s="126">
        <f>INDEX(Calcs!$AC$5:$AG$51, MATCH('Rotation Assembler'!$A68, Calcs!$AC$5:$AC$51, 0), MATCH('Rotation Assembler'!C$32, Calcs!$AC$5:$AG$5, 0))</f>
        <v>0</v>
      </c>
      <c r="D68" s="126">
        <f>INDEX(Calcs!$AC$5:$AG$51, MATCH('Rotation Assembler'!$A68, Calcs!$AC$5:$AC$51, 0), MATCH('Rotation Assembler'!D$32, Calcs!$AC$5:$AG$5, 0))</f>
        <v>0</v>
      </c>
      <c r="E68" s="126">
        <f>INDEX(Calcs!$AC$5:$AG$51, MATCH('Rotation Assembler'!$A68, Calcs!$AC$5:$AC$51, 0), MATCH('Rotation Assembler'!E$32, Calcs!$AC$5:$AG$5, 0))</f>
        <v>0</v>
      </c>
      <c r="F68" s="126">
        <f>INDEX(Calcs!$AC$5:$AG$51, MATCH('Rotation Assembler'!$A68, Calcs!$AC$5:$AC$51, 0), MATCH('Rotation Assembler'!F$32, Calcs!$AC$5:$AG$5, 0))</f>
        <v>0</v>
      </c>
      <c r="G68" s="126">
        <f>INDEX(Calcs!$AC$5:$AG$51, MATCH('Rotation Assembler'!$A68, Calcs!$AC$5:$AC$51, 0), MATCH('Rotation Assembler'!G$32, Calcs!$AC$5:$AG$5, 0))</f>
        <v>0</v>
      </c>
      <c r="H68" s="126">
        <f>INDEX(Calcs!$AC$5:$AG$51, MATCH('Rotation Assembler'!$A68, Calcs!$AC$5:$AC$51, 0), MATCH('Rotation Assembler'!H$32, Calcs!$AC$5:$AG$5, 0))</f>
        <v>0</v>
      </c>
      <c r="I68" s="126">
        <f>INDEX(Calcs!$AC$5:$AG$51, MATCH('Rotation Assembler'!$A68, Calcs!$AC$5:$AC$51, 0), MATCH('Rotation Assembler'!I$32, Calcs!$AC$5:$AG$5, 0))</f>
        <v>0</v>
      </c>
      <c r="J68" s="126">
        <f>INDEX(Calcs!$AC$5:$AG$51, MATCH('Rotation Assembler'!$A68, Calcs!$AC$5:$AC$51, 0), MATCH('Rotation Assembler'!J$32, Calcs!$AC$5:$AG$5, 0))</f>
        <v>0</v>
      </c>
      <c r="K68" s="126">
        <f>INDEX(Calcs!$AC$5:$AG$51, MATCH('Rotation Assembler'!$A68, Calcs!$AC$5:$AC$51, 0), MATCH('Rotation Assembler'!K$32, Calcs!$AC$5:$AG$5, 0))</f>
        <v>0</v>
      </c>
      <c r="L68" s="126">
        <f>INDEX(Calcs!$AC$5:$AG$51, MATCH('Rotation Assembler'!$A68, Calcs!$AC$5:$AC$51, 0), MATCH('Rotation Assembler'!L$32, Calcs!$AC$5:$AG$5, 0))</f>
        <v>0</v>
      </c>
      <c r="M68" s="126">
        <f>INDEX(Calcs!$AC$5:$AG$51, MATCH('Rotation Assembler'!$A68, Calcs!$AC$5:$AC$51, 0), MATCH('Rotation Assembler'!M$32, Calcs!$AC$5:$AG$5, 0))</f>
        <v>0</v>
      </c>
      <c r="N68" s="126">
        <f>INDEX(Calcs!$AC$5:$AG$51, MATCH('Rotation Assembler'!$A68, Calcs!$AC$5:$AC$51, 0), MATCH('Rotation Assembler'!N$32, Calcs!$AC$5:$AG$5, 0))</f>
        <v>0</v>
      </c>
      <c r="O68" s="126">
        <f>INDEX(Calcs!$AC$5:$AG$51, MATCH('Rotation Assembler'!$A68, Calcs!$AC$5:$AC$51, 0), MATCH('Rotation Assembler'!O$32, Calcs!$AC$5:$AG$5, 0))</f>
        <v>0</v>
      </c>
      <c r="P68" s="126">
        <f>INDEX(Calcs!$AC$5:$AG$51, MATCH('Rotation Assembler'!$A68, Calcs!$AC$5:$AC$51, 0), MATCH('Rotation Assembler'!P$32, Calcs!$AC$5:$AG$5, 0))</f>
        <v>0</v>
      </c>
      <c r="Q68" s="126">
        <f>INDEX(Calcs!$AC$5:$AG$51, MATCH('Rotation Assembler'!$A68, Calcs!$AC$5:$AC$51, 0), MATCH('Rotation Assembler'!Q$32, Calcs!$AC$5:$AG$5, 0))</f>
        <v>0</v>
      </c>
      <c r="R68" s="126">
        <f>INDEX(Calcs!$AC$5:$AG$51, MATCH('Rotation Assembler'!$A68, Calcs!$AC$5:$AC$51, 0), MATCH('Rotation Assembler'!R$32, Calcs!$AC$5:$AG$5, 0))</f>
        <v>0</v>
      </c>
      <c r="S68" s="126">
        <f>INDEX(Calcs!$AC$5:$AG$51, MATCH('Rotation Assembler'!$A68, Calcs!$AC$5:$AC$51, 0), MATCH('Rotation Assembler'!S$32, Calcs!$AC$5:$AG$5, 0))</f>
        <v>0</v>
      </c>
      <c r="T68" s="126">
        <f>INDEX(Calcs!$AC$5:$AG$51, MATCH('Rotation Assembler'!$A68, Calcs!$AC$5:$AC$51, 0), MATCH('Rotation Assembler'!T$32, Calcs!$AC$5:$AG$5, 0))</f>
        <v>0</v>
      </c>
      <c r="U68" s="126">
        <f>INDEX(Calcs!$AC$5:$AG$51, MATCH('Rotation Assembler'!$A68, Calcs!$AC$5:$AC$51, 0), MATCH('Rotation Assembler'!U$32, Calcs!$AC$5:$AG$5, 0))</f>
        <v>0</v>
      </c>
      <c r="V68" s="126">
        <f>INDEX(Calcs!$AC$5:$AG$51, MATCH('Rotation Assembler'!$A68, Calcs!$AC$5:$AC$51, 0), MATCH('Rotation Assembler'!V$32, Calcs!$AC$5:$AG$5, 0))</f>
        <v>0</v>
      </c>
      <c r="W68" s="126">
        <f>INDEX(Calcs!$AC$5:$AG$51, MATCH('Rotation Assembler'!$A68, Calcs!$AC$5:$AC$51, 0), MATCH('Rotation Assembler'!W$32, Calcs!$AC$5:$AG$5, 0))</f>
        <v>0</v>
      </c>
      <c r="X68" s="126">
        <f>INDEX(Calcs!$AC$5:$AG$51, MATCH('Rotation Assembler'!$A68, Calcs!$AC$5:$AC$51, 0), MATCH('Rotation Assembler'!X$32, Calcs!$AC$5:$AG$5, 0))</f>
        <v>0</v>
      </c>
      <c r="Y68" s="126">
        <f>INDEX(Calcs!$AC$5:$AG$51, MATCH('Rotation Assembler'!$A68, Calcs!$AC$5:$AC$51, 0), MATCH('Rotation Assembler'!Y$32, Calcs!$AC$5:$AG$5, 0))</f>
        <v>0</v>
      </c>
      <c r="Z68" s="126">
        <f>INDEX(Calcs!$AC$5:$AG$51, MATCH('Rotation Assembler'!$A68, Calcs!$AC$5:$AC$51, 0), MATCH('Rotation Assembler'!Z$32, Calcs!$AC$5:$AG$5, 0))</f>
        <v>0</v>
      </c>
      <c r="AA68" s="126">
        <f>INDEX(Calcs!$AC$5:$AG$51, MATCH('Rotation Assembler'!$A68, Calcs!$AC$5:$AC$51, 0), MATCH('Rotation Assembler'!AA$32, Calcs!$AC$5:$AG$5, 0))</f>
        <v>0</v>
      </c>
      <c r="AB68" s="126">
        <f>INDEX(Calcs!$AC$5:$AG$51, MATCH('Rotation Assembler'!$A68, Calcs!$AC$5:$AC$51, 0), MATCH('Rotation Assembler'!AB$32, Calcs!$AC$5:$AG$5, 0))</f>
        <v>0</v>
      </c>
      <c r="AC68" s="126">
        <f>INDEX(Calcs!$AC$5:$AG$51, MATCH('Rotation Assembler'!$A68, Calcs!$AC$5:$AC$51, 0), MATCH('Rotation Assembler'!AC$32, Calcs!$AC$5:$AG$5, 0))</f>
        <v>0</v>
      </c>
      <c r="AD68" s="126">
        <f>INDEX(Calcs!$AC$5:$AG$51, MATCH('Rotation Assembler'!$A68, Calcs!$AC$5:$AC$51, 0), MATCH('Rotation Assembler'!AD$32, Calcs!$AC$5:$AG$5, 0))</f>
        <v>0</v>
      </c>
      <c r="AE68" s="126">
        <f>INDEX(Calcs!$AC$5:$AG$51, MATCH('Rotation Assembler'!$A68, Calcs!$AC$5:$AC$51, 0), MATCH('Rotation Assembler'!AE$32, Calcs!$AC$5:$AG$5, 0))</f>
        <v>0</v>
      </c>
      <c r="AF68" s="126">
        <f>INDEX(Calcs!$AC$5:$AG$51, MATCH('Rotation Assembler'!$A68, Calcs!$AC$5:$AC$51, 0), MATCH('Rotation Assembler'!AF$32, Calcs!$AC$5:$AG$5, 0))</f>
        <v>0</v>
      </c>
      <c r="AG68" s="126">
        <f>INDEX(Calcs!$AC$5:$AG$51, MATCH('Rotation Assembler'!$A68, Calcs!$AC$5:$AC$51, 0), MATCH('Rotation Assembler'!AG$32, Calcs!$AC$5:$AG$5, 0))</f>
        <v>0</v>
      </c>
      <c r="AH68" s="126">
        <f>INDEX(Calcs!$AC$5:$AG$51, MATCH('Rotation Assembler'!$A68, Calcs!$AC$5:$AC$51, 0), MATCH('Rotation Assembler'!AH$32, Calcs!$AC$5:$AG$5, 0))</f>
        <v>0</v>
      </c>
      <c r="AI68" s="126">
        <f>INDEX(Calcs!$AC$5:$AG$51, MATCH('Rotation Assembler'!$A68, Calcs!$AC$5:$AC$51, 0), MATCH('Rotation Assembler'!AI$32, Calcs!$AC$5:$AG$5, 0))</f>
        <v>0</v>
      </c>
      <c r="AJ68" s="126" t="e">
        <f>INDEX(Calcs!$AC$5:$AG$51, MATCH('Rotation Assembler'!$A68, Calcs!$AC$5:$AC$51, 0), MATCH('Rotation Assembler'!AJ$32, Calcs!$AC$5:$AG$5, 0))</f>
        <v>#N/A</v>
      </c>
      <c r="AK68" s="126" t="e">
        <f>INDEX(Calcs!$AC$5:$AG$51, MATCH('Rotation Assembler'!$A68, Calcs!$AC$5:$AC$51, 0), MATCH('Rotation Assembler'!AK$32, Calcs!$AC$5:$AG$5, 0))</f>
        <v>#N/A</v>
      </c>
      <c r="AL68" s="126" t="e">
        <f>INDEX(Calcs!$AC$5:$AG$51, MATCH('Rotation Assembler'!$A68, Calcs!$AC$5:$AC$51, 0), MATCH('Rotation Assembler'!AL$32, Calcs!$AC$5:$AG$5, 0))</f>
        <v>#N/A</v>
      </c>
      <c r="AM68" s="126" t="e">
        <f>INDEX(Calcs!$AC$5:$AG$51, MATCH('Rotation Assembler'!$A68, Calcs!$AC$5:$AC$51, 0), MATCH('Rotation Assembler'!AM$32, Calcs!$AC$5:$AG$5, 0))</f>
        <v>#N/A</v>
      </c>
      <c r="AN68" s="126" t="e">
        <f>INDEX(Calcs!$AC$5:$AG$51, MATCH('Rotation Assembler'!$A68, Calcs!$AC$5:$AC$51, 0), MATCH('Rotation Assembler'!AN$32, Calcs!$AC$5:$AG$5, 0))</f>
        <v>#N/A</v>
      </c>
      <c r="AO68" s="126" t="e">
        <f>INDEX(Calcs!$AC$5:$AG$51, MATCH('Rotation Assembler'!$A68, Calcs!$AC$5:$AC$51, 0), MATCH('Rotation Assembler'!AO$32, Calcs!$AC$5:$AG$5, 0))</f>
        <v>#N/A</v>
      </c>
      <c r="AP68" s="126" t="e">
        <f>INDEX(Calcs!$AC$5:$AG$51, MATCH('Rotation Assembler'!$A68, Calcs!$AC$5:$AC$51, 0), MATCH('Rotation Assembler'!AP$32, Calcs!$AC$5:$AG$5, 0))</f>
        <v>#N/A</v>
      </c>
      <c r="AQ68" s="126" t="e">
        <f>INDEX(Calcs!$AC$5:$AG$51, MATCH('Rotation Assembler'!$A68, Calcs!$AC$5:$AC$51, 0), MATCH('Rotation Assembler'!AQ$32, Calcs!$AC$5:$AG$5, 0))</f>
        <v>#N/A</v>
      </c>
      <c r="AR68" s="126" t="e">
        <f>INDEX(Calcs!$AC$5:$AG$51, MATCH('Rotation Assembler'!$A68, Calcs!$AC$5:$AC$51, 0), MATCH('Rotation Assembler'!AR$32, Calcs!$AC$5:$AG$5, 0))</f>
        <v>#N/A</v>
      </c>
      <c r="AS68" s="126" t="e">
        <f>INDEX(Calcs!$AC$5:$AG$51, MATCH('Rotation Assembler'!$A68, Calcs!$AC$5:$AC$51, 0), MATCH('Rotation Assembler'!AS$32, Calcs!$AC$5:$AG$5, 0))</f>
        <v>#N/A</v>
      </c>
      <c r="AT68" s="126" t="e">
        <f>INDEX(Calcs!$AC$5:$AG$51, MATCH('Rotation Assembler'!$A68, Calcs!$AC$5:$AC$51, 0), MATCH('Rotation Assembler'!AT$32, Calcs!$AC$5:$AG$5, 0))</f>
        <v>#N/A</v>
      </c>
      <c r="AU68" s="126" t="e">
        <f>INDEX(Calcs!$AC$5:$AG$51, MATCH('Rotation Assembler'!$A68, Calcs!$AC$5:$AC$51, 0), MATCH('Rotation Assembler'!AU$32, Calcs!$AC$5:$AG$5, 0))</f>
        <v>#N/A</v>
      </c>
      <c r="AV68" s="126" t="e">
        <f>INDEX(Calcs!$AC$5:$AG$51, MATCH('Rotation Assembler'!$A68, Calcs!$AC$5:$AC$51, 0), MATCH('Rotation Assembler'!AV$32, Calcs!$AC$5:$AG$5, 0))</f>
        <v>#N/A</v>
      </c>
      <c r="AW68" s="126" t="e">
        <f>INDEX(Calcs!$AC$5:$AG$51, MATCH('Rotation Assembler'!$A68, Calcs!$AC$5:$AC$51, 0), MATCH('Rotation Assembler'!AW$32, Calcs!$AC$5:$AG$5, 0))</f>
        <v>#N/A</v>
      </c>
      <c r="AX68" s="126" t="e">
        <f>INDEX(Calcs!$AC$5:$AG$51, MATCH('Rotation Assembler'!$A68, Calcs!$AC$5:$AC$51, 0), MATCH('Rotation Assembler'!AX$32, Calcs!$AC$5:$AG$5, 0))</f>
        <v>#N/A</v>
      </c>
      <c r="AY68" s="126" t="e">
        <f>INDEX(Calcs!$AC$5:$AG$51, MATCH('Rotation Assembler'!$A68, Calcs!$AC$5:$AC$51, 0), MATCH('Rotation Assembler'!AY$32, Calcs!$AC$5:$AG$5, 0))</f>
        <v>#N/A</v>
      </c>
      <c r="AZ68" s="126" t="e">
        <f>INDEX(Calcs!$AC$5:$AG$51, MATCH('Rotation Assembler'!$A68, Calcs!$AC$5:$AC$51, 0), MATCH('Rotation Assembler'!AZ$32, Calcs!$AC$5:$AG$5, 0))</f>
        <v>#N/A</v>
      </c>
      <c r="BA68" s="126" t="e">
        <f>INDEX(Calcs!$AC$5:$AG$51, MATCH('Rotation Assembler'!$A68, Calcs!$AC$5:$AC$51, 0), MATCH('Rotation Assembler'!BA$32, Calcs!$AC$5:$AG$5, 0))</f>
        <v>#N/A</v>
      </c>
      <c r="BB68" s="126" t="e">
        <f>INDEX(Calcs!$AC$5:$AG$51, MATCH('Rotation Assembler'!$A68, Calcs!$AC$5:$AC$51, 0), MATCH('Rotation Assembler'!BB$32, Calcs!$AC$5:$AG$5, 0))</f>
        <v>#N/A</v>
      </c>
      <c r="BC68" s="126" t="e">
        <f>INDEX(Calcs!$AC$5:$AG$51, MATCH('Rotation Assembler'!$A68, Calcs!$AC$5:$AC$51, 0), MATCH('Rotation Assembler'!BC$32, Calcs!$AC$5:$AG$5, 0))</f>
        <v>#N/A</v>
      </c>
      <c r="BD68" s="126" t="e">
        <f>INDEX(Calcs!$AC$5:$AG$51, MATCH('Rotation Assembler'!$A68, Calcs!$AC$5:$AC$51, 0), MATCH('Rotation Assembler'!BD$32, Calcs!$AC$5:$AG$5, 0))</f>
        <v>#N/A</v>
      </c>
      <c r="BE68" s="126" t="e">
        <f>INDEX(Calcs!$AC$5:$AG$51, MATCH('Rotation Assembler'!$A68, Calcs!$AC$5:$AC$51, 0), MATCH('Rotation Assembler'!BE$32, Calcs!$AC$5:$AG$5, 0))</f>
        <v>#N/A</v>
      </c>
      <c r="BF68" s="126" t="e">
        <f>INDEX(Calcs!$AC$5:$AG$51, MATCH('Rotation Assembler'!$A68, Calcs!$AC$5:$AC$51, 0), MATCH('Rotation Assembler'!BF$32, Calcs!$AC$5:$AG$5, 0))</f>
        <v>#N/A</v>
      </c>
      <c r="BG68" s="126" t="e">
        <f>INDEX(Calcs!$AC$5:$AG$51, MATCH('Rotation Assembler'!$A68, Calcs!$AC$5:$AC$51, 0), MATCH('Rotation Assembler'!BG$32, Calcs!$AC$5:$AG$5, 0))</f>
        <v>#N/A</v>
      </c>
      <c r="BH68" s="126" t="e">
        <f>INDEX(Calcs!$AC$5:$AG$51, MATCH('Rotation Assembler'!$A68, Calcs!$AC$5:$AC$51, 0), MATCH('Rotation Assembler'!BH$32, Calcs!$AC$5:$AG$5, 0))</f>
        <v>#N/A</v>
      </c>
      <c r="BI68" s="126"/>
      <c r="BJ68" s="126"/>
      <c r="BK68" s="126"/>
      <c r="BL68" s="126"/>
      <c r="BM68" s="126"/>
      <c r="BN68" s="126"/>
      <c r="BO68" s="126"/>
      <c r="BP68" s="126"/>
      <c r="BQ68" s="126"/>
      <c r="BR68" s="126"/>
      <c r="BS68" s="126"/>
      <c r="BT68" s="126"/>
      <c r="BU68" s="126"/>
      <c r="BV68" s="126"/>
      <c r="BW68" s="126"/>
      <c r="BX68" s="126"/>
      <c r="BY68" s="126"/>
      <c r="BZ68" s="126"/>
      <c r="CA68" s="126"/>
      <c r="CB68" s="126"/>
      <c r="CC68" s="126"/>
      <c r="CD68" s="126"/>
      <c r="CE68" s="126"/>
      <c r="CF68" s="126"/>
      <c r="CG68" s="126"/>
      <c r="CH68" s="126"/>
      <c r="CI68" s="126"/>
      <c r="CJ68" s="126"/>
      <c r="CK68" s="126"/>
      <c r="CL68" s="126"/>
      <c r="CM68" s="126"/>
      <c r="CN68" s="126"/>
      <c r="CO68" s="126"/>
      <c r="CP68" s="126"/>
      <c r="CQ68" s="126"/>
      <c r="CR68" s="126"/>
      <c r="CS68" s="126"/>
      <c r="CT68" s="126"/>
      <c r="CU68" s="126"/>
      <c r="CV68" s="126"/>
      <c r="CW68" s="126"/>
      <c r="CX68" s="126"/>
      <c r="CY68" s="126"/>
      <c r="CZ68" s="126"/>
      <c r="DA68" s="126"/>
      <c r="DB68" s="126"/>
      <c r="DC68" s="126"/>
    </row>
    <row r="69" spans="1:107" hidden="1" outlineLevel="1" x14ac:dyDescent="0.25">
      <c r="A69" s="122" t="s">
        <v>92</v>
      </c>
      <c r="B69" s="126">
        <f>INDEX(Calcs!$AC$5:$AG$51, MATCH('Rotation Assembler'!$A69, Calcs!$AC$5:$AC$51, 0), MATCH('Rotation Assembler'!B$32, Calcs!$AC$5:$AG$5, 0))</f>
        <v>0</v>
      </c>
      <c r="C69" s="126">
        <f>INDEX(Calcs!$AC$5:$AG$51, MATCH('Rotation Assembler'!$A69, Calcs!$AC$5:$AC$51, 0), MATCH('Rotation Assembler'!C$32, Calcs!$AC$5:$AG$5, 0))</f>
        <v>0</v>
      </c>
      <c r="D69" s="126">
        <f>INDEX(Calcs!$AC$5:$AG$51, MATCH('Rotation Assembler'!$A69, Calcs!$AC$5:$AC$51, 0), MATCH('Rotation Assembler'!D$32, Calcs!$AC$5:$AG$5, 0))</f>
        <v>0</v>
      </c>
      <c r="E69" s="126">
        <f>INDEX(Calcs!$AC$5:$AG$51, MATCH('Rotation Assembler'!$A69, Calcs!$AC$5:$AC$51, 0), MATCH('Rotation Assembler'!E$32, Calcs!$AC$5:$AG$5, 0))</f>
        <v>0</v>
      </c>
      <c r="F69" s="126">
        <f>INDEX(Calcs!$AC$5:$AG$51, MATCH('Rotation Assembler'!$A69, Calcs!$AC$5:$AC$51, 0), MATCH('Rotation Assembler'!F$32, Calcs!$AC$5:$AG$5, 0))</f>
        <v>0</v>
      </c>
      <c r="G69" s="126">
        <f>INDEX(Calcs!$AC$5:$AG$51, MATCH('Rotation Assembler'!$A69, Calcs!$AC$5:$AC$51, 0), MATCH('Rotation Assembler'!G$32, Calcs!$AC$5:$AG$5, 0))</f>
        <v>0</v>
      </c>
      <c r="H69" s="126">
        <f>INDEX(Calcs!$AC$5:$AG$51, MATCH('Rotation Assembler'!$A69, Calcs!$AC$5:$AC$51, 0), MATCH('Rotation Assembler'!H$32, Calcs!$AC$5:$AG$5, 0))</f>
        <v>0</v>
      </c>
      <c r="I69" s="126">
        <f>INDEX(Calcs!$AC$5:$AG$51, MATCH('Rotation Assembler'!$A69, Calcs!$AC$5:$AC$51, 0), MATCH('Rotation Assembler'!I$32, Calcs!$AC$5:$AG$5, 0))</f>
        <v>0</v>
      </c>
      <c r="J69" s="126">
        <f>INDEX(Calcs!$AC$5:$AG$51, MATCH('Rotation Assembler'!$A69, Calcs!$AC$5:$AC$51, 0), MATCH('Rotation Assembler'!J$32, Calcs!$AC$5:$AG$5, 0))</f>
        <v>0</v>
      </c>
      <c r="K69" s="126">
        <f>INDEX(Calcs!$AC$5:$AG$51, MATCH('Rotation Assembler'!$A69, Calcs!$AC$5:$AC$51, 0), MATCH('Rotation Assembler'!K$32, Calcs!$AC$5:$AG$5, 0))</f>
        <v>0</v>
      </c>
      <c r="L69" s="126">
        <f>INDEX(Calcs!$AC$5:$AG$51, MATCH('Rotation Assembler'!$A69, Calcs!$AC$5:$AC$51, 0), MATCH('Rotation Assembler'!L$32, Calcs!$AC$5:$AG$5, 0))</f>
        <v>0</v>
      </c>
      <c r="M69" s="126">
        <f>INDEX(Calcs!$AC$5:$AG$51, MATCH('Rotation Assembler'!$A69, Calcs!$AC$5:$AC$51, 0), MATCH('Rotation Assembler'!M$32, Calcs!$AC$5:$AG$5, 0))</f>
        <v>0</v>
      </c>
      <c r="N69" s="126">
        <f>INDEX(Calcs!$AC$5:$AG$51, MATCH('Rotation Assembler'!$A69, Calcs!$AC$5:$AC$51, 0), MATCH('Rotation Assembler'!N$32, Calcs!$AC$5:$AG$5, 0))</f>
        <v>0</v>
      </c>
      <c r="O69" s="126">
        <f>INDEX(Calcs!$AC$5:$AG$51, MATCH('Rotation Assembler'!$A69, Calcs!$AC$5:$AC$51, 0), MATCH('Rotation Assembler'!O$32, Calcs!$AC$5:$AG$5, 0))</f>
        <v>0</v>
      </c>
      <c r="P69" s="126">
        <f>INDEX(Calcs!$AC$5:$AG$51, MATCH('Rotation Assembler'!$A69, Calcs!$AC$5:$AC$51, 0), MATCH('Rotation Assembler'!P$32, Calcs!$AC$5:$AG$5, 0))</f>
        <v>0</v>
      </c>
      <c r="Q69" s="126">
        <f>INDEX(Calcs!$AC$5:$AG$51, MATCH('Rotation Assembler'!$A69, Calcs!$AC$5:$AC$51, 0), MATCH('Rotation Assembler'!Q$32, Calcs!$AC$5:$AG$5, 0))</f>
        <v>0</v>
      </c>
      <c r="R69" s="126">
        <f>INDEX(Calcs!$AC$5:$AG$51, MATCH('Rotation Assembler'!$A69, Calcs!$AC$5:$AC$51, 0), MATCH('Rotation Assembler'!R$32, Calcs!$AC$5:$AG$5, 0))</f>
        <v>0</v>
      </c>
      <c r="S69" s="126">
        <f>INDEX(Calcs!$AC$5:$AG$51, MATCH('Rotation Assembler'!$A69, Calcs!$AC$5:$AC$51, 0), MATCH('Rotation Assembler'!S$32, Calcs!$AC$5:$AG$5, 0))</f>
        <v>0</v>
      </c>
      <c r="T69" s="126">
        <f>INDEX(Calcs!$AC$5:$AG$51, MATCH('Rotation Assembler'!$A69, Calcs!$AC$5:$AC$51, 0), MATCH('Rotation Assembler'!T$32, Calcs!$AC$5:$AG$5, 0))</f>
        <v>0</v>
      </c>
      <c r="U69" s="126">
        <f>INDEX(Calcs!$AC$5:$AG$51, MATCH('Rotation Assembler'!$A69, Calcs!$AC$5:$AC$51, 0), MATCH('Rotation Assembler'!U$32, Calcs!$AC$5:$AG$5, 0))</f>
        <v>0</v>
      </c>
      <c r="V69" s="126">
        <f>INDEX(Calcs!$AC$5:$AG$51, MATCH('Rotation Assembler'!$A69, Calcs!$AC$5:$AC$51, 0), MATCH('Rotation Assembler'!V$32, Calcs!$AC$5:$AG$5, 0))</f>
        <v>0</v>
      </c>
      <c r="W69" s="126">
        <f>INDEX(Calcs!$AC$5:$AG$51, MATCH('Rotation Assembler'!$A69, Calcs!$AC$5:$AC$51, 0), MATCH('Rotation Assembler'!W$32, Calcs!$AC$5:$AG$5, 0))</f>
        <v>0</v>
      </c>
      <c r="X69" s="126">
        <f>INDEX(Calcs!$AC$5:$AG$51, MATCH('Rotation Assembler'!$A69, Calcs!$AC$5:$AC$51, 0), MATCH('Rotation Assembler'!X$32, Calcs!$AC$5:$AG$5, 0))</f>
        <v>0</v>
      </c>
      <c r="Y69" s="126">
        <f>INDEX(Calcs!$AC$5:$AG$51, MATCH('Rotation Assembler'!$A69, Calcs!$AC$5:$AC$51, 0), MATCH('Rotation Assembler'!Y$32, Calcs!$AC$5:$AG$5, 0))</f>
        <v>0</v>
      </c>
      <c r="Z69" s="126">
        <f>INDEX(Calcs!$AC$5:$AG$51, MATCH('Rotation Assembler'!$A69, Calcs!$AC$5:$AC$51, 0), MATCH('Rotation Assembler'!Z$32, Calcs!$AC$5:$AG$5, 0))</f>
        <v>0</v>
      </c>
      <c r="AA69" s="126">
        <f>INDEX(Calcs!$AC$5:$AG$51, MATCH('Rotation Assembler'!$A69, Calcs!$AC$5:$AC$51, 0), MATCH('Rotation Assembler'!AA$32, Calcs!$AC$5:$AG$5, 0))</f>
        <v>0</v>
      </c>
      <c r="AB69" s="126">
        <f>INDEX(Calcs!$AC$5:$AG$51, MATCH('Rotation Assembler'!$A69, Calcs!$AC$5:$AC$51, 0), MATCH('Rotation Assembler'!AB$32, Calcs!$AC$5:$AG$5, 0))</f>
        <v>0</v>
      </c>
      <c r="AC69" s="126">
        <f>INDEX(Calcs!$AC$5:$AG$51, MATCH('Rotation Assembler'!$A69, Calcs!$AC$5:$AC$51, 0), MATCH('Rotation Assembler'!AC$32, Calcs!$AC$5:$AG$5, 0))</f>
        <v>0</v>
      </c>
      <c r="AD69" s="126">
        <f>INDEX(Calcs!$AC$5:$AG$51, MATCH('Rotation Assembler'!$A69, Calcs!$AC$5:$AC$51, 0), MATCH('Rotation Assembler'!AD$32, Calcs!$AC$5:$AG$5, 0))</f>
        <v>0</v>
      </c>
      <c r="AE69" s="126">
        <f>INDEX(Calcs!$AC$5:$AG$51, MATCH('Rotation Assembler'!$A69, Calcs!$AC$5:$AC$51, 0), MATCH('Rotation Assembler'!AE$32, Calcs!$AC$5:$AG$5, 0))</f>
        <v>0</v>
      </c>
      <c r="AF69" s="126">
        <f>INDEX(Calcs!$AC$5:$AG$51, MATCH('Rotation Assembler'!$A69, Calcs!$AC$5:$AC$51, 0), MATCH('Rotation Assembler'!AF$32, Calcs!$AC$5:$AG$5, 0))</f>
        <v>0</v>
      </c>
      <c r="AG69" s="126">
        <f>INDEX(Calcs!$AC$5:$AG$51, MATCH('Rotation Assembler'!$A69, Calcs!$AC$5:$AC$51, 0), MATCH('Rotation Assembler'!AG$32, Calcs!$AC$5:$AG$5, 0))</f>
        <v>0</v>
      </c>
      <c r="AH69" s="126">
        <f>INDEX(Calcs!$AC$5:$AG$51, MATCH('Rotation Assembler'!$A69, Calcs!$AC$5:$AC$51, 0), MATCH('Rotation Assembler'!AH$32, Calcs!$AC$5:$AG$5, 0))</f>
        <v>0</v>
      </c>
      <c r="AI69" s="126">
        <f>INDEX(Calcs!$AC$5:$AG$51, MATCH('Rotation Assembler'!$A69, Calcs!$AC$5:$AC$51, 0), MATCH('Rotation Assembler'!AI$32, Calcs!$AC$5:$AG$5, 0))</f>
        <v>0</v>
      </c>
      <c r="AJ69" s="126" t="e">
        <f>INDEX(Calcs!$AC$5:$AG$51, MATCH('Rotation Assembler'!$A69, Calcs!$AC$5:$AC$51, 0), MATCH('Rotation Assembler'!AJ$32, Calcs!$AC$5:$AG$5, 0))</f>
        <v>#N/A</v>
      </c>
      <c r="AK69" s="126" t="e">
        <f>INDEX(Calcs!$AC$5:$AG$51, MATCH('Rotation Assembler'!$A69, Calcs!$AC$5:$AC$51, 0), MATCH('Rotation Assembler'!AK$32, Calcs!$AC$5:$AG$5, 0))</f>
        <v>#N/A</v>
      </c>
      <c r="AL69" s="126" t="e">
        <f>INDEX(Calcs!$AC$5:$AG$51, MATCH('Rotation Assembler'!$A69, Calcs!$AC$5:$AC$51, 0), MATCH('Rotation Assembler'!AL$32, Calcs!$AC$5:$AG$5, 0))</f>
        <v>#N/A</v>
      </c>
      <c r="AM69" s="126" t="e">
        <f>INDEX(Calcs!$AC$5:$AG$51, MATCH('Rotation Assembler'!$A69, Calcs!$AC$5:$AC$51, 0), MATCH('Rotation Assembler'!AM$32, Calcs!$AC$5:$AG$5, 0))</f>
        <v>#N/A</v>
      </c>
      <c r="AN69" s="126" t="e">
        <f>INDEX(Calcs!$AC$5:$AG$51, MATCH('Rotation Assembler'!$A69, Calcs!$AC$5:$AC$51, 0), MATCH('Rotation Assembler'!AN$32, Calcs!$AC$5:$AG$5, 0))</f>
        <v>#N/A</v>
      </c>
      <c r="AO69" s="126" t="e">
        <f>INDEX(Calcs!$AC$5:$AG$51, MATCH('Rotation Assembler'!$A69, Calcs!$AC$5:$AC$51, 0), MATCH('Rotation Assembler'!AO$32, Calcs!$AC$5:$AG$5, 0))</f>
        <v>#N/A</v>
      </c>
      <c r="AP69" s="126" t="e">
        <f>INDEX(Calcs!$AC$5:$AG$51, MATCH('Rotation Assembler'!$A69, Calcs!$AC$5:$AC$51, 0), MATCH('Rotation Assembler'!AP$32, Calcs!$AC$5:$AG$5, 0))</f>
        <v>#N/A</v>
      </c>
      <c r="AQ69" s="126" t="e">
        <f>INDEX(Calcs!$AC$5:$AG$51, MATCH('Rotation Assembler'!$A69, Calcs!$AC$5:$AC$51, 0), MATCH('Rotation Assembler'!AQ$32, Calcs!$AC$5:$AG$5, 0))</f>
        <v>#N/A</v>
      </c>
      <c r="AR69" s="126" t="e">
        <f>INDEX(Calcs!$AC$5:$AG$51, MATCH('Rotation Assembler'!$A69, Calcs!$AC$5:$AC$51, 0), MATCH('Rotation Assembler'!AR$32, Calcs!$AC$5:$AG$5, 0))</f>
        <v>#N/A</v>
      </c>
      <c r="AS69" s="126" t="e">
        <f>INDEX(Calcs!$AC$5:$AG$51, MATCH('Rotation Assembler'!$A69, Calcs!$AC$5:$AC$51, 0), MATCH('Rotation Assembler'!AS$32, Calcs!$AC$5:$AG$5, 0))</f>
        <v>#N/A</v>
      </c>
      <c r="AT69" s="126" t="e">
        <f>INDEX(Calcs!$AC$5:$AG$51, MATCH('Rotation Assembler'!$A69, Calcs!$AC$5:$AC$51, 0), MATCH('Rotation Assembler'!AT$32, Calcs!$AC$5:$AG$5, 0))</f>
        <v>#N/A</v>
      </c>
      <c r="AU69" s="126" t="e">
        <f>INDEX(Calcs!$AC$5:$AG$51, MATCH('Rotation Assembler'!$A69, Calcs!$AC$5:$AC$51, 0), MATCH('Rotation Assembler'!AU$32, Calcs!$AC$5:$AG$5, 0))</f>
        <v>#N/A</v>
      </c>
      <c r="AV69" s="126" t="e">
        <f>INDEX(Calcs!$AC$5:$AG$51, MATCH('Rotation Assembler'!$A69, Calcs!$AC$5:$AC$51, 0), MATCH('Rotation Assembler'!AV$32, Calcs!$AC$5:$AG$5, 0))</f>
        <v>#N/A</v>
      </c>
      <c r="AW69" s="126" t="e">
        <f>INDEX(Calcs!$AC$5:$AG$51, MATCH('Rotation Assembler'!$A69, Calcs!$AC$5:$AC$51, 0), MATCH('Rotation Assembler'!AW$32, Calcs!$AC$5:$AG$5, 0))</f>
        <v>#N/A</v>
      </c>
      <c r="AX69" s="126" t="e">
        <f>INDEX(Calcs!$AC$5:$AG$51, MATCH('Rotation Assembler'!$A69, Calcs!$AC$5:$AC$51, 0), MATCH('Rotation Assembler'!AX$32, Calcs!$AC$5:$AG$5, 0))</f>
        <v>#N/A</v>
      </c>
      <c r="AY69" s="126" t="e">
        <f>INDEX(Calcs!$AC$5:$AG$51, MATCH('Rotation Assembler'!$A69, Calcs!$AC$5:$AC$51, 0), MATCH('Rotation Assembler'!AY$32, Calcs!$AC$5:$AG$5, 0))</f>
        <v>#N/A</v>
      </c>
      <c r="AZ69" s="126" t="e">
        <f>INDEX(Calcs!$AC$5:$AG$51, MATCH('Rotation Assembler'!$A69, Calcs!$AC$5:$AC$51, 0), MATCH('Rotation Assembler'!AZ$32, Calcs!$AC$5:$AG$5, 0))</f>
        <v>#N/A</v>
      </c>
      <c r="BA69" s="126" t="e">
        <f>INDEX(Calcs!$AC$5:$AG$51, MATCH('Rotation Assembler'!$A69, Calcs!$AC$5:$AC$51, 0), MATCH('Rotation Assembler'!BA$32, Calcs!$AC$5:$AG$5, 0))</f>
        <v>#N/A</v>
      </c>
      <c r="BB69" s="126" t="e">
        <f>INDEX(Calcs!$AC$5:$AG$51, MATCH('Rotation Assembler'!$A69, Calcs!$AC$5:$AC$51, 0), MATCH('Rotation Assembler'!BB$32, Calcs!$AC$5:$AG$5, 0))</f>
        <v>#N/A</v>
      </c>
      <c r="BC69" s="126" t="e">
        <f>INDEX(Calcs!$AC$5:$AG$51, MATCH('Rotation Assembler'!$A69, Calcs!$AC$5:$AC$51, 0), MATCH('Rotation Assembler'!BC$32, Calcs!$AC$5:$AG$5, 0))</f>
        <v>#N/A</v>
      </c>
      <c r="BD69" s="126" t="e">
        <f>INDEX(Calcs!$AC$5:$AG$51, MATCH('Rotation Assembler'!$A69, Calcs!$AC$5:$AC$51, 0), MATCH('Rotation Assembler'!BD$32, Calcs!$AC$5:$AG$5, 0))</f>
        <v>#N/A</v>
      </c>
      <c r="BE69" s="126" t="e">
        <f>INDEX(Calcs!$AC$5:$AG$51, MATCH('Rotation Assembler'!$A69, Calcs!$AC$5:$AC$51, 0), MATCH('Rotation Assembler'!BE$32, Calcs!$AC$5:$AG$5, 0))</f>
        <v>#N/A</v>
      </c>
      <c r="BF69" s="126" t="e">
        <f>INDEX(Calcs!$AC$5:$AG$51, MATCH('Rotation Assembler'!$A69, Calcs!$AC$5:$AC$51, 0), MATCH('Rotation Assembler'!BF$32, Calcs!$AC$5:$AG$5, 0))</f>
        <v>#N/A</v>
      </c>
      <c r="BG69" s="126" t="e">
        <f>INDEX(Calcs!$AC$5:$AG$51, MATCH('Rotation Assembler'!$A69, Calcs!$AC$5:$AC$51, 0), MATCH('Rotation Assembler'!BG$32, Calcs!$AC$5:$AG$5, 0))</f>
        <v>#N/A</v>
      </c>
      <c r="BH69" s="126" t="e">
        <f>INDEX(Calcs!$AC$5:$AG$51, MATCH('Rotation Assembler'!$A69, Calcs!$AC$5:$AC$51, 0), MATCH('Rotation Assembler'!BH$32, Calcs!$AC$5:$AG$5, 0))</f>
        <v>#N/A</v>
      </c>
      <c r="BI69" s="126"/>
      <c r="BJ69" s="126"/>
      <c r="BK69" s="126"/>
      <c r="BL69" s="126"/>
      <c r="BM69" s="126"/>
      <c r="BN69" s="126"/>
      <c r="BO69" s="126"/>
      <c r="BP69" s="126"/>
      <c r="BQ69" s="126"/>
      <c r="BR69" s="126"/>
      <c r="BS69" s="126"/>
      <c r="BT69" s="126"/>
      <c r="BU69" s="126"/>
      <c r="BV69" s="126"/>
      <c r="BW69" s="126"/>
      <c r="BX69" s="126"/>
      <c r="BY69" s="126"/>
      <c r="BZ69" s="126"/>
      <c r="CA69" s="126"/>
      <c r="CB69" s="126"/>
      <c r="CC69" s="126"/>
      <c r="CD69" s="126"/>
      <c r="CE69" s="126"/>
      <c r="CF69" s="126"/>
      <c r="CG69" s="126"/>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row>
    <row r="70" spans="1:107" hidden="1" outlineLevel="1" x14ac:dyDescent="0.25">
      <c r="A70" s="122" t="s">
        <v>94</v>
      </c>
      <c r="B70" s="126">
        <f>INDEX(Calcs!$AC$5:$AG$51, MATCH('Rotation Assembler'!$A70, Calcs!$AC$5:$AC$51, 0), MATCH('Rotation Assembler'!B$32, Calcs!$AC$5:$AG$5, 0))</f>
        <v>0</v>
      </c>
      <c r="C70" s="126">
        <f>INDEX(Calcs!$AC$5:$AG$51, MATCH('Rotation Assembler'!$A70, Calcs!$AC$5:$AC$51, 0), MATCH('Rotation Assembler'!C$32, Calcs!$AC$5:$AG$5, 0))</f>
        <v>0</v>
      </c>
      <c r="D70" s="126">
        <f>INDEX(Calcs!$AC$5:$AG$51, MATCH('Rotation Assembler'!$A70, Calcs!$AC$5:$AC$51, 0), MATCH('Rotation Assembler'!D$32, Calcs!$AC$5:$AG$5, 0))</f>
        <v>0</v>
      </c>
      <c r="E70" s="126">
        <f>INDEX(Calcs!$AC$5:$AG$51, MATCH('Rotation Assembler'!$A70, Calcs!$AC$5:$AC$51, 0), MATCH('Rotation Assembler'!E$32, Calcs!$AC$5:$AG$5, 0))</f>
        <v>0</v>
      </c>
      <c r="F70" s="126">
        <f>INDEX(Calcs!$AC$5:$AG$51, MATCH('Rotation Assembler'!$A70, Calcs!$AC$5:$AC$51, 0), MATCH('Rotation Assembler'!F$32, Calcs!$AC$5:$AG$5, 0))</f>
        <v>0</v>
      </c>
      <c r="G70" s="126">
        <f>INDEX(Calcs!$AC$5:$AG$51, MATCH('Rotation Assembler'!$A70, Calcs!$AC$5:$AC$51, 0), MATCH('Rotation Assembler'!G$32, Calcs!$AC$5:$AG$5, 0))</f>
        <v>0</v>
      </c>
      <c r="H70" s="126">
        <f>INDEX(Calcs!$AC$5:$AG$51, MATCH('Rotation Assembler'!$A70, Calcs!$AC$5:$AC$51, 0), MATCH('Rotation Assembler'!H$32, Calcs!$AC$5:$AG$5, 0))</f>
        <v>0</v>
      </c>
      <c r="I70" s="126">
        <f>INDEX(Calcs!$AC$5:$AG$51, MATCH('Rotation Assembler'!$A70, Calcs!$AC$5:$AC$51, 0), MATCH('Rotation Assembler'!I$32, Calcs!$AC$5:$AG$5, 0))</f>
        <v>0</v>
      </c>
      <c r="J70" s="126">
        <f>INDEX(Calcs!$AC$5:$AG$51, MATCH('Rotation Assembler'!$A70, Calcs!$AC$5:$AC$51, 0), MATCH('Rotation Assembler'!J$32, Calcs!$AC$5:$AG$5, 0))</f>
        <v>0</v>
      </c>
      <c r="K70" s="126">
        <f>INDEX(Calcs!$AC$5:$AG$51, MATCH('Rotation Assembler'!$A70, Calcs!$AC$5:$AC$51, 0), MATCH('Rotation Assembler'!K$32, Calcs!$AC$5:$AG$5, 0))</f>
        <v>0</v>
      </c>
      <c r="L70" s="126">
        <f>INDEX(Calcs!$AC$5:$AG$51, MATCH('Rotation Assembler'!$A70, Calcs!$AC$5:$AC$51, 0), MATCH('Rotation Assembler'!L$32, Calcs!$AC$5:$AG$5, 0))</f>
        <v>0</v>
      </c>
      <c r="M70" s="126">
        <f>INDEX(Calcs!$AC$5:$AG$51, MATCH('Rotation Assembler'!$A70, Calcs!$AC$5:$AC$51, 0), MATCH('Rotation Assembler'!M$32, Calcs!$AC$5:$AG$5, 0))</f>
        <v>0</v>
      </c>
      <c r="N70" s="126">
        <f>INDEX(Calcs!$AC$5:$AG$51, MATCH('Rotation Assembler'!$A70, Calcs!$AC$5:$AC$51, 0), MATCH('Rotation Assembler'!N$32, Calcs!$AC$5:$AG$5, 0))</f>
        <v>0</v>
      </c>
      <c r="O70" s="126">
        <f>INDEX(Calcs!$AC$5:$AG$51, MATCH('Rotation Assembler'!$A70, Calcs!$AC$5:$AC$51, 0), MATCH('Rotation Assembler'!O$32, Calcs!$AC$5:$AG$5, 0))</f>
        <v>0</v>
      </c>
      <c r="P70" s="126">
        <f>INDEX(Calcs!$AC$5:$AG$51, MATCH('Rotation Assembler'!$A70, Calcs!$AC$5:$AC$51, 0), MATCH('Rotation Assembler'!P$32, Calcs!$AC$5:$AG$5, 0))</f>
        <v>0</v>
      </c>
      <c r="Q70" s="126">
        <f>INDEX(Calcs!$AC$5:$AG$51, MATCH('Rotation Assembler'!$A70, Calcs!$AC$5:$AC$51, 0), MATCH('Rotation Assembler'!Q$32, Calcs!$AC$5:$AG$5, 0))</f>
        <v>0</v>
      </c>
      <c r="R70" s="126">
        <f>INDEX(Calcs!$AC$5:$AG$51, MATCH('Rotation Assembler'!$A70, Calcs!$AC$5:$AC$51, 0), MATCH('Rotation Assembler'!R$32, Calcs!$AC$5:$AG$5, 0))</f>
        <v>0</v>
      </c>
      <c r="S70" s="126">
        <f>INDEX(Calcs!$AC$5:$AG$51, MATCH('Rotation Assembler'!$A70, Calcs!$AC$5:$AC$51, 0), MATCH('Rotation Assembler'!S$32, Calcs!$AC$5:$AG$5, 0))</f>
        <v>0</v>
      </c>
      <c r="T70" s="126">
        <f>INDEX(Calcs!$AC$5:$AG$51, MATCH('Rotation Assembler'!$A70, Calcs!$AC$5:$AC$51, 0), MATCH('Rotation Assembler'!T$32, Calcs!$AC$5:$AG$5, 0))</f>
        <v>0</v>
      </c>
      <c r="U70" s="126">
        <f>INDEX(Calcs!$AC$5:$AG$51, MATCH('Rotation Assembler'!$A70, Calcs!$AC$5:$AC$51, 0), MATCH('Rotation Assembler'!U$32, Calcs!$AC$5:$AG$5, 0))</f>
        <v>0</v>
      </c>
      <c r="V70" s="126">
        <f>INDEX(Calcs!$AC$5:$AG$51, MATCH('Rotation Assembler'!$A70, Calcs!$AC$5:$AC$51, 0), MATCH('Rotation Assembler'!V$32, Calcs!$AC$5:$AG$5, 0))</f>
        <v>0</v>
      </c>
      <c r="W70" s="126">
        <f>INDEX(Calcs!$AC$5:$AG$51, MATCH('Rotation Assembler'!$A70, Calcs!$AC$5:$AC$51, 0), MATCH('Rotation Assembler'!W$32, Calcs!$AC$5:$AG$5, 0))</f>
        <v>0</v>
      </c>
      <c r="X70" s="126">
        <f>INDEX(Calcs!$AC$5:$AG$51, MATCH('Rotation Assembler'!$A70, Calcs!$AC$5:$AC$51, 0), MATCH('Rotation Assembler'!X$32, Calcs!$AC$5:$AG$5, 0))</f>
        <v>0</v>
      </c>
      <c r="Y70" s="126">
        <f>INDEX(Calcs!$AC$5:$AG$51, MATCH('Rotation Assembler'!$A70, Calcs!$AC$5:$AC$51, 0), MATCH('Rotation Assembler'!Y$32, Calcs!$AC$5:$AG$5, 0))</f>
        <v>0</v>
      </c>
      <c r="Z70" s="126">
        <f>INDEX(Calcs!$AC$5:$AG$51, MATCH('Rotation Assembler'!$A70, Calcs!$AC$5:$AC$51, 0), MATCH('Rotation Assembler'!Z$32, Calcs!$AC$5:$AG$5, 0))</f>
        <v>0</v>
      </c>
      <c r="AA70" s="126">
        <f>INDEX(Calcs!$AC$5:$AG$51, MATCH('Rotation Assembler'!$A70, Calcs!$AC$5:$AC$51, 0), MATCH('Rotation Assembler'!AA$32, Calcs!$AC$5:$AG$5, 0))</f>
        <v>0</v>
      </c>
      <c r="AB70" s="126">
        <f>INDEX(Calcs!$AC$5:$AG$51, MATCH('Rotation Assembler'!$A70, Calcs!$AC$5:$AC$51, 0), MATCH('Rotation Assembler'!AB$32, Calcs!$AC$5:$AG$5, 0))</f>
        <v>0</v>
      </c>
      <c r="AC70" s="126">
        <f>INDEX(Calcs!$AC$5:$AG$51, MATCH('Rotation Assembler'!$A70, Calcs!$AC$5:$AC$51, 0), MATCH('Rotation Assembler'!AC$32, Calcs!$AC$5:$AG$5, 0))</f>
        <v>0</v>
      </c>
      <c r="AD70" s="126">
        <f>INDEX(Calcs!$AC$5:$AG$51, MATCH('Rotation Assembler'!$A70, Calcs!$AC$5:$AC$51, 0), MATCH('Rotation Assembler'!AD$32, Calcs!$AC$5:$AG$5, 0))</f>
        <v>0</v>
      </c>
      <c r="AE70" s="126">
        <f>INDEX(Calcs!$AC$5:$AG$51, MATCH('Rotation Assembler'!$A70, Calcs!$AC$5:$AC$51, 0), MATCH('Rotation Assembler'!AE$32, Calcs!$AC$5:$AG$5, 0))</f>
        <v>0</v>
      </c>
      <c r="AF70" s="126">
        <f>INDEX(Calcs!$AC$5:$AG$51, MATCH('Rotation Assembler'!$A70, Calcs!$AC$5:$AC$51, 0), MATCH('Rotation Assembler'!AF$32, Calcs!$AC$5:$AG$5, 0))</f>
        <v>0</v>
      </c>
      <c r="AG70" s="126">
        <f>INDEX(Calcs!$AC$5:$AG$51, MATCH('Rotation Assembler'!$A70, Calcs!$AC$5:$AC$51, 0), MATCH('Rotation Assembler'!AG$32, Calcs!$AC$5:$AG$5, 0))</f>
        <v>0</v>
      </c>
      <c r="AH70" s="126">
        <f>INDEX(Calcs!$AC$5:$AG$51, MATCH('Rotation Assembler'!$A70, Calcs!$AC$5:$AC$51, 0), MATCH('Rotation Assembler'!AH$32, Calcs!$AC$5:$AG$5, 0))</f>
        <v>0</v>
      </c>
      <c r="AI70" s="126">
        <f>INDEX(Calcs!$AC$5:$AG$51, MATCH('Rotation Assembler'!$A70, Calcs!$AC$5:$AC$51, 0), MATCH('Rotation Assembler'!AI$32, Calcs!$AC$5:$AG$5, 0))</f>
        <v>0</v>
      </c>
      <c r="AJ70" s="126" t="e">
        <f>INDEX(Calcs!$AC$5:$AG$51, MATCH('Rotation Assembler'!$A70, Calcs!$AC$5:$AC$51, 0), MATCH('Rotation Assembler'!AJ$32, Calcs!$AC$5:$AG$5, 0))</f>
        <v>#N/A</v>
      </c>
      <c r="AK70" s="126" t="e">
        <f>INDEX(Calcs!$AC$5:$AG$51, MATCH('Rotation Assembler'!$A70, Calcs!$AC$5:$AC$51, 0), MATCH('Rotation Assembler'!AK$32, Calcs!$AC$5:$AG$5, 0))</f>
        <v>#N/A</v>
      </c>
      <c r="AL70" s="126" t="e">
        <f>INDEX(Calcs!$AC$5:$AG$51, MATCH('Rotation Assembler'!$A70, Calcs!$AC$5:$AC$51, 0), MATCH('Rotation Assembler'!AL$32, Calcs!$AC$5:$AG$5, 0))</f>
        <v>#N/A</v>
      </c>
      <c r="AM70" s="126" t="e">
        <f>INDEX(Calcs!$AC$5:$AG$51, MATCH('Rotation Assembler'!$A70, Calcs!$AC$5:$AC$51, 0), MATCH('Rotation Assembler'!AM$32, Calcs!$AC$5:$AG$5, 0))</f>
        <v>#N/A</v>
      </c>
      <c r="AN70" s="126" t="e">
        <f>INDEX(Calcs!$AC$5:$AG$51, MATCH('Rotation Assembler'!$A70, Calcs!$AC$5:$AC$51, 0), MATCH('Rotation Assembler'!AN$32, Calcs!$AC$5:$AG$5, 0))</f>
        <v>#N/A</v>
      </c>
      <c r="AO70" s="126" t="e">
        <f>INDEX(Calcs!$AC$5:$AG$51, MATCH('Rotation Assembler'!$A70, Calcs!$AC$5:$AC$51, 0), MATCH('Rotation Assembler'!AO$32, Calcs!$AC$5:$AG$5, 0))</f>
        <v>#N/A</v>
      </c>
      <c r="AP70" s="126" t="e">
        <f>INDEX(Calcs!$AC$5:$AG$51, MATCH('Rotation Assembler'!$A70, Calcs!$AC$5:$AC$51, 0), MATCH('Rotation Assembler'!AP$32, Calcs!$AC$5:$AG$5, 0))</f>
        <v>#N/A</v>
      </c>
      <c r="AQ70" s="126" t="e">
        <f>INDEX(Calcs!$AC$5:$AG$51, MATCH('Rotation Assembler'!$A70, Calcs!$AC$5:$AC$51, 0), MATCH('Rotation Assembler'!AQ$32, Calcs!$AC$5:$AG$5, 0))</f>
        <v>#N/A</v>
      </c>
      <c r="AR70" s="126" t="e">
        <f>INDEX(Calcs!$AC$5:$AG$51, MATCH('Rotation Assembler'!$A70, Calcs!$AC$5:$AC$51, 0), MATCH('Rotation Assembler'!AR$32, Calcs!$AC$5:$AG$5, 0))</f>
        <v>#N/A</v>
      </c>
      <c r="AS70" s="126" t="e">
        <f>INDEX(Calcs!$AC$5:$AG$51, MATCH('Rotation Assembler'!$A70, Calcs!$AC$5:$AC$51, 0), MATCH('Rotation Assembler'!AS$32, Calcs!$AC$5:$AG$5, 0))</f>
        <v>#N/A</v>
      </c>
      <c r="AT70" s="126" t="e">
        <f>INDEX(Calcs!$AC$5:$AG$51, MATCH('Rotation Assembler'!$A70, Calcs!$AC$5:$AC$51, 0), MATCH('Rotation Assembler'!AT$32, Calcs!$AC$5:$AG$5, 0))</f>
        <v>#N/A</v>
      </c>
      <c r="AU70" s="126" t="e">
        <f>INDEX(Calcs!$AC$5:$AG$51, MATCH('Rotation Assembler'!$A70, Calcs!$AC$5:$AC$51, 0), MATCH('Rotation Assembler'!AU$32, Calcs!$AC$5:$AG$5, 0))</f>
        <v>#N/A</v>
      </c>
      <c r="AV70" s="126" t="e">
        <f>INDEX(Calcs!$AC$5:$AG$51, MATCH('Rotation Assembler'!$A70, Calcs!$AC$5:$AC$51, 0), MATCH('Rotation Assembler'!AV$32, Calcs!$AC$5:$AG$5, 0))</f>
        <v>#N/A</v>
      </c>
      <c r="AW70" s="126" t="e">
        <f>INDEX(Calcs!$AC$5:$AG$51, MATCH('Rotation Assembler'!$A70, Calcs!$AC$5:$AC$51, 0), MATCH('Rotation Assembler'!AW$32, Calcs!$AC$5:$AG$5, 0))</f>
        <v>#N/A</v>
      </c>
      <c r="AX70" s="126" t="e">
        <f>INDEX(Calcs!$AC$5:$AG$51, MATCH('Rotation Assembler'!$A70, Calcs!$AC$5:$AC$51, 0), MATCH('Rotation Assembler'!AX$32, Calcs!$AC$5:$AG$5, 0))</f>
        <v>#N/A</v>
      </c>
      <c r="AY70" s="126" t="e">
        <f>INDEX(Calcs!$AC$5:$AG$51, MATCH('Rotation Assembler'!$A70, Calcs!$AC$5:$AC$51, 0), MATCH('Rotation Assembler'!AY$32, Calcs!$AC$5:$AG$5, 0))</f>
        <v>#N/A</v>
      </c>
      <c r="AZ70" s="126" t="e">
        <f>INDEX(Calcs!$AC$5:$AG$51, MATCH('Rotation Assembler'!$A70, Calcs!$AC$5:$AC$51, 0), MATCH('Rotation Assembler'!AZ$32, Calcs!$AC$5:$AG$5, 0))</f>
        <v>#N/A</v>
      </c>
      <c r="BA70" s="126" t="e">
        <f>INDEX(Calcs!$AC$5:$AG$51, MATCH('Rotation Assembler'!$A70, Calcs!$AC$5:$AC$51, 0), MATCH('Rotation Assembler'!BA$32, Calcs!$AC$5:$AG$5, 0))</f>
        <v>#N/A</v>
      </c>
      <c r="BB70" s="126" t="e">
        <f>INDEX(Calcs!$AC$5:$AG$51, MATCH('Rotation Assembler'!$A70, Calcs!$AC$5:$AC$51, 0), MATCH('Rotation Assembler'!BB$32, Calcs!$AC$5:$AG$5, 0))</f>
        <v>#N/A</v>
      </c>
      <c r="BC70" s="126" t="e">
        <f>INDEX(Calcs!$AC$5:$AG$51, MATCH('Rotation Assembler'!$A70, Calcs!$AC$5:$AC$51, 0), MATCH('Rotation Assembler'!BC$32, Calcs!$AC$5:$AG$5, 0))</f>
        <v>#N/A</v>
      </c>
      <c r="BD70" s="126" t="e">
        <f>INDEX(Calcs!$AC$5:$AG$51, MATCH('Rotation Assembler'!$A70, Calcs!$AC$5:$AC$51, 0), MATCH('Rotation Assembler'!BD$32, Calcs!$AC$5:$AG$5, 0))</f>
        <v>#N/A</v>
      </c>
      <c r="BE70" s="126" t="e">
        <f>INDEX(Calcs!$AC$5:$AG$51, MATCH('Rotation Assembler'!$A70, Calcs!$AC$5:$AC$51, 0), MATCH('Rotation Assembler'!BE$32, Calcs!$AC$5:$AG$5, 0))</f>
        <v>#N/A</v>
      </c>
      <c r="BF70" s="126" t="e">
        <f>INDEX(Calcs!$AC$5:$AG$51, MATCH('Rotation Assembler'!$A70, Calcs!$AC$5:$AC$51, 0), MATCH('Rotation Assembler'!BF$32, Calcs!$AC$5:$AG$5, 0))</f>
        <v>#N/A</v>
      </c>
      <c r="BG70" s="126" t="e">
        <f>INDEX(Calcs!$AC$5:$AG$51, MATCH('Rotation Assembler'!$A70, Calcs!$AC$5:$AC$51, 0), MATCH('Rotation Assembler'!BG$32, Calcs!$AC$5:$AG$5, 0))</f>
        <v>#N/A</v>
      </c>
      <c r="BH70" s="126" t="e">
        <f>INDEX(Calcs!$AC$5:$AG$51, MATCH('Rotation Assembler'!$A70, Calcs!$AC$5:$AC$51, 0), MATCH('Rotation Assembler'!BH$32, Calcs!$AC$5:$AG$5, 0))</f>
        <v>#N/A</v>
      </c>
      <c r="BI70" s="126"/>
      <c r="BJ70" s="126"/>
      <c r="BK70" s="126"/>
      <c r="BL70" s="126"/>
      <c r="BM70" s="126"/>
      <c r="BN70" s="126"/>
      <c r="BO70" s="126"/>
      <c r="BP70" s="126"/>
      <c r="BQ70" s="126"/>
      <c r="BR70" s="126"/>
      <c r="BS70" s="126"/>
      <c r="BT70" s="126"/>
      <c r="BU70" s="126"/>
      <c r="BV70" s="126"/>
      <c r="BW70" s="126"/>
      <c r="BX70" s="126"/>
      <c r="BY70" s="126"/>
      <c r="BZ70" s="126"/>
      <c r="CA70" s="126"/>
      <c r="CB70" s="126"/>
      <c r="CC70" s="126"/>
      <c r="CD70" s="126"/>
      <c r="CE70" s="126"/>
      <c r="CF70" s="126"/>
      <c r="CG70" s="126"/>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row>
    <row r="71" spans="1:107" hidden="1" outlineLevel="1" x14ac:dyDescent="0.25">
      <c r="A71" s="122" t="s">
        <v>95</v>
      </c>
      <c r="B71" s="126">
        <f>INDEX(Calcs!$AC$5:$AG$51, MATCH('Rotation Assembler'!$A71, Calcs!$AC$5:$AC$51, 0), MATCH('Rotation Assembler'!B$32, Calcs!$AC$5:$AG$5, 0))</f>
        <v>0</v>
      </c>
      <c r="C71" s="126">
        <f>INDEX(Calcs!$AC$5:$AG$51, MATCH('Rotation Assembler'!$A71, Calcs!$AC$5:$AC$51, 0), MATCH('Rotation Assembler'!C$32, Calcs!$AC$5:$AG$5, 0))</f>
        <v>0</v>
      </c>
      <c r="D71" s="126">
        <f>INDEX(Calcs!$AC$5:$AG$51, MATCH('Rotation Assembler'!$A71, Calcs!$AC$5:$AC$51, 0), MATCH('Rotation Assembler'!D$32, Calcs!$AC$5:$AG$5, 0))</f>
        <v>0</v>
      </c>
      <c r="E71" s="126">
        <f>INDEX(Calcs!$AC$5:$AG$51, MATCH('Rotation Assembler'!$A71, Calcs!$AC$5:$AC$51, 0), MATCH('Rotation Assembler'!E$32, Calcs!$AC$5:$AG$5, 0))</f>
        <v>0</v>
      </c>
      <c r="F71" s="126">
        <f>INDEX(Calcs!$AC$5:$AG$51, MATCH('Rotation Assembler'!$A71, Calcs!$AC$5:$AC$51, 0), MATCH('Rotation Assembler'!F$32, Calcs!$AC$5:$AG$5, 0))</f>
        <v>0</v>
      </c>
      <c r="G71" s="126">
        <f>INDEX(Calcs!$AC$5:$AG$51, MATCH('Rotation Assembler'!$A71, Calcs!$AC$5:$AC$51, 0), MATCH('Rotation Assembler'!G$32, Calcs!$AC$5:$AG$5, 0))</f>
        <v>0</v>
      </c>
      <c r="H71" s="126">
        <f>INDEX(Calcs!$AC$5:$AG$51, MATCH('Rotation Assembler'!$A71, Calcs!$AC$5:$AC$51, 0), MATCH('Rotation Assembler'!H$32, Calcs!$AC$5:$AG$5, 0))</f>
        <v>0</v>
      </c>
      <c r="I71" s="126">
        <f>INDEX(Calcs!$AC$5:$AG$51, MATCH('Rotation Assembler'!$A71, Calcs!$AC$5:$AC$51, 0), MATCH('Rotation Assembler'!I$32, Calcs!$AC$5:$AG$5, 0))</f>
        <v>0</v>
      </c>
      <c r="J71" s="126">
        <f>INDEX(Calcs!$AC$5:$AG$51, MATCH('Rotation Assembler'!$A71, Calcs!$AC$5:$AC$51, 0), MATCH('Rotation Assembler'!J$32, Calcs!$AC$5:$AG$5, 0))</f>
        <v>0</v>
      </c>
      <c r="K71" s="126">
        <f>INDEX(Calcs!$AC$5:$AG$51, MATCH('Rotation Assembler'!$A71, Calcs!$AC$5:$AC$51, 0), MATCH('Rotation Assembler'!K$32, Calcs!$AC$5:$AG$5, 0))</f>
        <v>0</v>
      </c>
      <c r="L71" s="126">
        <f>INDEX(Calcs!$AC$5:$AG$51, MATCH('Rotation Assembler'!$A71, Calcs!$AC$5:$AC$51, 0), MATCH('Rotation Assembler'!L$32, Calcs!$AC$5:$AG$5, 0))</f>
        <v>0</v>
      </c>
      <c r="M71" s="126">
        <f>INDEX(Calcs!$AC$5:$AG$51, MATCH('Rotation Assembler'!$A71, Calcs!$AC$5:$AC$51, 0), MATCH('Rotation Assembler'!M$32, Calcs!$AC$5:$AG$5, 0))</f>
        <v>0</v>
      </c>
      <c r="N71" s="126">
        <f>INDEX(Calcs!$AC$5:$AG$51, MATCH('Rotation Assembler'!$A71, Calcs!$AC$5:$AC$51, 0), MATCH('Rotation Assembler'!N$32, Calcs!$AC$5:$AG$5, 0))</f>
        <v>0</v>
      </c>
      <c r="O71" s="126">
        <f>INDEX(Calcs!$AC$5:$AG$51, MATCH('Rotation Assembler'!$A71, Calcs!$AC$5:$AC$51, 0), MATCH('Rotation Assembler'!O$32, Calcs!$AC$5:$AG$5, 0))</f>
        <v>0</v>
      </c>
      <c r="P71" s="126">
        <f>INDEX(Calcs!$AC$5:$AG$51, MATCH('Rotation Assembler'!$A71, Calcs!$AC$5:$AC$51, 0), MATCH('Rotation Assembler'!P$32, Calcs!$AC$5:$AG$5, 0))</f>
        <v>0</v>
      </c>
      <c r="Q71" s="126">
        <f>INDEX(Calcs!$AC$5:$AG$51, MATCH('Rotation Assembler'!$A71, Calcs!$AC$5:$AC$51, 0), MATCH('Rotation Assembler'!Q$32, Calcs!$AC$5:$AG$5, 0))</f>
        <v>0</v>
      </c>
      <c r="R71" s="126">
        <f>INDEX(Calcs!$AC$5:$AG$51, MATCH('Rotation Assembler'!$A71, Calcs!$AC$5:$AC$51, 0), MATCH('Rotation Assembler'!R$32, Calcs!$AC$5:$AG$5, 0))</f>
        <v>0</v>
      </c>
      <c r="S71" s="126">
        <f>INDEX(Calcs!$AC$5:$AG$51, MATCH('Rotation Assembler'!$A71, Calcs!$AC$5:$AC$51, 0), MATCH('Rotation Assembler'!S$32, Calcs!$AC$5:$AG$5, 0))</f>
        <v>0</v>
      </c>
      <c r="T71" s="126">
        <f>INDEX(Calcs!$AC$5:$AG$51, MATCH('Rotation Assembler'!$A71, Calcs!$AC$5:$AC$51, 0), MATCH('Rotation Assembler'!T$32, Calcs!$AC$5:$AG$5, 0))</f>
        <v>0</v>
      </c>
      <c r="U71" s="126">
        <f>INDEX(Calcs!$AC$5:$AG$51, MATCH('Rotation Assembler'!$A71, Calcs!$AC$5:$AC$51, 0), MATCH('Rotation Assembler'!U$32, Calcs!$AC$5:$AG$5, 0))</f>
        <v>0</v>
      </c>
      <c r="V71" s="126">
        <f>INDEX(Calcs!$AC$5:$AG$51, MATCH('Rotation Assembler'!$A71, Calcs!$AC$5:$AC$51, 0), MATCH('Rotation Assembler'!V$32, Calcs!$AC$5:$AG$5, 0))</f>
        <v>0</v>
      </c>
      <c r="W71" s="126">
        <f>INDEX(Calcs!$AC$5:$AG$51, MATCH('Rotation Assembler'!$A71, Calcs!$AC$5:$AC$51, 0), MATCH('Rotation Assembler'!W$32, Calcs!$AC$5:$AG$5, 0))</f>
        <v>0</v>
      </c>
      <c r="X71" s="126">
        <f>INDEX(Calcs!$AC$5:$AG$51, MATCH('Rotation Assembler'!$A71, Calcs!$AC$5:$AC$51, 0), MATCH('Rotation Assembler'!X$32, Calcs!$AC$5:$AG$5, 0))</f>
        <v>0</v>
      </c>
      <c r="Y71" s="126">
        <f>INDEX(Calcs!$AC$5:$AG$51, MATCH('Rotation Assembler'!$A71, Calcs!$AC$5:$AC$51, 0), MATCH('Rotation Assembler'!Y$32, Calcs!$AC$5:$AG$5, 0))</f>
        <v>0</v>
      </c>
      <c r="Z71" s="126">
        <f>INDEX(Calcs!$AC$5:$AG$51, MATCH('Rotation Assembler'!$A71, Calcs!$AC$5:$AC$51, 0), MATCH('Rotation Assembler'!Z$32, Calcs!$AC$5:$AG$5, 0))</f>
        <v>0</v>
      </c>
      <c r="AA71" s="126">
        <f>INDEX(Calcs!$AC$5:$AG$51, MATCH('Rotation Assembler'!$A71, Calcs!$AC$5:$AC$51, 0), MATCH('Rotation Assembler'!AA$32, Calcs!$AC$5:$AG$5, 0))</f>
        <v>0</v>
      </c>
      <c r="AB71" s="126">
        <f>INDEX(Calcs!$AC$5:$AG$51, MATCH('Rotation Assembler'!$A71, Calcs!$AC$5:$AC$51, 0), MATCH('Rotation Assembler'!AB$32, Calcs!$AC$5:$AG$5, 0))</f>
        <v>0</v>
      </c>
      <c r="AC71" s="126">
        <f>INDEX(Calcs!$AC$5:$AG$51, MATCH('Rotation Assembler'!$A71, Calcs!$AC$5:$AC$51, 0), MATCH('Rotation Assembler'!AC$32, Calcs!$AC$5:$AG$5, 0))</f>
        <v>0</v>
      </c>
      <c r="AD71" s="126">
        <f>INDEX(Calcs!$AC$5:$AG$51, MATCH('Rotation Assembler'!$A71, Calcs!$AC$5:$AC$51, 0), MATCH('Rotation Assembler'!AD$32, Calcs!$AC$5:$AG$5, 0))</f>
        <v>0</v>
      </c>
      <c r="AE71" s="126">
        <f>INDEX(Calcs!$AC$5:$AG$51, MATCH('Rotation Assembler'!$A71, Calcs!$AC$5:$AC$51, 0), MATCH('Rotation Assembler'!AE$32, Calcs!$AC$5:$AG$5, 0))</f>
        <v>0</v>
      </c>
      <c r="AF71" s="126">
        <f>INDEX(Calcs!$AC$5:$AG$51, MATCH('Rotation Assembler'!$A71, Calcs!$AC$5:$AC$51, 0), MATCH('Rotation Assembler'!AF$32, Calcs!$AC$5:$AG$5, 0))</f>
        <v>0</v>
      </c>
      <c r="AG71" s="126">
        <f>INDEX(Calcs!$AC$5:$AG$51, MATCH('Rotation Assembler'!$A71, Calcs!$AC$5:$AC$51, 0), MATCH('Rotation Assembler'!AG$32, Calcs!$AC$5:$AG$5, 0))</f>
        <v>0</v>
      </c>
      <c r="AH71" s="126">
        <f>INDEX(Calcs!$AC$5:$AG$51, MATCH('Rotation Assembler'!$A71, Calcs!$AC$5:$AC$51, 0), MATCH('Rotation Assembler'!AH$32, Calcs!$AC$5:$AG$5, 0))</f>
        <v>0</v>
      </c>
      <c r="AI71" s="126">
        <f>INDEX(Calcs!$AC$5:$AG$51, MATCH('Rotation Assembler'!$A71, Calcs!$AC$5:$AC$51, 0), MATCH('Rotation Assembler'!AI$32, Calcs!$AC$5:$AG$5, 0))</f>
        <v>0</v>
      </c>
      <c r="AJ71" s="126" t="e">
        <f>INDEX(Calcs!$AC$5:$AG$51, MATCH('Rotation Assembler'!$A71, Calcs!$AC$5:$AC$51, 0), MATCH('Rotation Assembler'!AJ$32, Calcs!$AC$5:$AG$5, 0))</f>
        <v>#N/A</v>
      </c>
      <c r="AK71" s="126" t="e">
        <f>INDEX(Calcs!$AC$5:$AG$51, MATCH('Rotation Assembler'!$A71, Calcs!$AC$5:$AC$51, 0), MATCH('Rotation Assembler'!AK$32, Calcs!$AC$5:$AG$5, 0))</f>
        <v>#N/A</v>
      </c>
      <c r="AL71" s="126" t="e">
        <f>INDEX(Calcs!$AC$5:$AG$51, MATCH('Rotation Assembler'!$A71, Calcs!$AC$5:$AC$51, 0), MATCH('Rotation Assembler'!AL$32, Calcs!$AC$5:$AG$5, 0))</f>
        <v>#N/A</v>
      </c>
      <c r="AM71" s="126" t="e">
        <f>INDEX(Calcs!$AC$5:$AG$51, MATCH('Rotation Assembler'!$A71, Calcs!$AC$5:$AC$51, 0), MATCH('Rotation Assembler'!AM$32, Calcs!$AC$5:$AG$5, 0))</f>
        <v>#N/A</v>
      </c>
      <c r="AN71" s="126" t="e">
        <f>INDEX(Calcs!$AC$5:$AG$51, MATCH('Rotation Assembler'!$A71, Calcs!$AC$5:$AC$51, 0), MATCH('Rotation Assembler'!AN$32, Calcs!$AC$5:$AG$5, 0))</f>
        <v>#N/A</v>
      </c>
      <c r="AO71" s="126" t="e">
        <f>INDEX(Calcs!$AC$5:$AG$51, MATCH('Rotation Assembler'!$A71, Calcs!$AC$5:$AC$51, 0), MATCH('Rotation Assembler'!AO$32, Calcs!$AC$5:$AG$5, 0))</f>
        <v>#N/A</v>
      </c>
      <c r="AP71" s="126" t="e">
        <f>INDEX(Calcs!$AC$5:$AG$51, MATCH('Rotation Assembler'!$A71, Calcs!$AC$5:$AC$51, 0), MATCH('Rotation Assembler'!AP$32, Calcs!$AC$5:$AG$5, 0))</f>
        <v>#N/A</v>
      </c>
      <c r="AQ71" s="126" t="e">
        <f>INDEX(Calcs!$AC$5:$AG$51, MATCH('Rotation Assembler'!$A71, Calcs!$AC$5:$AC$51, 0), MATCH('Rotation Assembler'!AQ$32, Calcs!$AC$5:$AG$5, 0))</f>
        <v>#N/A</v>
      </c>
      <c r="AR71" s="126" t="e">
        <f>INDEX(Calcs!$AC$5:$AG$51, MATCH('Rotation Assembler'!$A71, Calcs!$AC$5:$AC$51, 0), MATCH('Rotation Assembler'!AR$32, Calcs!$AC$5:$AG$5, 0))</f>
        <v>#N/A</v>
      </c>
      <c r="AS71" s="126" t="e">
        <f>INDEX(Calcs!$AC$5:$AG$51, MATCH('Rotation Assembler'!$A71, Calcs!$AC$5:$AC$51, 0), MATCH('Rotation Assembler'!AS$32, Calcs!$AC$5:$AG$5, 0))</f>
        <v>#N/A</v>
      </c>
      <c r="AT71" s="126" t="e">
        <f>INDEX(Calcs!$AC$5:$AG$51, MATCH('Rotation Assembler'!$A71, Calcs!$AC$5:$AC$51, 0), MATCH('Rotation Assembler'!AT$32, Calcs!$AC$5:$AG$5, 0))</f>
        <v>#N/A</v>
      </c>
      <c r="AU71" s="126" t="e">
        <f>INDEX(Calcs!$AC$5:$AG$51, MATCH('Rotation Assembler'!$A71, Calcs!$AC$5:$AC$51, 0), MATCH('Rotation Assembler'!AU$32, Calcs!$AC$5:$AG$5, 0))</f>
        <v>#N/A</v>
      </c>
      <c r="AV71" s="126" t="e">
        <f>INDEX(Calcs!$AC$5:$AG$51, MATCH('Rotation Assembler'!$A71, Calcs!$AC$5:$AC$51, 0), MATCH('Rotation Assembler'!AV$32, Calcs!$AC$5:$AG$5, 0))</f>
        <v>#N/A</v>
      </c>
      <c r="AW71" s="126" t="e">
        <f>INDEX(Calcs!$AC$5:$AG$51, MATCH('Rotation Assembler'!$A71, Calcs!$AC$5:$AC$51, 0), MATCH('Rotation Assembler'!AW$32, Calcs!$AC$5:$AG$5, 0))</f>
        <v>#N/A</v>
      </c>
      <c r="AX71" s="126" t="e">
        <f>INDEX(Calcs!$AC$5:$AG$51, MATCH('Rotation Assembler'!$A71, Calcs!$AC$5:$AC$51, 0), MATCH('Rotation Assembler'!AX$32, Calcs!$AC$5:$AG$5, 0))</f>
        <v>#N/A</v>
      </c>
      <c r="AY71" s="126" t="e">
        <f>INDEX(Calcs!$AC$5:$AG$51, MATCH('Rotation Assembler'!$A71, Calcs!$AC$5:$AC$51, 0), MATCH('Rotation Assembler'!AY$32, Calcs!$AC$5:$AG$5, 0))</f>
        <v>#N/A</v>
      </c>
      <c r="AZ71" s="126" t="e">
        <f>INDEX(Calcs!$AC$5:$AG$51, MATCH('Rotation Assembler'!$A71, Calcs!$AC$5:$AC$51, 0), MATCH('Rotation Assembler'!AZ$32, Calcs!$AC$5:$AG$5, 0))</f>
        <v>#N/A</v>
      </c>
      <c r="BA71" s="126" t="e">
        <f>INDEX(Calcs!$AC$5:$AG$51, MATCH('Rotation Assembler'!$A71, Calcs!$AC$5:$AC$51, 0), MATCH('Rotation Assembler'!BA$32, Calcs!$AC$5:$AG$5, 0))</f>
        <v>#N/A</v>
      </c>
      <c r="BB71" s="126" t="e">
        <f>INDEX(Calcs!$AC$5:$AG$51, MATCH('Rotation Assembler'!$A71, Calcs!$AC$5:$AC$51, 0), MATCH('Rotation Assembler'!BB$32, Calcs!$AC$5:$AG$5, 0))</f>
        <v>#N/A</v>
      </c>
      <c r="BC71" s="126" t="e">
        <f>INDEX(Calcs!$AC$5:$AG$51, MATCH('Rotation Assembler'!$A71, Calcs!$AC$5:$AC$51, 0), MATCH('Rotation Assembler'!BC$32, Calcs!$AC$5:$AG$5, 0))</f>
        <v>#N/A</v>
      </c>
      <c r="BD71" s="126" t="e">
        <f>INDEX(Calcs!$AC$5:$AG$51, MATCH('Rotation Assembler'!$A71, Calcs!$AC$5:$AC$51, 0), MATCH('Rotation Assembler'!BD$32, Calcs!$AC$5:$AG$5, 0))</f>
        <v>#N/A</v>
      </c>
      <c r="BE71" s="126" t="e">
        <f>INDEX(Calcs!$AC$5:$AG$51, MATCH('Rotation Assembler'!$A71, Calcs!$AC$5:$AC$51, 0), MATCH('Rotation Assembler'!BE$32, Calcs!$AC$5:$AG$5, 0))</f>
        <v>#N/A</v>
      </c>
      <c r="BF71" s="126" t="e">
        <f>INDEX(Calcs!$AC$5:$AG$51, MATCH('Rotation Assembler'!$A71, Calcs!$AC$5:$AC$51, 0), MATCH('Rotation Assembler'!BF$32, Calcs!$AC$5:$AG$5, 0))</f>
        <v>#N/A</v>
      </c>
      <c r="BG71" s="126" t="e">
        <f>INDEX(Calcs!$AC$5:$AG$51, MATCH('Rotation Assembler'!$A71, Calcs!$AC$5:$AC$51, 0), MATCH('Rotation Assembler'!BG$32, Calcs!$AC$5:$AG$5, 0))</f>
        <v>#N/A</v>
      </c>
      <c r="BH71" s="126" t="e">
        <f>INDEX(Calcs!$AC$5:$AG$51, MATCH('Rotation Assembler'!$A71, Calcs!$AC$5:$AC$51, 0), MATCH('Rotation Assembler'!BH$32, Calcs!$AC$5:$AG$5, 0))</f>
        <v>#N/A</v>
      </c>
      <c r="BI71" s="126"/>
      <c r="BJ71" s="126"/>
      <c r="BK71" s="126"/>
      <c r="BL71" s="126"/>
      <c r="BM71" s="126"/>
      <c r="BN71" s="126"/>
      <c r="BO71" s="126"/>
      <c r="BP71" s="126"/>
      <c r="BQ71" s="126"/>
      <c r="BR71" s="126"/>
      <c r="BS71" s="126"/>
      <c r="BT71" s="126"/>
      <c r="BU71" s="126"/>
      <c r="BV71" s="126"/>
      <c r="BW71" s="126"/>
      <c r="BX71" s="126"/>
      <c r="BY71" s="126"/>
      <c r="BZ71" s="126"/>
      <c r="CA71" s="126"/>
      <c r="CB71" s="126"/>
      <c r="CC71" s="126"/>
      <c r="CD71" s="126"/>
      <c r="CE71" s="126"/>
      <c r="CF71" s="126"/>
      <c r="CG71" s="126"/>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row>
    <row r="72" spans="1:107" hidden="1" outlineLevel="1" x14ac:dyDescent="0.25">
      <c r="A72" s="122" t="s">
        <v>96</v>
      </c>
      <c r="B72" s="126">
        <f>INDEX(Calcs!$AC$5:$AG$51, MATCH('Rotation Assembler'!$A72, Calcs!$AC$5:$AC$51, 0), MATCH('Rotation Assembler'!B$32, Calcs!$AC$5:$AG$5, 0))</f>
        <v>0</v>
      </c>
      <c r="C72" s="126">
        <f>INDEX(Calcs!$AC$5:$AG$51, MATCH('Rotation Assembler'!$A72, Calcs!$AC$5:$AC$51, 0), MATCH('Rotation Assembler'!C$32, Calcs!$AC$5:$AG$5, 0))</f>
        <v>0</v>
      </c>
      <c r="D72" s="126">
        <f>INDEX(Calcs!$AC$5:$AG$51, MATCH('Rotation Assembler'!$A72, Calcs!$AC$5:$AC$51, 0), MATCH('Rotation Assembler'!D$32, Calcs!$AC$5:$AG$5, 0))</f>
        <v>0</v>
      </c>
      <c r="E72" s="126">
        <f>INDEX(Calcs!$AC$5:$AG$51, MATCH('Rotation Assembler'!$A72, Calcs!$AC$5:$AC$51, 0), MATCH('Rotation Assembler'!E$32, Calcs!$AC$5:$AG$5, 0))</f>
        <v>0</v>
      </c>
      <c r="F72" s="126">
        <f>INDEX(Calcs!$AC$5:$AG$51, MATCH('Rotation Assembler'!$A72, Calcs!$AC$5:$AC$51, 0), MATCH('Rotation Assembler'!F$32, Calcs!$AC$5:$AG$5, 0))</f>
        <v>0</v>
      </c>
      <c r="G72" s="126">
        <f>INDEX(Calcs!$AC$5:$AG$51, MATCH('Rotation Assembler'!$A72, Calcs!$AC$5:$AC$51, 0), MATCH('Rotation Assembler'!G$32, Calcs!$AC$5:$AG$5, 0))</f>
        <v>0</v>
      </c>
      <c r="H72" s="126">
        <f>INDEX(Calcs!$AC$5:$AG$51, MATCH('Rotation Assembler'!$A72, Calcs!$AC$5:$AC$51, 0), MATCH('Rotation Assembler'!H$32, Calcs!$AC$5:$AG$5, 0))</f>
        <v>0</v>
      </c>
      <c r="I72" s="126">
        <f>INDEX(Calcs!$AC$5:$AG$51, MATCH('Rotation Assembler'!$A72, Calcs!$AC$5:$AC$51, 0), MATCH('Rotation Assembler'!I$32, Calcs!$AC$5:$AG$5, 0))</f>
        <v>0</v>
      </c>
      <c r="J72" s="126">
        <f>INDEX(Calcs!$AC$5:$AG$51, MATCH('Rotation Assembler'!$A72, Calcs!$AC$5:$AC$51, 0), MATCH('Rotation Assembler'!J$32, Calcs!$AC$5:$AG$5, 0))</f>
        <v>0</v>
      </c>
      <c r="K72" s="126">
        <f>INDEX(Calcs!$AC$5:$AG$51, MATCH('Rotation Assembler'!$A72, Calcs!$AC$5:$AC$51, 0), MATCH('Rotation Assembler'!K$32, Calcs!$AC$5:$AG$5, 0))</f>
        <v>0</v>
      </c>
      <c r="L72" s="126">
        <f>INDEX(Calcs!$AC$5:$AG$51, MATCH('Rotation Assembler'!$A72, Calcs!$AC$5:$AC$51, 0), MATCH('Rotation Assembler'!L$32, Calcs!$AC$5:$AG$5, 0))</f>
        <v>0</v>
      </c>
      <c r="M72" s="126">
        <f>INDEX(Calcs!$AC$5:$AG$51, MATCH('Rotation Assembler'!$A72, Calcs!$AC$5:$AC$51, 0), MATCH('Rotation Assembler'!M$32, Calcs!$AC$5:$AG$5, 0))</f>
        <v>0</v>
      </c>
      <c r="N72" s="126">
        <f>INDEX(Calcs!$AC$5:$AG$51, MATCH('Rotation Assembler'!$A72, Calcs!$AC$5:$AC$51, 0), MATCH('Rotation Assembler'!N$32, Calcs!$AC$5:$AG$5, 0))</f>
        <v>0</v>
      </c>
      <c r="O72" s="126">
        <f>INDEX(Calcs!$AC$5:$AG$51, MATCH('Rotation Assembler'!$A72, Calcs!$AC$5:$AC$51, 0), MATCH('Rotation Assembler'!O$32, Calcs!$AC$5:$AG$5, 0))</f>
        <v>0</v>
      </c>
      <c r="P72" s="126">
        <f>INDEX(Calcs!$AC$5:$AG$51, MATCH('Rotation Assembler'!$A72, Calcs!$AC$5:$AC$51, 0), MATCH('Rotation Assembler'!P$32, Calcs!$AC$5:$AG$5, 0))</f>
        <v>0</v>
      </c>
      <c r="Q72" s="126">
        <f>INDEX(Calcs!$AC$5:$AG$51, MATCH('Rotation Assembler'!$A72, Calcs!$AC$5:$AC$51, 0), MATCH('Rotation Assembler'!Q$32, Calcs!$AC$5:$AG$5, 0))</f>
        <v>0</v>
      </c>
      <c r="R72" s="126">
        <f>INDEX(Calcs!$AC$5:$AG$51, MATCH('Rotation Assembler'!$A72, Calcs!$AC$5:$AC$51, 0), MATCH('Rotation Assembler'!R$32, Calcs!$AC$5:$AG$5, 0))</f>
        <v>0</v>
      </c>
      <c r="S72" s="126">
        <f>INDEX(Calcs!$AC$5:$AG$51, MATCH('Rotation Assembler'!$A72, Calcs!$AC$5:$AC$51, 0), MATCH('Rotation Assembler'!S$32, Calcs!$AC$5:$AG$5, 0))</f>
        <v>0</v>
      </c>
      <c r="T72" s="126">
        <f>INDEX(Calcs!$AC$5:$AG$51, MATCH('Rotation Assembler'!$A72, Calcs!$AC$5:$AC$51, 0), MATCH('Rotation Assembler'!T$32, Calcs!$AC$5:$AG$5, 0))</f>
        <v>0</v>
      </c>
      <c r="U72" s="126">
        <f>INDEX(Calcs!$AC$5:$AG$51, MATCH('Rotation Assembler'!$A72, Calcs!$AC$5:$AC$51, 0), MATCH('Rotation Assembler'!U$32, Calcs!$AC$5:$AG$5, 0))</f>
        <v>0</v>
      </c>
      <c r="V72" s="126">
        <f>INDEX(Calcs!$AC$5:$AG$51, MATCH('Rotation Assembler'!$A72, Calcs!$AC$5:$AC$51, 0), MATCH('Rotation Assembler'!V$32, Calcs!$AC$5:$AG$5, 0))</f>
        <v>0</v>
      </c>
      <c r="W72" s="126">
        <f>INDEX(Calcs!$AC$5:$AG$51, MATCH('Rotation Assembler'!$A72, Calcs!$AC$5:$AC$51, 0), MATCH('Rotation Assembler'!W$32, Calcs!$AC$5:$AG$5, 0))</f>
        <v>0</v>
      </c>
      <c r="X72" s="126">
        <f>INDEX(Calcs!$AC$5:$AG$51, MATCH('Rotation Assembler'!$A72, Calcs!$AC$5:$AC$51, 0), MATCH('Rotation Assembler'!X$32, Calcs!$AC$5:$AG$5, 0))</f>
        <v>0</v>
      </c>
      <c r="Y72" s="126">
        <f>INDEX(Calcs!$AC$5:$AG$51, MATCH('Rotation Assembler'!$A72, Calcs!$AC$5:$AC$51, 0), MATCH('Rotation Assembler'!Y$32, Calcs!$AC$5:$AG$5, 0))</f>
        <v>0</v>
      </c>
      <c r="Z72" s="126">
        <f>INDEX(Calcs!$AC$5:$AG$51, MATCH('Rotation Assembler'!$A72, Calcs!$AC$5:$AC$51, 0), MATCH('Rotation Assembler'!Z$32, Calcs!$AC$5:$AG$5, 0))</f>
        <v>0</v>
      </c>
      <c r="AA72" s="126">
        <f>INDEX(Calcs!$AC$5:$AG$51, MATCH('Rotation Assembler'!$A72, Calcs!$AC$5:$AC$51, 0), MATCH('Rotation Assembler'!AA$32, Calcs!$AC$5:$AG$5, 0))</f>
        <v>0</v>
      </c>
      <c r="AB72" s="126">
        <f>INDEX(Calcs!$AC$5:$AG$51, MATCH('Rotation Assembler'!$A72, Calcs!$AC$5:$AC$51, 0), MATCH('Rotation Assembler'!AB$32, Calcs!$AC$5:$AG$5, 0))</f>
        <v>0</v>
      </c>
      <c r="AC72" s="126">
        <f>INDEX(Calcs!$AC$5:$AG$51, MATCH('Rotation Assembler'!$A72, Calcs!$AC$5:$AC$51, 0), MATCH('Rotation Assembler'!AC$32, Calcs!$AC$5:$AG$5, 0))</f>
        <v>0</v>
      </c>
      <c r="AD72" s="126">
        <f>INDEX(Calcs!$AC$5:$AG$51, MATCH('Rotation Assembler'!$A72, Calcs!$AC$5:$AC$51, 0), MATCH('Rotation Assembler'!AD$32, Calcs!$AC$5:$AG$5, 0))</f>
        <v>0</v>
      </c>
      <c r="AE72" s="126">
        <f>INDEX(Calcs!$AC$5:$AG$51, MATCH('Rotation Assembler'!$A72, Calcs!$AC$5:$AC$51, 0), MATCH('Rotation Assembler'!AE$32, Calcs!$AC$5:$AG$5, 0))</f>
        <v>0</v>
      </c>
      <c r="AF72" s="126">
        <f>INDEX(Calcs!$AC$5:$AG$51, MATCH('Rotation Assembler'!$A72, Calcs!$AC$5:$AC$51, 0), MATCH('Rotation Assembler'!AF$32, Calcs!$AC$5:$AG$5, 0))</f>
        <v>0</v>
      </c>
      <c r="AG72" s="126">
        <f>INDEX(Calcs!$AC$5:$AG$51, MATCH('Rotation Assembler'!$A72, Calcs!$AC$5:$AC$51, 0), MATCH('Rotation Assembler'!AG$32, Calcs!$AC$5:$AG$5, 0))</f>
        <v>0</v>
      </c>
      <c r="AH72" s="126">
        <f>INDEX(Calcs!$AC$5:$AG$51, MATCH('Rotation Assembler'!$A72, Calcs!$AC$5:$AC$51, 0), MATCH('Rotation Assembler'!AH$32, Calcs!$AC$5:$AG$5, 0))</f>
        <v>0</v>
      </c>
      <c r="AI72" s="126">
        <f>INDEX(Calcs!$AC$5:$AG$51, MATCH('Rotation Assembler'!$A72, Calcs!$AC$5:$AC$51, 0), MATCH('Rotation Assembler'!AI$32, Calcs!$AC$5:$AG$5, 0))</f>
        <v>0</v>
      </c>
      <c r="AJ72" s="126" t="e">
        <f>INDEX(Calcs!$AC$5:$AG$51, MATCH('Rotation Assembler'!$A72, Calcs!$AC$5:$AC$51, 0), MATCH('Rotation Assembler'!AJ$32, Calcs!$AC$5:$AG$5, 0))</f>
        <v>#N/A</v>
      </c>
      <c r="AK72" s="126" t="e">
        <f>INDEX(Calcs!$AC$5:$AG$51, MATCH('Rotation Assembler'!$A72, Calcs!$AC$5:$AC$51, 0), MATCH('Rotation Assembler'!AK$32, Calcs!$AC$5:$AG$5, 0))</f>
        <v>#N/A</v>
      </c>
      <c r="AL72" s="126" t="e">
        <f>INDEX(Calcs!$AC$5:$AG$51, MATCH('Rotation Assembler'!$A72, Calcs!$AC$5:$AC$51, 0), MATCH('Rotation Assembler'!AL$32, Calcs!$AC$5:$AG$5, 0))</f>
        <v>#N/A</v>
      </c>
      <c r="AM72" s="126" t="e">
        <f>INDEX(Calcs!$AC$5:$AG$51, MATCH('Rotation Assembler'!$A72, Calcs!$AC$5:$AC$51, 0), MATCH('Rotation Assembler'!AM$32, Calcs!$AC$5:$AG$5, 0))</f>
        <v>#N/A</v>
      </c>
      <c r="AN72" s="126" t="e">
        <f>INDEX(Calcs!$AC$5:$AG$51, MATCH('Rotation Assembler'!$A72, Calcs!$AC$5:$AC$51, 0), MATCH('Rotation Assembler'!AN$32, Calcs!$AC$5:$AG$5, 0))</f>
        <v>#N/A</v>
      </c>
      <c r="AO72" s="126" t="e">
        <f>INDEX(Calcs!$AC$5:$AG$51, MATCH('Rotation Assembler'!$A72, Calcs!$AC$5:$AC$51, 0), MATCH('Rotation Assembler'!AO$32, Calcs!$AC$5:$AG$5, 0))</f>
        <v>#N/A</v>
      </c>
      <c r="AP72" s="126" t="e">
        <f>INDEX(Calcs!$AC$5:$AG$51, MATCH('Rotation Assembler'!$A72, Calcs!$AC$5:$AC$51, 0), MATCH('Rotation Assembler'!AP$32, Calcs!$AC$5:$AG$5, 0))</f>
        <v>#N/A</v>
      </c>
      <c r="AQ72" s="126" t="e">
        <f>INDEX(Calcs!$AC$5:$AG$51, MATCH('Rotation Assembler'!$A72, Calcs!$AC$5:$AC$51, 0), MATCH('Rotation Assembler'!AQ$32, Calcs!$AC$5:$AG$5, 0))</f>
        <v>#N/A</v>
      </c>
      <c r="AR72" s="126" t="e">
        <f>INDEX(Calcs!$AC$5:$AG$51, MATCH('Rotation Assembler'!$A72, Calcs!$AC$5:$AC$51, 0), MATCH('Rotation Assembler'!AR$32, Calcs!$AC$5:$AG$5, 0))</f>
        <v>#N/A</v>
      </c>
      <c r="AS72" s="126" t="e">
        <f>INDEX(Calcs!$AC$5:$AG$51, MATCH('Rotation Assembler'!$A72, Calcs!$AC$5:$AC$51, 0), MATCH('Rotation Assembler'!AS$32, Calcs!$AC$5:$AG$5, 0))</f>
        <v>#N/A</v>
      </c>
      <c r="AT72" s="126" t="e">
        <f>INDEX(Calcs!$AC$5:$AG$51, MATCH('Rotation Assembler'!$A72, Calcs!$AC$5:$AC$51, 0), MATCH('Rotation Assembler'!AT$32, Calcs!$AC$5:$AG$5, 0))</f>
        <v>#N/A</v>
      </c>
      <c r="AU72" s="126" t="e">
        <f>INDEX(Calcs!$AC$5:$AG$51, MATCH('Rotation Assembler'!$A72, Calcs!$AC$5:$AC$51, 0), MATCH('Rotation Assembler'!AU$32, Calcs!$AC$5:$AG$5, 0))</f>
        <v>#N/A</v>
      </c>
      <c r="AV72" s="126" t="e">
        <f>INDEX(Calcs!$AC$5:$AG$51, MATCH('Rotation Assembler'!$A72, Calcs!$AC$5:$AC$51, 0), MATCH('Rotation Assembler'!AV$32, Calcs!$AC$5:$AG$5, 0))</f>
        <v>#N/A</v>
      </c>
      <c r="AW72" s="126" t="e">
        <f>INDEX(Calcs!$AC$5:$AG$51, MATCH('Rotation Assembler'!$A72, Calcs!$AC$5:$AC$51, 0), MATCH('Rotation Assembler'!AW$32, Calcs!$AC$5:$AG$5, 0))</f>
        <v>#N/A</v>
      </c>
      <c r="AX72" s="126" t="e">
        <f>INDEX(Calcs!$AC$5:$AG$51, MATCH('Rotation Assembler'!$A72, Calcs!$AC$5:$AC$51, 0), MATCH('Rotation Assembler'!AX$32, Calcs!$AC$5:$AG$5, 0))</f>
        <v>#N/A</v>
      </c>
      <c r="AY72" s="126" t="e">
        <f>INDEX(Calcs!$AC$5:$AG$51, MATCH('Rotation Assembler'!$A72, Calcs!$AC$5:$AC$51, 0), MATCH('Rotation Assembler'!AY$32, Calcs!$AC$5:$AG$5, 0))</f>
        <v>#N/A</v>
      </c>
      <c r="AZ72" s="126" t="e">
        <f>INDEX(Calcs!$AC$5:$AG$51, MATCH('Rotation Assembler'!$A72, Calcs!$AC$5:$AC$51, 0), MATCH('Rotation Assembler'!AZ$32, Calcs!$AC$5:$AG$5, 0))</f>
        <v>#N/A</v>
      </c>
      <c r="BA72" s="126" t="e">
        <f>INDEX(Calcs!$AC$5:$AG$51, MATCH('Rotation Assembler'!$A72, Calcs!$AC$5:$AC$51, 0), MATCH('Rotation Assembler'!BA$32, Calcs!$AC$5:$AG$5, 0))</f>
        <v>#N/A</v>
      </c>
      <c r="BB72" s="126" t="e">
        <f>INDEX(Calcs!$AC$5:$AG$51, MATCH('Rotation Assembler'!$A72, Calcs!$AC$5:$AC$51, 0), MATCH('Rotation Assembler'!BB$32, Calcs!$AC$5:$AG$5, 0))</f>
        <v>#N/A</v>
      </c>
      <c r="BC72" s="126" t="e">
        <f>INDEX(Calcs!$AC$5:$AG$51, MATCH('Rotation Assembler'!$A72, Calcs!$AC$5:$AC$51, 0), MATCH('Rotation Assembler'!BC$32, Calcs!$AC$5:$AG$5, 0))</f>
        <v>#N/A</v>
      </c>
      <c r="BD72" s="126" t="e">
        <f>INDEX(Calcs!$AC$5:$AG$51, MATCH('Rotation Assembler'!$A72, Calcs!$AC$5:$AC$51, 0), MATCH('Rotation Assembler'!BD$32, Calcs!$AC$5:$AG$5, 0))</f>
        <v>#N/A</v>
      </c>
      <c r="BE72" s="126" t="e">
        <f>INDEX(Calcs!$AC$5:$AG$51, MATCH('Rotation Assembler'!$A72, Calcs!$AC$5:$AC$51, 0), MATCH('Rotation Assembler'!BE$32, Calcs!$AC$5:$AG$5, 0))</f>
        <v>#N/A</v>
      </c>
      <c r="BF72" s="126" t="e">
        <f>INDEX(Calcs!$AC$5:$AG$51, MATCH('Rotation Assembler'!$A72, Calcs!$AC$5:$AC$51, 0), MATCH('Rotation Assembler'!BF$32, Calcs!$AC$5:$AG$5, 0))</f>
        <v>#N/A</v>
      </c>
      <c r="BG72" s="126" t="e">
        <f>INDEX(Calcs!$AC$5:$AG$51, MATCH('Rotation Assembler'!$A72, Calcs!$AC$5:$AC$51, 0), MATCH('Rotation Assembler'!BG$32, Calcs!$AC$5:$AG$5, 0))</f>
        <v>#N/A</v>
      </c>
      <c r="BH72" s="126" t="e">
        <f>INDEX(Calcs!$AC$5:$AG$51, MATCH('Rotation Assembler'!$A72, Calcs!$AC$5:$AC$51, 0), MATCH('Rotation Assembler'!BH$32, Calcs!$AC$5:$AG$5, 0))</f>
        <v>#N/A</v>
      </c>
      <c r="BI72" s="126"/>
      <c r="BJ72" s="126"/>
      <c r="BK72" s="126"/>
      <c r="BL72" s="126"/>
      <c r="BM72" s="126"/>
      <c r="BN72" s="126"/>
      <c r="BO72" s="126"/>
      <c r="BP72" s="126"/>
      <c r="BQ72" s="126"/>
      <c r="BR72" s="126"/>
      <c r="BS72" s="126"/>
      <c r="BT72" s="126"/>
      <c r="BU72" s="126"/>
      <c r="BV72" s="126"/>
      <c r="BW72" s="126"/>
      <c r="BX72" s="126"/>
      <c r="BY72" s="126"/>
      <c r="BZ72" s="126"/>
      <c r="CA72" s="126"/>
      <c r="CB72" s="126"/>
      <c r="CC72" s="126"/>
      <c r="CD72" s="126"/>
      <c r="CE72" s="126"/>
      <c r="CF72" s="126"/>
      <c r="CG72" s="126"/>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row>
    <row r="73" spans="1:107" hidden="1" outlineLevel="1" x14ac:dyDescent="0.25">
      <c r="A73" s="122" t="s">
        <v>97</v>
      </c>
      <c r="B73" s="126">
        <f>INDEX(Calcs!$AC$5:$AG$51, MATCH('Rotation Assembler'!$A73, Calcs!$AC$5:$AC$51, 0), MATCH('Rotation Assembler'!B$32, Calcs!$AC$5:$AG$5, 0))</f>
        <v>0</v>
      </c>
      <c r="C73" s="126">
        <f>INDEX(Calcs!$AC$5:$AG$51, MATCH('Rotation Assembler'!$A73, Calcs!$AC$5:$AC$51, 0), MATCH('Rotation Assembler'!C$32, Calcs!$AC$5:$AG$5, 0))</f>
        <v>0</v>
      </c>
      <c r="D73" s="126">
        <f>INDEX(Calcs!$AC$5:$AG$51, MATCH('Rotation Assembler'!$A73, Calcs!$AC$5:$AC$51, 0), MATCH('Rotation Assembler'!D$32, Calcs!$AC$5:$AG$5, 0))</f>
        <v>0</v>
      </c>
      <c r="E73" s="126">
        <f>INDEX(Calcs!$AC$5:$AG$51, MATCH('Rotation Assembler'!$A73, Calcs!$AC$5:$AC$51, 0), MATCH('Rotation Assembler'!E$32, Calcs!$AC$5:$AG$5, 0))</f>
        <v>0</v>
      </c>
      <c r="F73" s="126">
        <f>INDEX(Calcs!$AC$5:$AG$51, MATCH('Rotation Assembler'!$A73, Calcs!$AC$5:$AC$51, 0), MATCH('Rotation Assembler'!F$32, Calcs!$AC$5:$AG$5, 0))</f>
        <v>0</v>
      </c>
      <c r="G73" s="126">
        <f>INDEX(Calcs!$AC$5:$AG$51, MATCH('Rotation Assembler'!$A73, Calcs!$AC$5:$AC$51, 0), MATCH('Rotation Assembler'!G$32, Calcs!$AC$5:$AG$5, 0))</f>
        <v>0</v>
      </c>
      <c r="H73" s="126">
        <f>INDEX(Calcs!$AC$5:$AG$51, MATCH('Rotation Assembler'!$A73, Calcs!$AC$5:$AC$51, 0), MATCH('Rotation Assembler'!H$32, Calcs!$AC$5:$AG$5, 0))</f>
        <v>0</v>
      </c>
      <c r="I73" s="126">
        <f>INDEX(Calcs!$AC$5:$AG$51, MATCH('Rotation Assembler'!$A73, Calcs!$AC$5:$AC$51, 0), MATCH('Rotation Assembler'!I$32, Calcs!$AC$5:$AG$5, 0))</f>
        <v>0</v>
      </c>
      <c r="J73" s="126">
        <f>INDEX(Calcs!$AC$5:$AG$51, MATCH('Rotation Assembler'!$A73, Calcs!$AC$5:$AC$51, 0), MATCH('Rotation Assembler'!J$32, Calcs!$AC$5:$AG$5, 0))</f>
        <v>0</v>
      </c>
      <c r="K73" s="126">
        <f>INDEX(Calcs!$AC$5:$AG$51, MATCH('Rotation Assembler'!$A73, Calcs!$AC$5:$AC$51, 0), MATCH('Rotation Assembler'!K$32, Calcs!$AC$5:$AG$5, 0))</f>
        <v>0</v>
      </c>
      <c r="L73" s="126">
        <f>INDEX(Calcs!$AC$5:$AG$51, MATCH('Rotation Assembler'!$A73, Calcs!$AC$5:$AC$51, 0), MATCH('Rotation Assembler'!L$32, Calcs!$AC$5:$AG$5, 0))</f>
        <v>0</v>
      </c>
      <c r="M73" s="126">
        <f>INDEX(Calcs!$AC$5:$AG$51, MATCH('Rotation Assembler'!$A73, Calcs!$AC$5:$AC$51, 0), MATCH('Rotation Assembler'!M$32, Calcs!$AC$5:$AG$5, 0))</f>
        <v>0</v>
      </c>
      <c r="N73" s="126">
        <f>INDEX(Calcs!$AC$5:$AG$51, MATCH('Rotation Assembler'!$A73, Calcs!$AC$5:$AC$51, 0), MATCH('Rotation Assembler'!N$32, Calcs!$AC$5:$AG$5, 0))</f>
        <v>0</v>
      </c>
      <c r="O73" s="126">
        <f>INDEX(Calcs!$AC$5:$AG$51, MATCH('Rotation Assembler'!$A73, Calcs!$AC$5:$AC$51, 0), MATCH('Rotation Assembler'!O$32, Calcs!$AC$5:$AG$5, 0))</f>
        <v>0</v>
      </c>
      <c r="P73" s="126">
        <f>INDEX(Calcs!$AC$5:$AG$51, MATCH('Rotation Assembler'!$A73, Calcs!$AC$5:$AC$51, 0), MATCH('Rotation Assembler'!P$32, Calcs!$AC$5:$AG$5, 0))</f>
        <v>0</v>
      </c>
      <c r="Q73" s="126">
        <f>INDEX(Calcs!$AC$5:$AG$51, MATCH('Rotation Assembler'!$A73, Calcs!$AC$5:$AC$51, 0), MATCH('Rotation Assembler'!Q$32, Calcs!$AC$5:$AG$5, 0))</f>
        <v>0</v>
      </c>
      <c r="R73" s="126">
        <f>INDEX(Calcs!$AC$5:$AG$51, MATCH('Rotation Assembler'!$A73, Calcs!$AC$5:$AC$51, 0), MATCH('Rotation Assembler'!R$32, Calcs!$AC$5:$AG$5, 0))</f>
        <v>0</v>
      </c>
      <c r="S73" s="126">
        <f>INDEX(Calcs!$AC$5:$AG$51, MATCH('Rotation Assembler'!$A73, Calcs!$AC$5:$AC$51, 0), MATCH('Rotation Assembler'!S$32, Calcs!$AC$5:$AG$5, 0))</f>
        <v>0</v>
      </c>
      <c r="T73" s="126">
        <f>INDEX(Calcs!$AC$5:$AG$51, MATCH('Rotation Assembler'!$A73, Calcs!$AC$5:$AC$51, 0), MATCH('Rotation Assembler'!T$32, Calcs!$AC$5:$AG$5, 0))</f>
        <v>0</v>
      </c>
      <c r="U73" s="126">
        <f>INDEX(Calcs!$AC$5:$AG$51, MATCH('Rotation Assembler'!$A73, Calcs!$AC$5:$AC$51, 0), MATCH('Rotation Assembler'!U$32, Calcs!$AC$5:$AG$5, 0))</f>
        <v>0</v>
      </c>
      <c r="V73" s="126">
        <f>INDEX(Calcs!$AC$5:$AG$51, MATCH('Rotation Assembler'!$A73, Calcs!$AC$5:$AC$51, 0), MATCH('Rotation Assembler'!V$32, Calcs!$AC$5:$AG$5, 0))</f>
        <v>0</v>
      </c>
      <c r="W73" s="126">
        <f>INDEX(Calcs!$AC$5:$AG$51, MATCH('Rotation Assembler'!$A73, Calcs!$AC$5:$AC$51, 0), MATCH('Rotation Assembler'!W$32, Calcs!$AC$5:$AG$5, 0))</f>
        <v>0</v>
      </c>
      <c r="X73" s="126">
        <f>INDEX(Calcs!$AC$5:$AG$51, MATCH('Rotation Assembler'!$A73, Calcs!$AC$5:$AC$51, 0), MATCH('Rotation Assembler'!X$32, Calcs!$AC$5:$AG$5, 0))</f>
        <v>0</v>
      </c>
      <c r="Y73" s="126">
        <f>INDEX(Calcs!$AC$5:$AG$51, MATCH('Rotation Assembler'!$A73, Calcs!$AC$5:$AC$51, 0), MATCH('Rotation Assembler'!Y$32, Calcs!$AC$5:$AG$5, 0))</f>
        <v>0</v>
      </c>
      <c r="Z73" s="126">
        <f>INDEX(Calcs!$AC$5:$AG$51, MATCH('Rotation Assembler'!$A73, Calcs!$AC$5:$AC$51, 0), MATCH('Rotation Assembler'!Z$32, Calcs!$AC$5:$AG$5, 0))</f>
        <v>0</v>
      </c>
      <c r="AA73" s="126">
        <f>INDEX(Calcs!$AC$5:$AG$51, MATCH('Rotation Assembler'!$A73, Calcs!$AC$5:$AC$51, 0), MATCH('Rotation Assembler'!AA$32, Calcs!$AC$5:$AG$5, 0))</f>
        <v>0</v>
      </c>
      <c r="AB73" s="126">
        <f>INDEX(Calcs!$AC$5:$AG$51, MATCH('Rotation Assembler'!$A73, Calcs!$AC$5:$AC$51, 0), MATCH('Rotation Assembler'!AB$32, Calcs!$AC$5:$AG$5, 0))</f>
        <v>0</v>
      </c>
      <c r="AC73" s="126">
        <f>INDEX(Calcs!$AC$5:$AG$51, MATCH('Rotation Assembler'!$A73, Calcs!$AC$5:$AC$51, 0), MATCH('Rotation Assembler'!AC$32, Calcs!$AC$5:$AG$5, 0))</f>
        <v>0</v>
      </c>
      <c r="AD73" s="126">
        <f>INDEX(Calcs!$AC$5:$AG$51, MATCH('Rotation Assembler'!$A73, Calcs!$AC$5:$AC$51, 0), MATCH('Rotation Assembler'!AD$32, Calcs!$AC$5:$AG$5, 0))</f>
        <v>0</v>
      </c>
      <c r="AE73" s="126">
        <f>INDEX(Calcs!$AC$5:$AG$51, MATCH('Rotation Assembler'!$A73, Calcs!$AC$5:$AC$51, 0), MATCH('Rotation Assembler'!AE$32, Calcs!$AC$5:$AG$5, 0))</f>
        <v>0</v>
      </c>
      <c r="AF73" s="126">
        <f>INDEX(Calcs!$AC$5:$AG$51, MATCH('Rotation Assembler'!$A73, Calcs!$AC$5:$AC$51, 0), MATCH('Rotation Assembler'!AF$32, Calcs!$AC$5:$AG$5, 0))</f>
        <v>0</v>
      </c>
      <c r="AG73" s="126">
        <f>INDEX(Calcs!$AC$5:$AG$51, MATCH('Rotation Assembler'!$A73, Calcs!$AC$5:$AC$51, 0), MATCH('Rotation Assembler'!AG$32, Calcs!$AC$5:$AG$5, 0))</f>
        <v>0</v>
      </c>
      <c r="AH73" s="126">
        <f>INDEX(Calcs!$AC$5:$AG$51, MATCH('Rotation Assembler'!$A73, Calcs!$AC$5:$AC$51, 0), MATCH('Rotation Assembler'!AH$32, Calcs!$AC$5:$AG$5, 0))</f>
        <v>0</v>
      </c>
      <c r="AI73" s="126">
        <f>INDEX(Calcs!$AC$5:$AG$51, MATCH('Rotation Assembler'!$A73, Calcs!$AC$5:$AC$51, 0), MATCH('Rotation Assembler'!AI$32, Calcs!$AC$5:$AG$5, 0))</f>
        <v>0</v>
      </c>
      <c r="AJ73" s="126" t="e">
        <f>INDEX(Calcs!$AC$5:$AG$51, MATCH('Rotation Assembler'!$A73, Calcs!$AC$5:$AC$51, 0), MATCH('Rotation Assembler'!AJ$32, Calcs!$AC$5:$AG$5, 0))</f>
        <v>#N/A</v>
      </c>
      <c r="AK73" s="126" t="e">
        <f>INDEX(Calcs!$AC$5:$AG$51, MATCH('Rotation Assembler'!$A73, Calcs!$AC$5:$AC$51, 0), MATCH('Rotation Assembler'!AK$32, Calcs!$AC$5:$AG$5, 0))</f>
        <v>#N/A</v>
      </c>
      <c r="AL73" s="126" t="e">
        <f>INDEX(Calcs!$AC$5:$AG$51, MATCH('Rotation Assembler'!$A73, Calcs!$AC$5:$AC$51, 0), MATCH('Rotation Assembler'!AL$32, Calcs!$AC$5:$AG$5, 0))</f>
        <v>#N/A</v>
      </c>
      <c r="AM73" s="126" t="e">
        <f>INDEX(Calcs!$AC$5:$AG$51, MATCH('Rotation Assembler'!$A73, Calcs!$AC$5:$AC$51, 0), MATCH('Rotation Assembler'!AM$32, Calcs!$AC$5:$AG$5, 0))</f>
        <v>#N/A</v>
      </c>
      <c r="AN73" s="126" t="e">
        <f>INDEX(Calcs!$AC$5:$AG$51, MATCH('Rotation Assembler'!$A73, Calcs!$AC$5:$AC$51, 0), MATCH('Rotation Assembler'!AN$32, Calcs!$AC$5:$AG$5, 0))</f>
        <v>#N/A</v>
      </c>
      <c r="AO73" s="126" t="e">
        <f>INDEX(Calcs!$AC$5:$AG$51, MATCH('Rotation Assembler'!$A73, Calcs!$AC$5:$AC$51, 0), MATCH('Rotation Assembler'!AO$32, Calcs!$AC$5:$AG$5, 0))</f>
        <v>#N/A</v>
      </c>
      <c r="AP73" s="126" t="e">
        <f>INDEX(Calcs!$AC$5:$AG$51, MATCH('Rotation Assembler'!$A73, Calcs!$AC$5:$AC$51, 0), MATCH('Rotation Assembler'!AP$32, Calcs!$AC$5:$AG$5, 0))</f>
        <v>#N/A</v>
      </c>
      <c r="AQ73" s="126" t="e">
        <f>INDEX(Calcs!$AC$5:$AG$51, MATCH('Rotation Assembler'!$A73, Calcs!$AC$5:$AC$51, 0), MATCH('Rotation Assembler'!AQ$32, Calcs!$AC$5:$AG$5, 0))</f>
        <v>#N/A</v>
      </c>
      <c r="AR73" s="126" t="e">
        <f>INDEX(Calcs!$AC$5:$AG$51, MATCH('Rotation Assembler'!$A73, Calcs!$AC$5:$AC$51, 0), MATCH('Rotation Assembler'!AR$32, Calcs!$AC$5:$AG$5, 0))</f>
        <v>#N/A</v>
      </c>
      <c r="AS73" s="126" t="e">
        <f>INDEX(Calcs!$AC$5:$AG$51, MATCH('Rotation Assembler'!$A73, Calcs!$AC$5:$AC$51, 0), MATCH('Rotation Assembler'!AS$32, Calcs!$AC$5:$AG$5, 0))</f>
        <v>#N/A</v>
      </c>
      <c r="AT73" s="126" t="e">
        <f>INDEX(Calcs!$AC$5:$AG$51, MATCH('Rotation Assembler'!$A73, Calcs!$AC$5:$AC$51, 0), MATCH('Rotation Assembler'!AT$32, Calcs!$AC$5:$AG$5, 0))</f>
        <v>#N/A</v>
      </c>
      <c r="AU73" s="126" t="e">
        <f>INDEX(Calcs!$AC$5:$AG$51, MATCH('Rotation Assembler'!$A73, Calcs!$AC$5:$AC$51, 0), MATCH('Rotation Assembler'!AU$32, Calcs!$AC$5:$AG$5, 0))</f>
        <v>#N/A</v>
      </c>
      <c r="AV73" s="126" t="e">
        <f>INDEX(Calcs!$AC$5:$AG$51, MATCH('Rotation Assembler'!$A73, Calcs!$AC$5:$AC$51, 0), MATCH('Rotation Assembler'!AV$32, Calcs!$AC$5:$AG$5, 0))</f>
        <v>#N/A</v>
      </c>
      <c r="AW73" s="126" t="e">
        <f>INDEX(Calcs!$AC$5:$AG$51, MATCH('Rotation Assembler'!$A73, Calcs!$AC$5:$AC$51, 0), MATCH('Rotation Assembler'!AW$32, Calcs!$AC$5:$AG$5, 0))</f>
        <v>#N/A</v>
      </c>
      <c r="AX73" s="126" t="e">
        <f>INDEX(Calcs!$AC$5:$AG$51, MATCH('Rotation Assembler'!$A73, Calcs!$AC$5:$AC$51, 0), MATCH('Rotation Assembler'!AX$32, Calcs!$AC$5:$AG$5, 0))</f>
        <v>#N/A</v>
      </c>
      <c r="AY73" s="126" t="e">
        <f>INDEX(Calcs!$AC$5:$AG$51, MATCH('Rotation Assembler'!$A73, Calcs!$AC$5:$AC$51, 0), MATCH('Rotation Assembler'!AY$32, Calcs!$AC$5:$AG$5, 0))</f>
        <v>#N/A</v>
      </c>
      <c r="AZ73" s="126" t="e">
        <f>INDEX(Calcs!$AC$5:$AG$51, MATCH('Rotation Assembler'!$A73, Calcs!$AC$5:$AC$51, 0), MATCH('Rotation Assembler'!AZ$32, Calcs!$AC$5:$AG$5, 0))</f>
        <v>#N/A</v>
      </c>
      <c r="BA73" s="126" t="e">
        <f>INDEX(Calcs!$AC$5:$AG$51, MATCH('Rotation Assembler'!$A73, Calcs!$AC$5:$AC$51, 0), MATCH('Rotation Assembler'!BA$32, Calcs!$AC$5:$AG$5, 0))</f>
        <v>#N/A</v>
      </c>
      <c r="BB73" s="126" t="e">
        <f>INDEX(Calcs!$AC$5:$AG$51, MATCH('Rotation Assembler'!$A73, Calcs!$AC$5:$AC$51, 0), MATCH('Rotation Assembler'!BB$32, Calcs!$AC$5:$AG$5, 0))</f>
        <v>#N/A</v>
      </c>
      <c r="BC73" s="126" t="e">
        <f>INDEX(Calcs!$AC$5:$AG$51, MATCH('Rotation Assembler'!$A73, Calcs!$AC$5:$AC$51, 0), MATCH('Rotation Assembler'!BC$32, Calcs!$AC$5:$AG$5, 0))</f>
        <v>#N/A</v>
      </c>
      <c r="BD73" s="126" t="e">
        <f>INDEX(Calcs!$AC$5:$AG$51, MATCH('Rotation Assembler'!$A73, Calcs!$AC$5:$AC$51, 0), MATCH('Rotation Assembler'!BD$32, Calcs!$AC$5:$AG$5, 0))</f>
        <v>#N/A</v>
      </c>
      <c r="BE73" s="126" t="e">
        <f>INDEX(Calcs!$AC$5:$AG$51, MATCH('Rotation Assembler'!$A73, Calcs!$AC$5:$AC$51, 0), MATCH('Rotation Assembler'!BE$32, Calcs!$AC$5:$AG$5, 0))</f>
        <v>#N/A</v>
      </c>
      <c r="BF73" s="126" t="e">
        <f>INDEX(Calcs!$AC$5:$AG$51, MATCH('Rotation Assembler'!$A73, Calcs!$AC$5:$AC$51, 0), MATCH('Rotation Assembler'!BF$32, Calcs!$AC$5:$AG$5, 0))</f>
        <v>#N/A</v>
      </c>
      <c r="BG73" s="126" t="e">
        <f>INDEX(Calcs!$AC$5:$AG$51, MATCH('Rotation Assembler'!$A73, Calcs!$AC$5:$AC$51, 0), MATCH('Rotation Assembler'!BG$32, Calcs!$AC$5:$AG$5, 0))</f>
        <v>#N/A</v>
      </c>
      <c r="BH73" s="126" t="e">
        <f>INDEX(Calcs!$AC$5:$AG$51, MATCH('Rotation Assembler'!$A73, Calcs!$AC$5:$AC$51, 0), MATCH('Rotation Assembler'!BH$32, Calcs!$AC$5:$AG$5, 0))</f>
        <v>#N/A</v>
      </c>
      <c r="BI73" s="126"/>
      <c r="BJ73" s="126"/>
      <c r="BK73" s="126"/>
      <c r="BL73" s="126"/>
      <c r="BM73" s="126"/>
      <c r="BN73" s="126"/>
      <c r="BO73" s="126"/>
      <c r="BP73" s="126"/>
      <c r="BQ73" s="126"/>
      <c r="BR73" s="126"/>
      <c r="BS73" s="126"/>
      <c r="BT73" s="126"/>
      <c r="BU73" s="126"/>
      <c r="BV73" s="126"/>
      <c r="BW73" s="126"/>
      <c r="BX73" s="126"/>
      <c r="BY73" s="126"/>
      <c r="BZ73" s="126"/>
      <c r="CA73" s="126"/>
      <c r="CB73" s="126"/>
      <c r="CC73" s="126"/>
      <c r="CD73" s="126"/>
      <c r="CE73" s="126"/>
      <c r="CF73" s="126"/>
      <c r="CG73" s="126"/>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row>
    <row r="74" spans="1:107" hidden="1" outlineLevel="1" x14ac:dyDescent="0.25">
      <c r="A74" s="122" t="s">
        <v>98</v>
      </c>
      <c r="B74" s="126">
        <f>INDEX(Calcs!$AC$5:$AG$51, MATCH('Rotation Assembler'!$A74, Calcs!$AC$5:$AC$51, 0), MATCH('Rotation Assembler'!B$32, Calcs!$AC$5:$AG$5, 0))</f>
        <v>0</v>
      </c>
      <c r="C74" s="126">
        <f>INDEX(Calcs!$AC$5:$AG$51, MATCH('Rotation Assembler'!$A74, Calcs!$AC$5:$AC$51, 0), MATCH('Rotation Assembler'!C$32, Calcs!$AC$5:$AG$5, 0))</f>
        <v>0</v>
      </c>
      <c r="D74" s="126">
        <f>INDEX(Calcs!$AC$5:$AG$51, MATCH('Rotation Assembler'!$A74, Calcs!$AC$5:$AC$51, 0), MATCH('Rotation Assembler'!D$32, Calcs!$AC$5:$AG$5, 0))</f>
        <v>0</v>
      </c>
      <c r="E74" s="126">
        <f>INDEX(Calcs!$AC$5:$AG$51, MATCH('Rotation Assembler'!$A74, Calcs!$AC$5:$AC$51, 0), MATCH('Rotation Assembler'!E$32, Calcs!$AC$5:$AG$5, 0))</f>
        <v>0</v>
      </c>
      <c r="F74" s="126">
        <f>INDEX(Calcs!$AC$5:$AG$51, MATCH('Rotation Assembler'!$A74, Calcs!$AC$5:$AC$51, 0), MATCH('Rotation Assembler'!F$32, Calcs!$AC$5:$AG$5, 0))</f>
        <v>0</v>
      </c>
      <c r="G74" s="126">
        <f>INDEX(Calcs!$AC$5:$AG$51, MATCH('Rotation Assembler'!$A74, Calcs!$AC$5:$AC$51, 0), MATCH('Rotation Assembler'!G$32, Calcs!$AC$5:$AG$5, 0))</f>
        <v>0</v>
      </c>
      <c r="H74" s="126">
        <f>INDEX(Calcs!$AC$5:$AG$51, MATCH('Rotation Assembler'!$A74, Calcs!$AC$5:$AC$51, 0), MATCH('Rotation Assembler'!H$32, Calcs!$AC$5:$AG$5, 0))</f>
        <v>0</v>
      </c>
      <c r="I74" s="126">
        <f>INDEX(Calcs!$AC$5:$AG$51, MATCH('Rotation Assembler'!$A74, Calcs!$AC$5:$AC$51, 0), MATCH('Rotation Assembler'!I$32, Calcs!$AC$5:$AG$5, 0))</f>
        <v>0</v>
      </c>
      <c r="J74" s="126">
        <f>INDEX(Calcs!$AC$5:$AG$51, MATCH('Rotation Assembler'!$A74, Calcs!$AC$5:$AC$51, 0), MATCH('Rotation Assembler'!J$32, Calcs!$AC$5:$AG$5, 0))</f>
        <v>0</v>
      </c>
      <c r="K74" s="126">
        <f>INDEX(Calcs!$AC$5:$AG$51, MATCH('Rotation Assembler'!$A74, Calcs!$AC$5:$AC$51, 0), MATCH('Rotation Assembler'!K$32, Calcs!$AC$5:$AG$5, 0))</f>
        <v>0</v>
      </c>
      <c r="L74" s="126">
        <f>INDEX(Calcs!$AC$5:$AG$51, MATCH('Rotation Assembler'!$A74, Calcs!$AC$5:$AC$51, 0), MATCH('Rotation Assembler'!L$32, Calcs!$AC$5:$AG$5, 0))</f>
        <v>0</v>
      </c>
      <c r="M74" s="126">
        <f>INDEX(Calcs!$AC$5:$AG$51, MATCH('Rotation Assembler'!$A74, Calcs!$AC$5:$AC$51, 0), MATCH('Rotation Assembler'!M$32, Calcs!$AC$5:$AG$5, 0))</f>
        <v>0</v>
      </c>
      <c r="N74" s="126">
        <f>INDEX(Calcs!$AC$5:$AG$51, MATCH('Rotation Assembler'!$A74, Calcs!$AC$5:$AC$51, 0), MATCH('Rotation Assembler'!N$32, Calcs!$AC$5:$AG$5, 0))</f>
        <v>0</v>
      </c>
      <c r="O74" s="126">
        <f>INDEX(Calcs!$AC$5:$AG$51, MATCH('Rotation Assembler'!$A74, Calcs!$AC$5:$AC$51, 0), MATCH('Rotation Assembler'!O$32, Calcs!$AC$5:$AG$5, 0))</f>
        <v>0</v>
      </c>
      <c r="P74" s="126">
        <f>INDEX(Calcs!$AC$5:$AG$51, MATCH('Rotation Assembler'!$A74, Calcs!$AC$5:$AC$51, 0), MATCH('Rotation Assembler'!P$32, Calcs!$AC$5:$AG$5, 0))</f>
        <v>0</v>
      </c>
      <c r="Q74" s="126">
        <f>INDEX(Calcs!$AC$5:$AG$51, MATCH('Rotation Assembler'!$A74, Calcs!$AC$5:$AC$51, 0), MATCH('Rotation Assembler'!Q$32, Calcs!$AC$5:$AG$5, 0))</f>
        <v>0</v>
      </c>
      <c r="R74" s="126">
        <f>INDEX(Calcs!$AC$5:$AG$51, MATCH('Rotation Assembler'!$A74, Calcs!$AC$5:$AC$51, 0), MATCH('Rotation Assembler'!R$32, Calcs!$AC$5:$AG$5, 0))</f>
        <v>0</v>
      </c>
      <c r="S74" s="126">
        <f>INDEX(Calcs!$AC$5:$AG$51, MATCH('Rotation Assembler'!$A74, Calcs!$AC$5:$AC$51, 0), MATCH('Rotation Assembler'!S$32, Calcs!$AC$5:$AG$5, 0))</f>
        <v>0</v>
      </c>
      <c r="T74" s="126">
        <f>INDEX(Calcs!$AC$5:$AG$51, MATCH('Rotation Assembler'!$A74, Calcs!$AC$5:$AC$51, 0), MATCH('Rotation Assembler'!T$32, Calcs!$AC$5:$AG$5, 0))</f>
        <v>0</v>
      </c>
      <c r="U74" s="126">
        <f>INDEX(Calcs!$AC$5:$AG$51, MATCH('Rotation Assembler'!$A74, Calcs!$AC$5:$AC$51, 0), MATCH('Rotation Assembler'!U$32, Calcs!$AC$5:$AG$5, 0))</f>
        <v>0</v>
      </c>
      <c r="V74" s="126">
        <f>INDEX(Calcs!$AC$5:$AG$51, MATCH('Rotation Assembler'!$A74, Calcs!$AC$5:$AC$51, 0), MATCH('Rotation Assembler'!V$32, Calcs!$AC$5:$AG$5, 0))</f>
        <v>0</v>
      </c>
      <c r="W74" s="126">
        <f>INDEX(Calcs!$AC$5:$AG$51, MATCH('Rotation Assembler'!$A74, Calcs!$AC$5:$AC$51, 0), MATCH('Rotation Assembler'!W$32, Calcs!$AC$5:$AG$5, 0))</f>
        <v>0</v>
      </c>
      <c r="X74" s="126">
        <f>INDEX(Calcs!$AC$5:$AG$51, MATCH('Rotation Assembler'!$A74, Calcs!$AC$5:$AC$51, 0), MATCH('Rotation Assembler'!X$32, Calcs!$AC$5:$AG$5, 0))</f>
        <v>0</v>
      </c>
      <c r="Y74" s="126">
        <f>INDEX(Calcs!$AC$5:$AG$51, MATCH('Rotation Assembler'!$A74, Calcs!$AC$5:$AC$51, 0), MATCH('Rotation Assembler'!Y$32, Calcs!$AC$5:$AG$5, 0))</f>
        <v>0</v>
      </c>
      <c r="Z74" s="126">
        <f>INDEX(Calcs!$AC$5:$AG$51, MATCH('Rotation Assembler'!$A74, Calcs!$AC$5:$AC$51, 0), MATCH('Rotation Assembler'!Z$32, Calcs!$AC$5:$AG$5, 0))</f>
        <v>0</v>
      </c>
      <c r="AA74" s="126">
        <f>INDEX(Calcs!$AC$5:$AG$51, MATCH('Rotation Assembler'!$A74, Calcs!$AC$5:$AC$51, 0), MATCH('Rotation Assembler'!AA$32, Calcs!$AC$5:$AG$5, 0))</f>
        <v>0</v>
      </c>
      <c r="AB74" s="126">
        <f>INDEX(Calcs!$AC$5:$AG$51, MATCH('Rotation Assembler'!$A74, Calcs!$AC$5:$AC$51, 0), MATCH('Rotation Assembler'!AB$32, Calcs!$AC$5:$AG$5, 0))</f>
        <v>0</v>
      </c>
      <c r="AC74" s="126">
        <f>INDEX(Calcs!$AC$5:$AG$51, MATCH('Rotation Assembler'!$A74, Calcs!$AC$5:$AC$51, 0), MATCH('Rotation Assembler'!AC$32, Calcs!$AC$5:$AG$5, 0))</f>
        <v>0</v>
      </c>
      <c r="AD74" s="126">
        <f>INDEX(Calcs!$AC$5:$AG$51, MATCH('Rotation Assembler'!$A74, Calcs!$AC$5:$AC$51, 0), MATCH('Rotation Assembler'!AD$32, Calcs!$AC$5:$AG$5, 0))</f>
        <v>0</v>
      </c>
      <c r="AE74" s="126">
        <f>INDEX(Calcs!$AC$5:$AG$51, MATCH('Rotation Assembler'!$A74, Calcs!$AC$5:$AC$51, 0), MATCH('Rotation Assembler'!AE$32, Calcs!$AC$5:$AG$5, 0))</f>
        <v>0</v>
      </c>
      <c r="AF74" s="126">
        <f>INDEX(Calcs!$AC$5:$AG$51, MATCH('Rotation Assembler'!$A74, Calcs!$AC$5:$AC$51, 0), MATCH('Rotation Assembler'!AF$32, Calcs!$AC$5:$AG$5, 0))</f>
        <v>0</v>
      </c>
      <c r="AG74" s="126">
        <f>INDEX(Calcs!$AC$5:$AG$51, MATCH('Rotation Assembler'!$A74, Calcs!$AC$5:$AC$51, 0), MATCH('Rotation Assembler'!AG$32, Calcs!$AC$5:$AG$5, 0))</f>
        <v>0</v>
      </c>
      <c r="AH74" s="126">
        <f>INDEX(Calcs!$AC$5:$AG$51, MATCH('Rotation Assembler'!$A74, Calcs!$AC$5:$AC$51, 0), MATCH('Rotation Assembler'!AH$32, Calcs!$AC$5:$AG$5, 0))</f>
        <v>0</v>
      </c>
      <c r="AI74" s="126">
        <f>INDEX(Calcs!$AC$5:$AG$51, MATCH('Rotation Assembler'!$A74, Calcs!$AC$5:$AC$51, 0), MATCH('Rotation Assembler'!AI$32, Calcs!$AC$5:$AG$5, 0))</f>
        <v>0</v>
      </c>
      <c r="AJ74" s="126" t="e">
        <f>INDEX(Calcs!$AC$5:$AG$51, MATCH('Rotation Assembler'!$A74, Calcs!$AC$5:$AC$51, 0), MATCH('Rotation Assembler'!AJ$32, Calcs!$AC$5:$AG$5, 0))</f>
        <v>#N/A</v>
      </c>
      <c r="AK74" s="126" t="e">
        <f>INDEX(Calcs!$AC$5:$AG$51, MATCH('Rotation Assembler'!$A74, Calcs!$AC$5:$AC$51, 0), MATCH('Rotation Assembler'!AK$32, Calcs!$AC$5:$AG$5, 0))</f>
        <v>#N/A</v>
      </c>
      <c r="AL74" s="126" t="e">
        <f>INDEX(Calcs!$AC$5:$AG$51, MATCH('Rotation Assembler'!$A74, Calcs!$AC$5:$AC$51, 0), MATCH('Rotation Assembler'!AL$32, Calcs!$AC$5:$AG$5, 0))</f>
        <v>#N/A</v>
      </c>
      <c r="AM74" s="126" t="e">
        <f>INDEX(Calcs!$AC$5:$AG$51, MATCH('Rotation Assembler'!$A74, Calcs!$AC$5:$AC$51, 0), MATCH('Rotation Assembler'!AM$32, Calcs!$AC$5:$AG$5, 0))</f>
        <v>#N/A</v>
      </c>
      <c r="AN74" s="126" t="e">
        <f>INDEX(Calcs!$AC$5:$AG$51, MATCH('Rotation Assembler'!$A74, Calcs!$AC$5:$AC$51, 0), MATCH('Rotation Assembler'!AN$32, Calcs!$AC$5:$AG$5, 0))</f>
        <v>#N/A</v>
      </c>
      <c r="AO74" s="126" t="e">
        <f>INDEX(Calcs!$AC$5:$AG$51, MATCH('Rotation Assembler'!$A74, Calcs!$AC$5:$AC$51, 0), MATCH('Rotation Assembler'!AO$32, Calcs!$AC$5:$AG$5, 0))</f>
        <v>#N/A</v>
      </c>
      <c r="AP74" s="126" t="e">
        <f>INDEX(Calcs!$AC$5:$AG$51, MATCH('Rotation Assembler'!$A74, Calcs!$AC$5:$AC$51, 0), MATCH('Rotation Assembler'!AP$32, Calcs!$AC$5:$AG$5, 0))</f>
        <v>#N/A</v>
      </c>
      <c r="AQ74" s="126" t="e">
        <f>INDEX(Calcs!$AC$5:$AG$51, MATCH('Rotation Assembler'!$A74, Calcs!$AC$5:$AC$51, 0), MATCH('Rotation Assembler'!AQ$32, Calcs!$AC$5:$AG$5, 0))</f>
        <v>#N/A</v>
      </c>
      <c r="AR74" s="126" t="e">
        <f>INDEX(Calcs!$AC$5:$AG$51, MATCH('Rotation Assembler'!$A74, Calcs!$AC$5:$AC$51, 0), MATCH('Rotation Assembler'!AR$32, Calcs!$AC$5:$AG$5, 0))</f>
        <v>#N/A</v>
      </c>
      <c r="AS74" s="126" t="e">
        <f>INDEX(Calcs!$AC$5:$AG$51, MATCH('Rotation Assembler'!$A74, Calcs!$AC$5:$AC$51, 0), MATCH('Rotation Assembler'!AS$32, Calcs!$AC$5:$AG$5, 0))</f>
        <v>#N/A</v>
      </c>
      <c r="AT74" s="126" t="e">
        <f>INDEX(Calcs!$AC$5:$AG$51, MATCH('Rotation Assembler'!$A74, Calcs!$AC$5:$AC$51, 0), MATCH('Rotation Assembler'!AT$32, Calcs!$AC$5:$AG$5, 0))</f>
        <v>#N/A</v>
      </c>
      <c r="AU74" s="126" t="e">
        <f>INDEX(Calcs!$AC$5:$AG$51, MATCH('Rotation Assembler'!$A74, Calcs!$AC$5:$AC$51, 0), MATCH('Rotation Assembler'!AU$32, Calcs!$AC$5:$AG$5, 0))</f>
        <v>#N/A</v>
      </c>
      <c r="AV74" s="126" t="e">
        <f>INDEX(Calcs!$AC$5:$AG$51, MATCH('Rotation Assembler'!$A74, Calcs!$AC$5:$AC$51, 0), MATCH('Rotation Assembler'!AV$32, Calcs!$AC$5:$AG$5, 0))</f>
        <v>#N/A</v>
      </c>
      <c r="AW74" s="126" t="e">
        <f>INDEX(Calcs!$AC$5:$AG$51, MATCH('Rotation Assembler'!$A74, Calcs!$AC$5:$AC$51, 0), MATCH('Rotation Assembler'!AW$32, Calcs!$AC$5:$AG$5, 0))</f>
        <v>#N/A</v>
      </c>
      <c r="AX74" s="126" t="e">
        <f>INDEX(Calcs!$AC$5:$AG$51, MATCH('Rotation Assembler'!$A74, Calcs!$AC$5:$AC$51, 0), MATCH('Rotation Assembler'!AX$32, Calcs!$AC$5:$AG$5, 0))</f>
        <v>#N/A</v>
      </c>
      <c r="AY74" s="126" t="e">
        <f>INDEX(Calcs!$AC$5:$AG$51, MATCH('Rotation Assembler'!$A74, Calcs!$AC$5:$AC$51, 0), MATCH('Rotation Assembler'!AY$32, Calcs!$AC$5:$AG$5, 0))</f>
        <v>#N/A</v>
      </c>
      <c r="AZ74" s="126" t="e">
        <f>INDEX(Calcs!$AC$5:$AG$51, MATCH('Rotation Assembler'!$A74, Calcs!$AC$5:$AC$51, 0), MATCH('Rotation Assembler'!AZ$32, Calcs!$AC$5:$AG$5, 0))</f>
        <v>#N/A</v>
      </c>
      <c r="BA74" s="126" t="e">
        <f>INDEX(Calcs!$AC$5:$AG$51, MATCH('Rotation Assembler'!$A74, Calcs!$AC$5:$AC$51, 0), MATCH('Rotation Assembler'!BA$32, Calcs!$AC$5:$AG$5, 0))</f>
        <v>#N/A</v>
      </c>
      <c r="BB74" s="126" t="e">
        <f>INDEX(Calcs!$AC$5:$AG$51, MATCH('Rotation Assembler'!$A74, Calcs!$AC$5:$AC$51, 0), MATCH('Rotation Assembler'!BB$32, Calcs!$AC$5:$AG$5, 0))</f>
        <v>#N/A</v>
      </c>
      <c r="BC74" s="126" t="e">
        <f>INDEX(Calcs!$AC$5:$AG$51, MATCH('Rotation Assembler'!$A74, Calcs!$AC$5:$AC$51, 0), MATCH('Rotation Assembler'!BC$32, Calcs!$AC$5:$AG$5, 0))</f>
        <v>#N/A</v>
      </c>
      <c r="BD74" s="126" t="e">
        <f>INDEX(Calcs!$AC$5:$AG$51, MATCH('Rotation Assembler'!$A74, Calcs!$AC$5:$AC$51, 0), MATCH('Rotation Assembler'!BD$32, Calcs!$AC$5:$AG$5, 0))</f>
        <v>#N/A</v>
      </c>
      <c r="BE74" s="126" t="e">
        <f>INDEX(Calcs!$AC$5:$AG$51, MATCH('Rotation Assembler'!$A74, Calcs!$AC$5:$AC$51, 0), MATCH('Rotation Assembler'!BE$32, Calcs!$AC$5:$AG$5, 0))</f>
        <v>#N/A</v>
      </c>
      <c r="BF74" s="126" t="e">
        <f>INDEX(Calcs!$AC$5:$AG$51, MATCH('Rotation Assembler'!$A74, Calcs!$AC$5:$AC$51, 0), MATCH('Rotation Assembler'!BF$32, Calcs!$AC$5:$AG$5, 0))</f>
        <v>#N/A</v>
      </c>
      <c r="BG74" s="126" t="e">
        <f>INDEX(Calcs!$AC$5:$AG$51, MATCH('Rotation Assembler'!$A74, Calcs!$AC$5:$AC$51, 0), MATCH('Rotation Assembler'!BG$32, Calcs!$AC$5:$AG$5, 0))</f>
        <v>#N/A</v>
      </c>
      <c r="BH74" s="126" t="e">
        <f>INDEX(Calcs!$AC$5:$AG$51, MATCH('Rotation Assembler'!$A74, Calcs!$AC$5:$AC$51, 0), MATCH('Rotation Assembler'!BH$32, Calcs!$AC$5:$AG$5, 0))</f>
        <v>#N/A</v>
      </c>
      <c r="BI74" s="126"/>
      <c r="BJ74" s="126"/>
      <c r="BK74" s="126"/>
      <c r="BL74" s="126"/>
      <c r="BM74" s="126"/>
      <c r="BN74" s="126"/>
      <c r="BO74" s="126"/>
      <c r="BP74" s="126"/>
      <c r="BQ74" s="126"/>
      <c r="BR74" s="126"/>
      <c r="BS74" s="126"/>
      <c r="BT74" s="126"/>
      <c r="BU74" s="126"/>
      <c r="BV74" s="126"/>
      <c r="BW74" s="126"/>
      <c r="BX74" s="126"/>
      <c r="BY74" s="126"/>
      <c r="BZ74" s="126"/>
      <c r="CA74" s="126"/>
      <c r="CB74" s="126"/>
      <c r="CC74" s="126"/>
      <c r="CD74" s="126"/>
      <c r="CE74" s="126"/>
      <c r="CF74" s="126"/>
      <c r="CG74" s="126"/>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row>
    <row r="75" spans="1:107" hidden="1" outlineLevel="1" x14ac:dyDescent="0.25">
      <c r="A75" s="122" t="s">
        <v>419</v>
      </c>
      <c r="B75" s="126">
        <f>INDEX(Calcs!$AC$5:$AG$51, MATCH('Rotation Assembler'!$A75, Calcs!$AC$5:$AC$51, 0), MATCH('Rotation Assembler'!B$32, Calcs!$AC$5:$AG$5, 0))</f>
        <v>0</v>
      </c>
      <c r="C75" s="126">
        <f>INDEX(Calcs!$AC$5:$AG$51, MATCH('Rotation Assembler'!$A75, Calcs!$AC$5:$AC$51, 0), MATCH('Rotation Assembler'!C$32, Calcs!$AC$5:$AG$5, 0))</f>
        <v>0</v>
      </c>
      <c r="D75" s="126">
        <f>INDEX(Calcs!$AC$5:$AG$51, MATCH('Rotation Assembler'!$A75, Calcs!$AC$5:$AC$51, 0), MATCH('Rotation Assembler'!D$32, Calcs!$AC$5:$AG$5, 0))</f>
        <v>0</v>
      </c>
      <c r="E75" s="126">
        <f>INDEX(Calcs!$AC$5:$AG$51, MATCH('Rotation Assembler'!$A75, Calcs!$AC$5:$AC$51, 0), MATCH('Rotation Assembler'!E$32, Calcs!$AC$5:$AG$5, 0))</f>
        <v>0</v>
      </c>
      <c r="F75" s="126">
        <f>INDEX(Calcs!$AC$5:$AG$51, MATCH('Rotation Assembler'!$A75, Calcs!$AC$5:$AC$51, 0), MATCH('Rotation Assembler'!F$32, Calcs!$AC$5:$AG$5, 0))</f>
        <v>0</v>
      </c>
      <c r="G75" s="126">
        <f>INDEX(Calcs!$AC$5:$AG$51, MATCH('Rotation Assembler'!$A75, Calcs!$AC$5:$AC$51, 0), MATCH('Rotation Assembler'!G$32, Calcs!$AC$5:$AG$5, 0))</f>
        <v>0</v>
      </c>
      <c r="H75" s="126">
        <f>INDEX(Calcs!$AC$5:$AG$51, MATCH('Rotation Assembler'!$A75, Calcs!$AC$5:$AC$51, 0), MATCH('Rotation Assembler'!H$32, Calcs!$AC$5:$AG$5, 0))</f>
        <v>0</v>
      </c>
      <c r="I75" s="126">
        <f>INDEX(Calcs!$AC$5:$AG$51, MATCH('Rotation Assembler'!$A75, Calcs!$AC$5:$AC$51, 0), MATCH('Rotation Assembler'!I$32, Calcs!$AC$5:$AG$5, 0))</f>
        <v>0</v>
      </c>
      <c r="J75" s="126">
        <f>INDEX(Calcs!$AC$5:$AG$51, MATCH('Rotation Assembler'!$A75, Calcs!$AC$5:$AC$51, 0), MATCH('Rotation Assembler'!J$32, Calcs!$AC$5:$AG$5, 0))</f>
        <v>0</v>
      </c>
      <c r="K75" s="126">
        <f>INDEX(Calcs!$AC$5:$AG$51, MATCH('Rotation Assembler'!$A75, Calcs!$AC$5:$AC$51, 0), MATCH('Rotation Assembler'!K$32, Calcs!$AC$5:$AG$5, 0))</f>
        <v>0</v>
      </c>
      <c r="L75" s="126">
        <f>INDEX(Calcs!$AC$5:$AG$51, MATCH('Rotation Assembler'!$A75, Calcs!$AC$5:$AC$51, 0), MATCH('Rotation Assembler'!L$32, Calcs!$AC$5:$AG$5, 0))</f>
        <v>0</v>
      </c>
      <c r="M75" s="126">
        <f>INDEX(Calcs!$AC$5:$AG$51, MATCH('Rotation Assembler'!$A75, Calcs!$AC$5:$AC$51, 0), MATCH('Rotation Assembler'!M$32, Calcs!$AC$5:$AG$5, 0))</f>
        <v>0</v>
      </c>
      <c r="N75" s="126">
        <f>INDEX(Calcs!$AC$5:$AG$51, MATCH('Rotation Assembler'!$A75, Calcs!$AC$5:$AC$51, 0), MATCH('Rotation Assembler'!N$32, Calcs!$AC$5:$AG$5, 0))</f>
        <v>0</v>
      </c>
      <c r="O75" s="126">
        <f>INDEX(Calcs!$AC$5:$AG$51, MATCH('Rotation Assembler'!$A75, Calcs!$AC$5:$AC$51, 0), MATCH('Rotation Assembler'!O$32, Calcs!$AC$5:$AG$5, 0))</f>
        <v>0</v>
      </c>
      <c r="P75" s="126">
        <f>INDEX(Calcs!$AC$5:$AG$51, MATCH('Rotation Assembler'!$A75, Calcs!$AC$5:$AC$51, 0), MATCH('Rotation Assembler'!P$32, Calcs!$AC$5:$AG$5, 0))</f>
        <v>0</v>
      </c>
      <c r="Q75" s="126">
        <f>INDEX(Calcs!$AC$5:$AG$51, MATCH('Rotation Assembler'!$A75, Calcs!$AC$5:$AC$51, 0), MATCH('Rotation Assembler'!Q$32, Calcs!$AC$5:$AG$5, 0))</f>
        <v>0</v>
      </c>
      <c r="R75" s="126">
        <f>INDEX(Calcs!$AC$5:$AG$51, MATCH('Rotation Assembler'!$A75, Calcs!$AC$5:$AC$51, 0), MATCH('Rotation Assembler'!R$32, Calcs!$AC$5:$AG$5, 0))</f>
        <v>0</v>
      </c>
      <c r="S75" s="126">
        <f>INDEX(Calcs!$AC$5:$AG$51, MATCH('Rotation Assembler'!$A75, Calcs!$AC$5:$AC$51, 0), MATCH('Rotation Assembler'!S$32, Calcs!$AC$5:$AG$5, 0))</f>
        <v>0</v>
      </c>
      <c r="T75" s="126">
        <f>INDEX(Calcs!$AC$5:$AG$51, MATCH('Rotation Assembler'!$A75, Calcs!$AC$5:$AC$51, 0), MATCH('Rotation Assembler'!T$32, Calcs!$AC$5:$AG$5, 0))</f>
        <v>0</v>
      </c>
      <c r="U75" s="126">
        <f>INDEX(Calcs!$AC$5:$AG$51, MATCH('Rotation Assembler'!$A75, Calcs!$AC$5:$AC$51, 0), MATCH('Rotation Assembler'!U$32, Calcs!$AC$5:$AG$5, 0))</f>
        <v>0</v>
      </c>
      <c r="V75" s="126">
        <f>INDEX(Calcs!$AC$5:$AG$51, MATCH('Rotation Assembler'!$A75, Calcs!$AC$5:$AC$51, 0), MATCH('Rotation Assembler'!V$32, Calcs!$AC$5:$AG$5, 0))</f>
        <v>0</v>
      </c>
      <c r="W75" s="126">
        <f>INDEX(Calcs!$AC$5:$AG$51, MATCH('Rotation Assembler'!$A75, Calcs!$AC$5:$AC$51, 0), MATCH('Rotation Assembler'!W$32, Calcs!$AC$5:$AG$5, 0))</f>
        <v>0</v>
      </c>
      <c r="X75" s="126">
        <f>INDEX(Calcs!$AC$5:$AG$51, MATCH('Rotation Assembler'!$A75, Calcs!$AC$5:$AC$51, 0), MATCH('Rotation Assembler'!X$32, Calcs!$AC$5:$AG$5, 0))</f>
        <v>0</v>
      </c>
      <c r="Y75" s="126">
        <f>INDEX(Calcs!$AC$5:$AG$51, MATCH('Rotation Assembler'!$A75, Calcs!$AC$5:$AC$51, 0), MATCH('Rotation Assembler'!Y$32, Calcs!$AC$5:$AG$5, 0))</f>
        <v>0</v>
      </c>
      <c r="Z75" s="126">
        <f>INDEX(Calcs!$AC$5:$AG$51, MATCH('Rotation Assembler'!$A75, Calcs!$AC$5:$AC$51, 0), MATCH('Rotation Assembler'!Z$32, Calcs!$AC$5:$AG$5, 0))</f>
        <v>0</v>
      </c>
      <c r="AA75" s="126">
        <f>INDEX(Calcs!$AC$5:$AG$51, MATCH('Rotation Assembler'!$A75, Calcs!$AC$5:$AC$51, 0), MATCH('Rotation Assembler'!AA$32, Calcs!$AC$5:$AG$5, 0))</f>
        <v>0</v>
      </c>
      <c r="AB75" s="126">
        <f>INDEX(Calcs!$AC$5:$AG$51, MATCH('Rotation Assembler'!$A75, Calcs!$AC$5:$AC$51, 0), MATCH('Rotation Assembler'!AB$32, Calcs!$AC$5:$AG$5, 0))</f>
        <v>0</v>
      </c>
      <c r="AC75" s="126">
        <f>INDEX(Calcs!$AC$5:$AG$51, MATCH('Rotation Assembler'!$A75, Calcs!$AC$5:$AC$51, 0), MATCH('Rotation Assembler'!AC$32, Calcs!$AC$5:$AG$5, 0))</f>
        <v>0</v>
      </c>
      <c r="AD75" s="126">
        <f>INDEX(Calcs!$AC$5:$AG$51, MATCH('Rotation Assembler'!$A75, Calcs!$AC$5:$AC$51, 0), MATCH('Rotation Assembler'!AD$32, Calcs!$AC$5:$AG$5, 0))</f>
        <v>0</v>
      </c>
      <c r="AE75" s="126">
        <f>INDEX(Calcs!$AC$5:$AG$51, MATCH('Rotation Assembler'!$A75, Calcs!$AC$5:$AC$51, 0), MATCH('Rotation Assembler'!AE$32, Calcs!$AC$5:$AG$5, 0))</f>
        <v>0</v>
      </c>
      <c r="AF75" s="126">
        <f>INDEX(Calcs!$AC$5:$AG$51, MATCH('Rotation Assembler'!$A75, Calcs!$AC$5:$AC$51, 0), MATCH('Rotation Assembler'!AF$32, Calcs!$AC$5:$AG$5, 0))</f>
        <v>0</v>
      </c>
      <c r="AG75" s="126">
        <f>INDEX(Calcs!$AC$5:$AG$51, MATCH('Rotation Assembler'!$A75, Calcs!$AC$5:$AC$51, 0), MATCH('Rotation Assembler'!AG$32, Calcs!$AC$5:$AG$5, 0))</f>
        <v>0</v>
      </c>
      <c r="AH75" s="126">
        <f>INDEX(Calcs!$AC$5:$AG$51, MATCH('Rotation Assembler'!$A75, Calcs!$AC$5:$AC$51, 0), MATCH('Rotation Assembler'!AH$32, Calcs!$AC$5:$AG$5, 0))</f>
        <v>0</v>
      </c>
      <c r="AI75" s="126">
        <f>INDEX(Calcs!$AC$5:$AG$51, MATCH('Rotation Assembler'!$A75, Calcs!$AC$5:$AC$51, 0), MATCH('Rotation Assembler'!AI$32, Calcs!$AC$5:$AG$5, 0))</f>
        <v>0</v>
      </c>
      <c r="AJ75" s="126" t="e">
        <f>INDEX(Calcs!$AC$5:$AG$51, MATCH('Rotation Assembler'!$A75, Calcs!$AC$5:$AC$51, 0), MATCH('Rotation Assembler'!AJ$32, Calcs!$AC$5:$AG$5, 0))</f>
        <v>#N/A</v>
      </c>
      <c r="AK75" s="126" t="e">
        <f>INDEX(Calcs!$AC$5:$AG$51, MATCH('Rotation Assembler'!$A75, Calcs!$AC$5:$AC$51, 0), MATCH('Rotation Assembler'!AK$32, Calcs!$AC$5:$AG$5, 0))</f>
        <v>#N/A</v>
      </c>
      <c r="AL75" s="126" t="e">
        <f>INDEX(Calcs!$AC$5:$AG$51, MATCH('Rotation Assembler'!$A75, Calcs!$AC$5:$AC$51, 0), MATCH('Rotation Assembler'!AL$32, Calcs!$AC$5:$AG$5, 0))</f>
        <v>#N/A</v>
      </c>
      <c r="AM75" s="126" t="e">
        <f>INDEX(Calcs!$AC$5:$AG$51, MATCH('Rotation Assembler'!$A75, Calcs!$AC$5:$AC$51, 0), MATCH('Rotation Assembler'!AM$32, Calcs!$AC$5:$AG$5, 0))</f>
        <v>#N/A</v>
      </c>
      <c r="AN75" s="126" t="e">
        <f>INDEX(Calcs!$AC$5:$AG$51, MATCH('Rotation Assembler'!$A75, Calcs!$AC$5:$AC$51, 0), MATCH('Rotation Assembler'!AN$32, Calcs!$AC$5:$AG$5, 0))</f>
        <v>#N/A</v>
      </c>
      <c r="AO75" s="126" t="e">
        <f>INDEX(Calcs!$AC$5:$AG$51, MATCH('Rotation Assembler'!$A75, Calcs!$AC$5:$AC$51, 0), MATCH('Rotation Assembler'!AO$32, Calcs!$AC$5:$AG$5, 0))</f>
        <v>#N/A</v>
      </c>
      <c r="AP75" s="126" t="e">
        <f>INDEX(Calcs!$AC$5:$AG$51, MATCH('Rotation Assembler'!$A75, Calcs!$AC$5:$AC$51, 0), MATCH('Rotation Assembler'!AP$32, Calcs!$AC$5:$AG$5, 0))</f>
        <v>#N/A</v>
      </c>
      <c r="AQ75" s="126" t="e">
        <f>INDEX(Calcs!$AC$5:$AG$51, MATCH('Rotation Assembler'!$A75, Calcs!$AC$5:$AC$51, 0), MATCH('Rotation Assembler'!AQ$32, Calcs!$AC$5:$AG$5, 0))</f>
        <v>#N/A</v>
      </c>
      <c r="AR75" s="126" t="e">
        <f>INDEX(Calcs!$AC$5:$AG$51, MATCH('Rotation Assembler'!$A75, Calcs!$AC$5:$AC$51, 0), MATCH('Rotation Assembler'!AR$32, Calcs!$AC$5:$AG$5, 0))</f>
        <v>#N/A</v>
      </c>
      <c r="AS75" s="126" t="e">
        <f>INDEX(Calcs!$AC$5:$AG$51, MATCH('Rotation Assembler'!$A75, Calcs!$AC$5:$AC$51, 0), MATCH('Rotation Assembler'!AS$32, Calcs!$AC$5:$AG$5, 0))</f>
        <v>#N/A</v>
      </c>
      <c r="AT75" s="126" t="e">
        <f>INDEX(Calcs!$AC$5:$AG$51, MATCH('Rotation Assembler'!$A75, Calcs!$AC$5:$AC$51, 0), MATCH('Rotation Assembler'!AT$32, Calcs!$AC$5:$AG$5, 0))</f>
        <v>#N/A</v>
      </c>
      <c r="AU75" s="126" t="e">
        <f>INDEX(Calcs!$AC$5:$AG$51, MATCH('Rotation Assembler'!$A75, Calcs!$AC$5:$AC$51, 0), MATCH('Rotation Assembler'!AU$32, Calcs!$AC$5:$AG$5, 0))</f>
        <v>#N/A</v>
      </c>
      <c r="AV75" s="126" t="e">
        <f>INDEX(Calcs!$AC$5:$AG$51, MATCH('Rotation Assembler'!$A75, Calcs!$AC$5:$AC$51, 0), MATCH('Rotation Assembler'!AV$32, Calcs!$AC$5:$AG$5, 0))</f>
        <v>#N/A</v>
      </c>
      <c r="AW75" s="126" t="e">
        <f>INDEX(Calcs!$AC$5:$AG$51, MATCH('Rotation Assembler'!$A75, Calcs!$AC$5:$AC$51, 0), MATCH('Rotation Assembler'!AW$32, Calcs!$AC$5:$AG$5, 0))</f>
        <v>#N/A</v>
      </c>
      <c r="AX75" s="126" t="e">
        <f>INDEX(Calcs!$AC$5:$AG$51, MATCH('Rotation Assembler'!$A75, Calcs!$AC$5:$AC$51, 0), MATCH('Rotation Assembler'!AX$32, Calcs!$AC$5:$AG$5, 0))</f>
        <v>#N/A</v>
      </c>
      <c r="AY75" s="126" t="e">
        <f>INDEX(Calcs!$AC$5:$AG$51, MATCH('Rotation Assembler'!$A75, Calcs!$AC$5:$AC$51, 0), MATCH('Rotation Assembler'!AY$32, Calcs!$AC$5:$AG$5, 0))</f>
        <v>#N/A</v>
      </c>
      <c r="AZ75" s="126" t="e">
        <f>INDEX(Calcs!$AC$5:$AG$51, MATCH('Rotation Assembler'!$A75, Calcs!$AC$5:$AC$51, 0), MATCH('Rotation Assembler'!AZ$32, Calcs!$AC$5:$AG$5, 0))</f>
        <v>#N/A</v>
      </c>
      <c r="BA75" s="126" t="e">
        <f>INDEX(Calcs!$AC$5:$AG$51, MATCH('Rotation Assembler'!$A75, Calcs!$AC$5:$AC$51, 0), MATCH('Rotation Assembler'!BA$32, Calcs!$AC$5:$AG$5, 0))</f>
        <v>#N/A</v>
      </c>
      <c r="BB75" s="126" t="e">
        <f>INDEX(Calcs!$AC$5:$AG$51, MATCH('Rotation Assembler'!$A75, Calcs!$AC$5:$AC$51, 0), MATCH('Rotation Assembler'!BB$32, Calcs!$AC$5:$AG$5, 0))</f>
        <v>#N/A</v>
      </c>
      <c r="BC75" s="126" t="e">
        <f>INDEX(Calcs!$AC$5:$AG$51, MATCH('Rotation Assembler'!$A75, Calcs!$AC$5:$AC$51, 0), MATCH('Rotation Assembler'!BC$32, Calcs!$AC$5:$AG$5, 0))</f>
        <v>#N/A</v>
      </c>
      <c r="BD75" s="126" t="e">
        <f>INDEX(Calcs!$AC$5:$AG$51, MATCH('Rotation Assembler'!$A75, Calcs!$AC$5:$AC$51, 0), MATCH('Rotation Assembler'!BD$32, Calcs!$AC$5:$AG$5, 0))</f>
        <v>#N/A</v>
      </c>
      <c r="BE75" s="126" t="e">
        <f>INDEX(Calcs!$AC$5:$AG$51, MATCH('Rotation Assembler'!$A75, Calcs!$AC$5:$AC$51, 0), MATCH('Rotation Assembler'!BE$32, Calcs!$AC$5:$AG$5, 0))</f>
        <v>#N/A</v>
      </c>
      <c r="BF75" s="126" t="e">
        <f>INDEX(Calcs!$AC$5:$AG$51, MATCH('Rotation Assembler'!$A75, Calcs!$AC$5:$AC$51, 0), MATCH('Rotation Assembler'!BF$32, Calcs!$AC$5:$AG$5, 0))</f>
        <v>#N/A</v>
      </c>
      <c r="BG75" s="126" t="e">
        <f>INDEX(Calcs!$AC$5:$AG$51, MATCH('Rotation Assembler'!$A75, Calcs!$AC$5:$AC$51, 0), MATCH('Rotation Assembler'!BG$32, Calcs!$AC$5:$AG$5, 0))</f>
        <v>#N/A</v>
      </c>
      <c r="BH75" s="126" t="e">
        <f>INDEX(Calcs!$AC$5:$AG$51, MATCH('Rotation Assembler'!$A75, Calcs!$AC$5:$AC$51, 0), MATCH('Rotation Assembler'!BH$32, Calcs!$AC$5:$AG$5, 0))</f>
        <v>#N/A</v>
      </c>
      <c r="BI75" s="126"/>
      <c r="BJ75" s="126"/>
      <c r="BK75" s="126"/>
      <c r="BL75" s="126"/>
      <c r="BM75" s="126"/>
      <c r="BN75" s="126"/>
      <c r="BO75" s="126"/>
      <c r="BP75" s="126"/>
      <c r="BQ75" s="126"/>
      <c r="BR75" s="126"/>
      <c r="BS75" s="126"/>
      <c r="BT75" s="126"/>
      <c r="BU75" s="126"/>
      <c r="BV75" s="126"/>
      <c r="BW75" s="126"/>
      <c r="BX75" s="126"/>
      <c r="BY75" s="126"/>
      <c r="BZ75" s="126"/>
      <c r="CA75" s="126"/>
      <c r="CB75" s="126"/>
      <c r="CC75" s="126"/>
      <c r="CD75" s="126"/>
      <c r="CE75" s="126"/>
      <c r="CF75" s="126"/>
      <c r="CG75" s="126"/>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row>
    <row r="76" spans="1:107" hidden="1" outlineLevel="1" x14ac:dyDescent="0.25">
      <c r="A76" s="122" t="s">
        <v>420</v>
      </c>
      <c r="B76" s="126">
        <f>INDEX(Calcs!$AC$5:$AG$51, MATCH('Rotation Assembler'!$A76, Calcs!$AC$5:$AC$51, 0), MATCH('Rotation Assembler'!B$32, Calcs!$AC$5:$AG$5, 0))</f>
        <v>0</v>
      </c>
      <c r="C76" s="126">
        <f>INDEX(Calcs!$AC$5:$AG$51, MATCH('Rotation Assembler'!$A76, Calcs!$AC$5:$AC$51, 0), MATCH('Rotation Assembler'!C$32, Calcs!$AC$5:$AG$5, 0))</f>
        <v>0</v>
      </c>
      <c r="D76" s="126">
        <f>INDEX(Calcs!$AC$5:$AG$51, MATCH('Rotation Assembler'!$A76, Calcs!$AC$5:$AC$51, 0), MATCH('Rotation Assembler'!D$32, Calcs!$AC$5:$AG$5, 0))</f>
        <v>0</v>
      </c>
      <c r="E76" s="126">
        <f>INDEX(Calcs!$AC$5:$AG$51, MATCH('Rotation Assembler'!$A76, Calcs!$AC$5:$AC$51, 0), MATCH('Rotation Assembler'!E$32, Calcs!$AC$5:$AG$5, 0))</f>
        <v>0</v>
      </c>
      <c r="F76" s="126">
        <f>INDEX(Calcs!$AC$5:$AG$51, MATCH('Rotation Assembler'!$A76, Calcs!$AC$5:$AC$51, 0), MATCH('Rotation Assembler'!F$32, Calcs!$AC$5:$AG$5, 0))</f>
        <v>0</v>
      </c>
      <c r="G76" s="126">
        <f>INDEX(Calcs!$AC$5:$AG$51, MATCH('Rotation Assembler'!$A76, Calcs!$AC$5:$AC$51, 0), MATCH('Rotation Assembler'!G$32, Calcs!$AC$5:$AG$5, 0))</f>
        <v>0</v>
      </c>
      <c r="H76" s="126">
        <f>INDEX(Calcs!$AC$5:$AG$51, MATCH('Rotation Assembler'!$A76, Calcs!$AC$5:$AC$51, 0), MATCH('Rotation Assembler'!H$32, Calcs!$AC$5:$AG$5, 0))</f>
        <v>0</v>
      </c>
      <c r="I76" s="126">
        <f>INDEX(Calcs!$AC$5:$AG$51, MATCH('Rotation Assembler'!$A76, Calcs!$AC$5:$AC$51, 0), MATCH('Rotation Assembler'!I$32, Calcs!$AC$5:$AG$5, 0))</f>
        <v>0</v>
      </c>
      <c r="J76" s="126">
        <f>INDEX(Calcs!$AC$5:$AG$51, MATCH('Rotation Assembler'!$A76, Calcs!$AC$5:$AC$51, 0), MATCH('Rotation Assembler'!J$32, Calcs!$AC$5:$AG$5, 0))</f>
        <v>0</v>
      </c>
      <c r="K76" s="126">
        <f>INDEX(Calcs!$AC$5:$AG$51, MATCH('Rotation Assembler'!$A76, Calcs!$AC$5:$AC$51, 0), MATCH('Rotation Assembler'!K$32, Calcs!$AC$5:$AG$5, 0))</f>
        <v>0</v>
      </c>
      <c r="L76" s="126">
        <f>INDEX(Calcs!$AC$5:$AG$51, MATCH('Rotation Assembler'!$A76, Calcs!$AC$5:$AC$51, 0), MATCH('Rotation Assembler'!L$32, Calcs!$AC$5:$AG$5, 0))</f>
        <v>0</v>
      </c>
      <c r="M76" s="126">
        <f>INDEX(Calcs!$AC$5:$AG$51, MATCH('Rotation Assembler'!$A76, Calcs!$AC$5:$AC$51, 0), MATCH('Rotation Assembler'!M$32, Calcs!$AC$5:$AG$5, 0))</f>
        <v>0</v>
      </c>
      <c r="N76" s="126">
        <f>INDEX(Calcs!$AC$5:$AG$51, MATCH('Rotation Assembler'!$A76, Calcs!$AC$5:$AC$51, 0), MATCH('Rotation Assembler'!N$32, Calcs!$AC$5:$AG$5, 0))</f>
        <v>0</v>
      </c>
      <c r="O76" s="126">
        <f>INDEX(Calcs!$AC$5:$AG$51, MATCH('Rotation Assembler'!$A76, Calcs!$AC$5:$AC$51, 0), MATCH('Rotation Assembler'!O$32, Calcs!$AC$5:$AG$5, 0))</f>
        <v>0</v>
      </c>
      <c r="P76" s="126">
        <f>INDEX(Calcs!$AC$5:$AG$51, MATCH('Rotation Assembler'!$A76, Calcs!$AC$5:$AC$51, 0), MATCH('Rotation Assembler'!P$32, Calcs!$AC$5:$AG$5, 0))</f>
        <v>0</v>
      </c>
      <c r="Q76" s="126">
        <f>INDEX(Calcs!$AC$5:$AG$51, MATCH('Rotation Assembler'!$A76, Calcs!$AC$5:$AC$51, 0), MATCH('Rotation Assembler'!Q$32, Calcs!$AC$5:$AG$5, 0))</f>
        <v>0</v>
      </c>
      <c r="R76" s="126">
        <f>INDEX(Calcs!$AC$5:$AG$51, MATCH('Rotation Assembler'!$A76, Calcs!$AC$5:$AC$51, 0), MATCH('Rotation Assembler'!R$32, Calcs!$AC$5:$AG$5, 0))</f>
        <v>0</v>
      </c>
      <c r="S76" s="126">
        <f>INDEX(Calcs!$AC$5:$AG$51, MATCH('Rotation Assembler'!$A76, Calcs!$AC$5:$AC$51, 0), MATCH('Rotation Assembler'!S$32, Calcs!$AC$5:$AG$5, 0))</f>
        <v>0</v>
      </c>
      <c r="T76" s="126">
        <f>INDEX(Calcs!$AC$5:$AG$51, MATCH('Rotation Assembler'!$A76, Calcs!$AC$5:$AC$51, 0), MATCH('Rotation Assembler'!T$32, Calcs!$AC$5:$AG$5, 0))</f>
        <v>0</v>
      </c>
      <c r="U76" s="126">
        <f>INDEX(Calcs!$AC$5:$AG$51, MATCH('Rotation Assembler'!$A76, Calcs!$AC$5:$AC$51, 0), MATCH('Rotation Assembler'!U$32, Calcs!$AC$5:$AG$5, 0))</f>
        <v>0</v>
      </c>
      <c r="V76" s="126">
        <f>INDEX(Calcs!$AC$5:$AG$51, MATCH('Rotation Assembler'!$A76, Calcs!$AC$5:$AC$51, 0), MATCH('Rotation Assembler'!V$32, Calcs!$AC$5:$AG$5, 0))</f>
        <v>0</v>
      </c>
      <c r="W76" s="126">
        <f>INDEX(Calcs!$AC$5:$AG$51, MATCH('Rotation Assembler'!$A76, Calcs!$AC$5:$AC$51, 0), MATCH('Rotation Assembler'!W$32, Calcs!$AC$5:$AG$5, 0))</f>
        <v>0</v>
      </c>
      <c r="X76" s="126">
        <f>INDEX(Calcs!$AC$5:$AG$51, MATCH('Rotation Assembler'!$A76, Calcs!$AC$5:$AC$51, 0), MATCH('Rotation Assembler'!X$32, Calcs!$AC$5:$AG$5, 0))</f>
        <v>0</v>
      </c>
      <c r="Y76" s="126">
        <f>INDEX(Calcs!$AC$5:$AG$51, MATCH('Rotation Assembler'!$A76, Calcs!$AC$5:$AC$51, 0), MATCH('Rotation Assembler'!Y$32, Calcs!$AC$5:$AG$5, 0))</f>
        <v>0</v>
      </c>
      <c r="Z76" s="126">
        <f>INDEX(Calcs!$AC$5:$AG$51, MATCH('Rotation Assembler'!$A76, Calcs!$AC$5:$AC$51, 0), MATCH('Rotation Assembler'!Z$32, Calcs!$AC$5:$AG$5, 0))</f>
        <v>0</v>
      </c>
      <c r="AA76" s="126">
        <f>INDEX(Calcs!$AC$5:$AG$51, MATCH('Rotation Assembler'!$A76, Calcs!$AC$5:$AC$51, 0), MATCH('Rotation Assembler'!AA$32, Calcs!$AC$5:$AG$5, 0))</f>
        <v>0</v>
      </c>
      <c r="AB76" s="126">
        <f>INDEX(Calcs!$AC$5:$AG$51, MATCH('Rotation Assembler'!$A76, Calcs!$AC$5:$AC$51, 0), MATCH('Rotation Assembler'!AB$32, Calcs!$AC$5:$AG$5, 0))</f>
        <v>0</v>
      </c>
      <c r="AC76" s="126">
        <f>INDEX(Calcs!$AC$5:$AG$51, MATCH('Rotation Assembler'!$A76, Calcs!$AC$5:$AC$51, 0), MATCH('Rotation Assembler'!AC$32, Calcs!$AC$5:$AG$5, 0))</f>
        <v>0</v>
      </c>
      <c r="AD76" s="126">
        <f>INDEX(Calcs!$AC$5:$AG$51, MATCH('Rotation Assembler'!$A76, Calcs!$AC$5:$AC$51, 0), MATCH('Rotation Assembler'!AD$32, Calcs!$AC$5:$AG$5, 0))</f>
        <v>0</v>
      </c>
      <c r="AE76" s="126">
        <f>INDEX(Calcs!$AC$5:$AG$51, MATCH('Rotation Assembler'!$A76, Calcs!$AC$5:$AC$51, 0), MATCH('Rotation Assembler'!AE$32, Calcs!$AC$5:$AG$5, 0))</f>
        <v>0</v>
      </c>
      <c r="AF76" s="126">
        <f>INDEX(Calcs!$AC$5:$AG$51, MATCH('Rotation Assembler'!$A76, Calcs!$AC$5:$AC$51, 0), MATCH('Rotation Assembler'!AF$32, Calcs!$AC$5:$AG$5, 0))</f>
        <v>0</v>
      </c>
      <c r="AG76" s="126">
        <f>INDEX(Calcs!$AC$5:$AG$51, MATCH('Rotation Assembler'!$A76, Calcs!$AC$5:$AC$51, 0), MATCH('Rotation Assembler'!AG$32, Calcs!$AC$5:$AG$5, 0))</f>
        <v>0</v>
      </c>
      <c r="AH76" s="126">
        <f>INDEX(Calcs!$AC$5:$AG$51, MATCH('Rotation Assembler'!$A76, Calcs!$AC$5:$AC$51, 0), MATCH('Rotation Assembler'!AH$32, Calcs!$AC$5:$AG$5, 0))</f>
        <v>0</v>
      </c>
      <c r="AI76" s="126">
        <f>INDEX(Calcs!$AC$5:$AG$51, MATCH('Rotation Assembler'!$A76, Calcs!$AC$5:$AC$51, 0), MATCH('Rotation Assembler'!AI$32, Calcs!$AC$5:$AG$5, 0))</f>
        <v>0</v>
      </c>
      <c r="AJ76" s="126" t="e">
        <f>INDEX(Calcs!$AC$5:$AG$51, MATCH('Rotation Assembler'!$A76, Calcs!$AC$5:$AC$51, 0), MATCH('Rotation Assembler'!AJ$32, Calcs!$AC$5:$AG$5, 0))</f>
        <v>#N/A</v>
      </c>
      <c r="AK76" s="126" t="e">
        <f>INDEX(Calcs!$AC$5:$AG$51, MATCH('Rotation Assembler'!$A76, Calcs!$AC$5:$AC$51, 0), MATCH('Rotation Assembler'!AK$32, Calcs!$AC$5:$AG$5, 0))</f>
        <v>#N/A</v>
      </c>
      <c r="AL76" s="126" t="e">
        <f>INDEX(Calcs!$AC$5:$AG$51, MATCH('Rotation Assembler'!$A76, Calcs!$AC$5:$AC$51, 0), MATCH('Rotation Assembler'!AL$32, Calcs!$AC$5:$AG$5, 0))</f>
        <v>#N/A</v>
      </c>
      <c r="AM76" s="126" t="e">
        <f>INDEX(Calcs!$AC$5:$AG$51, MATCH('Rotation Assembler'!$A76, Calcs!$AC$5:$AC$51, 0), MATCH('Rotation Assembler'!AM$32, Calcs!$AC$5:$AG$5, 0))</f>
        <v>#N/A</v>
      </c>
      <c r="AN76" s="126" t="e">
        <f>INDEX(Calcs!$AC$5:$AG$51, MATCH('Rotation Assembler'!$A76, Calcs!$AC$5:$AC$51, 0), MATCH('Rotation Assembler'!AN$32, Calcs!$AC$5:$AG$5, 0))</f>
        <v>#N/A</v>
      </c>
      <c r="AO76" s="126" t="e">
        <f>INDEX(Calcs!$AC$5:$AG$51, MATCH('Rotation Assembler'!$A76, Calcs!$AC$5:$AC$51, 0), MATCH('Rotation Assembler'!AO$32, Calcs!$AC$5:$AG$5, 0))</f>
        <v>#N/A</v>
      </c>
      <c r="AP76" s="126" t="e">
        <f>INDEX(Calcs!$AC$5:$AG$51, MATCH('Rotation Assembler'!$A76, Calcs!$AC$5:$AC$51, 0), MATCH('Rotation Assembler'!AP$32, Calcs!$AC$5:$AG$5, 0))</f>
        <v>#N/A</v>
      </c>
      <c r="AQ76" s="126" t="e">
        <f>INDEX(Calcs!$AC$5:$AG$51, MATCH('Rotation Assembler'!$A76, Calcs!$AC$5:$AC$51, 0), MATCH('Rotation Assembler'!AQ$32, Calcs!$AC$5:$AG$5, 0))</f>
        <v>#N/A</v>
      </c>
      <c r="AR76" s="126" t="e">
        <f>INDEX(Calcs!$AC$5:$AG$51, MATCH('Rotation Assembler'!$A76, Calcs!$AC$5:$AC$51, 0), MATCH('Rotation Assembler'!AR$32, Calcs!$AC$5:$AG$5, 0))</f>
        <v>#N/A</v>
      </c>
      <c r="AS76" s="126" t="e">
        <f>INDEX(Calcs!$AC$5:$AG$51, MATCH('Rotation Assembler'!$A76, Calcs!$AC$5:$AC$51, 0), MATCH('Rotation Assembler'!AS$32, Calcs!$AC$5:$AG$5, 0))</f>
        <v>#N/A</v>
      </c>
      <c r="AT76" s="126" t="e">
        <f>INDEX(Calcs!$AC$5:$AG$51, MATCH('Rotation Assembler'!$A76, Calcs!$AC$5:$AC$51, 0), MATCH('Rotation Assembler'!AT$32, Calcs!$AC$5:$AG$5, 0))</f>
        <v>#N/A</v>
      </c>
      <c r="AU76" s="126" t="e">
        <f>INDEX(Calcs!$AC$5:$AG$51, MATCH('Rotation Assembler'!$A76, Calcs!$AC$5:$AC$51, 0), MATCH('Rotation Assembler'!AU$32, Calcs!$AC$5:$AG$5, 0))</f>
        <v>#N/A</v>
      </c>
      <c r="AV76" s="126" t="e">
        <f>INDEX(Calcs!$AC$5:$AG$51, MATCH('Rotation Assembler'!$A76, Calcs!$AC$5:$AC$51, 0), MATCH('Rotation Assembler'!AV$32, Calcs!$AC$5:$AG$5, 0))</f>
        <v>#N/A</v>
      </c>
      <c r="AW76" s="126" t="e">
        <f>INDEX(Calcs!$AC$5:$AG$51, MATCH('Rotation Assembler'!$A76, Calcs!$AC$5:$AC$51, 0), MATCH('Rotation Assembler'!AW$32, Calcs!$AC$5:$AG$5, 0))</f>
        <v>#N/A</v>
      </c>
      <c r="AX76" s="126" t="e">
        <f>INDEX(Calcs!$AC$5:$AG$51, MATCH('Rotation Assembler'!$A76, Calcs!$AC$5:$AC$51, 0), MATCH('Rotation Assembler'!AX$32, Calcs!$AC$5:$AG$5, 0))</f>
        <v>#N/A</v>
      </c>
      <c r="AY76" s="126" t="e">
        <f>INDEX(Calcs!$AC$5:$AG$51, MATCH('Rotation Assembler'!$A76, Calcs!$AC$5:$AC$51, 0), MATCH('Rotation Assembler'!AY$32, Calcs!$AC$5:$AG$5, 0))</f>
        <v>#N/A</v>
      </c>
      <c r="AZ76" s="126" t="e">
        <f>INDEX(Calcs!$AC$5:$AG$51, MATCH('Rotation Assembler'!$A76, Calcs!$AC$5:$AC$51, 0), MATCH('Rotation Assembler'!AZ$32, Calcs!$AC$5:$AG$5, 0))</f>
        <v>#N/A</v>
      </c>
      <c r="BA76" s="126" t="e">
        <f>INDEX(Calcs!$AC$5:$AG$51, MATCH('Rotation Assembler'!$A76, Calcs!$AC$5:$AC$51, 0), MATCH('Rotation Assembler'!BA$32, Calcs!$AC$5:$AG$5, 0))</f>
        <v>#N/A</v>
      </c>
      <c r="BB76" s="126" t="e">
        <f>INDEX(Calcs!$AC$5:$AG$51, MATCH('Rotation Assembler'!$A76, Calcs!$AC$5:$AC$51, 0), MATCH('Rotation Assembler'!BB$32, Calcs!$AC$5:$AG$5, 0))</f>
        <v>#N/A</v>
      </c>
      <c r="BC76" s="126" t="e">
        <f>INDEX(Calcs!$AC$5:$AG$51, MATCH('Rotation Assembler'!$A76, Calcs!$AC$5:$AC$51, 0), MATCH('Rotation Assembler'!BC$32, Calcs!$AC$5:$AG$5, 0))</f>
        <v>#N/A</v>
      </c>
      <c r="BD76" s="126" t="e">
        <f>INDEX(Calcs!$AC$5:$AG$51, MATCH('Rotation Assembler'!$A76, Calcs!$AC$5:$AC$51, 0), MATCH('Rotation Assembler'!BD$32, Calcs!$AC$5:$AG$5, 0))</f>
        <v>#N/A</v>
      </c>
      <c r="BE76" s="126" t="e">
        <f>INDEX(Calcs!$AC$5:$AG$51, MATCH('Rotation Assembler'!$A76, Calcs!$AC$5:$AC$51, 0), MATCH('Rotation Assembler'!BE$32, Calcs!$AC$5:$AG$5, 0))</f>
        <v>#N/A</v>
      </c>
      <c r="BF76" s="126" t="e">
        <f>INDEX(Calcs!$AC$5:$AG$51, MATCH('Rotation Assembler'!$A76, Calcs!$AC$5:$AC$51, 0), MATCH('Rotation Assembler'!BF$32, Calcs!$AC$5:$AG$5, 0))</f>
        <v>#N/A</v>
      </c>
      <c r="BG76" s="126" t="e">
        <f>INDEX(Calcs!$AC$5:$AG$51, MATCH('Rotation Assembler'!$A76, Calcs!$AC$5:$AC$51, 0), MATCH('Rotation Assembler'!BG$32, Calcs!$AC$5:$AG$5, 0))</f>
        <v>#N/A</v>
      </c>
      <c r="BH76" s="126" t="e">
        <f>INDEX(Calcs!$AC$5:$AG$51, MATCH('Rotation Assembler'!$A76, Calcs!$AC$5:$AC$51, 0), MATCH('Rotation Assembler'!BH$32, Calcs!$AC$5:$AG$5, 0))</f>
        <v>#N/A</v>
      </c>
      <c r="BI76" s="126"/>
      <c r="BJ76" s="126"/>
      <c r="BK76" s="126"/>
      <c r="BL76" s="126"/>
      <c r="BM76" s="126"/>
      <c r="BN76" s="126"/>
      <c r="BO76" s="126"/>
      <c r="BP76" s="126"/>
      <c r="BQ76" s="126"/>
      <c r="BR76" s="126"/>
      <c r="BS76" s="126"/>
      <c r="BT76" s="126"/>
      <c r="BU76" s="126"/>
      <c r="BV76" s="126"/>
      <c r="BW76" s="126"/>
      <c r="BX76" s="126"/>
      <c r="BY76" s="126"/>
      <c r="BZ76" s="126"/>
      <c r="CA76" s="126"/>
      <c r="CB76" s="126"/>
      <c r="CC76" s="126"/>
      <c r="CD76" s="126"/>
      <c r="CE76" s="126"/>
      <c r="CF76" s="126"/>
      <c r="CG76" s="126"/>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row>
    <row r="77" spans="1:107" hidden="1" outlineLevel="1" x14ac:dyDescent="0.25">
      <c r="A77" s="122" t="s">
        <v>433</v>
      </c>
      <c r="B77" s="126">
        <f>INDEX(Calcs!$AC$5:$AG$51, MATCH('Rotation Assembler'!$A77, Calcs!$AC$5:$AC$51, 0), MATCH('Rotation Assembler'!B$32, Calcs!$AC$5:$AG$5, 0))</f>
        <v>0</v>
      </c>
      <c r="C77" s="126">
        <f>INDEX(Calcs!$AC$5:$AG$51, MATCH('Rotation Assembler'!$A77, Calcs!$AC$5:$AC$51, 0), MATCH('Rotation Assembler'!C$32, Calcs!$AC$5:$AG$5, 0))</f>
        <v>0</v>
      </c>
      <c r="D77" s="126">
        <f>INDEX(Calcs!$AC$5:$AG$51, MATCH('Rotation Assembler'!$A77, Calcs!$AC$5:$AC$51, 0), MATCH('Rotation Assembler'!D$32, Calcs!$AC$5:$AG$5, 0))</f>
        <v>0</v>
      </c>
      <c r="E77" s="126">
        <f>INDEX(Calcs!$AC$5:$AG$51, MATCH('Rotation Assembler'!$A77, Calcs!$AC$5:$AC$51, 0), MATCH('Rotation Assembler'!E$32, Calcs!$AC$5:$AG$5, 0))</f>
        <v>0</v>
      </c>
      <c r="F77" s="126">
        <f>INDEX(Calcs!$AC$5:$AG$51, MATCH('Rotation Assembler'!$A77, Calcs!$AC$5:$AC$51, 0), MATCH('Rotation Assembler'!F$32, Calcs!$AC$5:$AG$5, 0))</f>
        <v>0</v>
      </c>
      <c r="G77" s="126">
        <f>INDEX(Calcs!$AC$5:$AG$51, MATCH('Rotation Assembler'!$A77, Calcs!$AC$5:$AC$51, 0), MATCH('Rotation Assembler'!G$32, Calcs!$AC$5:$AG$5, 0))</f>
        <v>0</v>
      </c>
      <c r="H77" s="126">
        <f>INDEX(Calcs!$AC$5:$AG$51, MATCH('Rotation Assembler'!$A77, Calcs!$AC$5:$AC$51, 0), MATCH('Rotation Assembler'!H$32, Calcs!$AC$5:$AG$5, 0))</f>
        <v>0</v>
      </c>
      <c r="I77" s="126">
        <f>INDEX(Calcs!$AC$5:$AG$51, MATCH('Rotation Assembler'!$A77, Calcs!$AC$5:$AC$51, 0), MATCH('Rotation Assembler'!I$32, Calcs!$AC$5:$AG$5, 0))</f>
        <v>0</v>
      </c>
      <c r="J77" s="126">
        <f>INDEX(Calcs!$AC$5:$AG$51, MATCH('Rotation Assembler'!$A77, Calcs!$AC$5:$AC$51, 0), MATCH('Rotation Assembler'!J$32, Calcs!$AC$5:$AG$5, 0))</f>
        <v>0</v>
      </c>
      <c r="K77" s="126">
        <f>INDEX(Calcs!$AC$5:$AG$51, MATCH('Rotation Assembler'!$A77, Calcs!$AC$5:$AC$51, 0), MATCH('Rotation Assembler'!K$32, Calcs!$AC$5:$AG$5, 0))</f>
        <v>0</v>
      </c>
      <c r="L77" s="126">
        <f>INDEX(Calcs!$AC$5:$AG$51, MATCH('Rotation Assembler'!$A77, Calcs!$AC$5:$AC$51, 0), MATCH('Rotation Assembler'!L$32, Calcs!$AC$5:$AG$5, 0))</f>
        <v>0</v>
      </c>
      <c r="M77" s="126">
        <f>INDEX(Calcs!$AC$5:$AG$51, MATCH('Rotation Assembler'!$A77, Calcs!$AC$5:$AC$51, 0), MATCH('Rotation Assembler'!M$32, Calcs!$AC$5:$AG$5, 0))</f>
        <v>0</v>
      </c>
      <c r="N77" s="126">
        <f>INDEX(Calcs!$AC$5:$AG$51, MATCH('Rotation Assembler'!$A77, Calcs!$AC$5:$AC$51, 0), MATCH('Rotation Assembler'!N$32, Calcs!$AC$5:$AG$5, 0))</f>
        <v>0</v>
      </c>
      <c r="O77" s="126">
        <f>INDEX(Calcs!$AC$5:$AG$51, MATCH('Rotation Assembler'!$A77, Calcs!$AC$5:$AC$51, 0), MATCH('Rotation Assembler'!O$32, Calcs!$AC$5:$AG$5, 0))</f>
        <v>0</v>
      </c>
      <c r="P77" s="126">
        <f>INDEX(Calcs!$AC$5:$AG$51, MATCH('Rotation Assembler'!$A77, Calcs!$AC$5:$AC$51, 0), MATCH('Rotation Assembler'!P$32, Calcs!$AC$5:$AG$5, 0))</f>
        <v>0</v>
      </c>
      <c r="Q77" s="126">
        <f>INDEX(Calcs!$AC$5:$AG$51, MATCH('Rotation Assembler'!$A77, Calcs!$AC$5:$AC$51, 0), MATCH('Rotation Assembler'!Q$32, Calcs!$AC$5:$AG$5, 0))</f>
        <v>0</v>
      </c>
      <c r="R77" s="126">
        <f>INDEX(Calcs!$AC$5:$AG$51, MATCH('Rotation Assembler'!$A77, Calcs!$AC$5:$AC$51, 0), MATCH('Rotation Assembler'!R$32, Calcs!$AC$5:$AG$5, 0))</f>
        <v>0</v>
      </c>
      <c r="S77" s="126">
        <f>INDEX(Calcs!$AC$5:$AG$51, MATCH('Rotation Assembler'!$A77, Calcs!$AC$5:$AC$51, 0), MATCH('Rotation Assembler'!S$32, Calcs!$AC$5:$AG$5, 0))</f>
        <v>0</v>
      </c>
      <c r="T77" s="126">
        <f>INDEX(Calcs!$AC$5:$AG$51, MATCH('Rotation Assembler'!$A77, Calcs!$AC$5:$AC$51, 0), MATCH('Rotation Assembler'!T$32, Calcs!$AC$5:$AG$5, 0))</f>
        <v>0</v>
      </c>
      <c r="U77" s="126">
        <f>INDEX(Calcs!$AC$5:$AG$51, MATCH('Rotation Assembler'!$A77, Calcs!$AC$5:$AC$51, 0), MATCH('Rotation Assembler'!U$32, Calcs!$AC$5:$AG$5, 0))</f>
        <v>0</v>
      </c>
      <c r="V77" s="126">
        <f>INDEX(Calcs!$AC$5:$AG$51, MATCH('Rotation Assembler'!$A77, Calcs!$AC$5:$AC$51, 0), MATCH('Rotation Assembler'!V$32, Calcs!$AC$5:$AG$5, 0))</f>
        <v>0</v>
      </c>
      <c r="W77" s="126">
        <f>INDEX(Calcs!$AC$5:$AG$51, MATCH('Rotation Assembler'!$A77, Calcs!$AC$5:$AC$51, 0), MATCH('Rotation Assembler'!W$32, Calcs!$AC$5:$AG$5, 0))</f>
        <v>0</v>
      </c>
      <c r="X77" s="126">
        <f>INDEX(Calcs!$AC$5:$AG$51, MATCH('Rotation Assembler'!$A77, Calcs!$AC$5:$AC$51, 0), MATCH('Rotation Assembler'!X$32, Calcs!$AC$5:$AG$5, 0))</f>
        <v>0</v>
      </c>
      <c r="Y77" s="126">
        <f>INDEX(Calcs!$AC$5:$AG$51, MATCH('Rotation Assembler'!$A77, Calcs!$AC$5:$AC$51, 0), MATCH('Rotation Assembler'!Y$32, Calcs!$AC$5:$AG$5, 0))</f>
        <v>0</v>
      </c>
      <c r="Z77" s="126">
        <f>INDEX(Calcs!$AC$5:$AG$51, MATCH('Rotation Assembler'!$A77, Calcs!$AC$5:$AC$51, 0), MATCH('Rotation Assembler'!Z$32, Calcs!$AC$5:$AG$5, 0))</f>
        <v>0</v>
      </c>
      <c r="AA77" s="126">
        <f>INDEX(Calcs!$AC$5:$AG$51, MATCH('Rotation Assembler'!$A77, Calcs!$AC$5:$AC$51, 0), MATCH('Rotation Assembler'!AA$32, Calcs!$AC$5:$AG$5, 0))</f>
        <v>0</v>
      </c>
      <c r="AB77" s="126">
        <f>INDEX(Calcs!$AC$5:$AG$51, MATCH('Rotation Assembler'!$A77, Calcs!$AC$5:$AC$51, 0), MATCH('Rotation Assembler'!AB$32, Calcs!$AC$5:$AG$5, 0))</f>
        <v>0</v>
      </c>
      <c r="AC77" s="126">
        <f>INDEX(Calcs!$AC$5:$AG$51, MATCH('Rotation Assembler'!$A77, Calcs!$AC$5:$AC$51, 0), MATCH('Rotation Assembler'!AC$32, Calcs!$AC$5:$AG$5, 0))</f>
        <v>0</v>
      </c>
      <c r="AD77" s="126">
        <f>INDEX(Calcs!$AC$5:$AG$51, MATCH('Rotation Assembler'!$A77, Calcs!$AC$5:$AC$51, 0), MATCH('Rotation Assembler'!AD$32, Calcs!$AC$5:$AG$5, 0))</f>
        <v>0</v>
      </c>
      <c r="AE77" s="126">
        <f>INDEX(Calcs!$AC$5:$AG$51, MATCH('Rotation Assembler'!$A77, Calcs!$AC$5:$AC$51, 0), MATCH('Rotation Assembler'!AE$32, Calcs!$AC$5:$AG$5, 0))</f>
        <v>0</v>
      </c>
      <c r="AF77" s="126">
        <f>INDEX(Calcs!$AC$5:$AG$51, MATCH('Rotation Assembler'!$A77, Calcs!$AC$5:$AC$51, 0), MATCH('Rotation Assembler'!AF$32, Calcs!$AC$5:$AG$5, 0))</f>
        <v>0</v>
      </c>
      <c r="AG77" s="126">
        <f>INDEX(Calcs!$AC$5:$AG$51, MATCH('Rotation Assembler'!$A77, Calcs!$AC$5:$AC$51, 0), MATCH('Rotation Assembler'!AG$32, Calcs!$AC$5:$AG$5, 0))</f>
        <v>0</v>
      </c>
      <c r="AH77" s="126">
        <f>INDEX(Calcs!$AC$5:$AG$51, MATCH('Rotation Assembler'!$A77, Calcs!$AC$5:$AC$51, 0), MATCH('Rotation Assembler'!AH$32, Calcs!$AC$5:$AG$5, 0))</f>
        <v>0</v>
      </c>
      <c r="AI77" s="126">
        <f>INDEX(Calcs!$AC$5:$AG$51, MATCH('Rotation Assembler'!$A77, Calcs!$AC$5:$AC$51, 0), MATCH('Rotation Assembler'!AI$32, Calcs!$AC$5:$AG$5, 0))</f>
        <v>0</v>
      </c>
      <c r="AJ77" s="126" t="e">
        <f>INDEX(Calcs!$AC$5:$AG$51, MATCH('Rotation Assembler'!$A77, Calcs!$AC$5:$AC$51, 0), MATCH('Rotation Assembler'!AJ$32, Calcs!$AC$5:$AG$5, 0))</f>
        <v>#N/A</v>
      </c>
      <c r="AK77" s="126" t="e">
        <f>INDEX(Calcs!$AC$5:$AG$51, MATCH('Rotation Assembler'!$A77, Calcs!$AC$5:$AC$51, 0), MATCH('Rotation Assembler'!AK$32, Calcs!$AC$5:$AG$5, 0))</f>
        <v>#N/A</v>
      </c>
      <c r="AL77" s="126" t="e">
        <f>INDEX(Calcs!$AC$5:$AG$51, MATCH('Rotation Assembler'!$A77, Calcs!$AC$5:$AC$51, 0), MATCH('Rotation Assembler'!AL$32, Calcs!$AC$5:$AG$5, 0))</f>
        <v>#N/A</v>
      </c>
      <c r="AM77" s="126" t="e">
        <f>INDEX(Calcs!$AC$5:$AG$51, MATCH('Rotation Assembler'!$A77, Calcs!$AC$5:$AC$51, 0), MATCH('Rotation Assembler'!AM$32, Calcs!$AC$5:$AG$5, 0))</f>
        <v>#N/A</v>
      </c>
      <c r="AN77" s="126" t="e">
        <f>INDEX(Calcs!$AC$5:$AG$51, MATCH('Rotation Assembler'!$A77, Calcs!$AC$5:$AC$51, 0), MATCH('Rotation Assembler'!AN$32, Calcs!$AC$5:$AG$5, 0))</f>
        <v>#N/A</v>
      </c>
      <c r="AO77" s="126" t="e">
        <f>INDEX(Calcs!$AC$5:$AG$51, MATCH('Rotation Assembler'!$A77, Calcs!$AC$5:$AC$51, 0), MATCH('Rotation Assembler'!AO$32, Calcs!$AC$5:$AG$5, 0))</f>
        <v>#N/A</v>
      </c>
      <c r="AP77" s="126" t="e">
        <f>INDEX(Calcs!$AC$5:$AG$51, MATCH('Rotation Assembler'!$A77, Calcs!$AC$5:$AC$51, 0), MATCH('Rotation Assembler'!AP$32, Calcs!$AC$5:$AG$5, 0))</f>
        <v>#N/A</v>
      </c>
      <c r="AQ77" s="126" t="e">
        <f>INDEX(Calcs!$AC$5:$AG$51, MATCH('Rotation Assembler'!$A77, Calcs!$AC$5:$AC$51, 0), MATCH('Rotation Assembler'!AQ$32, Calcs!$AC$5:$AG$5, 0))</f>
        <v>#N/A</v>
      </c>
      <c r="AR77" s="126" t="e">
        <f>INDEX(Calcs!$AC$5:$AG$51, MATCH('Rotation Assembler'!$A77, Calcs!$AC$5:$AC$51, 0), MATCH('Rotation Assembler'!AR$32, Calcs!$AC$5:$AG$5, 0))</f>
        <v>#N/A</v>
      </c>
      <c r="AS77" s="126" t="e">
        <f>INDEX(Calcs!$AC$5:$AG$51, MATCH('Rotation Assembler'!$A77, Calcs!$AC$5:$AC$51, 0), MATCH('Rotation Assembler'!AS$32, Calcs!$AC$5:$AG$5, 0))</f>
        <v>#N/A</v>
      </c>
      <c r="AT77" s="126" t="e">
        <f>INDEX(Calcs!$AC$5:$AG$51, MATCH('Rotation Assembler'!$A77, Calcs!$AC$5:$AC$51, 0), MATCH('Rotation Assembler'!AT$32, Calcs!$AC$5:$AG$5, 0))</f>
        <v>#N/A</v>
      </c>
      <c r="AU77" s="126" t="e">
        <f>INDEX(Calcs!$AC$5:$AG$51, MATCH('Rotation Assembler'!$A77, Calcs!$AC$5:$AC$51, 0), MATCH('Rotation Assembler'!AU$32, Calcs!$AC$5:$AG$5, 0))</f>
        <v>#N/A</v>
      </c>
      <c r="AV77" s="126" t="e">
        <f>INDEX(Calcs!$AC$5:$AG$51, MATCH('Rotation Assembler'!$A77, Calcs!$AC$5:$AC$51, 0), MATCH('Rotation Assembler'!AV$32, Calcs!$AC$5:$AG$5, 0))</f>
        <v>#N/A</v>
      </c>
      <c r="AW77" s="126" t="e">
        <f>INDEX(Calcs!$AC$5:$AG$51, MATCH('Rotation Assembler'!$A77, Calcs!$AC$5:$AC$51, 0), MATCH('Rotation Assembler'!AW$32, Calcs!$AC$5:$AG$5, 0))</f>
        <v>#N/A</v>
      </c>
      <c r="AX77" s="126" t="e">
        <f>INDEX(Calcs!$AC$5:$AG$51, MATCH('Rotation Assembler'!$A77, Calcs!$AC$5:$AC$51, 0), MATCH('Rotation Assembler'!AX$32, Calcs!$AC$5:$AG$5, 0))</f>
        <v>#N/A</v>
      </c>
      <c r="AY77" s="126" t="e">
        <f>INDEX(Calcs!$AC$5:$AG$51, MATCH('Rotation Assembler'!$A77, Calcs!$AC$5:$AC$51, 0), MATCH('Rotation Assembler'!AY$32, Calcs!$AC$5:$AG$5, 0))</f>
        <v>#N/A</v>
      </c>
      <c r="AZ77" s="126" t="e">
        <f>INDEX(Calcs!$AC$5:$AG$51, MATCH('Rotation Assembler'!$A77, Calcs!$AC$5:$AC$51, 0), MATCH('Rotation Assembler'!AZ$32, Calcs!$AC$5:$AG$5, 0))</f>
        <v>#N/A</v>
      </c>
      <c r="BA77" s="126" t="e">
        <f>INDEX(Calcs!$AC$5:$AG$51, MATCH('Rotation Assembler'!$A77, Calcs!$AC$5:$AC$51, 0), MATCH('Rotation Assembler'!BA$32, Calcs!$AC$5:$AG$5, 0))</f>
        <v>#N/A</v>
      </c>
      <c r="BB77" s="126" t="e">
        <f>INDEX(Calcs!$AC$5:$AG$51, MATCH('Rotation Assembler'!$A77, Calcs!$AC$5:$AC$51, 0), MATCH('Rotation Assembler'!BB$32, Calcs!$AC$5:$AG$5, 0))</f>
        <v>#N/A</v>
      </c>
      <c r="BC77" s="126" t="e">
        <f>INDEX(Calcs!$AC$5:$AG$51, MATCH('Rotation Assembler'!$A77, Calcs!$AC$5:$AC$51, 0), MATCH('Rotation Assembler'!BC$32, Calcs!$AC$5:$AG$5, 0))</f>
        <v>#N/A</v>
      </c>
      <c r="BD77" s="126" t="e">
        <f>INDEX(Calcs!$AC$5:$AG$51, MATCH('Rotation Assembler'!$A77, Calcs!$AC$5:$AC$51, 0), MATCH('Rotation Assembler'!BD$32, Calcs!$AC$5:$AG$5, 0))</f>
        <v>#N/A</v>
      </c>
      <c r="BE77" s="126" t="e">
        <f>INDEX(Calcs!$AC$5:$AG$51, MATCH('Rotation Assembler'!$A77, Calcs!$AC$5:$AC$51, 0), MATCH('Rotation Assembler'!BE$32, Calcs!$AC$5:$AG$5, 0))</f>
        <v>#N/A</v>
      </c>
      <c r="BF77" s="126" t="e">
        <f>INDEX(Calcs!$AC$5:$AG$51, MATCH('Rotation Assembler'!$A77, Calcs!$AC$5:$AC$51, 0), MATCH('Rotation Assembler'!BF$32, Calcs!$AC$5:$AG$5, 0))</f>
        <v>#N/A</v>
      </c>
      <c r="BG77" s="126" t="e">
        <f>INDEX(Calcs!$AC$5:$AG$51, MATCH('Rotation Assembler'!$A77, Calcs!$AC$5:$AC$51, 0), MATCH('Rotation Assembler'!BG$32, Calcs!$AC$5:$AG$5, 0))</f>
        <v>#N/A</v>
      </c>
      <c r="BH77" s="126" t="e">
        <f>INDEX(Calcs!$AC$5:$AG$51, MATCH('Rotation Assembler'!$A77, Calcs!$AC$5:$AC$51, 0), MATCH('Rotation Assembler'!BH$32, Calcs!$AC$5:$AG$5, 0))</f>
        <v>#N/A</v>
      </c>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row>
    <row r="78" spans="1:107" hidden="1" outlineLevel="1" x14ac:dyDescent="0.25">
      <c r="A78" s="122" t="s">
        <v>421</v>
      </c>
      <c r="B78" s="126">
        <f>INDEX(Calcs!$AC$5:$AG$51, MATCH('Rotation Assembler'!$A78, Calcs!$AC$5:$AC$51, 0), MATCH('Rotation Assembler'!B$32, Calcs!$AC$5:$AG$5, 0))</f>
        <v>0</v>
      </c>
      <c r="C78" s="126">
        <f>INDEX(Calcs!$AC$5:$AG$51, MATCH('Rotation Assembler'!$A78, Calcs!$AC$5:$AC$51, 0), MATCH('Rotation Assembler'!C$32, Calcs!$AC$5:$AG$5, 0))</f>
        <v>0</v>
      </c>
      <c r="D78" s="126">
        <f>INDEX(Calcs!$AC$5:$AG$51, MATCH('Rotation Assembler'!$A78, Calcs!$AC$5:$AC$51, 0), MATCH('Rotation Assembler'!D$32, Calcs!$AC$5:$AG$5, 0))</f>
        <v>0</v>
      </c>
      <c r="E78" s="126">
        <f>INDEX(Calcs!$AC$5:$AG$51, MATCH('Rotation Assembler'!$A78, Calcs!$AC$5:$AC$51, 0), MATCH('Rotation Assembler'!E$32, Calcs!$AC$5:$AG$5, 0))</f>
        <v>0</v>
      </c>
      <c r="F78" s="126">
        <f>INDEX(Calcs!$AC$5:$AG$51, MATCH('Rotation Assembler'!$A78, Calcs!$AC$5:$AC$51, 0), MATCH('Rotation Assembler'!F$32, Calcs!$AC$5:$AG$5, 0))</f>
        <v>0</v>
      </c>
      <c r="G78" s="126">
        <f>INDEX(Calcs!$AC$5:$AG$51, MATCH('Rotation Assembler'!$A78, Calcs!$AC$5:$AC$51, 0), MATCH('Rotation Assembler'!G$32, Calcs!$AC$5:$AG$5, 0))</f>
        <v>0</v>
      </c>
      <c r="H78" s="126">
        <f>INDEX(Calcs!$AC$5:$AG$51, MATCH('Rotation Assembler'!$A78, Calcs!$AC$5:$AC$51, 0), MATCH('Rotation Assembler'!H$32, Calcs!$AC$5:$AG$5, 0))</f>
        <v>0</v>
      </c>
      <c r="I78" s="126">
        <f>INDEX(Calcs!$AC$5:$AG$51, MATCH('Rotation Assembler'!$A78, Calcs!$AC$5:$AC$51, 0), MATCH('Rotation Assembler'!I$32, Calcs!$AC$5:$AG$5, 0))</f>
        <v>0</v>
      </c>
      <c r="J78" s="126">
        <f>INDEX(Calcs!$AC$5:$AG$51, MATCH('Rotation Assembler'!$A78, Calcs!$AC$5:$AC$51, 0), MATCH('Rotation Assembler'!J$32, Calcs!$AC$5:$AG$5, 0))</f>
        <v>0</v>
      </c>
      <c r="K78" s="126">
        <f>INDEX(Calcs!$AC$5:$AG$51, MATCH('Rotation Assembler'!$A78, Calcs!$AC$5:$AC$51, 0), MATCH('Rotation Assembler'!K$32, Calcs!$AC$5:$AG$5, 0))</f>
        <v>0</v>
      </c>
      <c r="L78" s="126">
        <f>INDEX(Calcs!$AC$5:$AG$51, MATCH('Rotation Assembler'!$A78, Calcs!$AC$5:$AC$51, 0), MATCH('Rotation Assembler'!L$32, Calcs!$AC$5:$AG$5, 0))</f>
        <v>0</v>
      </c>
      <c r="M78" s="126">
        <f>INDEX(Calcs!$AC$5:$AG$51, MATCH('Rotation Assembler'!$A78, Calcs!$AC$5:$AC$51, 0), MATCH('Rotation Assembler'!M$32, Calcs!$AC$5:$AG$5, 0))</f>
        <v>0</v>
      </c>
      <c r="N78" s="126">
        <f>INDEX(Calcs!$AC$5:$AG$51, MATCH('Rotation Assembler'!$A78, Calcs!$AC$5:$AC$51, 0), MATCH('Rotation Assembler'!N$32, Calcs!$AC$5:$AG$5, 0))</f>
        <v>0</v>
      </c>
      <c r="O78" s="126">
        <f>INDEX(Calcs!$AC$5:$AG$51, MATCH('Rotation Assembler'!$A78, Calcs!$AC$5:$AC$51, 0), MATCH('Rotation Assembler'!O$32, Calcs!$AC$5:$AG$5, 0))</f>
        <v>0</v>
      </c>
      <c r="P78" s="126">
        <f>INDEX(Calcs!$AC$5:$AG$51, MATCH('Rotation Assembler'!$A78, Calcs!$AC$5:$AC$51, 0), MATCH('Rotation Assembler'!P$32, Calcs!$AC$5:$AG$5, 0))</f>
        <v>0</v>
      </c>
      <c r="Q78" s="126">
        <f>INDEX(Calcs!$AC$5:$AG$51, MATCH('Rotation Assembler'!$A78, Calcs!$AC$5:$AC$51, 0), MATCH('Rotation Assembler'!Q$32, Calcs!$AC$5:$AG$5, 0))</f>
        <v>0</v>
      </c>
      <c r="R78" s="126">
        <f>INDEX(Calcs!$AC$5:$AG$51, MATCH('Rotation Assembler'!$A78, Calcs!$AC$5:$AC$51, 0), MATCH('Rotation Assembler'!R$32, Calcs!$AC$5:$AG$5, 0))</f>
        <v>0</v>
      </c>
      <c r="S78" s="126">
        <f>INDEX(Calcs!$AC$5:$AG$51, MATCH('Rotation Assembler'!$A78, Calcs!$AC$5:$AC$51, 0), MATCH('Rotation Assembler'!S$32, Calcs!$AC$5:$AG$5, 0))</f>
        <v>0</v>
      </c>
      <c r="T78" s="126">
        <f>INDEX(Calcs!$AC$5:$AG$51, MATCH('Rotation Assembler'!$A78, Calcs!$AC$5:$AC$51, 0), MATCH('Rotation Assembler'!T$32, Calcs!$AC$5:$AG$5, 0))</f>
        <v>0</v>
      </c>
      <c r="U78" s="126">
        <f>INDEX(Calcs!$AC$5:$AG$51, MATCH('Rotation Assembler'!$A78, Calcs!$AC$5:$AC$51, 0), MATCH('Rotation Assembler'!U$32, Calcs!$AC$5:$AG$5, 0))</f>
        <v>0</v>
      </c>
      <c r="V78" s="126">
        <f>INDEX(Calcs!$AC$5:$AG$51, MATCH('Rotation Assembler'!$A78, Calcs!$AC$5:$AC$51, 0), MATCH('Rotation Assembler'!V$32, Calcs!$AC$5:$AG$5, 0))</f>
        <v>0</v>
      </c>
      <c r="W78" s="126">
        <f>INDEX(Calcs!$AC$5:$AG$51, MATCH('Rotation Assembler'!$A78, Calcs!$AC$5:$AC$51, 0), MATCH('Rotation Assembler'!W$32, Calcs!$AC$5:$AG$5, 0))</f>
        <v>0</v>
      </c>
      <c r="X78" s="126">
        <f>INDEX(Calcs!$AC$5:$AG$51, MATCH('Rotation Assembler'!$A78, Calcs!$AC$5:$AC$51, 0), MATCH('Rotation Assembler'!X$32, Calcs!$AC$5:$AG$5, 0))</f>
        <v>0</v>
      </c>
      <c r="Y78" s="126">
        <f>INDEX(Calcs!$AC$5:$AG$51, MATCH('Rotation Assembler'!$A78, Calcs!$AC$5:$AC$51, 0), MATCH('Rotation Assembler'!Y$32, Calcs!$AC$5:$AG$5, 0))</f>
        <v>0</v>
      </c>
      <c r="Z78" s="126">
        <f>INDEX(Calcs!$AC$5:$AG$51, MATCH('Rotation Assembler'!$A78, Calcs!$AC$5:$AC$51, 0), MATCH('Rotation Assembler'!Z$32, Calcs!$AC$5:$AG$5, 0))</f>
        <v>0</v>
      </c>
      <c r="AA78" s="126">
        <f>INDEX(Calcs!$AC$5:$AG$51, MATCH('Rotation Assembler'!$A78, Calcs!$AC$5:$AC$51, 0), MATCH('Rotation Assembler'!AA$32, Calcs!$AC$5:$AG$5, 0))</f>
        <v>0</v>
      </c>
      <c r="AB78" s="126">
        <f>INDEX(Calcs!$AC$5:$AG$51, MATCH('Rotation Assembler'!$A78, Calcs!$AC$5:$AC$51, 0), MATCH('Rotation Assembler'!AB$32, Calcs!$AC$5:$AG$5, 0))</f>
        <v>0</v>
      </c>
      <c r="AC78" s="126">
        <f>INDEX(Calcs!$AC$5:$AG$51, MATCH('Rotation Assembler'!$A78, Calcs!$AC$5:$AC$51, 0), MATCH('Rotation Assembler'!AC$32, Calcs!$AC$5:$AG$5, 0))</f>
        <v>0</v>
      </c>
      <c r="AD78" s="126">
        <f>INDEX(Calcs!$AC$5:$AG$51, MATCH('Rotation Assembler'!$A78, Calcs!$AC$5:$AC$51, 0), MATCH('Rotation Assembler'!AD$32, Calcs!$AC$5:$AG$5, 0))</f>
        <v>0</v>
      </c>
      <c r="AE78" s="126">
        <f>INDEX(Calcs!$AC$5:$AG$51, MATCH('Rotation Assembler'!$A78, Calcs!$AC$5:$AC$51, 0), MATCH('Rotation Assembler'!AE$32, Calcs!$AC$5:$AG$5, 0))</f>
        <v>0</v>
      </c>
      <c r="AF78" s="126">
        <f>INDEX(Calcs!$AC$5:$AG$51, MATCH('Rotation Assembler'!$A78, Calcs!$AC$5:$AC$51, 0), MATCH('Rotation Assembler'!AF$32, Calcs!$AC$5:$AG$5, 0))</f>
        <v>0</v>
      </c>
      <c r="AG78" s="126">
        <f>INDEX(Calcs!$AC$5:$AG$51, MATCH('Rotation Assembler'!$A78, Calcs!$AC$5:$AC$51, 0), MATCH('Rotation Assembler'!AG$32, Calcs!$AC$5:$AG$5, 0))</f>
        <v>0</v>
      </c>
      <c r="AH78" s="126">
        <f>INDEX(Calcs!$AC$5:$AG$51, MATCH('Rotation Assembler'!$A78, Calcs!$AC$5:$AC$51, 0), MATCH('Rotation Assembler'!AH$32, Calcs!$AC$5:$AG$5, 0))</f>
        <v>0</v>
      </c>
      <c r="AI78" s="126">
        <f>INDEX(Calcs!$AC$5:$AG$51, MATCH('Rotation Assembler'!$A78, Calcs!$AC$5:$AC$51, 0), MATCH('Rotation Assembler'!AI$32, Calcs!$AC$5:$AG$5, 0))</f>
        <v>0</v>
      </c>
      <c r="AJ78" s="126" t="e">
        <f>INDEX(Calcs!$AC$5:$AG$51, MATCH('Rotation Assembler'!$A78, Calcs!$AC$5:$AC$51, 0), MATCH('Rotation Assembler'!AJ$32, Calcs!$AC$5:$AG$5, 0))</f>
        <v>#N/A</v>
      </c>
      <c r="AK78" s="126" t="e">
        <f>INDEX(Calcs!$AC$5:$AG$51, MATCH('Rotation Assembler'!$A78, Calcs!$AC$5:$AC$51, 0), MATCH('Rotation Assembler'!AK$32, Calcs!$AC$5:$AG$5, 0))</f>
        <v>#N/A</v>
      </c>
      <c r="AL78" s="126" t="e">
        <f>INDEX(Calcs!$AC$5:$AG$51, MATCH('Rotation Assembler'!$A78, Calcs!$AC$5:$AC$51, 0), MATCH('Rotation Assembler'!AL$32, Calcs!$AC$5:$AG$5, 0))</f>
        <v>#N/A</v>
      </c>
      <c r="AM78" s="126" t="e">
        <f>INDEX(Calcs!$AC$5:$AG$51, MATCH('Rotation Assembler'!$A78, Calcs!$AC$5:$AC$51, 0), MATCH('Rotation Assembler'!AM$32, Calcs!$AC$5:$AG$5, 0))</f>
        <v>#N/A</v>
      </c>
      <c r="AN78" s="126" t="e">
        <f>INDEX(Calcs!$AC$5:$AG$51, MATCH('Rotation Assembler'!$A78, Calcs!$AC$5:$AC$51, 0), MATCH('Rotation Assembler'!AN$32, Calcs!$AC$5:$AG$5, 0))</f>
        <v>#N/A</v>
      </c>
      <c r="AO78" s="126" t="e">
        <f>INDEX(Calcs!$AC$5:$AG$51, MATCH('Rotation Assembler'!$A78, Calcs!$AC$5:$AC$51, 0), MATCH('Rotation Assembler'!AO$32, Calcs!$AC$5:$AG$5, 0))</f>
        <v>#N/A</v>
      </c>
      <c r="AP78" s="126" t="e">
        <f>INDEX(Calcs!$AC$5:$AG$51, MATCH('Rotation Assembler'!$A78, Calcs!$AC$5:$AC$51, 0), MATCH('Rotation Assembler'!AP$32, Calcs!$AC$5:$AG$5, 0))</f>
        <v>#N/A</v>
      </c>
      <c r="AQ78" s="126" t="e">
        <f>INDEX(Calcs!$AC$5:$AG$51, MATCH('Rotation Assembler'!$A78, Calcs!$AC$5:$AC$51, 0), MATCH('Rotation Assembler'!AQ$32, Calcs!$AC$5:$AG$5, 0))</f>
        <v>#N/A</v>
      </c>
      <c r="AR78" s="126" t="e">
        <f>INDEX(Calcs!$AC$5:$AG$51, MATCH('Rotation Assembler'!$A78, Calcs!$AC$5:$AC$51, 0), MATCH('Rotation Assembler'!AR$32, Calcs!$AC$5:$AG$5, 0))</f>
        <v>#N/A</v>
      </c>
      <c r="AS78" s="126" t="e">
        <f>INDEX(Calcs!$AC$5:$AG$51, MATCH('Rotation Assembler'!$A78, Calcs!$AC$5:$AC$51, 0), MATCH('Rotation Assembler'!AS$32, Calcs!$AC$5:$AG$5, 0))</f>
        <v>#N/A</v>
      </c>
      <c r="AT78" s="126" t="e">
        <f>INDEX(Calcs!$AC$5:$AG$51, MATCH('Rotation Assembler'!$A78, Calcs!$AC$5:$AC$51, 0), MATCH('Rotation Assembler'!AT$32, Calcs!$AC$5:$AG$5, 0))</f>
        <v>#N/A</v>
      </c>
      <c r="AU78" s="126" t="e">
        <f>INDEX(Calcs!$AC$5:$AG$51, MATCH('Rotation Assembler'!$A78, Calcs!$AC$5:$AC$51, 0), MATCH('Rotation Assembler'!AU$32, Calcs!$AC$5:$AG$5, 0))</f>
        <v>#N/A</v>
      </c>
      <c r="AV78" s="126" t="e">
        <f>INDEX(Calcs!$AC$5:$AG$51, MATCH('Rotation Assembler'!$A78, Calcs!$AC$5:$AC$51, 0), MATCH('Rotation Assembler'!AV$32, Calcs!$AC$5:$AG$5, 0))</f>
        <v>#N/A</v>
      </c>
      <c r="AW78" s="126" t="e">
        <f>INDEX(Calcs!$AC$5:$AG$51, MATCH('Rotation Assembler'!$A78, Calcs!$AC$5:$AC$51, 0), MATCH('Rotation Assembler'!AW$32, Calcs!$AC$5:$AG$5, 0))</f>
        <v>#N/A</v>
      </c>
      <c r="AX78" s="126" t="e">
        <f>INDEX(Calcs!$AC$5:$AG$51, MATCH('Rotation Assembler'!$A78, Calcs!$AC$5:$AC$51, 0), MATCH('Rotation Assembler'!AX$32, Calcs!$AC$5:$AG$5, 0))</f>
        <v>#N/A</v>
      </c>
      <c r="AY78" s="126" t="e">
        <f>INDEX(Calcs!$AC$5:$AG$51, MATCH('Rotation Assembler'!$A78, Calcs!$AC$5:$AC$51, 0), MATCH('Rotation Assembler'!AY$32, Calcs!$AC$5:$AG$5, 0))</f>
        <v>#N/A</v>
      </c>
      <c r="AZ78" s="126" t="e">
        <f>INDEX(Calcs!$AC$5:$AG$51, MATCH('Rotation Assembler'!$A78, Calcs!$AC$5:$AC$51, 0), MATCH('Rotation Assembler'!AZ$32, Calcs!$AC$5:$AG$5, 0))</f>
        <v>#N/A</v>
      </c>
      <c r="BA78" s="126" t="e">
        <f>INDEX(Calcs!$AC$5:$AG$51, MATCH('Rotation Assembler'!$A78, Calcs!$AC$5:$AC$51, 0), MATCH('Rotation Assembler'!BA$32, Calcs!$AC$5:$AG$5, 0))</f>
        <v>#N/A</v>
      </c>
      <c r="BB78" s="126" t="e">
        <f>INDEX(Calcs!$AC$5:$AG$51, MATCH('Rotation Assembler'!$A78, Calcs!$AC$5:$AC$51, 0), MATCH('Rotation Assembler'!BB$32, Calcs!$AC$5:$AG$5, 0))</f>
        <v>#N/A</v>
      </c>
      <c r="BC78" s="126" t="e">
        <f>INDEX(Calcs!$AC$5:$AG$51, MATCH('Rotation Assembler'!$A78, Calcs!$AC$5:$AC$51, 0), MATCH('Rotation Assembler'!BC$32, Calcs!$AC$5:$AG$5, 0))</f>
        <v>#N/A</v>
      </c>
      <c r="BD78" s="126" t="e">
        <f>INDEX(Calcs!$AC$5:$AG$51, MATCH('Rotation Assembler'!$A78, Calcs!$AC$5:$AC$51, 0), MATCH('Rotation Assembler'!BD$32, Calcs!$AC$5:$AG$5, 0))</f>
        <v>#N/A</v>
      </c>
      <c r="BE78" s="126" t="e">
        <f>INDEX(Calcs!$AC$5:$AG$51, MATCH('Rotation Assembler'!$A78, Calcs!$AC$5:$AC$51, 0), MATCH('Rotation Assembler'!BE$32, Calcs!$AC$5:$AG$5, 0))</f>
        <v>#N/A</v>
      </c>
      <c r="BF78" s="126" t="e">
        <f>INDEX(Calcs!$AC$5:$AG$51, MATCH('Rotation Assembler'!$A78, Calcs!$AC$5:$AC$51, 0), MATCH('Rotation Assembler'!BF$32, Calcs!$AC$5:$AG$5, 0))</f>
        <v>#N/A</v>
      </c>
      <c r="BG78" s="126" t="e">
        <f>INDEX(Calcs!$AC$5:$AG$51, MATCH('Rotation Assembler'!$A78, Calcs!$AC$5:$AC$51, 0), MATCH('Rotation Assembler'!BG$32, Calcs!$AC$5:$AG$5, 0))</f>
        <v>#N/A</v>
      </c>
      <c r="BH78" s="126" t="e">
        <f>INDEX(Calcs!$AC$5:$AG$51, MATCH('Rotation Assembler'!$A78, Calcs!$AC$5:$AC$51, 0), MATCH('Rotation Assembler'!BH$32, Calcs!$AC$5:$AG$5, 0))</f>
        <v>#N/A</v>
      </c>
      <c r="BI78" s="126"/>
      <c r="BJ78" s="126"/>
      <c r="BK78" s="126"/>
      <c r="BL78" s="126"/>
      <c r="BM78" s="126"/>
      <c r="BN78" s="126"/>
      <c r="BO78" s="126"/>
      <c r="BP78" s="126"/>
      <c r="BQ78" s="126"/>
      <c r="BR78" s="126"/>
      <c r="BS78" s="126"/>
      <c r="BT78" s="126"/>
      <c r="BU78" s="126"/>
      <c r="BV78" s="126"/>
      <c r="BW78" s="126"/>
      <c r="BX78" s="126"/>
      <c r="BY78" s="126"/>
      <c r="BZ78" s="126"/>
      <c r="CA78" s="126"/>
      <c r="CB78" s="126"/>
      <c r="CC78" s="126"/>
      <c r="CD78" s="126"/>
      <c r="CE78" s="126"/>
      <c r="CF78" s="126"/>
      <c r="CG78" s="126"/>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row>
    <row r="79" spans="1:107" hidden="1" outlineLevel="1" x14ac:dyDescent="0.25">
      <c r="A79" s="122" t="s">
        <v>645</v>
      </c>
      <c r="B79" s="126">
        <f t="shared" ref="B79:BH79" si="4">enemyPhysRes</f>
        <v>0.1</v>
      </c>
      <c r="C79" s="126">
        <f t="shared" si="4"/>
        <v>0.1</v>
      </c>
      <c r="D79" s="126">
        <f t="shared" si="4"/>
        <v>0.1</v>
      </c>
      <c r="E79" s="126">
        <f t="shared" si="4"/>
        <v>0.1</v>
      </c>
      <c r="F79" s="126">
        <f t="shared" si="4"/>
        <v>0.1</v>
      </c>
      <c r="G79" s="126">
        <f t="shared" si="4"/>
        <v>0.1</v>
      </c>
      <c r="H79" s="126">
        <f t="shared" si="4"/>
        <v>0.1</v>
      </c>
      <c r="I79" s="126">
        <f t="shared" si="4"/>
        <v>0.1</v>
      </c>
      <c r="J79" s="126">
        <f t="shared" si="4"/>
        <v>0.1</v>
      </c>
      <c r="K79" s="126">
        <f t="shared" si="4"/>
        <v>0.1</v>
      </c>
      <c r="L79" s="126">
        <f t="shared" si="4"/>
        <v>0.1</v>
      </c>
      <c r="M79" s="126">
        <f t="shared" si="4"/>
        <v>0.1</v>
      </c>
      <c r="N79" s="126">
        <f t="shared" si="4"/>
        <v>0.1</v>
      </c>
      <c r="O79" s="126">
        <f t="shared" si="4"/>
        <v>0.1</v>
      </c>
      <c r="P79" s="126">
        <f t="shared" si="4"/>
        <v>0.1</v>
      </c>
      <c r="Q79" s="126">
        <f t="shared" si="4"/>
        <v>0.1</v>
      </c>
      <c r="R79" s="126">
        <f t="shared" si="4"/>
        <v>0.1</v>
      </c>
      <c r="S79" s="126">
        <f t="shared" si="4"/>
        <v>0.1</v>
      </c>
      <c r="T79" s="126">
        <f t="shared" si="4"/>
        <v>0.1</v>
      </c>
      <c r="U79" s="126">
        <f t="shared" si="4"/>
        <v>0.1</v>
      </c>
      <c r="V79" s="126">
        <f t="shared" si="4"/>
        <v>0.1</v>
      </c>
      <c r="W79" s="126">
        <f t="shared" si="4"/>
        <v>0.1</v>
      </c>
      <c r="X79" s="126">
        <f t="shared" si="4"/>
        <v>0.1</v>
      </c>
      <c r="Y79" s="126">
        <f t="shared" si="4"/>
        <v>0.1</v>
      </c>
      <c r="Z79" s="126">
        <f t="shared" si="4"/>
        <v>0.1</v>
      </c>
      <c r="AA79" s="126">
        <f t="shared" si="4"/>
        <v>0.1</v>
      </c>
      <c r="AB79" s="126">
        <f t="shared" si="4"/>
        <v>0.1</v>
      </c>
      <c r="AC79" s="126">
        <f t="shared" si="4"/>
        <v>0.1</v>
      </c>
      <c r="AD79" s="126">
        <f t="shared" si="4"/>
        <v>0.1</v>
      </c>
      <c r="AE79" s="126">
        <f t="shared" si="4"/>
        <v>0.1</v>
      </c>
      <c r="AF79" s="126">
        <f t="shared" si="4"/>
        <v>0.1</v>
      </c>
      <c r="AG79" s="126">
        <f t="shared" si="4"/>
        <v>0.1</v>
      </c>
      <c r="AH79" s="126">
        <f t="shared" si="4"/>
        <v>0.1</v>
      </c>
      <c r="AI79" s="126">
        <f t="shared" si="4"/>
        <v>0.1</v>
      </c>
      <c r="AJ79" s="126">
        <f t="shared" si="4"/>
        <v>0.1</v>
      </c>
      <c r="AK79" s="126">
        <f t="shared" si="4"/>
        <v>0.1</v>
      </c>
      <c r="AL79" s="126">
        <f t="shared" si="4"/>
        <v>0.1</v>
      </c>
      <c r="AM79" s="126">
        <f t="shared" si="4"/>
        <v>0.1</v>
      </c>
      <c r="AN79" s="126">
        <f t="shared" si="4"/>
        <v>0.1</v>
      </c>
      <c r="AO79" s="126">
        <f t="shared" si="4"/>
        <v>0.1</v>
      </c>
      <c r="AP79" s="126">
        <f t="shared" si="4"/>
        <v>0.1</v>
      </c>
      <c r="AQ79" s="126">
        <f t="shared" si="4"/>
        <v>0.1</v>
      </c>
      <c r="AR79" s="126">
        <f t="shared" si="4"/>
        <v>0.1</v>
      </c>
      <c r="AS79" s="126">
        <f t="shared" si="4"/>
        <v>0.1</v>
      </c>
      <c r="AT79" s="126">
        <f t="shared" si="4"/>
        <v>0.1</v>
      </c>
      <c r="AU79" s="126">
        <f t="shared" si="4"/>
        <v>0.1</v>
      </c>
      <c r="AV79" s="126">
        <f t="shared" si="4"/>
        <v>0.1</v>
      </c>
      <c r="AW79" s="126">
        <f t="shared" si="4"/>
        <v>0.1</v>
      </c>
      <c r="AX79" s="126">
        <f t="shared" si="4"/>
        <v>0.1</v>
      </c>
      <c r="AY79" s="126">
        <f t="shared" si="4"/>
        <v>0.1</v>
      </c>
      <c r="AZ79" s="126">
        <f t="shared" si="4"/>
        <v>0.1</v>
      </c>
      <c r="BA79" s="126">
        <f t="shared" si="4"/>
        <v>0.1</v>
      </c>
      <c r="BB79" s="126">
        <f t="shared" si="4"/>
        <v>0.1</v>
      </c>
      <c r="BC79" s="126">
        <f t="shared" si="4"/>
        <v>0.1</v>
      </c>
      <c r="BD79" s="126">
        <f t="shared" si="4"/>
        <v>0.1</v>
      </c>
      <c r="BE79" s="126">
        <f t="shared" si="4"/>
        <v>0.1</v>
      </c>
      <c r="BF79" s="126">
        <f t="shared" si="4"/>
        <v>0.1</v>
      </c>
      <c r="BG79" s="126">
        <f t="shared" si="4"/>
        <v>0.1</v>
      </c>
      <c r="BH79" s="126">
        <f t="shared" si="4"/>
        <v>0.1</v>
      </c>
      <c r="BI79" s="126"/>
      <c r="BJ79" s="126"/>
      <c r="BK79" s="126"/>
      <c r="BL79" s="126"/>
      <c r="BM79" s="126"/>
      <c r="BN79" s="126"/>
      <c r="BO79" s="126"/>
      <c r="BP79" s="126"/>
      <c r="BQ79" s="126"/>
      <c r="BR79" s="126"/>
      <c r="BS79" s="126"/>
      <c r="BT79" s="126"/>
      <c r="BU79" s="126"/>
      <c r="BV79" s="126"/>
      <c r="BW79" s="126"/>
      <c r="BX79" s="126"/>
      <c r="BY79" s="126"/>
      <c r="BZ79" s="126"/>
      <c r="CA79" s="126"/>
      <c r="CB79" s="126"/>
      <c r="CC79" s="126"/>
      <c r="CD79" s="126"/>
      <c r="CE79" s="126"/>
      <c r="CF79" s="126"/>
      <c r="CG79" s="126"/>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row>
    <row r="80" spans="1:107" hidden="1" outlineLevel="1" x14ac:dyDescent="0.25">
      <c r="A80" s="122" t="s">
        <v>646</v>
      </c>
      <c r="B80" s="126">
        <f t="shared" ref="B80:BH80" si="5">enemyAnemoRes</f>
        <v>0.1</v>
      </c>
      <c r="C80" s="126">
        <f t="shared" si="5"/>
        <v>0.1</v>
      </c>
      <c r="D80" s="126">
        <f t="shared" si="5"/>
        <v>0.1</v>
      </c>
      <c r="E80" s="126">
        <f t="shared" si="5"/>
        <v>0.1</v>
      </c>
      <c r="F80" s="126">
        <f t="shared" si="5"/>
        <v>0.1</v>
      </c>
      <c r="G80" s="126">
        <f t="shared" si="5"/>
        <v>0.1</v>
      </c>
      <c r="H80" s="126">
        <f t="shared" si="5"/>
        <v>0.1</v>
      </c>
      <c r="I80" s="126">
        <f t="shared" si="5"/>
        <v>0.1</v>
      </c>
      <c r="J80" s="126">
        <f t="shared" si="5"/>
        <v>0.1</v>
      </c>
      <c r="K80" s="126">
        <f t="shared" si="5"/>
        <v>0.1</v>
      </c>
      <c r="L80" s="126">
        <f t="shared" si="5"/>
        <v>0.1</v>
      </c>
      <c r="M80" s="126">
        <f t="shared" si="5"/>
        <v>0.1</v>
      </c>
      <c r="N80" s="126">
        <f t="shared" si="5"/>
        <v>0.1</v>
      </c>
      <c r="O80" s="126">
        <f t="shared" si="5"/>
        <v>0.1</v>
      </c>
      <c r="P80" s="126">
        <f t="shared" si="5"/>
        <v>0.1</v>
      </c>
      <c r="Q80" s="126">
        <f t="shared" si="5"/>
        <v>0.1</v>
      </c>
      <c r="R80" s="126">
        <f t="shared" si="5"/>
        <v>0.1</v>
      </c>
      <c r="S80" s="126">
        <f t="shared" si="5"/>
        <v>0.1</v>
      </c>
      <c r="T80" s="126">
        <f t="shared" si="5"/>
        <v>0.1</v>
      </c>
      <c r="U80" s="126">
        <f t="shared" si="5"/>
        <v>0.1</v>
      </c>
      <c r="V80" s="126">
        <f t="shared" si="5"/>
        <v>0.1</v>
      </c>
      <c r="W80" s="126">
        <f t="shared" si="5"/>
        <v>0.1</v>
      </c>
      <c r="X80" s="126">
        <f t="shared" si="5"/>
        <v>0.1</v>
      </c>
      <c r="Y80" s="126">
        <f t="shared" si="5"/>
        <v>0.1</v>
      </c>
      <c r="Z80" s="126">
        <f t="shared" si="5"/>
        <v>0.1</v>
      </c>
      <c r="AA80" s="126">
        <f t="shared" si="5"/>
        <v>0.1</v>
      </c>
      <c r="AB80" s="126">
        <f t="shared" si="5"/>
        <v>0.1</v>
      </c>
      <c r="AC80" s="126">
        <f t="shared" si="5"/>
        <v>0.1</v>
      </c>
      <c r="AD80" s="126">
        <f t="shared" si="5"/>
        <v>0.1</v>
      </c>
      <c r="AE80" s="126">
        <f t="shared" si="5"/>
        <v>0.1</v>
      </c>
      <c r="AF80" s="126">
        <f t="shared" si="5"/>
        <v>0.1</v>
      </c>
      <c r="AG80" s="126">
        <f t="shared" si="5"/>
        <v>0.1</v>
      </c>
      <c r="AH80" s="126">
        <f t="shared" si="5"/>
        <v>0.1</v>
      </c>
      <c r="AI80" s="126">
        <f t="shared" si="5"/>
        <v>0.1</v>
      </c>
      <c r="AJ80" s="126">
        <f t="shared" si="5"/>
        <v>0.1</v>
      </c>
      <c r="AK80" s="126">
        <f t="shared" si="5"/>
        <v>0.1</v>
      </c>
      <c r="AL80" s="126">
        <f t="shared" si="5"/>
        <v>0.1</v>
      </c>
      <c r="AM80" s="126">
        <f t="shared" si="5"/>
        <v>0.1</v>
      </c>
      <c r="AN80" s="126">
        <f t="shared" si="5"/>
        <v>0.1</v>
      </c>
      <c r="AO80" s="126">
        <f t="shared" si="5"/>
        <v>0.1</v>
      </c>
      <c r="AP80" s="126">
        <f t="shared" si="5"/>
        <v>0.1</v>
      </c>
      <c r="AQ80" s="126">
        <f t="shared" si="5"/>
        <v>0.1</v>
      </c>
      <c r="AR80" s="126">
        <f t="shared" si="5"/>
        <v>0.1</v>
      </c>
      <c r="AS80" s="126">
        <f t="shared" si="5"/>
        <v>0.1</v>
      </c>
      <c r="AT80" s="126">
        <f t="shared" si="5"/>
        <v>0.1</v>
      </c>
      <c r="AU80" s="126">
        <f t="shared" si="5"/>
        <v>0.1</v>
      </c>
      <c r="AV80" s="126">
        <f t="shared" si="5"/>
        <v>0.1</v>
      </c>
      <c r="AW80" s="126">
        <f t="shared" si="5"/>
        <v>0.1</v>
      </c>
      <c r="AX80" s="126">
        <f t="shared" si="5"/>
        <v>0.1</v>
      </c>
      <c r="AY80" s="126">
        <f t="shared" si="5"/>
        <v>0.1</v>
      </c>
      <c r="AZ80" s="126">
        <f t="shared" si="5"/>
        <v>0.1</v>
      </c>
      <c r="BA80" s="126">
        <f t="shared" si="5"/>
        <v>0.1</v>
      </c>
      <c r="BB80" s="126">
        <f t="shared" si="5"/>
        <v>0.1</v>
      </c>
      <c r="BC80" s="126">
        <f t="shared" si="5"/>
        <v>0.1</v>
      </c>
      <c r="BD80" s="126">
        <f t="shared" si="5"/>
        <v>0.1</v>
      </c>
      <c r="BE80" s="126">
        <f t="shared" si="5"/>
        <v>0.1</v>
      </c>
      <c r="BF80" s="126">
        <f t="shared" si="5"/>
        <v>0.1</v>
      </c>
      <c r="BG80" s="126">
        <f t="shared" si="5"/>
        <v>0.1</v>
      </c>
      <c r="BH80" s="126">
        <f t="shared" si="5"/>
        <v>0.1</v>
      </c>
      <c r="BI80" s="126"/>
      <c r="BJ80" s="126"/>
      <c r="BK80" s="126"/>
      <c r="BL80" s="126"/>
      <c r="BM80" s="126"/>
      <c r="BN80" s="126"/>
      <c r="BO80" s="126"/>
      <c r="BP80" s="126"/>
      <c r="BQ80" s="126"/>
      <c r="BR80" s="126"/>
      <c r="BS80" s="126"/>
      <c r="BT80" s="126"/>
      <c r="BU80" s="126"/>
      <c r="BV80" s="126"/>
      <c r="BW80" s="126"/>
      <c r="BX80" s="126"/>
      <c r="BY80" s="126"/>
      <c r="BZ80" s="126"/>
      <c r="CA80" s="126"/>
      <c r="CB80" s="126"/>
      <c r="CC80" s="126"/>
      <c r="CD80" s="126"/>
      <c r="CE80" s="126"/>
      <c r="CF80" s="126"/>
      <c r="CG80" s="126"/>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row>
    <row r="81" spans="1:107" hidden="1" outlineLevel="1" x14ac:dyDescent="0.25">
      <c r="A81" s="122" t="s">
        <v>647</v>
      </c>
      <c r="B81" s="126">
        <f t="shared" ref="B81:BH81" si="6">enemyGeoRes</f>
        <v>0.1</v>
      </c>
      <c r="C81" s="126">
        <f t="shared" si="6"/>
        <v>0.1</v>
      </c>
      <c r="D81" s="126">
        <f t="shared" si="6"/>
        <v>0.1</v>
      </c>
      <c r="E81" s="126">
        <f t="shared" si="6"/>
        <v>0.1</v>
      </c>
      <c r="F81" s="126">
        <f t="shared" si="6"/>
        <v>0.1</v>
      </c>
      <c r="G81" s="126">
        <f t="shared" si="6"/>
        <v>0.1</v>
      </c>
      <c r="H81" s="126">
        <f t="shared" si="6"/>
        <v>0.1</v>
      </c>
      <c r="I81" s="126">
        <f t="shared" si="6"/>
        <v>0.1</v>
      </c>
      <c r="J81" s="126">
        <f t="shared" si="6"/>
        <v>0.1</v>
      </c>
      <c r="K81" s="126">
        <f t="shared" si="6"/>
        <v>0.1</v>
      </c>
      <c r="L81" s="126">
        <f t="shared" si="6"/>
        <v>0.1</v>
      </c>
      <c r="M81" s="126">
        <f t="shared" si="6"/>
        <v>0.1</v>
      </c>
      <c r="N81" s="126">
        <f t="shared" si="6"/>
        <v>0.1</v>
      </c>
      <c r="O81" s="126">
        <f t="shared" si="6"/>
        <v>0.1</v>
      </c>
      <c r="P81" s="126">
        <f t="shared" si="6"/>
        <v>0.1</v>
      </c>
      <c r="Q81" s="126">
        <f t="shared" si="6"/>
        <v>0.1</v>
      </c>
      <c r="R81" s="126">
        <f t="shared" si="6"/>
        <v>0.1</v>
      </c>
      <c r="S81" s="126">
        <f t="shared" si="6"/>
        <v>0.1</v>
      </c>
      <c r="T81" s="126">
        <f t="shared" si="6"/>
        <v>0.1</v>
      </c>
      <c r="U81" s="126">
        <f t="shared" si="6"/>
        <v>0.1</v>
      </c>
      <c r="V81" s="126">
        <f t="shared" si="6"/>
        <v>0.1</v>
      </c>
      <c r="W81" s="126">
        <f t="shared" si="6"/>
        <v>0.1</v>
      </c>
      <c r="X81" s="126">
        <f t="shared" si="6"/>
        <v>0.1</v>
      </c>
      <c r="Y81" s="126">
        <f t="shared" si="6"/>
        <v>0.1</v>
      </c>
      <c r="Z81" s="126">
        <f t="shared" si="6"/>
        <v>0.1</v>
      </c>
      <c r="AA81" s="126">
        <f t="shared" si="6"/>
        <v>0.1</v>
      </c>
      <c r="AB81" s="126">
        <f t="shared" si="6"/>
        <v>0.1</v>
      </c>
      <c r="AC81" s="126">
        <f t="shared" si="6"/>
        <v>0.1</v>
      </c>
      <c r="AD81" s="126">
        <f t="shared" si="6"/>
        <v>0.1</v>
      </c>
      <c r="AE81" s="126">
        <f t="shared" si="6"/>
        <v>0.1</v>
      </c>
      <c r="AF81" s="126">
        <f t="shared" si="6"/>
        <v>0.1</v>
      </c>
      <c r="AG81" s="126">
        <f t="shared" si="6"/>
        <v>0.1</v>
      </c>
      <c r="AH81" s="126">
        <f t="shared" si="6"/>
        <v>0.1</v>
      </c>
      <c r="AI81" s="126">
        <f t="shared" si="6"/>
        <v>0.1</v>
      </c>
      <c r="AJ81" s="126">
        <f t="shared" si="6"/>
        <v>0.1</v>
      </c>
      <c r="AK81" s="126">
        <f t="shared" si="6"/>
        <v>0.1</v>
      </c>
      <c r="AL81" s="126">
        <f t="shared" si="6"/>
        <v>0.1</v>
      </c>
      <c r="AM81" s="126">
        <f t="shared" si="6"/>
        <v>0.1</v>
      </c>
      <c r="AN81" s="126">
        <f t="shared" si="6"/>
        <v>0.1</v>
      </c>
      <c r="AO81" s="126">
        <f t="shared" si="6"/>
        <v>0.1</v>
      </c>
      <c r="AP81" s="126">
        <f t="shared" si="6"/>
        <v>0.1</v>
      </c>
      <c r="AQ81" s="126">
        <f t="shared" si="6"/>
        <v>0.1</v>
      </c>
      <c r="AR81" s="126">
        <f t="shared" si="6"/>
        <v>0.1</v>
      </c>
      <c r="AS81" s="126">
        <f t="shared" si="6"/>
        <v>0.1</v>
      </c>
      <c r="AT81" s="126">
        <f t="shared" si="6"/>
        <v>0.1</v>
      </c>
      <c r="AU81" s="126">
        <f t="shared" si="6"/>
        <v>0.1</v>
      </c>
      <c r="AV81" s="126">
        <f t="shared" si="6"/>
        <v>0.1</v>
      </c>
      <c r="AW81" s="126">
        <f t="shared" si="6"/>
        <v>0.1</v>
      </c>
      <c r="AX81" s="126">
        <f t="shared" si="6"/>
        <v>0.1</v>
      </c>
      <c r="AY81" s="126">
        <f t="shared" si="6"/>
        <v>0.1</v>
      </c>
      <c r="AZ81" s="126">
        <f t="shared" si="6"/>
        <v>0.1</v>
      </c>
      <c r="BA81" s="126">
        <f t="shared" si="6"/>
        <v>0.1</v>
      </c>
      <c r="BB81" s="126">
        <f t="shared" si="6"/>
        <v>0.1</v>
      </c>
      <c r="BC81" s="126">
        <f t="shared" si="6"/>
        <v>0.1</v>
      </c>
      <c r="BD81" s="126">
        <f t="shared" si="6"/>
        <v>0.1</v>
      </c>
      <c r="BE81" s="126">
        <f t="shared" si="6"/>
        <v>0.1</v>
      </c>
      <c r="BF81" s="126">
        <f t="shared" si="6"/>
        <v>0.1</v>
      </c>
      <c r="BG81" s="126">
        <f t="shared" si="6"/>
        <v>0.1</v>
      </c>
      <c r="BH81" s="126">
        <f t="shared" si="6"/>
        <v>0.1</v>
      </c>
      <c r="BI81" s="126"/>
      <c r="BJ81" s="126"/>
      <c r="BK81" s="126"/>
      <c r="BL81" s="126"/>
      <c r="BM81" s="126"/>
      <c r="BN81" s="126"/>
      <c r="BO81" s="126"/>
      <c r="BP81" s="126"/>
      <c r="BQ81" s="126"/>
      <c r="BR81" s="126"/>
      <c r="BS81" s="126"/>
      <c r="BT81" s="126"/>
      <c r="BU81" s="126"/>
      <c r="BV81" s="126"/>
      <c r="BW81" s="126"/>
      <c r="BX81" s="126"/>
      <c r="BY81" s="126"/>
      <c r="BZ81" s="126"/>
      <c r="CA81" s="126"/>
      <c r="CB81" s="126"/>
      <c r="CC81" s="126"/>
      <c r="CD81" s="126"/>
      <c r="CE81" s="126"/>
      <c r="CF81" s="126"/>
      <c r="CG81" s="126"/>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row>
    <row r="82" spans="1:107" hidden="1" outlineLevel="1" x14ac:dyDescent="0.25">
      <c r="A82" s="122" t="s">
        <v>648</v>
      </c>
      <c r="B82" s="126">
        <f t="shared" ref="B82:BH82" si="7">enemyPyroRes</f>
        <v>0.1</v>
      </c>
      <c r="C82" s="126">
        <f t="shared" si="7"/>
        <v>0.1</v>
      </c>
      <c r="D82" s="126">
        <f t="shared" si="7"/>
        <v>0.1</v>
      </c>
      <c r="E82" s="126">
        <f t="shared" si="7"/>
        <v>0.1</v>
      </c>
      <c r="F82" s="126">
        <f t="shared" si="7"/>
        <v>0.1</v>
      </c>
      <c r="G82" s="126">
        <f t="shared" si="7"/>
        <v>0.1</v>
      </c>
      <c r="H82" s="126">
        <f t="shared" si="7"/>
        <v>0.1</v>
      </c>
      <c r="I82" s="126">
        <f t="shared" si="7"/>
        <v>0.1</v>
      </c>
      <c r="J82" s="126">
        <f t="shared" si="7"/>
        <v>0.1</v>
      </c>
      <c r="K82" s="126">
        <f t="shared" si="7"/>
        <v>0.1</v>
      </c>
      <c r="L82" s="126">
        <f t="shared" si="7"/>
        <v>0.1</v>
      </c>
      <c r="M82" s="126">
        <f t="shared" si="7"/>
        <v>0.1</v>
      </c>
      <c r="N82" s="126">
        <f t="shared" si="7"/>
        <v>0.1</v>
      </c>
      <c r="O82" s="126">
        <f t="shared" si="7"/>
        <v>0.1</v>
      </c>
      <c r="P82" s="126">
        <f t="shared" si="7"/>
        <v>0.1</v>
      </c>
      <c r="Q82" s="126">
        <f t="shared" si="7"/>
        <v>0.1</v>
      </c>
      <c r="R82" s="126">
        <f t="shared" si="7"/>
        <v>0.1</v>
      </c>
      <c r="S82" s="126">
        <f t="shared" si="7"/>
        <v>0.1</v>
      </c>
      <c r="T82" s="126">
        <f t="shared" si="7"/>
        <v>0.1</v>
      </c>
      <c r="U82" s="126">
        <f t="shared" si="7"/>
        <v>0.1</v>
      </c>
      <c r="V82" s="126">
        <f t="shared" si="7"/>
        <v>0.1</v>
      </c>
      <c r="W82" s="126">
        <f t="shared" si="7"/>
        <v>0.1</v>
      </c>
      <c r="X82" s="126">
        <f t="shared" si="7"/>
        <v>0.1</v>
      </c>
      <c r="Y82" s="126">
        <f t="shared" si="7"/>
        <v>0.1</v>
      </c>
      <c r="Z82" s="126">
        <f t="shared" si="7"/>
        <v>0.1</v>
      </c>
      <c r="AA82" s="126">
        <f t="shared" si="7"/>
        <v>0.1</v>
      </c>
      <c r="AB82" s="126">
        <f t="shared" si="7"/>
        <v>0.1</v>
      </c>
      <c r="AC82" s="126">
        <f t="shared" si="7"/>
        <v>0.1</v>
      </c>
      <c r="AD82" s="126">
        <f t="shared" si="7"/>
        <v>0.1</v>
      </c>
      <c r="AE82" s="126">
        <f t="shared" si="7"/>
        <v>0.1</v>
      </c>
      <c r="AF82" s="126">
        <f t="shared" si="7"/>
        <v>0.1</v>
      </c>
      <c r="AG82" s="126">
        <f t="shared" si="7"/>
        <v>0.1</v>
      </c>
      <c r="AH82" s="126">
        <f t="shared" si="7"/>
        <v>0.1</v>
      </c>
      <c r="AI82" s="126">
        <f t="shared" si="7"/>
        <v>0.1</v>
      </c>
      <c r="AJ82" s="126">
        <f t="shared" si="7"/>
        <v>0.1</v>
      </c>
      <c r="AK82" s="126">
        <f t="shared" si="7"/>
        <v>0.1</v>
      </c>
      <c r="AL82" s="126">
        <f t="shared" si="7"/>
        <v>0.1</v>
      </c>
      <c r="AM82" s="126">
        <f t="shared" si="7"/>
        <v>0.1</v>
      </c>
      <c r="AN82" s="126">
        <f t="shared" si="7"/>
        <v>0.1</v>
      </c>
      <c r="AO82" s="126">
        <f t="shared" si="7"/>
        <v>0.1</v>
      </c>
      <c r="AP82" s="126">
        <f t="shared" si="7"/>
        <v>0.1</v>
      </c>
      <c r="AQ82" s="126">
        <f t="shared" si="7"/>
        <v>0.1</v>
      </c>
      <c r="AR82" s="126">
        <f t="shared" si="7"/>
        <v>0.1</v>
      </c>
      <c r="AS82" s="126">
        <f t="shared" si="7"/>
        <v>0.1</v>
      </c>
      <c r="AT82" s="126">
        <f t="shared" si="7"/>
        <v>0.1</v>
      </c>
      <c r="AU82" s="126">
        <f t="shared" si="7"/>
        <v>0.1</v>
      </c>
      <c r="AV82" s="126">
        <f t="shared" si="7"/>
        <v>0.1</v>
      </c>
      <c r="AW82" s="126">
        <f t="shared" si="7"/>
        <v>0.1</v>
      </c>
      <c r="AX82" s="126">
        <f t="shared" si="7"/>
        <v>0.1</v>
      </c>
      <c r="AY82" s="126">
        <f t="shared" si="7"/>
        <v>0.1</v>
      </c>
      <c r="AZ82" s="126">
        <f t="shared" si="7"/>
        <v>0.1</v>
      </c>
      <c r="BA82" s="126">
        <f t="shared" si="7"/>
        <v>0.1</v>
      </c>
      <c r="BB82" s="126">
        <f t="shared" si="7"/>
        <v>0.1</v>
      </c>
      <c r="BC82" s="126">
        <f t="shared" si="7"/>
        <v>0.1</v>
      </c>
      <c r="BD82" s="126">
        <f t="shared" si="7"/>
        <v>0.1</v>
      </c>
      <c r="BE82" s="126">
        <f t="shared" si="7"/>
        <v>0.1</v>
      </c>
      <c r="BF82" s="126">
        <f t="shared" si="7"/>
        <v>0.1</v>
      </c>
      <c r="BG82" s="126">
        <f t="shared" si="7"/>
        <v>0.1</v>
      </c>
      <c r="BH82" s="126">
        <f t="shared" si="7"/>
        <v>0.1</v>
      </c>
      <c r="BI82" s="126"/>
      <c r="BJ82" s="126"/>
      <c r="BK82" s="126"/>
      <c r="BL82" s="126"/>
      <c r="BM82" s="126"/>
      <c r="BN82" s="126"/>
      <c r="BO82" s="126"/>
      <c r="BP82" s="126"/>
      <c r="BQ82" s="126"/>
      <c r="BR82" s="126"/>
      <c r="BS82" s="126"/>
      <c r="BT82" s="126"/>
      <c r="BU82" s="126"/>
      <c r="BV82" s="126"/>
      <c r="BW82" s="126"/>
      <c r="BX82" s="126"/>
      <c r="BY82" s="126"/>
      <c r="BZ82" s="126"/>
      <c r="CA82" s="126"/>
      <c r="CB82" s="126"/>
      <c r="CC82" s="126"/>
      <c r="CD82" s="126"/>
      <c r="CE82" s="126"/>
      <c r="CF82" s="126"/>
      <c r="CG82" s="126"/>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row>
    <row r="83" spans="1:107" hidden="1" outlineLevel="1" x14ac:dyDescent="0.25">
      <c r="A83" s="122" t="s">
        <v>649</v>
      </c>
      <c r="B83" s="126">
        <f t="shared" ref="B83:BH83" si="8">enemyHydroRes</f>
        <v>0.1</v>
      </c>
      <c r="C83" s="126">
        <f t="shared" si="8"/>
        <v>0.1</v>
      </c>
      <c r="D83" s="126">
        <f t="shared" si="8"/>
        <v>0.1</v>
      </c>
      <c r="E83" s="126">
        <f t="shared" si="8"/>
        <v>0.1</v>
      </c>
      <c r="F83" s="126">
        <f t="shared" si="8"/>
        <v>0.1</v>
      </c>
      <c r="G83" s="126">
        <f t="shared" si="8"/>
        <v>0.1</v>
      </c>
      <c r="H83" s="126">
        <f t="shared" si="8"/>
        <v>0.1</v>
      </c>
      <c r="I83" s="126">
        <f t="shared" si="8"/>
        <v>0.1</v>
      </c>
      <c r="J83" s="126">
        <f t="shared" si="8"/>
        <v>0.1</v>
      </c>
      <c r="K83" s="126">
        <f t="shared" si="8"/>
        <v>0.1</v>
      </c>
      <c r="L83" s="126">
        <f t="shared" si="8"/>
        <v>0.1</v>
      </c>
      <c r="M83" s="126">
        <f t="shared" si="8"/>
        <v>0.1</v>
      </c>
      <c r="N83" s="126">
        <f t="shared" si="8"/>
        <v>0.1</v>
      </c>
      <c r="O83" s="126">
        <f t="shared" si="8"/>
        <v>0.1</v>
      </c>
      <c r="P83" s="126">
        <f t="shared" si="8"/>
        <v>0.1</v>
      </c>
      <c r="Q83" s="126">
        <f t="shared" si="8"/>
        <v>0.1</v>
      </c>
      <c r="R83" s="126">
        <f t="shared" si="8"/>
        <v>0.1</v>
      </c>
      <c r="S83" s="126">
        <f t="shared" si="8"/>
        <v>0.1</v>
      </c>
      <c r="T83" s="126">
        <f t="shared" si="8"/>
        <v>0.1</v>
      </c>
      <c r="U83" s="126">
        <f t="shared" si="8"/>
        <v>0.1</v>
      </c>
      <c r="V83" s="126">
        <f t="shared" si="8"/>
        <v>0.1</v>
      </c>
      <c r="W83" s="126">
        <f t="shared" si="8"/>
        <v>0.1</v>
      </c>
      <c r="X83" s="126">
        <f t="shared" si="8"/>
        <v>0.1</v>
      </c>
      <c r="Y83" s="126">
        <f t="shared" si="8"/>
        <v>0.1</v>
      </c>
      <c r="Z83" s="126">
        <f t="shared" si="8"/>
        <v>0.1</v>
      </c>
      <c r="AA83" s="126">
        <f t="shared" si="8"/>
        <v>0.1</v>
      </c>
      <c r="AB83" s="126">
        <f t="shared" si="8"/>
        <v>0.1</v>
      </c>
      <c r="AC83" s="126">
        <f t="shared" si="8"/>
        <v>0.1</v>
      </c>
      <c r="AD83" s="126">
        <f t="shared" si="8"/>
        <v>0.1</v>
      </c>
      <c r="AE83" s="126">
        <f t="shared" si="8"/>
        <v>0.1</v>
      </c>
      <c r="AF83" s="126">
        <f t="shared" si="8"/>
        <v>0.1</v>
      </c>
      <c r="AG83" s="126">
        <f t="shared" si="8"/>
        <v>0.1</v>
      </c>
      <c r="AH83" s="126">
        <f t="shared" si="8"/>
        <v>0.1</v>
      </c>
      <c r="AI83" s="126">
        <f t="shared" si="8"/>
        <v>0.1</v>
      </c>
      <c r="AJ83" s="126">
        <f t="shared" si="8"/>
        <v>0.1</v>
      </c>
      <c r="AK83" s="126">
        <f t="shared" si="8"/>
        <v>0.1</v>
      </c>
      <c r="AL83" s="126">
        <f t="shared" si="8"/>
        <v>0.1</v>
      </c>
      <c r="AM83" s="126">
        <f t="shared" si="8"/>
        <v>0.1</v>
      </c>
      <c r="AN83" s="126">
        <f t="shared" si="8"/>
        <v>0.1</v>
      </c>
      <c r="AO83" s="126">
        <f t="shared" si="8"/>
        <v>0.1</v>
      </c>
      <c r="AP83" s="126">
        <f t="shared" si="8"/>
        <v>0.1</v>
      </c>
      <c r="AQ83" s="126">
        <f t="shared" si="8"/>
        <v>0.1</v>
      </c>
      <c r="AR83" s="126">
        <f t="shared" si="8"/>
        <v>0.1</v>
      </c>
      <c r="AS83" s="126">
        <f t="shared" si="8"/>
        <v>0.1</v>
      </c>
      <c r="AT83" s="126">
        <f t="shared" si="8"/>
        <v>0.1</v>
      </c>
      <c r="AU83" s="126">
        <f t="shared" si="8"/>
        <v>0.1</v>
      </c>
      <c r="AV83" s="126">
        <f t="shared" si="8"/>
        <v>0.1</v>
      </c>
      <c r="AW83" s="126">
        <f t="shared" si="8"/>
        <v>0.1</v>
      </c>
      <c r="AX83" s="126">
        <f t="shared" si="8"/>
        <v>0.1</v>
      </c>
      <c r="AY83" s="126">
        <f t="shared" si="8"/>
        <v>0.1</v>
      </c>
      <c r="AZ83" s="126">
        <f t="shared" si="8"/>
        <v>0.1</v>
      </c>
      <c r="BA83" s="126">
        <f t="shared" si="8"/>
        <v>0.1</v>
      </c>
      <c r="BB83" s="126">
        <f t="shared" si="8"/>
        <v>0.1</v>
      </c>
      <c r="BC83" s="126">
        <f t="shared" si="8"/>
        <v>0.1</v>
      </c>
      <c r="BD83" s="126">
        <f t="shared" si="8"/>
        <v>0.1</v>
      </c>
      <c r="BE83" s="126">
        <f t="shared" si="8"/>
        <v>0.1</v>
      </c>
      <c r="BF83" s="126">
        <f t="shared" si="8"/>
        <v>0.1</v>
      </c>
      <c r="BG83" s="126">
        <f t="shared" si="8"/>
        <v>0.1</v>
      </c>
      <c r="BH83" s="126">
        <f t="shared" si="8"/>
        <v>0.1</v>
      </c>
      <c r="BI83" s="126"/>
      <c r="BJ83" s="126"/>
      <c r="BK83" s="126"/>
      <c r="BL83" s="126"/>
      <c r="BM83" s="126"/>
      <c r="BN83" s="126"/>
      <c r="BO83" s="126"/>
      <c r="BP83" s="126"/>
      <c r="BQ83" s="126"/>
      <c r="BR83" s="126"/>
      <c r="BS83" s="126"/>
      <c r="BT83" s="126"/>
      <c r="BU83" s="126"/>
      <c r="BV83" s="126"/>
      <c r="BW83" s="126"/>
      <c r="BX83" s="126"/>
      <c r="BY83" s="126"/>
      <c r="BZ83" s="126"/>
      <c r="CA83" s="126"/>
      <c r="CB83" s="126"/>
      <c r="CC83" s="126"/>
      <c r="CD83" s="126"/>
      <c r="CE83" s="126"/>
      <c r="CF83" s="126"/>
      <c r="CG83" s="126"/>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row>
    <row r="84" spans="1:107" hidden="1" outlineLevel="1" x14ac:dyDescent="0.25">
      <c r="A84" s="122" t="s">
        <v>650</v>
      </c>
      <c r="B84" s="126">
        <f t="shared" ref="B84:BH84" si="9">enemyCryoRes</f>
        <v>0.1</v>
      </c>
      <c r="C84" s="126">
        <f t="shared" si="9"/>
        <v>0.1</v>
      </c>
      <c r="D84" s="126">
        <f t="shared" si="9"/>
        <v>0.1</v>
      </c>
      <c r="E84" s="126">
        <f t="shared" si="9"/>
        <v>0.1</v>
      </c>
      <c r="F84" s="126">
        <f t="shared" si="9"/>
        <v>0.1</v>
      </c>
      <c r="G84" s="126">
        <f t="shared" si="9"/>
        <v>0.1</v>
      </c>
      <c r="H84" s="126">
        <f t="shared" si="9"/>
        <v>0.1</v>
      </c>
      <c r="I84" s="126">
        <f t="shared" si="9"/>
        <v>0.1</v>
      </c>
      <c r="J84" s="126">
        <f t="shared" si="9"/>
        <v>0.1</v>
      </c>
      <c r="K84" s="126">
        <f t="shared" si="9"/>
        <v>0.1</v>
      </c>
      <c r="L84" s="126">
        <f t="shared" si="9"/>
        <v>0.1</v>
      </c>
      <c r="M84" s="126">
        <f t="shared" si="9"/>
        <v>0.1</v>
      </c>
      <c r="N84" s="126">
        <f t="shared" si="9"/>
        <v>0.1</v>
      </c>
      <c r="O84" s="126">
        <f t="shared" si="9"/>
        <v>0.1</v>
      </c>
      <c r="P84" s="126">
        <f t="shared" si="9"/>
        <v>0.1</v>
      </c>
      <c r="Q84" s="126">
        <f t="shared" si="9"/>
        <v>0.1</v>
      </c>
      <c r="R84" s="126">
        <f t="shared" si="9"/>
        <v>0.1</v>
      </c>
      <c r="S84" s="126">
        <f t="shared" si="9"/>
        <v>0.1</v>
      </c>
      <c r="T84" s="126">
        <f t="shared" si="9"/>
        <v>0.1</v>
      </c>
      <c r="U84" s="126">
        <f t="shared" si="9"/>
        <v>0.1</v>
      </c>
      <c r="V84" s="126">
        <f t="shared" si="9"/>
        <v>0.1</v>
      </c>
      <c r="W84" s="126">
        <f t="shared" si="9"/>
        <v>0.1</v>
      </c>
      <c r="X84" s="126">
        <f t="shared" si="9"/>
        <v>0.1</v>
      </c>
      <c r="Y84" s="126">
        <f t="shared" si="9"/>
        <v>0.1</v>
      </c>
      <c r="Z84" s="126">
        <f t="shared" si="9"/>
        <v>0.1</v>
      </c>
      <c r="AA84" s="126">
        <f t="shared" si="9"/>
        <v>0.1</v>
      </c>
      <c r="AB84" s="126">
        <f t="shared" si="9"/>
        <v>0.1</v>
      </c>
      <c r="AC84" s="126">
        <f t="shared" si="9"/>
        <v>0.1</v>
      </c>
      <c r="AD84" s="126">
        <f t="shared" si="9"/>
        <v>0.1</v>
      </c>
      <c r="AE84" s="126">
        <f t="shared" si="9"/>
        <v>0.1</v>
      </c>
      <c r="AF84" s="126">
        <f t="shared" si="9"/>
        <v>0.1</v>
      </c>
      <c r="AG84" s="126">
        <f t="shared" si="9"/>
        <v>0.1</v>
      </c>
      <c r="AH84" s="126">
        <f t="shared" si="9"/>
        <v>0.1</v>
      </c>
      <c r="AI84" s="126">
        <f t="shared" si="9"/>
        <v>0.1</v>
      </c>
      <c r="AJ84" s="126">
        <f t="shared" si="9"/>
        <v>0.1</v>
      </c>
      <c r="AK84" s="126">
        <f t="shared" si="9"/>
        <v>0.1</v>
      </c>
      <c r="AL84" s="126">
        <f t="shared" si="9"/>
        <v>0.1</v>
      </c>
      <c r="AM84" s="126">
        <f t="shared" si="9"/>
        <v>0.1</v>
      </c>
      <c r="AN84" s="126">
        <f t="shared" si="9"/>
        <v>0.1</v>
      </c>
      <c r="AO84" s="126">
        <f t="shared" si="9"/>
        <v>0.1</v>
      </c>
      <c r="AP84" s="126">
        <f t="shared" si="9"/>
        <v>0.1</v>
      </c>
      <c r="AQ84" s="126">
        <f t="shared" si="9"/>
        <v>0.1</v>
      </c>
      <c r="AR84" s="126">
        <f t="shared" si="9"/>
        <v>0.1</v>
      </c>
      <c r="AS84" s="126">
        <f t="shared" si="9"/>
        <v>0.1</v>
      </c>
      <c r="AT84" s="126">
        <f t="shared" si="9"/>
        <v>0.1</v>
      </c>
      <c r="AU84" s="126">
        <f t="shared" si="9"/>
        <v>0.1</v>
      </c>
      <c r="AV84" s="126">
        <f t="shared" si="9"/>
        <v>0.1</v>
      </c>
      <c r="AW84" s="126">
        <f t="shared" si="9"/>
        <v>0.1</v>
      </c>
      <c r="AX84" s="126">
        <f t="shared" si="9"/>
        <v>0.1</v>
      </c>
      <c r="AY84" s="126">
        <f t="shared" si="9"/>
        <v>0.1</v>
      </c>
      <c r="AZ84" s="126">
        <f t="shared" si="9"/>
        <v>0.1</v>
      </c>
      <c r="BA84" s="126">
        <f t="shared" si="9"/>
        <v>0.1</v>
      </c>
      <c r="BB84" s="126">
        <f t="shared" si="9"/>
        <v>0.1</v>
      </c>
      <c r="BC84" s="126">
        <f t="shared" si="9"/>
        <v>0.1</v>
      </c>
      <c r="BD84" s="126">
        <f t="shared" si="9"/>
        <v>0.1</v>
      </c>
      <c r="BE84" s="126">
        <f t="shared" si="9"/>
        <v>0.1</v>
      </c>
      <c r="BF84" s="126">
        <f t="shared" si="9"/>
        <v>0.1</v>
      </c>
      <c r="BG84" s="126">
        <f t="shared" si="9"/>
        <v>0.1</v>
      </c>
      <c r="BH84" s="126">
        <f t="shared" si="9"/>
        <v>0.1</v>
      </c>
      <c r="BI84" s="126"/>
      <c r="BJ84" s="126"/>
      <c r="BK84" s="126"/>
      <c r="BL84" s="126"/>
      <c r="BM84" s="126"/>
      <c r="BN84" s="126"/>
      <c r="BO84" s="126"/>
      <c r="BP84" s="126"/>
      <c r="BQ84" s="126"/>
      <c r="BR84" s="126"/>
      <c r="BS84" s="126"/>
      <c r="BT84" s="126"/>
      <c r="BU84" s="126"/>
      <c r="BV84" s="126"/>
      <c r="BW84" s="126"/>
      <c r="BX84" s="126"/>
      <c r="BY84" s="126"/>
      <c r="BZ84" s="126"/>
      <c r="CA84" s="126"/>
      <c r="CB84" s="126"/>
      <c r="CC84" s="126"/>
      <c r="CD84" s="126"/>
      <c r="CE84" s="126"/>
      <c r="CF84" s="126"/>
      <c r="CG84" s="126"/>
      <c r="CH84" s="126"/>
      <c r="CI84" s="126"/>
      <c r="CJ84" s="126"/>
      <c r="CK84" s="126"/>
      <c r="CL84" s="126"/>
      <c r="CM84" s="126"/>
      <c r="CN84" s="126"/>
      <c r="CO84" s="126"/>
      <c r="CP84" s="126"/>
      <c r="CQ84" s="126"/>
      <c r="CR84" s="126"/>
      <c r="CS84" s="126"/>
      <c r="CT84" s="126"/>
      <c r="CU84" s="126"/>
      <c r="CV84" s="126"/>
      <c r="CW84" s="126"/>
      <c r="CX84" s="126"/>
      <c r="CY84" s="126"/>
      <c r="CZ84" s="126"/>
      <c r="DA84" s="126"/>
      <c r="DB84" s="126"/>
      <c r="DC84" s="126"/>
    </row>
    <row r="85" spans="1:107" hidden="1" outlineLevel="1" x14ac:dyDescent="0.25">
      <c r="A85" s="122" t="s">
        <v>651</v>
      </c>
      <c r="B85" s="126">
        <f t="shared" ref="B85:BH85" si="10">enemyElectroRes</f>
        <v>0.1</v>
      </c>
      <c r="C85" s="126">
        <f t="shared" si="10"/>
        <v>0.1</v>
      </c>
      <c r="D85" s="126">
        <f t="shared" si="10"/>
        <v>0.1</v>
      </c>
      <c r="E85" s="126">
        <f t="shared" si="10"/>
        <v>0.1</v>
      </c>
      <c r="F85" s="126">
        <f t="shared" si="10"/>
        <v>0.1</v>
      </c>
      <c r="G85" s="126">
        <f t="shared" si="10"/>
        <v>0.1</v>
      </c>
      <c r="H85" s="126">
        <f t="shared" si="10"/>
        <v>0.1</v>
      </c>
      <c r="I85" s="126">
        <f t="shared" si="10"/>
        <v>0.1</v>
      </c>
      <c r="J85" s="126">
        <f t="shared" si="10"/>
        <v>0.1</v>
      </c>
      <c r="K85" s="126">
        <f t="shared" si="10"/>
        <v>0.1</v>
      </c>
      <c r="L85" s="126">
        <f t="shared" si="10"/>
        <v>0.1</v>
      </c>
      <c r="M85" s="126">
        <f t="shared" si="10"/>
        <v>0.1</v>
      </c>
      <c r="N85" s="126">
        <f t="shared" si="10"/>
        <v>0.1</v>
      </c>
      <c r="O85" s="126">
        <f t="shared" si="10"/>
        <v>0.1</v>
      </c>
      <c r="P85" s="126">
        <f t="shared" si="10"/>
        <v>0.1</v>
      </c>
      <c r="Q85" s="126">
        <f t="shared" si="10"/>
        <v>0.1</v>
      </c>
      <c r="R85" s="126">
        <f t="shared" si="10"/>
        <v>0.1</v>
      </c>
      <c r="S85" s="126">
        <f t="shared" si="10"/>
        <v>0.1</v>
      </c>
      <c r="T85" s="126">
        <f t="shared" si="10"/>
        <v>0.1</v>
      </c>
      <c r="U85" s="126">
        <f t="shared" si="10"/>
        <v>0.1</v>
      </c>
      <c r="V85" s="126">
        <f t="shared" si="10"/>
        <v>0.1</v>
      </c>
      <c r="W85" s="126">
        <f t="shared" si="10"/>
        <v>0.1</v>
      </c>
      <c r="X85" s="126">
        <f t="shared" si="10"/>
        <v>0.1</v>
      </c>
      <c r="Y85" s="126">
        <f t="shared" si="10"/>
        <v>0.1</v>
      </c>
      <c r="Z85" s="126">
        <f t="shared" si="10"/>
        <v>0.1</v>
      </c>
      <c r="AA85" s="126">
        <f t="shared" si="10"/>
        <v>0.1</v>
      </c>
      <c r="AB85" s="126">
        <f t="shared" si="10"/>
        <v>0.1</v>
      </c>
      <c r="AC85" s="126">
        <f t="shared" si="10"/>
        <v>0.1</v>
      </c>
      <c r="AD85" s="126">
        <f t="shared" si="10"/>
        <v>0.1</v>
      </c>
      <c r="AE85" s="126">
        <f t="shared" si="10"/>
        <v>0.1</v>
      </c>
      <c r="AF85" s="126">
        <f t="shared" si="10"/>
        <v>0.1</v>
      </c>
      <c r="AG85" s="126">
        <f t="shared" si="10"/>
        <v>0.1</v>
      </c>
      <c r="AH85" s="126">
        <f t="shared" si="10"/>
        <v>0.1</v>
      </c>
      <c r="AI85" s="126">
        <f t="shared" si="10"/>
        <v>0.1</v>
      </c>
      <c r="AJ85" s="126">
        <f t="shared" si="10"/>
        <v>0.1</v>
      </c>
      <c r="AK85" s="126">
        <f t="shared" si="10"/>
        <v>0.1</v>
      </c>
      <c r="AL85" s="126">
        <f t="shared" si="10"/>
        <v>0.1</v>
      </c>
      <c r="AM85" s="126">
        <f t="shared" si="10"/>
        <v>0.1</v>
      </c>
      <c r="AN85" s="126">
        <f t="shared" si="10"/>
        <v>0.1</v>
      </c>
      <c r="AO85" s="126">
        <f t="shared" si="10"/>
        <v>0.1</v>
      </c>
      <c r="AP85" s="126">
        <f t="shared" si="10"/>
        <v>0.1</v>
      </c>
      <c r="AQ85" s="126">
        <f t="shared" si="10"/>
        <v>0.1</v>
      </c>
      <c r="AR85" s="126">
        <f t="shared" si="10"/>
        <v>0.1</v>
      </c>
      <c r="AS85" s="126">
        <f t="shared" si="10"/>
        <v>0.1</v>
      </c>
      <c r="AT85" s="126">
        <f t="shared" si="10"/>
        <v>0.1</v>
      </c>
      <c r="AU85" s="126">
        <f t="shared" si="10"/>
        <v>0.1</v>
      </c>
      <c r="AV85" s="126">
        <f t="shared" si="10"/>
        <v>0.1</v>
      </c>
      <c r="AW85" s="126">
        <f t="shared" si="10"/>
        <v>0.1</v>
      </c>
      <c r="AX85" s="126">
        <f t="shared" si="10"/>
        <v>0.1</v>
      </c>
      <c r="AY85" s="126">
        <f t="shared" si="10"/>
        <v>0.1</v>
      </c>
      <c r="AZ85" s="126">
        <f t="shared" si="10"/>
        <v>0.1</v>
      </c>
      <c r="BA85" s="126">
        <f t="shared" si="10"/>
        <v>0.1</v>
      </c>
      <c r="BB85" s="126">
        <f t="shared" si="10"/>
        <v>0.1</v>
      </c>
      <c r="BC85" s="126">
        <f t="shared" si="10"/>
        <v>0.1</v>
      </c>
      <c r="BD85" s="126">
        <f t="shared" si="10"/>
        <v>0.1</v>
      </c>
      <c r="BE85" s="126">
        <f t="shared" si="10"/>
        <v>0.1</v>
      </c>
      <c r="BF85" s="126">
        <f t="shared" si="10"/>
        <v>0.1</v>
      </c>
      <c r="BG85" s="126">
        <f t="shared" si="10"/>
        <v>0.1</v>
      </c>
      <c r="BH85" s="126">
        <f t="shared" si="10"/>
        <v>0.1</v>
      </c>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row>
    <row r="86" spans="1:107" s="113" customFormat="1" collapsed="1" x14ac:dyDescent="0.25">
      <c r="A86" s="112" t="s">
        <v>633</v>
      </c>
    </row>
    <row r="87" spans="1:107" s="109" customFormat="1" hidden="1" outlineLevel="1" x14ac:dyDescent="0.25">
      <c r="A87" s="110" t="s">
        <v>62</v>
      </c>
      <c r="BA87" s="107"/>
      <c r="BB87" s="107"/>
      <c r="BC87" s="107"/>
      <c r="BD87" s="107"/>
      <c r="BE87" s="107"/>
      <c r="BF87" s="107"/>
      <c r="BG87" s="107"/>
      <c r="BH87" s="107"/>
      <c r="BI87" s="107"/>
      <c r="BJ87" s="107"/>
      <c r="BK87" s="107"/>
      <c r="BL87" s="107"/>
      <c r="BM87" s="107"/>
      <c r="BN87" s="107"/>
      <c r="BO87" s="107"/>
      <c r="BP87" s="107"/>
      <c r="BQ87" s="107"/>
      <c r="BR87" s="107"/>
      <c r="BS87" s="107"/>
      <c r="BT87" s="107"/>
      <c r="BU87" s="107"/>
      <c r="BV87" s="107"/>
      <c r="BW87" s="107"/>
      <c r="BX87" s="107"/>
      <c r="BY87" s="107"/>
      <c r="BZ87" s="107"/>
      <c r="CA87" s="107"/>
      <c r="CB87" s="107"/>
      <c r="CC87" s="107"/>
      <c r="CD87" s="107"/>
      <c r="CE87" s="107"/>
      <c r="CF87" s="107"/>
      <c r="CG87" s="107"/>
      <c r="CH87" s="107"/>
      <c r="CI87" s="107"/>
    </row>
    <row r="88" spans="1:107" s="108" customFormat="1" hidden="1" outlineLevel="1" x14ac:dyDescent="0.25">
      <c r="A88" s="110" t="s">
        <v>63</v>
      </c>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row>
    <row r="89" spans="1:107" s="107" customFormat="1" hidden="1" outlineLevel="1" x14ac:dyDescent="0.25">
      <c r="A89" s="110" t="s">
        <v>64</v>
      </c>
    </row>
    <row r="90" spans="1:107" s="106" customFormat="1" hidden="1" outlineLevel="1" x14ac:dyDescent="0.25">
      <c r="A90" s="110" t="s">
        <v>69</v>
      </c>
    </row>
    <row r="91" spans="1:107" s="107" customFormat="1" hidden="1" outlineLevel="1" x14ac:dyDescent="0.25">
      <c r="A91" s="110" t="s">
        <v>65</v>
      </c>
      <c r="B91" s="127"/>
      <c r="C91" s="127">
        <v>0.2</v>
      </c>
      <c r="D91" s="127">
        <v>0.2</v>
      </c>
      <c r="E91" s="127"/>
      <c r="F91" s="127">
        <v>0.2</v>
      </c>
      <c r="G91" s="127">
        <v>0.2</v>
      </c>
      <c r="H91" s="127">
        <v>0.2</v>
      </c>
      <c r="I91" s="127">
        <v>0.2</v>
      </c>
      <c r="J91" s="127">
        <v>0.2</v>
      </c>
      <c r="K91" s="127">
        <v>0.2</v>
      </c>
      <c r="L91" s="127">
        <v>0.2</v>
      </c>
      <c r="M91" s="127"/>
      <c r="N91" s="127"/>
      <c r="O91" s="127">
        <v>0.2</v>
      </c>
      <c r="P91" s="127">
        <v>0.4</v>
      </c>
      <c r="Q91" s="127">
        <v>0.4</v>
      </c>
      <c r="R91" s="127">
        <v>0.4</v>
      </c>
      <c r="S91" s="127"/>
      <c r="T91" s="127"/>
      <c r="U91" s="127">
        <v>0.4</v>
      </c>
      <c r="V91" s="127">
        <v>0.4</v>
      </c>
      <c r="W91" s="127">
        <v>0.4</v>
      </c>
      <c r="X91" s="127">
        <v>0.4</v>
      </c>
      <c r="Y91" s="127">
        <v>0.4</v>
      </c>
      <c r="Z91" s="127">
        <v>0.4</v>
      </c>
      <c r="AA91" s="127">
        <v>0.4</v>
      </c>
      <c r="AB91" s="127">
        <v>0.4</v>
      </c>
      <c r="AC91" s="127">
        <v>0.2</v>
      </c>
      <c r="AD91" s="127"/>
      <c r="AE91" s="127">
        <v>0.2</v>
      </c>
      <c r="AF91" s="127">
        <v>0.2</v>
      </c>
      <c r="AG91" s="127">
        <v>0.2</v>
      </c>
      <c r="AH91" s="127"/>
      <c r="AI91" s="127"/>
      <c r="AJ91" s="127"/>
      <c r="AK91" s="127"/>
      <c r="AL91" s="127"/>
      <c r="AM91" s="127"/>
      <c r="AN91" s="127"/>
      <c r="AO91" s="127"/>
      <c r="AP91" s="127"/>
      <c r="AQ91" s="127"/>
      <c r="AR91" s="127"/>
      <c r="AS91" s="127"/>
      <c r="AT91" s="127"/>
      <c r="AU91" s="127"/>
      <c r="AV91" s="127"/>
      <c r="AW91" s="127"/>
      <c r="AX91" s="127"/>
      <c r="AY91" s="127"/>
      <c r="AZ91" s="127"/>
      <c r="BA91" s="127"/>
      <c r="BB91" s="127"/>
      <c r="BC91" s="127"/>
      <c r="BD91" s="127"/>
      <c r="BE91" s="127"/>
      <c r="BF91" s="127"/>
      <c r="BG91" s="127"/>
      <c r="BH91" s="127"/>
      <c r="BI91" s="127"/>
      <c r="BJ91" s="127"/>
      <c r="BK91" s="127"/>
      <c r="BL91" s="127"/>
      <c r="BM91" s="127"/>
      <c r="BN91" s="127"/>
      <c r="BO91" s="127"/>
      <c r="BP91" s="127"/>
      <c r="BQ91" s="127"/>
      <c r="BR91" s="127"/>
      <c r="BS91" s="127"/>
      <c r="BT91" s="127"/>
      <c r="BU91" s="127"/>
      <c r="BV91" s="127"/>
      <c r="BW91" s="127"/>
      <c r="BX91" s="127"/>
      <c r="BY91" s="127"/>
      <c r="BZ91" s="127"/>
      <c r="CA91" s="127"/>
      <c r="CB91" s="127"/>
      <c r="CC91" s="127"/>
      <c r="CD91" s="127"/>
      <c r="CE91" s="127"/>
      <c r="CF91" s="127"/>
      <c r="CG91" s="127"/>
      <c r="CH91" s="127"/>
      <c r="CI91" s="127"/>
      <c r="CJ91" s="127"/>
      <c r="CK91" s="127"/>
      <c r="CL91" s="127"/>
      <c r="CM91" s="127"/>
      <c r="CN91" s="127"/>
      <c r="CO91" s="127"/>
      <c r="CP91" s="127"/>
      <c r="CQ91" s="127"/>
      <c r="CR91" s="127"/>
      <c r="CS91" s="127"/>
      <c r="CT91" s="127"/>
      <c r="CU91" s="127"/>
      <c r="CV91" s="127"/>
      <c r="CW91" s="127"/>
      <c r="CX91" s="127"/>
      <c r="CY91" s="127"/>
      <c r="CZ91" s="127"/>
      <c r="DA91" s="127"/>
      <c r="DB91" s="127"/>
      <c r="DC91" s="127"/>
    </row>
    <row r="92" spans="1:107" s="106" customFormat="1" hidden="1" outlineLevel="1" x14ac:dyDescent="0.25">
      <c r="A92" s="110" t="s">
        <v>66</v>
      </c>
    </row>
    <row r="93" spans="1:107" s="107" customFormat="1" hidden="1" outlineLevel="1" x14ac:dyDescent="0.25">
      <c r="A93" s="110" t="s">
        <v>67</v>
      </c>
    </row>
    <row r="94" spans="1:107" s="106" customFormat="1" hidden="1" outlineLevel="1" x14ac:dyDescent="0.25">
      <c r="A94" s="110" t="s">
        <v>408</v>
      </c>
      <c r="S94" s="236">
        <v>0.4</v>
      </c>
      <c r="U94" s="236">
        <v>0.4</v>
      </c>
      <c r="V94" s="236">
        <v>0.4</v>
      </c>
      <c r="W94" s="236">
        <v>0.4</v>
      </c>
      <c r="X94" s="236">
        <v>0.2</v>
      </c>
      <c r="Y94" s="236">
        <v>0.2</v>
      </c>
      <c r="Z94" s="236">
        <v>0.2</v>
      </c>
      <c r="AA94" s="236">
        <v>0.2</v>
      </c>
      <c r="AF94" s="236">
        <v>0.2</v>
      </c>
      <c r="AG94" s="236">
        <v>0.2</v>
      </c>
      <c r="AH94" s="236">
        <v>0.2</v>
      </c>
      <c r="AI94" s="236">
        <v>0.2</v>
      </c>
    </row>
    <row r="95" spans="1:107" s="107" customFormat="1" hidden="1" outlineLevel="1" x14ac:dyDescent="0.25">
      <c r="A95" s="110" t="s">
        <v>409</v>
      </c>
    </row>
    <row r="96" spans="1:107" s="106" customFormat="1" hidden="1" outlineLevel="1" x14ac:dyDescent="0.25">
      <c r="A96" s="110" t="s">
        <v>68</v>
      </c>
    </row>
    <row r="97" spans="1:107" s="107" customFormat="1" hidden="1" outlineLevel="1" x14ac:dyDescent="0.25">
      <c r="A97" s="110" t="s">
        <v>82</v>
      </c>
      <c r="B97" s="127"/>
      <c r="C97" s="127"/>
      <c r="D97" s="127"/>
      <c r="E97" s="127"/>
      <c r="F97" s="127"/>
      <c r="G97" s="127"/>
      <c r="H97" s="127"/>
      <c r="I97" s="127"/>
      <c r="J97" s="127"/>
      <c r="K97" s="127"/>
      <c r="L97" s="127">
        <v>0.57999999999999996</v>
      </c>
      <c r="M97" s="127"/>
      <c r="N97" s="127"/>
      <c r="O97" s="127"/>
      <c r="P97" s="127"/>
      <c r="Q97" s="127">
        <v>0.57999999999999996</v>
      </c>
      <c r="R97" s="127"/>
      <c r="S97" s="127"/>
      <c r="T97" s="127"/>
      <c r="U97" s="127"/>
      <c r="V97" s="127"/>
      <c r="W97" s="127">
        <v>0.57999999999999996</v>
      </c>
      <c r="X97" s="127">
        <v>0.57999999999999996</v>
      </c>
      <c r="Y97" s="127">
        <v>0.57999999999999996</v>
      </c>
      <c r="Z97" s="127">
        <v>0.57999999999999996</v>
      </c>
      <c r="AA97" s="127"/>
      <c r="AB97" s="127">
        <v>0.57999999999999996</v>
      </c>
      <c r="AC97" s="127">
        <v>0.57999999999999996</v>
      </c>
      <c r="AD97" s="127"/>
      <c r="AE97" s="127">
        <v>0.57999999999999996</v>
      </c>
      <c r="AF97" s="127">
        <v>0.57999999999999996</v>
      </c>
      <c r="AG97" s="127">
        <v>0.57999999999999996</v>
      </c>
      <c r="AH97" s="127"/>
      <c r="AI97" s="127"/>
      <c r="AJ97" s="127"/>
      <c r="AK97" s="127"/>
      <c r="AL97" s="127"/>
      <c r="AM97" s="127"/>
      <c r="AN97" s="127"/>
      <c r="AO97" s="127"/>
      <c r="AP97" s="127"/>
      <c r="AQ97" s="127"/>
      <c r="AR97" s="127"/>
      <c r="AS97" s="127"/>
      <c r="AT97" s="127"/>
      <c r="AU97" s="127"/>
      <c r="AV97" s="127"/>
      <c r="AW97" s="127"/>
      <c r="AX97" s="127"/>
      <c r="AY97" s="127"/>
      <c r="AZ97" s="127"/>
      <c r="BA97" s="127"/>
      <c r="BB97" s="127"/>
      <c r="BC97" s="127"/>
      <c r="BD97" s="127"/>
      <c r="BE97" s="127"/>
      <c r="BF97" s="127"/>
      <c r="BG97" s="127"/>
      <c r="BH97" s="127"/>
      <c r="BI97" s="127"/>
      <c r="BJ97" s="127"/>
      <c r="BK97" s="127"/>
      <c r="BL97" s="127"/>
      <c r="BM97" s="127"/>
      <c r="BN97" s="127"/>
      <c r="BO97" s="127"/>
      <c r="BP97" s="127"/>
      <c r="BQ97" s="127"/>
      <c r="BR97" s="127"/>
      <c r="BS97" s="127"/>
      <c r="BT97" s="127"/>
      <c r="BU97" s="127"/>
      <c r="BV97" s="127"/>
      <c r="BW97" s="127"/>
      <c r="BX97" s="127"/>
      <c r="BY97" s="127"/>
      <c r="BZ97" s="127"/>
      <c r="CA97" s="127"/>
      <c r="CB97" s="127"/>
      <c r="CC97" s="127"/>
      <c r="CD97" s="127"/>
      <c r="CE97" s="127"/>
      <c r="CF97" s="127"/>
      <c r="CG97" s="127"/>
      <c r="CH97" s="127"/>
      <c r="CI97" s="127"/>
    </row>
    <row r="98" spans="1:107" s="106" customFormat="1" hidden="1" outlineLevel="1" x14ac:dyDescent="0.25">
      <c r="A98" s="110" t="s">
        <v>70</v>
      </c>
    </row>
    <row r="99" spans="1:107" s="107" customFormat="1" hidden="1" outlineLevel="1" x14ac:dyDescent="0.25">
      <c r="A99" s="110" t="s">
        <v>71</v>
      </c>
    </row>
    <row r="100" spans="1:107" s="106" customFormat="1" hidden="1" outlineLevel="1" x14ac:dyDescent="0.25">
      <c r="A100" s="110" t="s">
        <v>72</v>
      </c>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c r="AB100" s="114"/>
      <c r="AC100" s="114"/>
      <c r="AD100" s="114"/>
      <c r="AE100" s="114"/>
      <c r="AF100" s="114"/>
      <c r="AG100" s="114"/>
      <c r="AH100" s="114"/>
      <c r="AI100" s="114"/>
      <c r="AJ100" s="114"/>
      <c r="AK100" s="114"/>
      <c r="AL100" s="114"/>
      <c r="AM100" s="114"/>
      <c r="AN100" s="114"/>
      <c r="AO100" s="114"/>
      <c r="AP100" s="114"/>
      <c r="AQ100" s="114"/>
      <c r="AR100" s="114"/>
      <c r="AS100" s="114"/>
      <c r="AT100" s="114"/>
      <c r="AU100" s="114"/>
      <c r="AV100" s="114"/>
      <c r="AW100" s="114"/>
      <c r="AX100" s="114"/>
      <c r="AY100" s="114"/>
      <c r="AZ100" s="114"/>
    </row>
    <row r="101" spans="1:107" s="107" customFormat="1" hidden="1" outlineLevel="1" x14ac:dyDescent="0.25">
      <c r="A101" s="110" t="s">
        <v>73</v>
      </c>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15"/>
      <c r="BG101" s="115"/>
      <c r="BH101" s="115"/>
      <c r="CJ101" s="203"/>
      <c r="CK101" s="203"/>
      <c r="CL101" s="203"/>
      <c r="CM101" s="203"/>
      <c r="CN101" s="203"/>
      <c r="CO101" s="203"/>
      <c r="CP101" s="203"/>
      <c r="CQ101" s="203"/>
      <c r="CR101" s="203"/>
      <c r="CS101" s="203"/>
      <c r="CT101" s="203"/>
      <c r="CU101" s="203"/>
      <c r="CV101" s="203"/>
      <c r="CW101" s="203"/>
      <c r="CX101" s="203"/>
      <c r="CY101" s="203"/>
      <c r="CZ101" s="203"/>
      <c r="DA101" s="203"/>
      <c r="DB101" s="203"/>
      <c r="DC101" s="203"/>
    </row>
    <row r="102" spans="1:107" s="106" customFormat="1" hidden="1" outlineLevel="1" x14ac:dyDescent="0.25">
      <c r="A102" s="110" t="s">
        <v>74</v>
      </c>
      <c r="D102" s="114"/>
      <c r="E102" s="114"/>
      <c r="F102" s="114"/>
      <c r="G102" s="114"/>
      <c r="H102" s="114"/>
      <c r="I102" s="114"/>
      <c r="J102" s="114"/>
      <c r="K102" s="114"/>
      <c r="L102" s="114"/>
      <c r="M102" s="114"/>
      <c r="N102" s="114"/>
      <c r="O102" s="114"/>
      <c r="P102" s="114"/>
      <c r="Q102" s="114"/>
      <c r="R102" s="114"/>
      <c r="S102" s="114"/>
      <c r="T102" s="114"/>
      <c r="U102" s="114">
        <v>0.15</v>
      </c>
      <c r="V102" s="114">
        <v>0.15</v>
      </c>
      <c r="W102" s="114">
        <v>0.15</v>
      </c>
      <c r="X102" s="114">
        <v>0.15</v>
      </c>
      <c r="Y102" s="114">
        <v>0.15</v>
      </c>
      <c r="Z102" s="114">
        <v>0.15</v>
      </c>
      <c r="AA102" s="114">
        <v>0.15</v>
      </c>
      <c r="AB102" s="114"/>
      <c r="AC102" s="114"/>
      <c r="AD102" s="114"/>
      <c r="AE102" s="114">
        <v>0.35</v>
      </c>
      <c r="AF102" s="114">
        <v>0.35</v>
      </c>
      <c r="AG102" s="114">
        <v>0.35</v>
      </c>
      <c r="AH102" s="114">
        <v>0.35</v>
      </c>
      <c r="AI102" s="114">
        <v>0.35</v>
      </c>
      <c r="AJ102" s="114"/>
      <c r="AK102" s="114"/>
      <c r="AL102" s="114"/>
      <c r="AM102" s="114"/>
      <c r="AN102" s="114"/>
      <c r="AO102" s="114"/>
      <c r="AP102" s="114"/>
      <c r="AQ102" s="114"/>
      <c r="AR102" s="114"/>
      <c r="AS102" s="114"/>
      <c r="AT102" s="114"/>
      <c r="AU102" s="114"/>
      <c r="AV102" s="114"/>
      <c r="AW102" s="114"/>
      <c r="AX102" s="114"/>
      <c r="AY102" s="114"/>
      <c r="AZ102" s="114"/>
      <c r="BA102" s="236"/>
      <c r="BB102" s="236"/>
      <c r="BC102" s="236"/>
      <c r="BD102" s="236"/>
      <c r="BE102" s="236"/>
      <c r="BF102" s="236"/>
      <c r="BG102" s="236"/>
      <c r="BH102" s="236"/>
      <c r="CJ102" s="204"/>
      <c r="CK102" s="204"/>
      <c r="CL102" s="204"/>
      <c r="CM102" s="204"/>
      <c r="CN102" s="204"/>
      <c r="CO102" s="204"/>
      <c r="CP102" s="204"/>
      <c r="CQ102" s="204"/>
      <c r="CR102" s="204"/>
      <c r="CS102" s="204"/>
      <c r="CT102" s="204"/>
      <c r="CU102" s="204"/>
      <c r="CV102" s="204"/>
      <c r="CW102" s="204"/>
      <c r="CX102" s="204"/>
      <c r="CY102" s="204"/>
      <c r="CZ102" s="204"/>
      <c r="DA102" s="204"/>
      <c r="DB102" s="204"/>
      <c r="DC102" s="204"/>
    </row>
    <row r="103" spans="1:107" s="107" customFormat="1" hidden="1" outlineLevel="1" x14ac:dyDescent="0.25">
      <c r="A103" s="110" t="s">
        <v>75</v>
      </c>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15"/>
      <c r="BG103" s="115"/>
      <c r="BH103" s="115"/>
      <c r="CJ103" s="203"/>
      <c r="CK103" s="203"/>
      <c r="CL103" s="203"/>
      <c r="CM103" s="203"/>
      <c r="CN103" s="203"/>
      <c r="CO103" s="203"/>
      <c r="CP103" s="203"/>
      <c r="CQ103" s="203"/>
      <c r="CR103" s="203"/>
      <c r="CS103" s="203"/>
      <c r="CT103" s="203"/>
      <c r="CU103" s="203"/>
      <c r="CV103" s="203"/>
      <c r="CW103" s="203"/>
      <c r="CX103" s="203"/>
      <c r="CY103" s="203"/>
      <c r="CZ103" s="203"/>
      <c r="DA103" s="203"/>
      <c r="DB103" s="203"/>
      <c r="DC103" s="203"/>
    </row>
    <row r="104" spans="1:107" s="106" customFormat="1" hidden="1" outlineLevel="1" x14ac:dyDescent="0.25">
      <c r="A104" s="110" t="s">
        <v>76</v>
      </c>
    </row>
    <row r="105" spans="1:107" s="107" customFormat="1" hidden="1" outlineLevel="1" x14ac:dyDescent="0.25">
      <c r="A105" s="110" t="s">
        <v>77</v>
      </c>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c r="AW105" s="127"/>
      <c r="AX105" s="127"/>
      <c r="AY105" s="127"/>
      <c r="AZ105" s="127"/>
    </row>
    <row r="106" spans="1:107" s="106" customFormat="1" hidden="1" outlineLevel="1" x14ac:dyDescent="0.25">
      <c r="A106" s="110" t="s">
        <v>78</v>
      </c>
      <c r="H106" s="236"/>
      <c r="I106" s="236"/>
      <c r="J106" s="236"/>
      <c r="K106" s="236"/>
      <c r="L106" s="236"/>
      <c r="M106" s="236"/>
      <c r="N106" s="236"/>
      <c r="O106" s="236"/>
      <c r="P106" s="236"/>
      <c r="Q106" s="236"/>
      <c r="R106" s="236"/>
      <c r="S106" s="236"/>
      <c r="T106" s="236"/>
      <c r="U106" s="236"/>
      <c r="V106" s="236"/>
      <c r="W106" s="236"/>
      <c r="X106" s="236"/>
      <c r="Y106" s="236"/>
      <c r="Z106" s="236"/>
      <c r="AA106" s="236"/>
      <c r="AB106" s="236"/>
      <c r="AC106" s="236"/>
      <c r="AD106" s="236"/>
      <c r="AE106" s="236"/>
      <c r="AF106" s="236"/>
      <c r="AG106" s="236"/>
      <c r="AH106" s="236"/>
      <c r="AI106" s="236"/>
      <c r="AJ106" s="236"/>
      <c r="AK106" s="236"/>
      <c r="AL106" s="236"/>
      <c r="AM106" s="236"/>
      <c r="AN106" s="236"/>
      <c r="AO106" s="236"/>
      <c r="AP106" s="236"/>
      <c r="AQ106" s="236"/>
      <c r="AR106" s="236"/>
      <c r="AS106" s="236"/>
      <c r="AT106" s="236"/>
      <c r="AU106" s="236"/>
      <c r="AV106" s="236"/>
      <c r="AW106" s="236"/>
      <c r="AX106" s="236"/>
      <c r="AY106" s="236"/>
      <c r="AZ106" s="236"/>
    </row>
    <row r="107" spans="1:107" s="107" customFormat="1" hidden="1" outlineLevel="1" x14ac:dyDescent="0.25">
      <c r="A107" s="110" t="s">
        <v>79</v>
      </c>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c r="AW107" s="127"/>
      <c r="AX107" s="127"/>
      <c r="AY107" s="127"/>
      <c r="AZ107" s="127"/>
    </row>
    <row r="108" spans="1:107" s="106" customFormat="1" hidden="1" outlineLevel="1" x14ac:dyDescent="0.25">
      <c r="A108" s="110" t="s">
        <v>80</v>
      </c>
      <c r="O108" s="236">
        <v>0.15</v>
      </c>
      <c r="P108" s="236">
        <v>0.15</v>
      </c>
      <c r="Q108" s="236">
        <v>0.15</v>
      </c>
      <c r="R108" s="236">
        <v>0.15</v>
      </c>
      <c r="S108" s="236">
        <v>0.15</v>
      </c>
      <c r="T108" s="236">
        <v>0.15</v>
      </c>
      <c r="U108" s="236">
        <v>0.15</v>
      </c>
      <c r="V108" s="236">
        <v>0.15</v>
      </c>
      <c r="W108" s="236">
        <v>0.15</v>
      </c>
      <c r="X108" s="236">
        <v>0.15</v>
      </c>
      <c r="Y108" s="236">
        <v>0.15</v>
      </c>
      <c r="Z108" s="236">
        <v>0.15</v>
      </c>
      <c r="AA108" s="236">
        <v>0.15</v>
      </c>
      <c r="AB108" s="236">
        <v>0.15</v>
      </c>
      <c r="AC108" s="236">
        <v>0.15</v>
      </c>
      <c r="AE108" s="236">
        <v>0.15</v>
      </c>
      <c r="BA108" s="236"/>
      <c r="BB108" s="236"/>
      <c r="BC108" s="236"/>
      <c r="BD108" s="236"/>
      <c r="BE108" s="236"/>
      <c r="BF108" s="236"/>
      <c r="BG108" s="236"/>
      <c r="BH108" s="236"/>
    </row>
    <row r="109" spans="1:107" s="107" customFormat="1" hidden="1" outlineLevel="1" x14ac:dyDescent="0.25">
      <c r="A109" s="110" t="s">
        <v>81</v>
      </c>
      <c r="N109" s="127"/>
      <c r="O109" s="127">
        <v>0.15</v>
      </c>
      <c r="P109" s="127">
        <v>0.15</v>
      </c>
      <c r="Q109" s="127">
        <v>0.15</v>
      </c>
      <c r="R109" s="127">
        <v>0.15</v>
      </c>
      <c r="S109" s="127">
        <v>0.15</v>
      </c>
      <c r="T109" s="127">
        <v>0.15</v>
      </c>
      <c r="U109" s="127">
        <v>0.15</v>
      </c>
      <c r="V109" s="127">
        <v>0.15</v>
      </c>
      <c r="W109" s="127">
        <v>0.15</v>
      </c>
      <c r="X109" s="127">
        <v>0.15</v>
      </c>
      <c r="Y109" s="127">
        <v>0.15</v>
      </c>
      <c r="Z109" s="127">
        <v>0.15</v>
      </c>
      <c r="AA109" s="127">
        <v>0.15</v>
      </c>
      <c r="AB109" s="127">
        <v>0.15</v>
      </c>
      <c r="AC109" s="127">
        <v>0.15</v>
      </c>
      <c r="AE109" s="127">
        <v>0.15</v>
      </c>
      <c r="BA109" s="127"/>
      <c r="BB109" s="127"/>
      <c r="BC109" s="127"/>
      <c r="BD109" s="127"/>
      <c r="BE109" s="127"/>
      <c r="BF109" s="127"/>
      <c r="BG109" s="127"/>
      <c r="BH109" s="127"/>
    </row>
    <row r="110" spans="1:107" s="106" customFormat="1" hidden="1" outlineLevel="1" x14ac:dyDescent="0.25">
      <c r="A110" s="110" t="s">
        <v>83</v>
      </c>
    </row>
    <row r="111" spans="1:107" s="107" customFormat="1" hidden="1" outlineLevel="1" x14ac:dyDescent="0.25">
      <c r="A111" s="110" t="s">
        <v>84</v>
      </c>
    </row>
    <row r="112" spans="1:107" s="106" customFormat="1" hidden="1" outlineLevel="1" x14ac:dyDescent="0.25">
      <c r="A112" s="110" t="s">
        <v>85</v>
      </c>
    </row>
    <row r="113" spans="1:2" s="107" customFormat="1" hidden="1" outlineLevel="1" x14ac:dyDescent="0.25">
      <c r="A113" s="110" t="s">
        <v>86</v>
      </c>
    </row>
    <row r="114" spans="1:2" s="106" customFormat="1" hidden="1" outlineLevel="1" x14ac:dyDescent="0.25">
      <c r="A114" s="110" t="s">
        <v>87</v>
      </c>
    </row>
    <row r="115" spans="1:2" s="107" customFormat="1" hidden="1" outlineLevel="1" x14ac:dyDescent="0.25">
      <c r="A115" s="110" t="s">
        <v>90</v>
      </c>
    </row>
    <row r="116" spans="1:2" s="106" customFormat="1" hidden="1" outlineLevel="1" x14ac:dyDescent="0.25">
      <c r="A116" s="110" t="s">
        <v>88</v>
      </c>
    </row>
    <row r="117" spans="1:2" s="107" customFormat="1" hidden="1" outlineLevel="1" x14ac:dyDescent="0.25">
      <c r="A117" s="110" t="s">
        <v>89</v>
      </c>
    </row>
    <row r="118" spans="1:2" s="106" customFormat="1" hidden="1" outlineLevel="1" x14ac:dyDescent="0.25">
      <c r="A118" s="110" t="s">
        <v>91</v>
      </c>
      <c r="B118" s="236"/>
    </row>
    <row r="119" spans="1:2" s="107" customFormat="1" hidden="1" outlineLevel="1" x14ac:dyDescent="0.25">
      <c r="A119" s="110" t="s">
        <v>453</v>
      </c>
    </row>
    <row r="120" spans="1:2" s="106" customFormat="1" hidden="1" outlineLevel="1" x14ac:dyDescent="0.25">
      <c r="A120" s="110" t="s">
        <v>93</v>
      </c>
    </row>
    <row r="121" spans="1:2" s="107" customFormat="1" hidden="1" outlineLevel="1" x14ac:dyDescent="0.25">
      <c r="A121" s="110" t="s">
        <v>422</v>
      </c>
    </row>
    <row r="122" spans="1:2" s="106" customFormat="1" hidden="1" outlineLevel="1" x14ac:dyDescent="0.25">
      <c r="A122" s="110" t="s">
        <v>452</v>
      </c>
    </row>
    <row r="123" spans="1:2" s="107" customFormat="1" hidden="1" outlineLevel="1" x14ac:dyDescent="0.25">
      <c r="A123" s="110" t="s">
        <v>92</v>
      </c>
    </row>
    <row r="124" spans="1:2" s="106" customFormat="1" hidden="1" outlineLevel="1" x14ac:dyDescent="0.25">
      <c r="A124" s="110" t="s">
        <v>94</v>
      </c>
    </row>
    <row r="125" spans="1:2" s="107" customFormat="1" hidden="1" outlineLevel="1" x14ac:dyDescent="0.25">
      <c r="A125" s="110" t="s">
        <v>95</v>
      </c>
    </row>
    <row r="126" spans="1:2" s="106" customFormat="1" hidden="1" outlineLevel="1" x14ac:dyDescent="0.25">
      <c r="A126" s="110" t="s">
        <v>96</v>
      </c>
    </row>
    <row r="127" spans="1:2" s="107" customFormat="1" hidden="1" outlineLevel="1" x14ac:dyDescent="0.25">
      <c r="A127" s="110" t="s">
        <v>97</v>
      </c>
    </row>
    <row r="128" spans="1:2" s="106" customFormat="1" hidden="1" outlineLevel="1" x14ac:dyDescent="0.25">
      <c r="A128" s="110" t="s">
        <v>98</v>
      </c>
    </row>
    <row r="129" spans="1:107" s="107" customFormat="1" hidden="1" outlineLevel="1" x14ac:dyDescent="0.25">
      <c r="A129" s="110" t="s">
        <v>419</v>
      </c>
    </row>
    <row r="130" spans="1:107" s="106" customFormat="1" hidden="1" outlineLevel="1" x14ac:dyDescent="0.25">
      <c r="A130" s="110" t="s">
        <v>420</v>
      </c>
    </row>
    <row r="131" spans="1:107" s="107" customFormat="1" hidden="1" outlineLevel="1" x14ac:dyDescent="0.25">
      <c r="A131" s="110" t="s">
        <v>433</v>
      </c>
    </row>
    <row r="132" spans="1:107" s="106" customFormat="1" hidden="1" outlineLevel="1" x14ac:dyDescent="0.25">
      <c r="A132" s="110" t="s">
        <v>421</v>
      </c>
    </row>
    <row r="133" spans="1:107" s="107" customFormat="1" hidden="1" outlineLevel="1" x14ac:dyDescent="0.25">
      <c r="A133" s="110" t="s">
        <v>641</v>
      </c>
    </row>
    <row r="134" spans="1:107" s="106" customFormat="1" hidden="1" outlineLevel="1" x14ac:dyDescent="0.25">
      <c r="A134" s="110" t="s">
        <v>635</v>
      </c>
    </row>
    <row r="135" spans="1:107" s="107" customFormat="1" hidden="1" outlineLevel="1" x14ac:dyDescent="0.25">
      <c r="A135" s="110" t="s">
        <v>636</v>
      </c>
    </row>
    <row r="136" spans="1:107" s="114" customFormat="1" hidden="1" outlineLevel="1" x14ac:dyDescent="0.25">
      <c r="A136" s="110" t="s">
        <v>637</v>
      </c>
    </row>
    <row r="137" spans="1:107" s="115" customFormat="1" hidden="1" outlineLevel="1" x14ac:dyDescent="0.25">
      <c r="A137" s="110" t="s">
        <v>638</v>
      </c>
    </row>
    <row r="138" spans="1:107" s="114" customFormat="1" hidden="1" outlineLevel="1" x14ac:dyDescent="0.25">
      <c r="A138" s="110" t="s">
        <v>639</v>
      </c>
      <c r="E138" s="114">
        <v>0.4</v>
      </c>
      <c r="F138" s="114">
        <v>0.4</v>
      </c>
      <c r="G138" s="114">
        <v>0.4</v>
      </c>
      <c r="H138" s="114">
        <v>0.4</v>
      </c>
      <c r="I138" s="114">
        <v>0.4</v>
      </c>
      <c r="J138" s="114">
        <v>0.54</v>
      </c>
      <c r="K138" s="114">
        <v>0.54</v>
      </c>
      <c r="L138" s="114">
        <v>0.54</v>
      </c>
      <c r="M138" s="114">
        <v>0.54</v>
      </c>
      <c r="N138" s="114">
        <v>0.4</v>
      </c>
      <c r="O138" s="114">
        <v>0.54</v>
      </c>
      <c r="P138" s="114">
        <v>0.54</v>
      </c>
      <c r="Q138" s="114">
        <v>0.54</v>
      </c>
      <c r="S138" s="114">
        <v>0.54</v>
      </c>
      <c r="U138" s="114">
        <v>0.54</v>
      </c>
      <c r="V138" s="114">
        <v>0.54</v>
      </c>
      <c r="W138" s="114">
        <v>0.54</v>
      </c>
      <c r="X138" s="114">
        <v>0.54</v>
      </c>
      <c r="Y138" s="114">
        <v>0.54</v>
      </c>
      <c r="Z138" s="114">
        <v>0.4</v>
      </c>
      <c r="AA138" s="114">
        <v>0.4</v>
      </c>
      <c r="AD138" s="114">
        <v>0.54</v>
      </c>
      <c r="AE138" s="114">
        <v>0.54</v>
      </c>
      <c r="AF138" s="114">
        <v>0.4</v>
      </c>
      <c r="AG138" s="114">
        <v>0.4</v>
      </c>
      <c r="AH138" s="114">
        <v>0.4</v>
      </c>
      <c r="AI138" s="114">
        <v>0.4</v>
      </c>
    </row>
    <row r="139" spans="1:107" s="115" customFormat="1" hidden="1" outlineLevel="1" x14ac:dyDescent="0.25">
      <c r="A139" s="110" t="s">
        <v>640</v>
      </c>
    </row>
    <row r="140" spans="1:107" s="111" customFormat="1" collapsed="1" x14ac:dyDescent="0.25">
      <c r="A140" s="116" t="s">
        <v>634</v>
      </c>
    </row>
    <row r="141" spans="1:107" s="105" customFormat="1" hidden="1" outlineLevel="1" x14ac:dyDescent="0.25">
      <c r="A141" s="117" t="s">
        <v>125</v>
      </c>
      <c r="B141" s="105">
        <f>IFERROR((VLOOKUP(B32, 'Data Val'!$J$63:$M$67, 2, 0))*(1+B148)+B144, 0)</f>
        <v>2099.4830000000002</v>
      </c>
      <c r="C141" s="105">
        <f>IFERROR((VLOOKUP(C32, 'Data Val'!$J$63:$M$67, 2, 0))*(1+C148)+C144, 0)</f>
        <v>1790.4756</v>
      </c>
      <c r="D141" s="105">
        <f>IFERROR((VLOOKUP(D32, 'Data Val'!$J$63:$M$67, 2, 0))*(1+D148)+D144, 0)</f>
        <v>1631.2384</v>
      </c>
      <c r="E141" s="105">
        <f>IFERROR((VLOOKUP(E32, 'Data Val'!$J$63:$M$67, 2, 0))*(1+E148)+E144, 0)</f>
        <v>1487.8383999999999</v>
      </c>
      <c r="F141" s="105">
        <f>IFERROR((VLOOKUP(F32, 'Data Val'!$J$63:$M$67, 2, 0))*(1+F148)+F144, 0)</f>
        <v>1631.2384</v>
      </c>
      <c r="G141" s="105">
        <f>IFERROR((VLOOKUP(G32, 'Data Val'!$J$63:$M$67, 2, 0))*(1+G148)+G144, 0)</f>
        <v>1631.2384</v>
      </c>
      <c r="H141" s="105">
        <f ca="1">IFERROR((VLOOKUP(H32, 'Data Val'!$J$63:$M$67, 2, 0))*(1+H148)+H144, 0)</f>
        <v>2938.2187999999996</v>
      </c>
      <c r="I141" s="105">
        <f>IFERROR((VLOOKUP(I32, 'Data Val'!$J$63:$M$67, 2, 0))*(1+I148)+I144, 0)</f>
        <v>1631.2384</v>
      </c>
      <c r="J141" s="105">
        <f>IFERROR((VLOOKUP(J32, 'Data Val'!$J$63:$M$67, 2, 0))*(1+J148)+J144, 0)</f>
        <v>1631.2384</v>
      </c>
      <c r="K141" s="105">
        <f>IFERROR((VLOOKUP(K32, 'Data Val'!$J$63:$M$67, 2, 0))*(1+K148)+K144, 0)</f>
        <v>1631.2384</v>
      </c>
      <c r="L141" s="105">
        <f>IFERROR((VLOOKUP(L32, 'Data Val'!$J$63:$M$67, 2, 0))*(1+L148)+L144, 0)</f>
        <v>1631.2384</v>
      </c>
      <c r="M141" s="105">
        <f>IFERROR((VLOOKUP(M32, 'Data Val'!$J$63:$M$67, 2, 0))*(1+M148)+M144, 0)</f>
        <v>1487.8383999999999</v>
      </c>
      <c r="N141" s="105">
        <f>IFERROR((VLOOKUP(N32, 'Data Val'!$J$63:$M$67, 2, 0))*(1+N148)+N144, 0)</f>
        <v>1487.8383999999999</v>
      </c>
      <c r="O141" s="105">
        <f ca="1">IFERROR((VLOOKUP(O32, 'Data Val'!$J$63:$M$67, 2, 0))*(1+O148)+O144, 0)</f>
        <v>2938.2187999999996</v>
      </c>
      <c r="P141" s="105">
        <f ca="1">IFERROR((VLOOKUP(P32, 'Data Val'!$J$63:$M$67, 2, 0))*(1+P148)+P144, 0)</f>
        <v>3112.0187999999998</v>
      </c>
      <c r="Q141" s="105">
        <f ca="1">IFERROR((VLOOKUP(Q32, 'Data Val'!$J$63:$M$67, 2, 0))*(1+Q148)+Q144, 0)</f>
        <v>3112.0187999999998</v>
      </c>
      <c r="R141" s="105">
        <f ca="1">IFERROR((VLOOKUP(R32, 'Data Val'!$J$63:$M$67, 2, 0))*(1+R148)+R144, 0)</f>
        <v>3112.0187999999998</v>
      </c>
      <c r="S141" s="105">
        <f>IFERROR((VLOOKUP(S32, 'Data Val'!$J$63:$M$67, 2, 0))*(1+S148)+S144, 0)</f>
        <v>2099.4830000000002</v>
      </c>
      <c r="T141" s="105">
        <f>IFERROR((VLOOKUP(T32, 'Data Val'!$J$63:$M$67, 2, 0))*(1+T148)+T144, 0)</f>
        <v>1631.0755999999999</v>
      </c>
      <c r="U141" s="105">
        <f>IFERROR((VLOOKUP(U32, 'Data Val'!$J$63:$M$67, 2, 0))*(1+U148)+U144, 0)</f>
        <v>2437.4829999999997</v>
      </c>
      <c r="V141" s="105">
        <f>IFERROR((VLOOKUP(V32, 'Data Val'!$J$63:$M$67, 2, 0))*(1+V148)+V144, 0)</f>
        <v>2437.4829999999997</v>
      </c>
      <c r="W141" s="105">
        <f>IFERROR((VLOOKUP(W32, 'Data Val'!$J$63:$M$67, 2, 0))*(1+W148)+W144, 0)</f>
        <v>2437.4829999999997</v>
      </c>
      <c r="X141" s="105">
        <f>IFERROR((VLOOKUP(X32, 'Data Val'!$J$63:$M$67, 2, 0))*(1+X148)+X144, 0)</f>
        <v>2437.4829999999997</v>
      </c>
      <c r="Y141" s="105">
        <f>IFERROR((VLOOKUP(Y32, 'Data Val'!$J$63:$M$67, 2, 0))*(1+Y148)+Y144, 0)</f>
        <v>2437.4829999999997</v>
      </c>
      <c r="Z141" s="105">
        <f>IFERROR((VLOOKUP(Z32, 'Data Val'!$J$63:$M$67, 2, 0))*(1+Z148)+Z144, 0)</f>
        <v>2437.4829999999997</v>
      </c>
      <c r="AA141" s="105">
        <f>IFERROR((VLOOKUP(AA32, 'Data Val'!$J$63:$M$67, 2, 0))*(1+AA148)+AA144, 0)</f>
        <v>2437.4829999999997</v>
      </c>
      <c r="AB141" s="105">
        <f>IFERROR((VLOOKUP(AB32, 'Data Val'!$J$63:$M$67, 2, 0))*(1+AB148)+AB144, 0)</f>
        <v>1949.8756000000001</v>
      </c>
      <c r="AC141" s="105">
        <f>IFERROR((VLOOKUP(AC32, 'Data Val'!$J$63:$M$67, 2, 0))*(1+AC148)+AC144, 0)</f>
        <v>1631.2384</v>
      </c>
      <c r="AD141" s="105">
        <f>IFERROR((VLOOKUP(AD32, 'Data Val'!$J$63:$M$67, 2, 0))*(1+AD148)+AD144, 0)</f>
        <v>1487.8383999999999</v>
      </c>
      <c r="AE141" s="105">
        <f ca="1">IFERROR((VLOOKUP(AE32, 'Data Val'!$J$63:$M$67, 2, 0))*(1+AE148)+AE144, 0)</f>
        <v>2938.2187999999996</v>
      </c>
      <c r="AF141" s="105">
        <f>IFERROR((VLOOKUP(AF32, 'Data Val'!$J$63:$M$67, 2, 0))*(1+AF148)+AF144, 0)</f>
        <v>2268.4830000000002</v>
      </c>
      <c r="AG141" s="105">
        <f>IFERROR((VLOOKUP(AG32, 'Data Val'!$J$63:$M$67, 2, 0))*(1+AG148)+AG144, 0)</f>
        <v>2268.4830000000002</v>
      </c>
      <c r="AH141" s="105">
        <f>IFERROR((VLOOKUP(AH32, 'Data Val'!$J$63:$M$67, 2, 0))*(1+AH148)+AH144, 0)</f>
        <v>2099.4830000000002</v>
      </c>
      <c r="AI141" s="105">
        <f>IFERROR((VLOOKUP(AI32, 'Data Val'!$J$63:$M$67, 2, 0))*(1+AI148)+AI144, 0)</f>
        <v>2099.4830000000002</v>
      </c>
      <c r="AJ141" s="105">
        <f>IFERROR((VLOOKUP(AJ32, 'Data Val'!$J$63:$M$67, 2, 0))*(1+AJ148)+AJ144, 0)</f>
        <v>0</v>
      </c>
      <c r="AK141" s="105">
        <f>IFERROR((VLOOKUP(AK32, 'Data Val'!$J$63:$M$67, 2, 0))*(1+AK148)+AK144, 0)</f>
        <v>0</v>
      </c>
      <c r="AL141" s="105">
        <f>IFERROR((VLOOKUP(AL32, 'Data Val'!$J$63:$M$67, 2, 0))*(1+AL148)+AL144, 0)</f>
        <v>0</v>
      </c>
      <c r="AM141" s="105">
        <f>IFERROR((VLOOKUP(AM32, 'Data Val'!$J$63:$M$67, 2, 0))*(1+AM148)+AM144, 0)</f>
        <v>0</v>
      </c>
      <c r="AN141" s="105">
        <f>IFERROR((VLOOKUP(AN32, 'Data Val'!$J$63:$M$67, 2, 0))*(1+AN148)+AN144, 0)</f>
        <v>0</v>
      </c>
      <c r="AO141" s="105">
        <f>IFERROR((VLOOKUP(AO32, 'Data Val'!$J$63:$M$67, 2, 0))*(1+AO148)+AO144, 0)</f>
        <v>0</v>
      </c>
      <c r="AP141" s="105">
        <f>IFERROR((VLOOKUP(AP32, 'Data Val'!$J$63:$M$67, 2, 0))*(1+AP148)+AP144, 0)</f>
        <v>0</v>
      </c>
      <c r="AQ141" s="105">
        <f>IFERROR((VLOOKUP(AQ32, 'Data Val'!$J$63:$M$67, 2, 0))*(1+AQ148)+AQ144, 0)</f>
        <v>0</v>
      </c>
      <c r="AR141" s="105">
        <f>IFERROR((VLOOKUP(AR32, 'Data Val'!$J$63:$M$67, 2, 0))*(1+AR148)+AR144, 0)</f>
        <v>0</v>
      </c>
      <c r="AS141" s="105">
        <f>IFERROR((VLOOKUP(AS32, 'Data Val'!$J$63:$M$67, 2, 0))*(1+AS148)+AS144, 0)</f>
        <v>0</v>
      </c>
      <c r="AT141" s="105">
        <f>IFERROR((VLOOKUP(AT32, 'Data Val'!$J$63:$M$67, 2, 0))*(1+AT148)+AT144, 0)</f>
        <v>0</v>
      </c>
      <c r="AU141" s="105">
        <f>IFERROR((VLOOKUP(AU32, 'Data Val'!$J$63:$M$67, 2, 0))*(1+AU148)+AU144, 0)</f>
        <v>0</v>
      </c>
      <c r="AV141" s="105">
        <f>IFERROR((VLOOKUP(AV32, 'Data Val'!$J$63:$M$67, 2, 0))*(1+AV148)+AV144, 0)</f>
        <v>0</v>
      </c>
      <c r="AW141" s="105">
        <f>IFERROR((VLOOKUP(AW32, 'Data Val'!$J$63:$M$67, 2, 0))*(1+AW148)+AW144, 0)</f>
        <v>0</v>
      </c>
      <c r="AX141" s="105">
        <f>IFERROR((VLOOKUP(AX32, 'Data Val'!$J$63:$M$67, 2, 0))*(1+AX148)+AX144, 0)</f>
        <v>0</v>
      </c>
      <c r="AY141" s="105">
        <f>IFERROR((VLOOKUP(AY32, 'Data Val'!$J$63:$M$67, 2, 0))*(1+AY148)+AY144, 0)</f>
        <v>0</v>
      </c>
      <c r="AZ141" s="105">
        <f>IFERROR((VLOOKUP(AZ32, 'Data Val'!$J$63:$M$67, 2, 0))*(1+AZ148)+AZ144, 0)</f>
        <v>0</v>
      </c>
      <c r="BA141" s="105" cm="1">
        <f t="array" aca="1" ref="BA141" ca="1">IFERROR((INDIRECT(BA32&amp;"BaseATK")+INDIRECT(BA32&amp;"WeaponBaseATK"))*(1+BA148)+BA144, 0)</f>
        <v>0</v>
      </c>
      <c r="BB141" s="105" cm="1">
        <f t="array" aca="1" ref="BB141" ca="1">IFERROR((INDIRECT(BB32&amp;"BaseATK")+INDIRECT(BB32&amp;"WeaponBaseATK"))*(1+BB148)+BB144, 0)</f>
        <v>0</v>
      </c>
      <c r="BC141" s="105" cm="1">
        <f t="array" aca="1" ref="BC141" ca="1">IFERROR((INDIRECT(BC32&amp;"BaseATK")+INDIRECT(BC32&amp;"WeaponBaseATK"))*(1+BC148)+BC144, 0)</f>
        <v>0</v>
      </c>
      <c r="BD141" s="105" cm="1">
        <f t="array" aca="1" ref="BD141" ca="1">IFERROR((INDIRECT(BD32&amp;"BaseATK")+INDIRECT(BD32&amp;"WeaponBaseATK"))*(1+BD148)+BD144, 0)</f>
        <v>0</v>
      </c>
      <c r="BE141" s="105" cm="1">
        <f t="array" aca="1" ref="BE141" ca="1">IFERROR((INDIRECT(BE32&amp;"BaseATK")+INDIRECT(BE32&amp;"WeaponBaseATK"))*(1+BE148)+BE144, 0)</f>
        <v>0</v>
      </c>
      <c r="BF141" s="105" cm="1">
        <f t="array" aca="1" ref="BF141" ca="1">IFERROR((INDIRECT(BF32&amp;"BaseATK")+INDIRECT(BF32&amp;"WeaponBaseATK"))*(1+BF148)+BF144, 0)</f>
        <v>0</v>
      </c>
      <c r="BG141" s="105" cm="1">
        <f t="array" aca="1" ref="BG141" ca="1">IFERROR((INDIRECT(BG32&amp;"BaseATK")+INDIRECT(BG32&amp;"WeaponBaseATK"))*(1+BG148)+BG144, 0)</f>
        <v>0</v>
      </c>
      <c r="BH141" s="105" cm="1">
        <f t="array" aca="1" ref="BH141" ca="1">IFERROR((INDIRECT(BH32&amp;"BaseATK")+INDIRECT(BH32&amp;"WeaponBaseATK"))*(1+BH148)+BH144, 0)</f>
        <v>0</v>
      </c>
    </row>
    <row r="142" spans="1:107" s="114" customFormat="1" hidden="1" outlineLevel="1" x14ac:dyDescent="0.25">
      <c r="A142" s="117" t="s">
        <v>128</v>
      </c>
      <c r="B142" s="253">
        <f>IFERROR((VLOOKUP(B32, 'Data Val'!$J$63:$M$67, 3, 0))*(1+B149)+B145, 0)</f>
        <v>747.48000000000013</v>
      </c>
      <c r="C142" s="253">
        <f>IFERROR((VLOOKUP(C32, 'Data Val'!$J$63:$M$67, 3, 0))*(1+C149)+C145, 0)</f>
        <v>773.33200000000011</v>
      </c>
      <c r="D142" s="253">
        <f>IFERROR((VLOOKUP(D32, 'Data Val'!$J$63:$M$67, 3, 0))*(1+D149)+D145, 0)</f>
        <v>791.31600000000003</v>
      </c>
      <c r="E142" s="253">
        <f>IFERROR((VLOOKUP(E32, 'Data Val'!$J$63:$M$67, 3, 0))*(1+E149)+E145, 0)</f>
        <v>791.31600000000003</v>
      </c>
      <c r="F142" s="253">
        <f>IFERROR((VLOOKUP(F32, 'Data Val'!$J$63:$M$67, 3, 0))*(1+F149)+F145, 0)</f>
        <v>791.31600000000003</v>
      </c>
      <c r="G142" s="253">
        <f>IFERROR((VLOOKUP(G32, 'Data Val'!$J$63:$M$67, 3, 0))*(1+G149)+G145, 0)</f>
        <v>791.31600000000003</v>
      </c>
      <c r="H142" s="253">
        <f>IFERROR((VLOOKUP(H32, 'Data Val'!$J$63:$M$67, 3, 0))*(1+H149)+H145, 0)</f>
        <v>972.28000000000009</v>
      </c>
      <c r="I142" s="253">
        <f>IFERROR((VLOOKUP(I32, 'Data Val'!$J$63:$M$67, 3, 0))*(1+I149)+I145, 0)</f>
        <v>791.31600000000003</v>
      </c>
      <c r="J142" s="253">
        <f>IFERROR((VLOOKUP(J32, 'Data Val'!$J$63:$M$67, 3, 0))*(1+J149)+J145, 0)</f>
        <v>791.31600000000003</v>
      </c>
      <c r="K142" s="253">
        <f>IFERROR((VLOOKUP(K32, 'Data Val'!$J$63:$M$67, 3, 0))*(1+K149)+K145, 0)</f>
        <v>791.31600000000003</v>
      </c>
      <c r="L142" s="253">
        <f>IFERROR((VLOOKUP(L32, 'Data Val'!$J$63:$M$67, 3, 0))*(1+L149)+L145, 0)</f>
        <v>791.31600000000003</v>
      </c>
      <c r="M142" s="253">
        <f>IFERROR((VLOOKUP(M32, 'Data Val'!$J$63:$M$67, 3, 0))*(1+M149)+M145, 0)</f>
        <v>791.31600000000003</v>
      </c>
      <c r="N142" s="253">
        <f>IFERROR((VLOOKUP(N32, 'Data Val'!$J$63:$M$67, 3, 0))*(1+N149)+N145, 0)</f>
        <v>791.31600000000003</v>
      </c>
      <c r="O142" s="253">
        <f>IFERROR((VLOOKUP(O32, 'Data Val'!$J$63:$M$67, 3, 0))*(1+O149)+O145, 0)</f>
        <v>972.28000000000009</v>
      </c>
      <c r="P142" s="253">
        <f>IFERROR((VLOOKUP(P32, 'Data Val'!$J$63:$M$67, 3, 0))*(1+P149)+P145, 0)</f>
        <v>972.28000000000009</v>
      </c>
      <c r="Q142" s="253">
        <f>IFERROR((VLOOKUP(Q32, 'Data Val'!$J$63:$M$67, 3, 0))*(1+Q149)+Q145, 0)</f>
        <v>972.28000000000009</v>
      </c>
      <c r="R142" s="253">
        <f>IFERROR((VLOOKUP(R32, 'Data Val'!$J$63:$M$67, 3, 0))*(1+R149)+R145, 0)</f>
        <v>972.28000000000009</v>
      </c>
      <c r="S142" s="253">
        <f>IFERROR((VLOOKUP(S32, 'Data Val'!$J$63:$M$67, 3, 0))*(1+S149)+S145, 0)</f>
        <v>747.48000000000013</v>
      </c>
      <c r="T142" s="253">
        <f>IFERROR((VLOOKUP(T32, 'Data Val'!$J$63:$M$67, 3, 0))*(1+T149)+T145, 0)</f>
        <v>773.33200000000011</v>
      </c>
      <c r="U142" s="253">
        <f>IFERROR((VLOOKUP(U32, 'Data Val'!$J$63:$M$67, 3, 0))*(1+U149)+U145, 0)</f>
        <v>747.48000000000013</v>
      </c>
      <c r="V142" s="253">
        <f>IFERROR((VLOOKUP(V32, 'Data Val'!$J$63:$M$67, 3, 0))*(1+V149)+V145, 0)</f>
        <v>747.48000000000013</v>
      </c>
      <c r="W142" s="253">
        <f>IFERROR((VLOOKUP(W32, 'Data Val'!$J$63:$M$67, 3, 0))*(1+W149)+W145, 0)</f>
        <v>747.48000000000013</v>
      </c>
      <c r="X142" s="253">
        <f>IFERROR((VLOOKUP(X32, 'Data Val'!$J$63:$M$67, 3, 0))*(1+X149)+X145, 0)</f>
        <v>747.48000000000013</v>
      </c>
      <c r="Y142" s="253">
        <f>IFERROR((VLOOKUP(Y32, 'Data Val'!$J$63:$M$67, 3, 0))*(1+Y149)+Y145, 0)</f>
        <v>747.48000000000013</v>
      </c>
      <c r="Z142" s="253">
        <f>IFERROR((VLOOKUP(Z32, 'Data Val'!$J$63:$M$67, 3, 0))*(1+Z149)+Z145, 0)</f>
        <v>747.48000000000013</v>
      </c>
      <c r="AA142" s="253">
        <f>IFERROR((VLOOKUP(AA32, 'Data Val'!$J$63:$M$67, 3, 0))*(1+AA149)+AA145, 0)</f>
        <v>747.48000000000013</v>
      </c>
      <c r="AB142" s="253">
        <f>IFERROR((VLOOKUP(AB32, 'Data Val'!$J$63:$M$67, 3, 0))*(1+AB149)+AB145, 0)</f>
        <v>773.33200000000011</v>
      </c>
      <c r="AC142" s="253">
        <f>IFERROR((VLOOKUP(AC32, 'Data Val'!$J$63:$M$67, 3, 0))*(1+AC149)+AC145, 0)</f>
        <v>791.31600000000003</v>
      </c>
      <c r="AD142" s="253">
        <f>IFERROR((VLOOKUP(AD32, 'Data Val'!$J$63:$M$67, 3, 0))*(1+AD149)+AD145, 0)</f>
        <v>791.31600000000003</v>
      </c>
      <c r="AE142" s="253">
        <f>IFERROR((VLOOKUP(AE32, 'Data Val'!$J$63:$M$67, 3, 0))*(1+AE149)+AE145, 0)</f>
        <v>972.28000000000009</v>
      </c>
      <c r="AF142" s="253">
        <f>IFERROR((VLOOKUP(AF32, 'Data Val'!$J$63:$M$67, 3, 0))*(1+AF149)+AF145, 0)</f>
        <v>747.48000000000013</v>
      </c>
      <c r="AG142" s="253">
        <f>IFERROR((VLOOKUP(AG32, 'Data Val'!$J$63:$M$67, 3, 0))*(1+AG149)+AG145, 0)</f>
        <v>747.48000000000013</v>
      </c>
      <c r="AH142" s="253">
        <f>IFERROR((VLOOKUP(AH32, 'Data Val'!$J$63:$M$67, 3, 0))*(1+AH149)+AH145, 0)</f>
        <v>747.48000000000013</v>
      </c>
      <c r="AI142" s="253">
        <f>IFERROR((VLOOKUP(AI32, 'Data Val'!$J$63:$M$67, 3, 0))*(1+AI149)+AI145, 0)</f>
        <v>747.48000000000013</v>
      </c>
      <c r="AJ142" s="253">
        <f>IFERROR((VLOOKUP(AJ32, 'Data Val'!$J$63:$M$67, 3, 0))*(1+AJ149)+AJ145, 0)</f>
        <v>0</v>
      </c>
      <c r="AK142" s="253">
        <f>IFERROR((VLOOKUP(AK32, 'Data Val'!$J$63:$M$67, 3, 0))*(1+AK149)+AK145, 0)</f>
        <v>0</v>
      </c>
      <c r="AL142" s="253">
        <f>IFERROR((VLOOKUP(AL32, 'Data Val'!$J$63:$M$67, 3, 0))*(1+AL149)+AL145, 0)</f>
        <v>0</v>
      </c>
      <c r="AM142" s="253">
        <f>IFERROR((VLOOKUP(AM32, 'Data Val'!$J$63:$M$67, 3, 0))*(1+AM149)+AM145, 0)</f>
        <v>0</v>
      </c>
      <c r="AN142" s="253">
        <f>IFERROR((VLOOKUP(AN32, 'Data Val'!$J$63:$M$67, 3, 0))*(1+AN149)+AN145, 0)</f>
        <v>0</v>
      </c>
      <c r="AO142" s="253">
        <f>IFERROR((VLOOKUP(AO32, 'Data Val'!$J$63:$M$67, 3, 0))*(1+AO149)+AO145, 0)</f>
        <v>0</v>
      </c>
      <c r="AP142" s="253">
        <f>IFERROR((VLOOKUP(AP32, 'Data Val'!$J$63:$M$67, 3, 0))*(1+AP149)+AP145, 0)</f>
        <v>0</v>
      </c>
      <c r="AQ142" s="253">
        <f>IFERROR((VLOOKUP(AQ32, 'Data Val'!$J$63:$M$67, 3, 0))*(1+AQ149)+AQ145, 0)</f>
        <v>0</v>
      </c>
      <c r="AR142" s="253">
        <f>IFERROR((VLOOKUP(AR32, 'Data Val'!$J$63:$M$67, 3, 0))*(1+AR149)+AR145, 0)</f>
        <v>0</v>
      </c>
      <c r="AS142" s="253">
        <f>IFERROR((VLOOKUP(AS32, 'Data Val'!$J$63:$M$67, 3, 0))*(1+AS149)+AS145, 0)</f>
        <v>0</v>
      </c>
      <c r="AT142" s="253">
        <f>IFERROR((VLOOKUP(AT32, 'Data Val'!$J$63:$M$67, 3, 0))*(1+AT149)+AT145, 0)</f>
        <v>0</v>
      </c>
      <c r="AU142" s="253">
        <f>IFERROR((VLOOKUP(AU32, 'Data Val'!$J$63:$M$67, 3, 0))*(1+AU149)+AU145, 0)</f>
        <v>0</v>
      </c>
      <c r="AV142" s="253">
        <f>IFERROR((VLOOKUP(AV32, 'Data Val'!$J$63:$M$67, 3, 0))*(1+AV149)+AV145, 0)</f>
        <v>0</v>
      </c>
      <c r="AW142" s="253">
        <f>IFERROR((VLOOKUP(AW32, 'Data Val'!$J$63:$M$67, 3, 0))*(1+AW149)+AW145, 0)</f>
        <v>0</v>
      </c>
      <c r="AX142" s="253">
        <f>IFERROR((VLOOKUP(AX32, 'Data Val'!$J$63:$M$67, 3, 0))*(1+AX149)+AX145, 0)</f>
        <v>0</v>
      </c>
      <c r="AY142" s="253">
        <f>IFERROR((VLOOKUP(AY32, 'Data Val'!$J$63:$M$67, 3, 0))*(1+AY149)+AY145, 0)</f>
        <v>0</v>
      </c>
      <c r="AZ142" s="253">
        <f>IFERROR((VLOOKUP(AZ32, 'Data Val'!$J$63:$M$67, 3, 0))*(1+AZ149)+AZ145, 0)</f>
        <v>0</v>
      </c>
      <c r="BA142" s="118" cm="1">
        <f t="array" aca="1" ref="BA142" ca="1">IFERROR(INDIRECT(BA32&amp;"BaseDEF")*(1+BA149)+BA145, 0)</f>
        <v>0</v>
      </c>
      <c r="BB142" s="118" cm="1">
        <f t="array" aca="1" ref="BB142" ca="1">IFERROR(INDIRECT(BB32&amp;"BaseDEF")*(1+BB149)+BB145, 0)</f>
        <v>0</v>
      </c>
      <c r="BC142" s="118" cm="1">
        <f t="array" aca="1" ref="BC142" ca="1">IFERROR(INDIRECT(BC32&amp;"BaseDEF")*(1+BC149)+BC145, 0)</f>
        <v>0</v>
      </c>
      <c r="BD142" s="118" cm="1">
        <f t="array" aca="1" ref="BD142" ca="1">IFERROR(INDIRECT(BD32&amp;"BaseDEF")*(1+BD149)+BD145, 0)</f>
        <v>0</v>
      </c>
      <c r="BE142" s="118" cm="1">
        <f t="array" aca="1" ref="BE142" ca="1">IFERROR(INDIRECT(BE32&amp;"BaseDEF")*(1+BE149)+BE145, 0)</f>
        <v>0</v>
      </c>
      <c r="BF142" s="118" cm="1">
        <f t="array" aca="1" ref="BF142" ca="1">IFERROR(INDIRECT(BF32&amp;"BaseDEF")*(1+BF149)+BF145, 0)</f>
        <v>0</v>
      </c>
      <c r="BG142" s="118" cm="1">
        <f t="array" aca="1" ref="BG142" ca="1">IFERROR(INDIRECT(BG32&amp;"BaseDEF")*(1+BG149)+BG145, 0)</f>
        <v>0</v>
      </c>
      <c r="BH142" s="118" cm="1">
        <f t="array" aca="1" ref="BH142" ca="1">IFERROR(INDIRECT(BH32&amp;"BaseDEF")*(1+BH149)+BH145, 0)</f>
        <v>0</v>
      </c>
      <c r="BI142" s="118"/>
      <c r="BJ142" s="118"/>
      <c r="BK142" s="118"/>
      <c r="BL142" s="118"/>
      <c r="BM142" s="118"/>
      <c r="BN142" s="118"/>
      <c r="BO142" s="118"/>
      <c r="BP142" s="118"/>
      <c r="BQ142" s="118"/>
      <c r="BR142" s="118"/>
      <c r="BS142" s="118"/>
      <c r="BT142" s="118"/>
      <c r="BU142" s="118"/>
      <c r="BV142" s="118"/>
      <c r="BW142" s="118"/>
      <c r="BX142" s="118"/>
      <c r="BY142" s="118"/>
      <c r="BZ142" s="118"/>
      <c r="CA142" s="118"/>
      <c r="CB142" s="118"/>
      <c r="CC142" s="118"/>
      <c r="CD142" s="118"/>
      <c r="CE142" s="118"/>
      <c r="CF142" s="118"/>
      <c r="CG142" s="118"/>
      <c r="CH142" s="118"/>
      <c r="CI142" s="118"/>
      <c r="CJ142" s="118"/>
      <c r="CK142" s="118"/>
      <c r="CL142" s="118"/>
      <c r="CM142" s="118"/>
      <c r="CN142" s="118"/>
      <c r="CO142" s="118"/>
      <c r="CP142" s="118"/>
      <c r="CQ142" s="118"/>
      <c r="CR142" s="118"/>
      <c r="CS142" s="118"/>
      <c r="CT142" s="118"/>
      <c r="CU142" s="118"/>
      <c r="CV142" s="118"/>
      <c r="CW142" s="118"/>
      <c r="CX142" s="118"/>
      <c r="CY142" s="118"/>
      <c r="CZ142" s="118"/>
      <c r="DA142" s="118"/>
      <c r="DB142" s="118"/>
      <c r="DC142" s="118"/>
    </row>
    <row r="143" spans="1:107" s="105" customFormat="1" hidden="1" outlineLevel="1" x14ac:dyDescent="0.25">
      <c r="A143" s="117" t="s">
        <v>223</v>
      </c>
      <c r="B143" s="105">
        <f>IFERROR((VLOOKUP(B32, 'Data Val'!$J$63:$M$67, 4, 0))*(1+B150)+B146, 0)</f>
        <v>16056.742399999999</v>
      </c>
      <c r="C143" s="105">
        <f>IFERROR((VLOOKUP(C32, 'Data Val'!$J$63:$M$67, 4, 0))*(1+C150)+C146, 0)</f>
        <v>23110.1698</v>
      </c>
      <c r="D143" s="105">
        <f>IFERROR((VLOOKUP(D32, 'Data Val'!$J$63:$M$67, 4, 0))*(1+D150)+D146, 0)</f>
        <v>16863.555199999999</v>
      </c>
      <c r="E143" s="105">
        <f>IFERROR((VLOOKUP(E32, 'Data Val'!$J$63:$M$67, 4, 0))*(1+E150)+E146, 0)</f>
        <v>16863.555199999999</v>
      </c>
      <c r="F143" s="105">
        <f>IFERROR((VLOOKUP(F32, 'Data Val'!$J$63:$M$67, 4, 0))*(1+F150)+F146, 0)</f>
        <v>16863.555199999999</v>
      </c>
      <c r="G143" s="105">
        <f>IFERROR((VLOOKUP(G32, 'Data Val'!$J$63:$M$67, 4, 0))*(1+G150)+G146, 0)</f>
        <v>16863.555199999999</v>
      </c>
      <c r="H143" s="105">
        <f>IFERROR((VLOOKUP(H32, 'Data Val'!$J$63:$M$67, 4, 0))*(1+H150)+H146, 0)</f>
        <v>19569.785599999999</v>
      </c>
      <c r="I143" s="105">
        <f>IFERROR((VLOOKUP(I32, 'Data Val'!$J$63:$M$67, 4, 0))*(1+I150)+I146, 0)</f>
        <v>16863.555199999999</v>
      </c>
      <c r="J143" s="105">
        <f>IFERROR((VLOOKUP(J32, 'Data Val'!$J$63:$M$67, 4, 0))*(1+J150)+J146, 0)</f>
        <v>16863.555199999999</v>
      </c>
      <c r="K143" s="105">
        <f>IFERROR((VLOOKUP(K32, 'Data Val'!$J$63:$M$67, 4, 0))*(1+K150)+K146, 0)</f>
        <v>16863.555199999999</v>
      </c>
      <c r="L143" s="105">
        <f>IFERROR((VLOOKUP(L32, 'Data Val'!$J$63:$M$67, 4, 0))*(1+L150)+L146, 0)</f>
        <v>16863.555199999999</v>
      </c>
      <c r="M143" s="105">
        <f>IFERROR((VLOOKUP(M32, 'Data Val'!$J$63:$M$67, 4, 0))*(1+M150)+M146, 0)</f>
        <v>16863.555199999999</v>
      </c>
      <c r="N143" s="105">
        <f>IFERROR((VLOOKUP(N32, 'Data Val'!$J$63:$M$67, 4, 0))*(1+N150)+N146, 0)</f>
        <v>16863.555199999999</v>
      </c>
      <c r="O143" s="105">
        <f>IFERROR((VLOOKUP(O32, 'Data Val'!$J$63:$M$67, 4, 0))*(1+O150)+O146, 0)</f>
        <v>19569.785599999999</v>
      </c>
      <c r="P143" s="105">
        <f>IFERROR((VLOOKUP(P32, 'Data Val'!$J$63:$M$67, 4, 0))*(1+P150)+P146, 0)</f>
        <v>19569.785599999999</v>
      </c>
      <c r="Q143" s="105">
        <f>IFERROR((VLOOKUP(Q32, 'Data Val'!$J$63:$M$67, 4, 0))*(1+Q150)+Q146, 0)</f>
        <v>19569.785599999999</v>
      </c>
      <c r="R143" s="105">
        <f>IFERROR((VLOOKUP(R32, 'Data Val'!$J$63:$M$67, 4, 0))*(1+R150)+R146, 0)</f>
        <v>19569.785599999999</v>
      </c>
      <c r="S143" s="105">
        <f>IFERROR((VLOOKUP(S32, 'Data Val'!$J$63:$M$67, 4, 0))*(1+S150)+S146, 0)</f>
        <v>16056.742399999999</v>
      </c>
      <c r="T143" s="105">
        <f>IFERROR((VLOOKUP(T32, 'Data Val'!$J$63:$M$67, 4, 0))*(1+T150)+T146, 0)</f>
        <v>23110.1698</v>
      </c>
      <c r="U143" s="105">
        <f>IFERROR((VLOOKUP(U32, 'Data Val'!$J$63:$M$67, 4, 0))*(1+U150)+U146, 0)</f>
        <v>16056.742399999999</v>
      </c>
      <c r="V143" s="105">
        <f>IFERROR((VLOOKUP(V32, 'Data Val'!$J$63:$M$67, 4, 0))*(1+V150)+V146, 0)</f>
        <v>16056.742399999999</v>
      </c>
      <c r="W143" s="105">
        <f>IFERROR((VLOOKUP(W32, 'Data Val'!$J$63:$M$67, 4, 0))*(1+W150)+W146, 0)</f>
        <v>16056.742399999999</v>
      </c>
      <c r="X143" s="105">
        <f>IFERROR((VLOOKUP(X32, 'Data Val'!$J$63:$M$67, 4, 0))*(1+X150)+X146, 0)</f>
        <v>16056.742399999999</v>
      </c>
      <c r="Y143" s="105">
        <f>IFERROR((VLOOKUP(Y32, 'Data Val'!$J$63:$M$67, 4, 0))*(1+Y150)+Y146, 0)</f>
        <v>16056.742399999999</v>
      </c>
      <c r="Z143" s="105">
        <f>IFERROR((VLOOKUP(Z32, 'Data Val'!$J$63:$M$67, 4, 0))*(1+Z150)+Z146, 0)</f>
        <v>16056.742399999999</v>
      </c>
      <c r="AA143" s="105">
        <f>IFERROR((VLOOKUP(AA32, 'Data Val'!$J$63:$M$67, 4, 0))*(1+AA150)+AA146, 0)</f>
        <v>16056.742399999999</v>
      </c>
      <c r="AB143" s="105">
        <f>IFERROR((VLOOKUP(AB32, 'Data Val'!$J$63:$M$67, 4, 0))*(1+AB150)+AB146, 0)</f>
        <v>23110.1698</v>
      </c>
      <c r="AC143" s="105">
        <f>IFERROR((VLOOKUP(AC32, 'Data Val'!$J$63:$M$67, 4, 0))*(1+AC150)+AC146, 0)</f>
        <v>16863.555199999999</v>
      </c>
      <c r="AD143" s="105">
        <f>IFERROR((VLOOKUP(AD32, 'Data Val'!$J$63:$M$67, 4, 0))*(1+AD150)+AD146, 0)</f>
        <v>16863.555199999999</v>
      </c>
      <c r="AE143" s="105">
        <f>IFERROR((VLOOKUP(AE32, 'Data Val'!$J$63:$M$67, 4, 0))*(1+AE150)+AE146, 0)</f>
        <v>19569.785599999999</v>
      </c>
      <c r="AF143" s="105">
        <f>IFERROR((VLOOKUP(AF32, 'Data Val'!$J$63:$M$67, 4, 0))*(1+AF150)+AF146, 0)</f>
        <v>16056.742399999999</v>
      </c>
      <c r="AG143" s="105">
        <f>IFERROR((VLOOKUP(AG32, 'Data Val'!$J$63:$M$67, 4, 0))*(1+AG150)+AG146, 0)</f>
        <v>16056.742399999999</v>
      </c>
      <c r="AH143" s="105">
        <f>IFERROR((VLOOKUP(AH32, 'Data Val'!$J$63:$M$67, 4, 0))*(1+AH150)+AH146, 0)</f>
        <v>16056.742399999999</v>
      </c>
      <c r="AI143" s="105">
        <f>IFERROR((VLOOKUP(AI32, 'Data Val'!$J$63:$M$67, 4, 0))*(1+AI150)+AI146, 0)</f>
        <v>16056.742399999999</v>
      </c>
      <c r="AJ143" s="105">
        <f>IFERROR((VLOOKUP(AJ32, 'Data Val'!$J$63:$M$67, 4, 0))*(1+AJ150)+AJ146, 0)</f>
        <v>0</v>
      </c>
      <c r="AK143" s="105">
        <f>IFERROR((VLOOKUP(AK32, 'Data Val'!$J$63:$M$67, 4, 0))*(1+AK150)+AK146, 0)</f>
        <v>0</v>
      </c>
      <c r="AL143" s="105">
        <f>IFERROR((VLOOKUP(AL32, 'Data Val'!$J$63:$M$67, 4, 0))*(1+AL150)+AL146, 0)</f>
        <v>0</v>
      </c>
      <c r="AM143" s="105">
        <f>IFERROR((VLOOKUP(AM32, 'Data Val'!$J$63:$M$67, 4, 0))*(1+AM150)+AM146, 0)</f>
        <v>0</v>
      </c>
      <c r="AN143" s="105">
        <f>IFERROR((VLOOKUP(AN32, 'Data Val'!$J$63:$M$67, 4, 0))*(1+AN150)+AN146, 0)</f>
        <v>0</v>
      </c>
      <c r="AO143" s="105">
        <f>IFERROR((VLOOKUP(AO32, 'Data Val'!$J$63:$M$67, 4, 0))*(1+AO150)+AO146, 0)</f>
        <v>0</v>
      </c>
      <c r="AP143" s="105">
        <f>IFERROR((VLOOKUP(AP32, 'Data Val'!$J$63:$M$67, 4, 0))*(1+AP150)+AP146, 0)</f>
        <v>0</v>
      </c>
      <c r="AQ143" s="105">
        <f>IFERROR((VLOOKUP(AQ32, 'Data Val'!$J$63:$M$67, 4, 0))*(1+AQ150)+AQ146, 0)</f>
        <v>0</v>
      </c>
      <c r="AR143" s="105">
        <f>IFERROR((VLOOKUP(AR32, 'Data Val'!$J$63:$M$67, 4, 0))*(1+AR150)+AR146, 0)</f>
        <v>0</v>
      </c>
      <c r="AS143" s="105">
        <f>IFERROR((VLOOKUP(AS32, 'Data Val'!$J$63:$M$67, 4, 0))*(1+AS150)+AS146, 0)</f>
        <v>0</v>
      </c>
      <c r="AT143" s="105">
        <f>IFERROR((VLOOKUP(AT32, 'Data Val'!$J$63:$M$67, 4, 0))*(1+AT150)+AT146, 0)</f>
        <v>0</v>
      </c>
      <c r="AU143" s="105">
        <f>IFERROR((VLOOKUP(AU32, 'Data Val'!$J$63:$M$67, 4, 0))*(1+AU150)+AU146, 0)</f>
        <v>0</v>
      </c>
      <c r="AV143" s="105">
        <f>IFERROR((VLOOKUP(AV32, 'Data Val'!$J$63:$M$67, 4, 0))*(1+AV150)+AV146, 0)</f>
        <v>0</v>
      </c>
      <c r="AW143" s="105">
        <f>IFERROR((VLOOKUP(AW32, 'Data Val'!$J$63:$M$67, 4, 0))*(1+AW150)+AW146, 0)</f>
        <v>0</v>
      </c>
      <c r="AX143" s="105">
        <f>IFERROR((VLOOKUP(AX32, 'Data Val'!$J$63:$M$67, 4, 0))*(1+AX150)+AX146, 0)</f>
        <v>0</v>
      </c>
      <c r="AY143" s="105">
        <f>IFERROR((VLOOKUP(AY32, 'Data Val'!$J$63:$M$67, 4, 0))*(1+AY150)+AY146, 0)</f>
        <v>0</v>
      </c>
      <c r="AZ143" s="105">
        <f>IFERROR((VLOOKUP(AZ32, 'Data Val'!$J$63:$M$67, 4, 0))*(1+AZ150)+AZ146, 0)</f>
        <v>0</v>
      </c>
      <c r="BA143" s="105" cm="1">
        <f t="array" aca="1" ref="BA143" ca="1">IFERROR(INDIRECT(BA32&amp;"BaseHP")*(1+BA150)+BA146,0)</f>
        <v>0</v>
      </c>
      <c r="BB143" s="105" cm="1">
        <f t="array" aca="1" ref="BB143" ca="1">IFERROR(INDIRECT(BB32&amp;"BaseHP")*(1+BB150)+BB146,0)</f>
        <v>0</v>
      </c>
      <c r="BC143" s="105" cm="1">
        <f t="array" aca="1" ref="BC143" ca="1">IFERROR(INDIRECT(BC32&amp;"BaseHP")*(1+BC150)+BC146,0)</f>
        <v>0</v>
      </c>
      <c r="BD143" s="105" cm="1">
        <f t="array" aca="1" ref="BD143" ca="1">IFERROR(INDIRECT(BD32&amp;"BaseHP")*(1+BD150)+BD146,0)</f>
        <v>0</v>
      </c>
      <c r="BE143" s="105" cm="1">
        <f t="array" aca="1" ref="BE143" ca="1">IFERROR(INDIRECT(BE32&amp;"BaseHP")*(1+BE150)+BE146,0)</f>
        <v>0</v>
      </c>
      <c r="BF143" s="105" cm="1">
        <f t="array" aca="1" ref="BF143" ca="1">IFERROR(INDIRECT(BF32&amp;"BaseHP")*(1+BF150)+BF146,0)</f>
        <v>0</v>
      </c>
      <c r="BG143" s="105" cm="1">
        <f t="array" aca="1" ref="BG143" ca="1">IFERROR(INDIRECT(BG32&amp;"BaseHP")*(1+BG150)+BG146,0)</f>
        <v>0</v>
      </c>
      <c r="BH143" s="105" cm="1">
        <f t="array" aca="1" ref="BH143" ca="1">IFERROR(INDIRECT(BH32&amp;"BaseHP")*(1+BH150)+BH146,0)</f>
        <v>0</v>
      </c>
    </row>
    <row r="144" spans="1:107" s="108" customFormat="1" hidden="1" outlineLevel="1" x14ac:dyDescent="0.25">
      <c r="A144" s="110" t="s">
        <v>62</v>
      </c>
      <c r="B144" s="108">
        <f t="shared" ref="B144:F150" si="11">B33+B87</f>
        <v>344.08</v>
      </c>
      <c r="C144" s="108">
        <f t="shared" si="11"/>
        <v>344.08</v>
      </c>
      <c r="D144" s="108">
        <f t="shared" si="11"/>
        <v>344.08</v>
      </c>
      <c r="E144" s="108">
        <f t="shared" ref="E144" si="12">E33+E87</f>
        <v>344.08</v>
      </c>
      <c r="F144" s="108">
        <f t="shared" si="11"/>
        <v>344.08</v>
      </c>
      <c r="G144" s="108">
        <f t="shared" ref="G144:G150" si="13">G33+G87</f>
        <v>344.08</v>
      </c>
      <c r="H144" s="108">
        <f t="shared" ref="H144:H189" si="14">H33+H87</f>
        <v>344.08</v>
      </c>
      <c r="I144" s="108">
        <f t="shared" ref="I144:K144" si="15">I33+I87</f>
        <v>344.08</v>
      </c>
      <c r="J144" s="108">
        <f t="shared" si="15"/>
        <v>344.08</v>
      </c>
      <c r="K144" s="108">
        <f t="shared" si="15"/>
        <v>344.08</v>
      </c>
      <c r="L144" s="108">
        <f t="shared" ref="L144" si="16">L33+L87</f>
        <v>344.08</v>
      </c>
      <c r="M144" s="108">
        <f t="shared" ref="M144" si="17">M33+M87</f>
        <v>344.08</v>
      </c>
      <c r="N144" s="108">
        <f t="shared" ref="N144:Q163" si="18">N33+N87</f>
        <v>344.08</v>
      </c>
      <c r="O144" s="108">
        <f t="shared" si="18"/>
        <v>344.08</v>
      </c>
      <c r="P144" s="108">
        <f t="shared" si="18"/>
        <v>344.08</v>
      </c>
      <c r="Q144" s="108">
        <f t="shared" si="18"/>
        <v>344.08</v>
      </c>
      <c r="R144" s="108">
        <f t="shared" ref="R144:AZ144" si="19">R33+R87</f>
        <v>344.08</v>
      </c>
      <c r="S144" s="108">
        <f t="shared" si="19"/>
        <v>344.08</v>
      </c>
      <c r="T144" s="108">
        <f t="shared" si="19"/>
        <v>344.08</v>
      </c>
      <c r="U144" s="108">
        <f t="shared" si="19"/>
        <v>344.08</v>
      </c>
      <c r="V144" s="108">
        <f t="shared" ref="V144:W144" si="20">V33+V87</f>
        <v>344.08</v>
      </c>
      <c r="W144" s="108">
        <f t="shared" si="20"/>
        <v>344.08</v>
      </c>
      <c r="X144" s="108">
        <f t="shared" ref="X144:Y144" si="21">X33+X87</f>
        <v>344.08</v>
      </c>
      <c r="Y144" s="108">
        <f t="shared" si="21"/>
        <v>344.08</v>
      </c>
      <c r="Z144" s="108">
        <f t="shared" ref="Z144:AA144" si="22">Z33+Z87</f>
        <v>344.08</v>
      </c>
      <c r="AA144" s="108">
        <f t="shared" si="22"/>
        <v>344.08</v>
      </c>
      <c r="AB144" s="108">
        <f t="shared" si="19"/>
        <v>344.08</v>
      </c>
      <c r="AC144" s="108">
        <f t="shared" si="19"/>
        <v>344.08</v>
      </c>
      <c r="AD144" s="108">
        <f t="shared" si="19"/>
        <v>344.08</v>
      </c>
      <c r="AE144" s="108">
        <f t="shared" si="19"/>
        <v>344.08</v>
      </c>
      <c r="AF144" s="108">
        <f t="shared" si="19"/>
        <v>344.08</v>
      </c>
      <c r="AG144" s="108">
        <f t="shared" ref="AG144:AI144" si="23">AG33+AG87</f>
        <v>344.08</v>
      </c>
      <c r="AH144" s="108">
        <f t="shared" si="23"/>
        <v>344.08</v>
      </c>
      <c r="AI144" s="108">
        <f t="shared" si="23"/>
        <v>344.08</v>
      </c>
      <c r="AJ144" s="108" t="e">
        <f t="shared" si="19"/>
        <v>#N/A</v>
      </c>
      <c r="AK144" s="108" t="e">
        <f t="shared" si="19"/>
        <v>#N/A</v>
      </c>
      <c r="AL144" s="108" t="e">
        <f t="shared" si="19"/>
        <v>#N/A</v>
      </c>
      <c r="AM144" s="108" t="e">
        <f t="shared" si="19"/>
        <v>#N/A</v>
      </c>
      <c r="AN144" s="108" t="e">
        <f t="shared" si="19"/>
        <v>#N/A</v>
      </c>
      <c r="AO144" s="108" t="e">
        <f t="shared" si="19"/>
        <v>#N/A</v>
      </c>
      <c r="AP144" s="108" t="e">
        <f t="shared" si="19"/>
        <v>#N/A</v>
      </c>
      <c r="AQ144" s="108" t="e">
        <f t="shared" si="19"/>
        <v>#N/A</v>
      </c>
      <c r="AR144" s="108" t="e">
        <f t="shared" si="19"/>
        <v>#N/A</v>
      </c>
      <c r="AS144" s="108" t="e">
        <f t="shared" si="19"/>
        <v>#N/A</v>
      </c>
      <c r="AT144" s="108" t="e">
        <f t="shared" si="19"/>
        <v>#N/A</v>
      </c>
      <c r="AU144" s="108" t="e">
        <f t="shared" si="19"/>
        <v>#N/A</v>
      </c>
      <c r="AV144" s="108" t="e">
        <f t="shared" si="19"/>
        <v>#N/A</v>
      </c>
      <c r="AW144" s="108" t="e">
        <f t="shared" si="19"/>
        <v>#N/A</v>
      </c>
      <c r="AX144" s="108" t="e">
        <f t="shared" si="19"/>
        <v>#N/A</v>
      </c>
      <c r="AY144" s="108" t="e">
        <f t="shared" si="19"/>
        <v>#N/A</v>
      </c>
      <c r="AZ144" s="108" t="e">
        <f t="shared" si="19"/>
        <v>#N/A</v>
      </c>
      <c r="BA144" s="108" t="e">
        <f t="shared" ref="BA144:BC144" si="24">BA33+BA87</f>
        <v>#N/A</v>
      </c>
      <c r="BB144" s="108" t="e">
        <f t="shared" ref="BB144" si="25">BB33+BB87</f>
        <v>#N/A</v>
      </c>
      <c r="BC144" s="108" t="e">
        <f t="shared" si="24"/>
        <v>#N/A</v>
      </c>
      <c r="BD144" s="108" t="e">
        <f t="shared" ref="BD144:BE144" si="26">BD33+BD87</f>
        <v>#N/A</v>
      </c>
      <c r="BE144" s="108" t="e">
        <f t="shared" si="26"/>
        <v>#N/A</v>
      </c>
      <c r="BF144" s="108" t="e">
        <f t="shared" ref="BF144:BG144" si="27">BF33+BF87</f>
        <v>#N/A</v>
      </c>
      <c r="BG144" s="108" t="e">
        <f t="shared" si="27"/>
        <v>#N/A</v>
      </c>
      <c r="BH144" s="108" t="e">
        <f t="shared" ref="BH144" si="28">BH33+BH87</f>
        <v>#N/A</v>
      </c>
      <c r="BI144" s="106"/>
      <c r="BJ144" s="106"/>
      <c r="BK144" s="106"/>
      <c r="BL144" s="106"/>
      <c r="BM144" s="106"/>
      <c r="BN144" s="106"/>
      <c r="BO144" s="106"/>
      <c r="BP144" s="106"/>
      <c r="BQ144" s="106"/>
      <c r="BR144" s="106"/>
      <c r="BS144" s="106"/>
      <c r="BT144" s="106"/>
      <c r="BU144" s="106"/>
      <c r="BV144" s="106"/>
      <c r="BW144" s="106"/>
      <c r="BX144" s="106"/>
      <c r="BY144" s="106"/>
      <c r="BZ144" s="106"/>
      <c r="CA144" s="106"/>
      <c r="CB144" s="106"/>
      <c r="CC144" s="106"/>
      <c r="CD144" s="106"/>
      <c r="CE144" s="106"/>
      <c r="CF144" s="106"/>
      <c r="CG144" s="106"/>
      <c r="CH144" s="106"/>
      <c r="CI144" s="106"/>
    </row>
    <row r="145" spans="1:107" s="107" customFormat="1" hidden="1" outlineLevel="1" x14ac:dyDescent="0.25">
      <c r="A145" s="110" t="s">
        <v>63</v>
      </c>
      <c r="B145" s="107">
        <f t="shared" si="11"/>
        <v>39.36</v>
      </c>
      <c r="C145" s="107">
        <f t="shared" si="11"/>
        <v>39.36</v>
      </c>
      <c r="D145" s="107">
        <f t="shared" si="11"/>
        <v>39.36</v>
      </c>
      <c r="E145" s="107">
        <f t="shared" ref="E145" si="29">E34+E88</f>
        <v>39.36</v>
      </c>
      <c r="F145" s="107">
        <f t="shared" si="11"/>
        <v>39.36</v>
      </c>
      <c r="G145" s="107">
        <f t="shared" si="13"/>
        <v>39.36</v>
      </c>
      <c r="H145" s="107">
        <f t="shared" si="14"/>
        <v>39.36</v>
      </c>
      <c r="I145" s="107">
        <f t="shared" ref="I145:K145" si="30">I34+I88</f>
        <v>39.36</v>
      </c>
      <c r="J145" s="107">
        <f t="shared" si="30"/>
        <v>39.36</v>
      </c>
      <c r="K145" s="107">
        <f t="shared" si="30"/>
        <v>39.36</v>
      </c>
      <c r="L145" s="107">
        <f t="shared" ref="L145" si="31">L34+L88</f>
        <v>39.36</v>
      </c>
      <c r="M145" s="107">
        <f t="shared" ref="M145" si="32">M34+M88</f>
        <v>39.36</v>
      </c>
      <c r="N145" s="107">
        <f t="shared" si="18"/>
        <v>39.36</v>
      </c>
      <c r="O145" s="107">
        <f t="shared" si="18"/>
        <v>39.36</v>
      </c>
      <c r="P145" s="107">
        <f t="shared" si="18"/>
        <v>39.36</v>
      </c>
      <c r="Q145" s="107">
        <f t="shared" si="18"/>
        <v>39.36</v>
      </c>
      <c r="R145" s="107">
        <f t="shared" ref="R145:AZ145" si="33">R34+R88</f>
        <v>39.36</v>
      </c>
      <c r="S145" s="107">
        <f t="shared" si="33"/>
        <v>39.36</v>
      </c>
      <c r="T145" s="107">
        <f t="shared" si="33"/>
        <v>39.36</v>
      </c>
      <c r="U145" s="107">
        <f t="shared" si="33"/>
        <v>39.36</v>
      </c>
      <c r="V145" s="107">
        <f t="shared" ref="V145:W145" si="34">V34+V88</f>
        <v>39.36</v>
      </c>
      <c r="W145" s="107">
        <f t="shared" si="34"/>
        <v>39.36</v>
      </c>
      <c r="X145" s="107">
        <f t="shared" ref="X145:Y145" si="35">X34+X88</f>
        <v>39.36</v>
      </c>
      <c r="Y145" s="107">
        <f t="shared" si="35"/>
        <v>39.36</v>
      </c>
      <c r="Z145" s="107">
        <f t="shared" ref="Z145:AA145" si="36">Z34+Z88</f>
        <v>39.36</v>
      </c>
      <c r="AA145" s="107">
        <f t="shared" si="36"/>
        <v>39.36</v>
      </c>
      <c r="AB145" s="107">
        <f t="shared" si="33"/>
        <v>39.36</v>
      </c>
      <c r="AC145" s="107">
        <f t="shared" si="33"/>
        <v>39.36</v>
      </c>
      <c r="AD145" s="107">
        <f t="shared" si="33"/>
        <v>39.36</v>
      </c>
      <c r="AE145" s="107">
        <f t="shared" si="33"/>
        <v>39.36</v>
      </c>
      <c r="AF145" s="107">
        <f t="shared" si="33"/>
        <v>39.36</v>
      </c>
      <c r="AG145" s="107">
        <f t="shared" ref="AG145:AI145" si="37">AG34+AG88</f>
        <v>39.36</v>
      </c>
      <c r="AH145" s="107">
        <f t="shared" si="37"/>
        <v>39.36</v>
      </c>
      <c r="AI145" s="107">
        <f t="shared" si="37"/>
        <v>39.36</v>
      </c>
      <c r="AJ145" s="107" t="e">
        <f t="shared" si="33"/>
        <v>#N/A</v>
      </c>
      <c r="AK145" s="107" t="e">
        <f t="shared" si="33"/>
        <v>#N/A</v>
      </c>
      <c r="AL145" s="107" t="e">
        <f t="shared" si="33"/>
        <v>#N/A</v>
      </c>
      <c r="AM145" s="107" t="e">
        <f t="shared" si="33"/>
        <v>#N/A</v>
      </c>
      <c r="AN145" s="107" t="e">
        <f t="shared" si="33"/>
        <v>#N/A</v>
      </c>
      <c r="AO145" s="107" t="e">
        <f t="shared" si="33"/>
        <v>#N/A</v>
      </c>
      <c r="AP145" s="107" t="e">
        <f t="shared" si="33"/>
        <v>#N/A</v>
      </c>
      <c r="AQ145" s="107" t="e">
        <f t="shared" si="33"/>
        <v>#N/A</v>
      </c>
      <c r="AR145" s="107" t="e">
        <f t="shared" si="33"/>
        <v>#N/A</v>
      </c>
      <c r="AS145" s="107" t="e">
        <f t="shared" si="33"/>
        <v>#N/A</v>
      </c>
      <c r="AT145" s="107" t="e">
        <f t="shared" si="33"/>
        <v>#N/A</v>
      </c>
      <c r="AU145" s="107" t="e">
        <f t="shared" si="33"/>
        <v>#N/A</v>
      </c>
      <c r="AV145" s="107" t="e">
        <f t="shared" si="33"/>
        <v>#N/A</v>
      </c>
      <c r="AW145" s="107" t="e">
        <f t="shared" si="33"/>
        <v>#N/A</v>
      </c>
      <c r="AX145" s="107" t="e">
        <f t="shared" si="33"/>
        <v>#N/A</v>
      </c>
      <c r="AY145" s="107" t="e">
        <f t="shared" si="33"/>
        <v>#N/A</v>
      </c>
      <c r="AZ145" s="107" t="e">
        <f t="shared" si="33"/>
        <v>#N/A</v>
      </c>
      <c r="BA145" s="107" t="e">
        <f t="shared" ref="BA145:BC145" si="38">BA34+BA88</f>
        <v>#N/A</v>
      </c>
      <c r="BB145" s="107" t="e">
        <f t="shared" ref="BB145" si="39">BB34+BB88</f>
        <v>#N/A</v>
      </c>
      <c r="BC145" s="107" t="e">
        <f t="shared" si="38"/>
        <v>#N/A</v>
      </c>
      <c r="BD145" s="107" t="e">
        <f t="shared" ref="BD145:BE145" si="40">BD34+BD88</f>
        <v>#N/A</v>
      </c>
      <c r="BE145" s="107" t="e">
        <f t="shared" si="40"/>
        <v>#N/A</v>
      </c>
      <c r="BF145" s="107" t="e">
        <f t="shared" ref="BF145:BG145" si="41">BF34+BF88</f>
        <v>#N/A</v>
      </c>
      <c r="BG145" s="107" t="e">
        <f t="shared" si="41"/>
        <v>#N/A</v>
      </c>
      <c r="BH145" s="107" t="e">
        <f t="shared" ref="BH145" si="42">BH34+BH88</f>
        <v>#N/A</v>
      </c>
    </row>
    <row r="146" spans="1:107" s="106" customFormat="1" hidden="1" outlineLevel="1" x14ac:dyDescent="0.25">
      <c r="A146" s="110" t="s">
        <v>64</v>
      </c>
      <c r="B146" s="106">
        <f t="shared" si="11"/>
        <v>5287.88</v>
      </c>
      <c r="C146" s="106">
        <f t="shared" si="11"/>
        <v>5287.88</v>
      </c>
      <c r="D146" s="106">
        <f t="shared" si="11"/>
        <v>5287.88</v>
      </c>
      <c r="E146" s="106">
        <f t="shared" ref="E146" si="43">E35+E89</f>
        <v>5287.88</v>
      </c>
      <c r="F146" s="106">
        <f t="shared" si="11"/>
        <v>5287.88</v>
      </c>
      <c r="G146" s="106">
        <f t="shared" si="13"/>
        <v>5287.88</v>
      </c>
      <c r="H146" s="106">
        <f t="shared" si="14"/>
        <v>5287.88</v>
      </c>
      <c r="I146" s="106">
        <f t="shared" ref="I146:K146" si="44">I35+I89</f>
        <v>5287.88</v>
      </c>
      <c r="J146" s="106">
        <f t="shared" si="44"/>
        <v>5287.88</v>
      </c>
      <c r="K146" s="106">
        <f t="shared" si="44"/>
        <v>5287.88</v>
      </c>
      <c r="L146" s="106">
        <f t="shared" ref="L146" si="45">L35+L89</f>
        <v>5287.88</v>
      </c>
      <c r="M146" s="106">
        <f t="shared" ref="M146" si="46">M35+M89</f>
        <v>5287.88</v>
      </c>
      <c r="N146" s="106">
        <f t="shared" si="18"/>
        <v>5287.88</v>
      </c>
      <c r="O146" s="106">
        <f t="shared" si="18"/>
        <v>5287.88</v>
      </c>
      <c r="P146" s="106">
        <f t="shared" si="18"/>
        <v>5287.88</v>
      </c>
      <c r="Q146" s="106">
        <f t="shared" si="18"/>
        <v>5287.88</v>
      </c>
      <c r="R146" s="106">
        <f t="shared" ref="R146:AZ146" si="47">R35+R89</f>
        <v>5287.88</v>
      </c>
      <c r="S146" s="106">
        <f t="shared" si="47"/>
        <v>5287.88</v>
      </c>
      <c r="T146" s="106">
        <f t="shared" si="47"/>
        <v>5287.88</v>
      </c>
      <c r="U146" s="106">
        <f t="shared" si="47"/>
        <v>5287.88</v>
      </c>
      <c r="V146" s="106">
        <f t="shared" ref="V146:W146" si="48">V35+V89</f>
        <v>5287.88</v>
      </c>
      <c r="W146" s="106">
        <f t="shared" si="48"/>
        <v>5287.88</v>
      </c>
      <c r="X146" s="106">
        <f t="shared" ref="X146:Y146" si="49">X35+X89</f>
        <v>5287.88</v>
      </c>
      <c r="Y146" s="106">
        <f t="shared" si="49"/>
        <v>5287.88</v>
      </c>
      <c r="Z146" s="106">
        <f t="shared" ref="Z146:AA146" si="50">Z35+Z89</f>
        <v>5287.88</v>
      </c>
      <c r="AA146" s="106">
        <f t="shared" si="50"/>
        <v>5287.88</v>
      </c>
      <c r="AB146" s="106">
        <f t="shared" si="47"/>
        <v>5287.88</v>
      </c>
      <c r="AC146" s="106">
        <f t="shared" si="47"/>
        <v>5287.88</v>
      </c>
      <c r="AD146" s="106">
        <f t="shared" si="47"/>
        <v>5287.88</v>
      </c>
      <c r="AE146" s="106">
        <f t="shared" si="47"/>
        <v>5287.88</v>
      </c>
      <c r="AF146" s="106">
        <f t="shared" si="47"/>
        <v>5287.88</v>
      </c>
      <c r="AG146" s="106">
        <f t="shared" ref="AG146:AI146" si="51">AG35+AG89</f>
        <v>5287.88</v>
      </c>
      <c r="AH146" s="106">
        <f t="shared" si="51"/>
        <v>5287.88</v>
      </c>
      <c r="AI146" s="106">
        <f t="shared" si="51"/>
        <v>5287.88</v>
      </c>
      <c r="AJ146" s="106" t="e">
        <f t="shared" si="47"/>
        <v>#N/A</v>
      </c>
      <c r="AK146" s="106" t="e">
        <f t="shared" si="47"/>
        <v>#N/A</v>
      </c>
      <c r="AL146" s="106" t="e">
        <f t="shared" si="47"/>
        <v>#N/A</v>
      </c>
      <c r="AM146" s="106" t="e">
        <f t="shared" si="47"/>
        <v>#N/A</v>
      </c>
      <c r="AN146" s="106" t="e">
        <f t="shared" si="47"/>
        <v>#N/A</v>
      </c>
      <c r="AO146" s="106" t="e">
        <f t="shared" si="47"/>
        <v>#N/A</v>
      </c>
      <c r="AP146" s="106" t="e">
        <f t="shared" si="47"/>
        <v>#N/A</v>
      </c>
      <c r="AQ146" s="106" t="e">
        <f t="shared" si="47"/>
        <v>#N/A</v>
      </c>
      <c r="AR146" s="106" t="e">
        <f t="shared" si="47"/>
        <v>#N/A</v>
      </c>
      <c r="AS146" s="106" t="e">
        <f t="shared" si="47"/>
        <v>#N/A</v>
      </c>
      <c r="AT146" s="106" t="e">
        <f t="shared" si="47"/>
        <v>#N/A</v>
      </c>
      <c r="AU146" s="106" t="e">
        <f t="shared" si="47"/>
        <v>#N/A</v>
      </c>
      <c r="AV146" s="106" t="e">
        <f t="shared" si="47"/>
        <v>#N/A</v>
      </c>
      <c r="AW146" s="106" t="e">
        <f t="shared" si="47"/>
        <v>#N/A</v>
      </c>
      <c r="AX146" s="106" t="e">
        <f t="shared" si="47"/>
        <v>#N/A</v>
      </c>
      <c r="AY146" s="106" t="e">
        <f t="shared" si="47"/>
        <v>#N/A</v>
      </c>
      <c r="AZ146" s="106" t="e">
        <f t="shared" si="47"/>
        <v>#N/A</v>
      </c>
      <c r="BA146" s="106" t="e">
        <f t="shared" ref="BA146:BC146" si="52">BA35+BA89</f>
        <v>#N/A</v>
      </c>
      <c r="BB146" s="106" t="e">
        <f t="shared" ref="BB146" si="53">BB35+BB89</f>
        <v>#N/A</v>
      </c>
      <c r="BC146" s="106" t="e">
        <f t="shared" si="52"/>
        <v>#N/A</v>
      </c>
      <c r="BD146" s="106" t="e">
        <f t="shared" ref="BD146:BE146" si="54">BD35+BD89</f>
        <v>#N/A</v>
      </c>
      <c r="BE146" s="106" t="e">
        <f t="shared" si="54"/>
        <v>#N/A</v>
      </c>
      <c r="BF146" s="106" t="e">
        <f t="shared" ref="BF146:BG146" si="55">BF35+BF89</f>
        <v>#N/A</v>
      </c>
      <c r="BG146" s="106" t="e">
        <f t="shared" si="55"/>
        <v>#N/A</v>
      </c>
      <c r="BH146" s="106" t="e">
        <f t="shared" ref="BH146" si="56">BH35+BH89</f>
        <v>#N/A</v>
      </c>
    </row>
    <row r="147" spans="1:107" s="107" customFormat="1" hidden="1" outlineLevel="1" x14ac:dyDescent="0.25">
      <c r="A147" s="110" t="s">
        <v>69</v>
      </c>
      <c r="B147" s="107">
        <f t="shared" si="11"/>
        <v>39.64</v>
      </c>
      <c r="C147" s="107">
        <f t="shared" si="11"/>
        <v>39.64</v>
      </c>
      <c r="D147" s="107">
        <f t="shared" si="11"/>
        <v>679.92</v>
      </c>
      <c r="E147" s="107">
        <f t="shared" ref="E147" si="57">E36+E90</f>
        <v>679.92</v>
      </c>
      <c r="F147" s="107">
        <f t="shared" si="11"/>
        <v>679.92</v>
      </c>
      <c r="G147" s="107">
        <f t="shared" si="13"/>
        <v>679.92</v>
      </c>
      <c r="H147" s="107">
        <f t="shared" si="14"/>
        <v>39.64</v>
      </c>
      <c r="I147" s="107">
        <f t="shared" ref="I147:K147" si="58">I36+I90</f>
        <v>679.92</v>
      </c>
      <c r="J147" s="107">
        <f t="shared" si="58"/>
        <v>679.92</v>
      </c>
      <c r="K147" s="107">
        <f t="shared" si="58"/>
        <v>679.92</v>
      </c>
      <c r="L147" s="107">
        <f t="shared" ref="L147" si="59">L36+L90</f>
        <v>679.92</v>
      </c>
      <c r="M147" s="107">
        <f t="shared" ref="M147" si="60">M36+M90</f>
        <v>679.92</v>
      </c>
      <c r="N147" s="107">
        <f t="shared" si="18"/>
        <v>679.92</v>
      </c>
      <c r="O147" s="107">
        <f t="shared" si="18"/>
        <v>39.64</v>
      </c>
      <c r="P147" s="107">
        <f t="shared" si="18"/>
        <v>39.64</v>
      </c>
      <c r="Q147" s="107">
        <f t="shared" si="18"/>
        <v>39.64</v>
      </c>
      <c r="R147" s="107">
        <f t="shared" ref="R147:AZ147" si="61">R36+R90</f>
        <v>39.64</v>
      </c>
      <c r="S147" s="107">
        <f t="shared" si="61"/>
        <v>39.64</v>
      </c>
      <c r="T147" s="107">
        <f t="shared" si="61"/>
        <v>39.64</v>
      </c>
      <c r="U147" s="107">
        <f t="shared" si="61"/>
        <v>39.64</v>
      </c>
      <c r="V147" s="107">
        <f t="shared" ref="V147:W147" si="62">V36+V90</f>
        <v>39.64</v>
      </c>
      <c r="W147" s="107">
        <f t="shared" si="62"/>
        <v>39.64</v>
      </c>
      <c r="X147" s="107">
        <f t="shared" ref="X147:Y147" si="63">X36+X90</f>
        <v>39.64</v>
      </c>
      <c r="Y147" s="107">
        <f t="shared" si="63"/>
        <v>39.64</v>
      </c>
      <c r="Z147" s="107">
        <f t="shared" ref="Z147:AA147" si="64">Z36+Z90</f>
        <v>39.64</v>
      </c>
      <c r="AA147" s="107">
        <f t="shared" si="64"/>
        <v>39.64</v>
      </c>
      <c r="AB147" s="107">
        <f t="shared" si="61"/>
        <v>39.64</v>
      </c>
      <c r="AC147" s="107">
        <f t="shared" si="61"/>
        <v>679.92</v>
      </c>
      <c r="AD147" s="107">
        <f t="shared" si="61"/>
        <v>679.92</v>
      </c>
      <c r="AE147" s="107">
        <f t="shared" si="61"/>
        <v>39.64</v>
      </c>
      <c r="AF147" s="107">
        <f t="shared" si="61"/>
        <v>39.64</v>
      </c>
      <c r="AG147" s="107">
        <f t="shared" ref="AG147:AI147" si="65">AG36+AG90</f>
        <v>39.64</v>
      </c>
      <c r="AH147" s="107">
        <f t="shared" si="65"/>
        <v>39.64</v>
      </c>
      <c r="AI147" s="107">
        <f t="shared" si="65"/>
        <v>39.64</v>
      </c>
      <c r="AJ147" s="107" t="e">
        <f t="shared" si="61"/>
        <v>#N/A</v>
      </c>
      <c r="AK147" s="107" t="e">
        <f t="shared" si="61"/>
        <v>#N/A</v>
      </c>
      <c r="AL147" s="107" t="e">
        <f t="shared" si="61"/>
        <v>#N/A</v>
      </c>
      <c r="AM147" s="107" t="e">
        <f t="shared" si="61"/>
        <v>#N/A</v>
      </c>
      <c r="AN147" s="107" t="e">
        <f t="shared" si="61"/>
        <v>#N/A</v>
      </c>
      <c r="AO147" s="107" t="e">
        <f t="shared" si="61"/>
        <v>#N/A</v>
      </c>
      <c r="AP147" s="107" t="e">
        <f t="shared" si="61"/>
        <v>#N/A</v>
      </c>
      <c r="AQ147" s="107" t="e">
        <f t="shared" si="61"/>
        <v>#N/A</v>
      </c>
      <c r="AR147" s="107" t="e">
        <f t="shared" si="61"/>
        <v>#N/A</v>
      </c>
      <c r="AS147" s="107" t="e">
        <f t="shared" si="61"/>
        <v>#N/A</v>
      </c>
      <c r="AT147" s="107" t="e">
        <f t="shared" si="61"/>
        <v>#N/A</v>
      </c>
      <c r="AU147" s="107" t="e">
        <f t="shared" si="61"/>
        <v>#N/A</v>
      </c>
      <c r="AV147" s="107" t="e">
        <f t="shared" si="61"/>
        <v>#N/A</v>
      </c>
      <c r="AW147" s="107" t="e">
        <f t="shared" si="61"/>
        <v>#N/A</v>
      </c>
      <c r="AX147" s="107" t="e">
        <f t="shared" si="61"/>
        <v>#N/A</v>
      </c>
      <c r="AY147" s="107" t="e">
        <f t="shared" si="61"/>
        <v>#N/A</v>
      </c>
      <c r="AZ147" s="107" t="e">
        <f t="shared" si="61"/>
        <v>#N/A</v>
      </c>
      <c r="BA147" s="107" t="e">
        <f t="shared" ref="BA147:BC147" si="66">BA36+BA90</f>
        <v>#N/A</v>
      </c>
      <c r="BB147" s="107" t="e">
        <f t="shared" ref="BB147" si="67">BB36+BB90</f>
        <v>#N/A</v>
      </c>
      <c r="BC147" s="107" t="e">
        <f t="shared" si="66"/>
        <v>#N/A</v>
      </c>
      <c r="BD147" s="107" t="e">
        <f t="shared" ref="BD147:BE147" si="68">BD36+BD90</f>
        <v>#N/A</v>
      </c>
      <c r="BE147" s="107" t="e">
        <f t="shared" si="68"/>
        <v>#N/A</v>
      </c>
      <c r="BF147" s="107" t="e">
        <f t="shared" ref="BF147:BG147" si="69">BF36+BF90</f>
        <v>#N/A</v>
      </c>
      <c r="BG147" s="107" t="e">
        <f t="shared" si="69"/>
        <v>#N/A</v>
      </c>
      <c r="BH147" s="107" t="e">
        <f t="shared" ref="BH147" si="70">BH36+BH90</f>
        <v>#N/A</v>
      </c>
    </row>
    <row r="148" spans="1:107" s="106" customFormat="1" hidden="1" outlineLevel="1" x14ac:dyDescent="0.25">
      <c r="A148" s="110" t="s">
        <v>65</v>
      </c>
      <c r="B148" s="114">
        <f t="shared" si="11"/>
        <v>1.0773999999999999</v>
      </c>
      <c r="C148" s="114">
        <f t="shared" si="11"/>
        <v>0.81479999999999997</v>
      </c>
      <c r="D148" s="114">
        <f t="shared" si="11"/>
        <v>0.79519999999999991</v>
      </c>
      <c r="E148" s="114">
        <f t="shared" ref="E148" si="71">E37+E91</f>
        <v>0.59519999999999995</v>
      </c>
      <c r="F148" s="114">
        <f t="shared" si="11"/>
        <v>0.79519999999999991</v>
      </c>
      <c r="G148" s="114">
        <f t="shared" si="13"/>
        <v>0.79519999999999991</v>
      </c>
      <c r="H148" s="114">
        <f t="shared" ca="1" si="14"/>
        <v>1.9852000000000001</v>
      </c>
      <c r="I148" s="114">
        <f t="shared" ref="I148:K148" si="72">I37+I91</f>
        <v>0.79519999999999991</v>
      </c>
      <c r="J148" s="114">
        <f t="shared" si="72"/>
        <v>0.79519999999999991</v>
      </c>
      <c r="K148" s="114">
        <f t="shared" si="72"/>
        <v>0.79519999999999991</v>
      </c>
      <c r="L148" s="114">
        <f t="shared" ref="L148" si="73">L37+L91</f>
        <v>0.79519999999999991</v>
      </c>
      <c r="M148" s="114">
        <f t="shared" ref="M148" si="74">M37+M91</f>
        <v>0.59519999999999995</v>
      </c>
      <c r="N148" s="114">
        <f t="shared" si="18"/>
        <v>0.59519999999999995</v>
      </c>
      <c r="O148" s="114">
        <f t="shared" ca="1" si="18"/>
        <v>1.9852000000000001</v>
      </c>
      <c r="P148" s="114">
        <f t="shared" ca="1" si="18"/>
        <v>2.1852</v>
      </c>
      <c r="Q148" s="114">
        <f t="shared" ca="1" si="18"/>
        <v>2.1852</v>
      </c>
      <c r="R148" s="114">
        <f t="shared" ref="R148:AZ148" ca="1" si="75">R37+R91</f>
        <v>2.1852</v>
      </c>
      <c r="S148" s="114">
        <f t="shared" si="75"/>
        <v>1.0773999999999999</v>
      </c>
      <c r="T148" s="114">
        <f t="shared" si="75"/>
        <v>0.61480000000000001</v>
      </c>
      <c r="U148" s="114">
        <f t="shared" si="75"/>
        <v>1.4773999999999998</v>
      </c>
      <c r="V148" s="114">
        <f t="shared" ref="V148:W148" si="76">V37+V91</f>
        <v>1.4773999999999998</v>
      </c>
      <c r="W148" s="114">
        <f t="shared" si="76"/>
        <v>1.4773999999999998</v>
      </c>
      <c r="X148" s="114">
        <f t="shared" ref="X148:Y148" si="77">X37+X91</f>
        <v>1.4773999999999998</v>
      </c>
      <c r="Y148" s="114">
        <f t="shared" si="77"/>
        <v>1.4773999999999998</v>
      </c>
      <c r="Z148" s="114">
        <f t="shared" ref="Z148:AA148" si="78">Z37+Z91</f>
        <v>1.4773999999999998</v>
      </c>
      <c r="AA148" s="114">
        <f t="shared" si="78"/>
        <v>1.4773999999999998</v>
      </c>
      <c r="AB148" s="114">
        <f t="shared" si="75"/>
        <v>1.0148000000000001</v>
      </c>
      <c r="AC148" s="114">
        <f t="shared" si="75"/>
        <v>0.79519999999999991</v>
      </c>
      <c r="AD148" s="114">
        <f t="shared" si="75"/>
        <v>0.59519999999999995</v>
      </c>
      <c r="AE148" s="114">
        <f t="shared" ca="1" si="75"/>
        <v>1.9852000000000001</v>
      </c>
      <c r="AF148" s="114">
        <f t="shared" si="75"/>
        <v>1.2773999999999999</v>
      </c>
      <c r="AG148" s="114">
        <f t="shared" ref="AG148:AI148" si="79">AG37+AG91</f>
        <v>1.2773999999999999</v>
      </c>
      <c r="AH148" s="114">
        <f t="shared" si="79"/>
        <v>1.0773999999999999</v>
      </c>
      <c r="AI148" s="114">
        <f t="shared" si="79"/>
        <v>1.0773999999999999</v>
      </c>
      <c r="AJ148" s="114" t="e">
        <f t="shared" si="75"/>
        <v>#N/A</v>
      </c>
      <c r="AK148" s="114" t="e">
        <f t="shared" si="75"/>
        <v>#N/A</v>
      </c>
      <c r="AL148" s="114" t="e">
        <f t="shared" si="75"/>
        <v>#N/A</v>
      </c>
      <c r="AM148" s="114" t="e">
        <f t="shared" si="75"/>
        <v>#N/A</v>
      </c>
      <c r="AN148" s="114" t="e">
        <f t="shared" si="75"/>
        <v>#N/A</v>
      </c>
      <c r="AO148" s="114" t="e">
        <f t="shared" si="75"/>
        <v>#N/A</v>
      </c>
      <c r="AP148" s="114" t="e">
        <f t="shared" si="75"/>
        <v>#N/A</v>
      </c>
      <c r="AQ148" s="114" t="e">
        <f t="shared" si="75"/>
        <v>#N/A</v>
      </c>
      <c r="AR148" s="114" t="e">
        <f t="shared" si="75"/>
        <v>#N/A</v>
      </c>
      <c r="AS148" s="114" t="e">
        <f t="shared" si="75"/>
        <v>#N/A</v>
      </c>
      <c r="AT148" s="114" t="e">
        <f t="shared" si="75"/>
        <v>#N/A</v>
      </c>
      <c r="AU148" s="114" t="e">
        <f t="shared" si="75"/>
        <v>#N/A</v>
      </c>
      <c r="AV148" s="114" t="e">
        <f t="shared" si="75"/>
        <v>#N/A</v>
      </c>
      <c r="AW148" s="114" t="e">
        <f t="shared" si="75"/>
        <v>#N/A</v>
      </c>
      <c r="AX148" s="114" t="e">
        <f t="shared" si="75"/>
        <v>#N/A</v>
      </c>
      <c r="AY148" s="114" t="e">
        <f t="shared" si="75"/>
        <v>#N/A</v>
      </c>
      <c r="AZ148" s="114" t="e">
        <f t="shared" si="75"/>
        <v>#N/A</v>
      </c>
      <c r="BA148" s="114" t="e">
        <f t="shared" ref="BA148:BC148" si="80">BA37+BA91</f>
        <v>#N/A</v>
      </c>
      <c r="BB148" s="114" t="e">
        <f t="shared" ref="BB148" si="81">BB37+BB91</f>
        <v>#N/A</v>
      </c>
      <c r="BC148" s="114" t="e">
        <f t="shared" si="80"/>
        <v>#N/A</v>
      </c>
      <c r="BD148" s="114" t="e">
        <f t="shared" ref="BD148:BE148" si="82">BD37+BD91</f>
        <v>#N/A</v>
      </c>
      <c r="BE148" s="114" t="e">
        <f t="shared" si="82"/>
        <v>#N/A</v>
      </c>
      <c r="BF148" s="114" t="e">
        <f t="shared" ref="BF148:BG148" si="83">BF37+BF91</f>
        <v>#N/A</v>
      </c>
      <c r="BG148" s="114" t="e">
        <f t="shared" si="83"/>
        <v>#N/A</v>
      </c>
      <c r="BH148" s="114" t="e">
        <f t="shared" ref="BH148" si="84">BH37+BH91</f>
        <v>#N/A</v>
      </c>
      <c r="BI148" s="114"/>
      <c r="BJ148" s="114"/>
      <c r="BK148" s="114"/>
      <c r="BL148" s="114"/>
      <c r="BM148" s="114"/>
      <c r="BN148" s="114"/>
      <c r="BO148" s="114"/>
      <c r="BP148" s="114"/>
      <c r="BQ148" s="114"/>
      <c r="BR148" s="114"/>
      <c r="BS148" s="114"/>
      <c r="BT148" s="114"/>
      <c r="BU148" s="114"/>
      <c r="BV148" s="114"/>
      <c r="BW148" s="114"/>
      <c r="BX148" s="114"/>
      <c r="BY148" s="114"/>
      <c r="BZ148" s="114"/>
      <c r="CA148" s="114"/>
      <c r="CB148" s="114"/>
      <c r="CC148" s="114"/>
      <c r="CD148" s="114"/>
      <c r="CE148" s="114"/>
      <c r="CF148" s="114"/>
      <c r="CG148" s="114"/>
      <c r="CH148" s="114"/>
      <c r="CI148" s="114"/>
      <c r="CJ148" s="114"/>
      <c r="CK148" s="114"/>
      <c r="CL148" s="114"/>
      <c r="CM148" s="114"/>
      <c r="CN148" s="114"/>
      <c r="CO148" s="114"/>
      <c r="CP148" s="114"/>
      <c r="CQ148" s="114"/>
      <c r="CR148" s="114"/>
      <c r="CS148" s="114"/>
      <c r="CT148" s="114"/>
      <c r="CU148" s="114"/>
      <c r="CV148" s="114"/>
      <c r="CW148" s="114"/>
      <c r="CX148" s="114"/>
      <c r="CY148" s="114"/>
      <c r="CZ148" s="114"/>
      <c r="DA148" s="114"/>
      <c r="DB148" s="114"/>
      <c r="DC148" s="114"/>
    </row>
    <row r="149" spans="1:107" s="107" customFormat="1" hidden="1" outlineLevel="1" x14ac:dyDescent="0.25">
      <c r="A149" s="110" t="s">
        <v>66</v>
      </c>
      <c r="B149" s="115">
        <f t="shared" si="11"/>
        <v>0.124</v>
      </c>
      <c r="C149" s="115">
        <f t="shared" si="11"/>
        <v>0.124</v>
      </c>
      <c r="D149" s="115">
        <f t="shared" si="11"/>
        <v>0.124</v>
      </c>
      <c r="E149" s="115">
        <f t="shared" ref="E149" si="85">E38+E92</f>
        <v>0.124</v>
      </c>
      <c r="F149" s="115">
        <f t="shared" si="11"/>
        <v>0.124</v>
      </c>
      <c r="G149" s="115">
        <f t="shared" si="13"/>
        <v>0.124</v>
      </c>
      <c r="H149" s="115">
        <f t="shared" si="14"/>
        <v>0.124</v>
      </c>
      <c r="I149" s="115">
        <f t="shared" ref="I149:K149" si="86">I38+I92</f>
        <v>0.124</v>
      </c>
      <c r="J149" s="115">
        <f t="shared" si="86"/>
        <v>0.124</v>
      </c>
      <c r="K149" s="115">
        <f t="shared" si="86"/>
        <v>0.124</v>
      </c>
      <c r="L149" s="115">
        <f t="shared" ref="L149" si="87">L38+L92</f>
        <v>0.124</v>
      </c>
      <c r="M149" s="115">
        <f t="shared" ref="M149" si="88">M38+M92</f>
        <v>0.124</v>
      </c>
      <c r="N149" s="115">
        <f t="shared" si="18"/>
        <v>0.124</v>
      </c>
      <c r="O149" s="115">
        <f t="shared" si="18"/>
        <v>0.124</v>
      </c>
      <c r="P149" s="115">
        <f t="shared" si="18"/>
        <v>0.124</v>
      </c>
      <c r="Q149" s="115">
        <f t="shared" si="18"/>
        <v>0.124</v>
      </c>
      <c r="R149" s="115">
        <f t="shared" ref="R149:AZ149" si="89">R38+R92</f>
        <v>0.124</v>
      </c>
      <c r="S149" s="115">
        <f t="shared" si="89"/>
        <v>0.124</v>
      </c>
      <c r="T149" s="115">
        <f t="shared" si="89"/>
        <v>0.124</v>
      </c>
      <c r="U149" s="115">
        <f t="shared" si="89"/>
        <v>0.124</v>
      </c>
      <c r="V149" s="115">
        <f t="shared" ref="V149:W149" si="90">V38+V92</f>
        <v>0.124</v>
      </c>
      <c r="W149" s="115">
        <f t="shared" si="90"/>
        <v>0.124</v>
      </c>
      <c r="X149" s="115">
        <f t="shared" ref="X149:Y149" si="91">X38+X92</f>
        <v>0.124</v>
      </c>
      <c r="Y149" s="115">
        <f t="shared" si="91"/>
        <v>0.124</v>
      </c>
      <c r="Z149" s="115">
        <f t="shared" ref="Z149:AA149" si="92">Z38+Z92</f>
        <v>0.124</v>
      </c>
      <c r="AA149" s="115">
        <f t="shared" si="92"/>
        <v>0.124</v>
      </c>
      <c r="AB149" s="115">
        <f t="shared" si="89"/>
        <v>0.124</v>
      </c>
      <c r="AC149" s="115">
        <f t="shared" si="89"/>
        <v>0.124</v>
      </c>
      <c r="AD149" s="115">
        <f t="shared" si="89"/>
        <v>0.124</v>
      </c>
      <c r="AE149" s="115">
        <f t="shared" si="89"/>
        <v>0.124</v>
      </c>
      <c r="AF149" s="115">
        <f t="shared" si="89"/>
        <v>0.124</v>
      </c>
      <c r="AG149" s="115">
        <f t="shared" ref="AG149:AI149" si="93">AG38+AG92</f>
        <v>0.124</v>
      </c>
      <c r="AH149" s="115">
        <f t="shared" si="93"/>
        <v>0.124</v>
      </c>
      <c r="AI149" s="115">
        <f t="shared" si="93"/>
        <v>0.124</v>
      </c>
      <c r="AJ149" s="115" t="e">
        <f t="shared" si="89"/>
        <v>#N/A</v>
      </c>
      <c r="AK149" s="115" t="e">
        <f t="shared" si="89"/>
        <v>#N/A</v>
      </c>
      <c r="AL149" s="115" t="e">
        <f t="shared" si="89"/>
        <v>#N/A</v>
      </c>
      <c r="AM149" s="115" t="e">
        <f t="shared" si="89"/>
        <v>#N/A</v>
      </c>
      <c r="AN149" s="115" t="e">
        <f t="shared" si="89"/>
        <v>#N/A</v>
      </c>
      <c r="AO149" s="115" t="e">
        <f t="shared" si="89"/>
        <v>#N/A</v>
      </c>
      <c r="AP149" s="115" t="e">
        <f t="shared" si="89"/>
        <v>#N/A</v>
      </c>
      <c r="AQ149" s="115" t="e">
        <f t="shared" si="89"/>
        <v>#N/A</v>
      </c>
      <c r="AR149" s="115" t="e">
        <f t="shared" si="89"/>
        <v>#N/A</v>
      </c>
      <c r="AS149" s="115" t="e">
        <f t="shared" si="89"/>
        <v>#N/A</v>
      </c>
      <c r="AT149" s="115" t="e">
        <f t="shared" si="89"/>
        <v>#N/A</v>
      </c>
      <c r="AU149" s="115" t="e">
        <f t="shared" si="89"/>
        <v>#N/A</v>
      </c>
      <c r="AV149" s="115" t="e">
        <f t="shared" si="89"/>
        <v>#N/A</v>
      </c>
      <c r="AW149" s="115" t="e">
        <f t="shared" si="89"/>
        <v>#N/A</v>
      </c>
      <c r="AX149" s="115" t="e">
        <f t="shared" si="89"/>
        <v>#N/A</v>
      </c>
      <c r="AY149" s="115" t="e">
        <f t="shared" si="89"/>
        <v>#N/A</v>
      </c>
      <c r="AZ149" s="115" t="e">
        <f t="shared" si="89"/>
        <v>#N/A</v>
      </c>
      <c r="BA149" s="115" t="e">
        <f t="shared" ref="BA149:BC149" si="94">BA38+BA92</f>
        <v>#N/A</v>
      </c>
      <c r="BB149" s="115" t="e">
        <f t="shared" ref="BB149" si="95">BB38+BB92</f>
        <v>#N/A</v>
      </c>
      <c r="BC149" s="115" t="e">
        <f t="shared" si="94"/>
        <v>#N/A</v>
      </c>
      <c r="BD149" s="115" t="e">
        <f t="shared" ref="BD149:BE149" si="96">BD38+BD92</f>
        <v>#N/A</v>
      </c>
      <c r="BE149" s="115" t="e">
        <f t="shared" si="96"/>
        <v>#N/A</v>
      </c>
      <c r="BF149" s="115" t="e">
        <f t="shared" ref="BF149:BG149" si="97">BF38+BF92</f>
        <v>#N/A</v>
      </c>
      <c r="BG149" s="115" t="e">
        <f t="shared" si="97"/>
        <v>#N/A</v>
      </c>
      <c r="BH149" s="115" t="e">
        <f t="shared" ref="BH149" si="98">BH38+BH92</f>
        <v>#N/A</v>
      </c>
      <c r="BI149" s="115"/>
      <c r="BJ149" s="115"/>
      <c r="BK149" s="115"/>
      <c r="BL149" s="115"/>
      <c r="BM149" s="115"/>
      <c r="BN149" s="115"/>
      <c r="BO149" s="115"/>
      <c r="BP149" s="115"/>
      <c r="BQ149" s="115"/>
      <c r="BR149" s="115"/>
      <c r="BS149" s="115"/>
      <c r="BT149" s="115"/>
      <c r="BU149" s="115"/>
      <c r="BV149" s="115"/>
      <c r="BW149" s="115"/>
      <c r="BX149" s="115"/>
      <c r="BY149" s="115"/>
      <c r="BZ149" s="115"/>
      <c r="CA149" s="115"/>
      <c r="CB149" s="115"/>
      <c r="CC149" s="115"/>
      <c r="CD149" s="115"/>
      <c r="CE149" s="115"/>
      <c r="CF149" s="115"/>
      <c r="CG149" s="115"/>
      <c r="CH149" s="115"/>
      <c r="CI149" s="115"/>
      <c r="CJ149" s="115"/>
      <c r="CK149" s="115"/>
      <c r="CL149" s="115"/>
      <c r="CM149" s="115"/>
      <c r="CN149" s="115"/>
      <c r="CO149" s="115"/>
      <c r="CP149" s="115"/>
      <c r="CQ149" s="115"/>
      <c r="CR149" s="115"/>
      <c r="CS149" s="115"/>
      <c r="CT149" s="115"/>
      <c r="CU149" s="115"/>
      <c r="CV149" s="115"/>
      <c r="CW149" s="115"/>
      <c r="CX149" s="115"/>
      <c r="CY149" s="115"/>
      <c r="CZ149" s="115"/>
      <c r="DA149" s="115"/>
      <c r="DB149" s="115"/>
      <c r="DC149" s="115"/>
    </row>
    <row r="150" spans="1:107" s="106" customFormat="1" hidden="1" outlineLevel="1" x14ac:dyDescent="0.25">
      <c r="A150" s="110" t="s">
        <v>67</v>
      </c>
      <c r="B150" s="114">
        <f t="shared" si="11"/>
        <v>9.9199999999999997E-2</v>
      </c>
      <c r="C150" s="114">
        <f t="shared" si="11"/>
        <v>0.71219999999999994</v>
      </c>
      <c r="D150" s="114">
        <f t="shared" si="11"/>
        <v>9.9199999999999997E-2</v>
      </c>
      <c r="E150" s="114">
        <f t="shared" ref="E150" si="99">E39+E93</f>
        <v>9.9199999999999997E-2</v>
      </c>
      <c r="F150" s="114">
        <f t="shared" si="11"/>
        <v>9.9199999999999997E-2</v>
      </c>
      <c r="G150" s="114">
        <f t="shared" si="13"/>
        <v>9.9199999999999997E-2</v>
      </c>
      <c r="H150" s="114">
        <f t="shared" si="14"/>
        <v>9.9199999999999997E-2</v>
      </c>
      <c r="I150" s="114">
        <f t="shared" ref="I150:K150" si="100">I39+I93</f>
        <v>9.9199999999999997E-2</v>
      </c>
      <c r="J150" s="114">
        <f t="shared" si="100"/>
        <v>9.9199999999999997E-2</v>
      </c>
      <c r="K150" s="114">
        <f t="shared" si="100"/>
        <v>9.9199999999999997E-2</v>
      </c>
      <c r="L150" s="114">
        <f t="shared" ref="L150" si="101">L39+L93</f>
        <v>9.9199999999999997E-2</v>
      </c>
      <c r="M150" s="114">
        <f t="shared" ref="M150" si="102">M39+M93</f>
        <v>9.9199999999999997E-2</v>
      </c>
      <c r="N150" s="114">
        <f t="shared" si="18"/>
        <v>9.9199999999999997E-2</v>
      </c>
      <c r="O150" s="114">
        <f t="shared" si="18"/>
        <v>9.9199999999999997E-2</v>
      </c>
      <c r="P150" s="114">
        <f t="shared" si="18"/>
        <v>9.9199999999999997E-2</v>
      </c>
      <c r="Q150" s="114">
        <f t="shared" si="18"/>
        <v>9.9199999999999997E-2</v>
      </c>
      <c r="R150" s="114">
        <f t="shared" ref="R150:AZ150" si="103">R39+R93</f>
        <v>9.9199999999999997E-2</v>
      </c>
      <c r="S150" s="114">
        <f t="shared" si="103"/>
        <v>9.9199999999999997E-2</v>
      </c>
      <c r="T150" s="114">
        <f t="shared" si="103"/>
        <v>0.71219999999999994</v>
      </c>
      <c r="U150" s="114">
        <f t="shared" si="103"/>
        <v>9.9199999999999997E-2</v>
      </c>
      <c r="V150" s="114">
        <f t="shared" ref="V150:W150" si="104">V39+V93</f>
        <v>9.9199999999999997E-2</v>
      </c>
      <c r="W150" s="114">
        <f t="shared" si="104"/>
        <v>9.9199999999999997E-2</v>
      </c>
      <c r="X150" s="114">
        <f t="shared" ref="X150:Y150" si="105">X39+X93</f>
        <v>9.9199999999999997E-2</v>
      </c>
      <c r="Y150" s="114">
        <f t="shared" si="105"/>
        <v>9.9199999999999997E-2</v>
      </c>
      <c r="Z150" s="114">
        <f t="shared" ref="Z150:AA150" si="106">Z39+Z93</f>
        <v>9.9199999999999997E-2</v>
      </c>
      <c r="AA150" s="114">
        <f t="shared" si="106"/>
        <v>9.9199999999999997E-2</v>
      </c>
      <c r="AB150" s="114">
        <f t="shared" si="103"/>
        <v>0.71219999999999994</v>
      </c>
      <c r="AC150" s="114">
        <f t="shared" si="103"/>
        <v>9.9199999999999997E-2</v>
      </c>
      <c r="AD150" s="114">
        <f t="shared" si="103"/>
        <v>9.9199999999999997E-2</v>
      </c>
      <c r="AE150" s="114">
        <f t="shared" si="103"/>
        <v>9.9199999999999997E-2</v>
      </c>
      <c r="AF150" s="114">
        <f t="shared" si="103"/>
        <v>9.9199999999999997E-2</v>
      </c>
      <c r="AG150" s="114">
        <f t="shared" ref="AG150:AI150" si="107">AG39+AG93</f>
        <v>9.9199999999999997E-2</v>
      </c>
      <c r="AH150" s="114">
        <f t="shared" si="107"/>
        <v>9.9199999999999997E-2</v>
      </c>
      <c r="AI150" s="114">
        <f t="shared" si="107"/>
        <v>9.9199999999999997E-2</v>
      </c>
      <c r="AJ150" s="114" t="e">
        <f t="shared" si="103"/>
        <v>#N/A</v>
      </c>
      <c r="AK150" s="114" t="e">
        <f t="shared" si="103"/>
        <v>#N/A</v>
      </c>
      <c r="AL150" s="114" t="e">
        <f t="shared" si="103"/>
        <v>#N/A</v>
      </c>
      <c r="AM150" s="114" t="e">
        <f t="shared" si="103"/>
        <v>#N/A</v>
      </c>
      <c r="AN150" s="114" t="e">
        <f t="shared" si="103"/>
        <v>#N/A</v>
      </c>
      <c r="AO150" s="114" t="e">
        <f t="shared" si="103"/>
        <v>#N/A</v>
      </c>
      <c r="AP150" s="114" t="e">
        <f t="shared" si="103"/>
        <v>#N/A</v>
      </c>
      <c r="AQ150" s="114" t="e">
        <f t="shared" si="103"/>
        <v>#N/A</v>
      </c>
      <c r="AR150" s="114" t="e">
        <f t="shared" si="103"/>
        <v>#N/A</v>
      </c>
      <c r="AS150" s="114" t="e">
        <f t="shared" si="103"/>
        <v>#N/A</v>
      </c>
      <c r="AT150" s="114" t="e">
        <f t="shared" si="103"/>
        <v>#N/A</v>
      </c>
      <c r="AU150" s="114" t="e">
        <f t="shared" si="103"/>
        <v>#N/A</v>
      </c>
      <c r="AV150" s="114" t="e">
        <f t="shared" si="103"/>
        <v>#N/A</v>
      </c>
      <c r="AW150" s="114" t="e">
        <f t="shared" si="103"/>
        <v>#N/A</v>
      </c>
      <c r="AX150" s="114" t="e">
        <f t="shared" si="103"/>
        <v>#N/A</v>
      </c>
      <c r="AY150" s="114" t="e">
        <f t="shared" si="103"/>
        <v>#N/A</v>
      </c>
      <c r="AZ150" s="114" t="e">
        <f t="shared" si="103"/>
        <v>#N/A</v>
      </c>
      <c r="BA150" s="114" t="e">
        <f t="shared" ref="BA150:BC150" si="108">BA39+BA93</f>
        <v>#N/A</v>
      </c>
      <c r="BB150" s="114" t="e">
        <f t="shared" ref="BB150" si="109">BB39+BB93</f>
        <v>#N/A</v>
      </c>
      <c r="BC150" s="114" t="e">
        <f t="shared" si="108"/>
        <v>#N/A</v>
      </c>
      <c r="BD150" s="114" t="e">
        <f t="shared" ref="BD150:BE150" si="110">BD39+BD93</f>
        <v>#N/A</v>
      </c>
      <c r="BE150" s="114" t="e">
        <f t="shared" si="110"/>
        <v>#N/A</v>
      </c>
      <c r="BF150" s="114" t="e">
        <f t="shared" ref="BF150:BG150" si="111">BF39+BF93</f>
        <v>#N/A</v>
      </c>
      <c r="BG150" s="114" t="e">
        <f t="shared" si="111"/>
        <v>#N/A</v>
      </c>
      <c r="BH150" s="114" t="e">
        <f t="shared" ref="BH150" si="112">BH39+BH93</f>
        <v>#N/A</v>
      </c>
      <c r="BI150" s="114"/>
      <c r="BJ150" s="114"/>
      <c r="BK150" s="114"/>
      <c r="BL150" s="114"/>
      <c r="BM150" s="114"/>
      <c r="BN150" s="114"/>
      <c r="BO150" s="114"/>
      <c r="BP150" s="114"/>
      <c r="BQ150" s="114"/>
      <c r="BR150" s="114"/>
      <c r="BS150" s="114"/>
      <c r="BT150" s="114"/>
      <c r="BU150" s="114"/>
      <c r="BV150" s="114"/>
      <c r="BW150" s="114"/>
      <c r="BX150" s="114"/>
      <c r="BY150" s="114"/>
      <c r="BZ150" s="114"/>
      <c r="CA150" s="114"/>
      <c r="CB150" s="114"/>
      <c r="CC150" s="114"/>
      <c r="CD150" s="114"/>
      <c r="CE150" s="114"/>
      <c r="CF150" s="114"/>
      <c r="CG150" s="114"/>
      <c r="CH150" s="114"/>
      <c r="CI150" s="114"/>
      <c r="CJ150" s="114"/>
      <c r="CK150" s="114"/>
      <c r="CL150" s="114"/>
      <c r="CM150" s="114"/>
      <c r="CN150" s="114"/>
      <c r="CO150" s="114"/>
      <c r="CP150" s="114"/>
      <c r="CQ150" s="114"/>
      <c r="CR150" s="114"/>
      <c r="CS150" s="114"/>
      <c r="CT150" s="114"/>
      <c r="CU150" s="114"/>
      <c r="CV150" s="114"/>
      <c r="CW150" s="114"/>
      <c r="CX150" s="114"/>
      <c r="CY150" s="114"/>
      <c r="CZ150" s="114"/>
      <c r="DA150" s="114"/>
      <c r="DB150" s="114"/>
      <c r="DC150" s="114"/>
    </row>
    <row r="151" spans="1:107" s="107" customFormat="1" hidden="1" outlineLevel="1" x14ac:dyDescent="0.25">
      <c r="A151" s="110" t="s">
        <v>408</v>
      </c>
      <c r="B151" s="115">
        <f t="shared" ref="B151:D152" ca="1" si="113">B40+B94</f>
        <v>0.59719999999999995</v>
      </c>
      <c r="C151" s="115">
        <f t="shared" ca="1" si="113"/>
        <v>0.70960000000000001</v>
      </c>
      <c r="D151" s="115">
        <f t="shared" ca="1" si="113"/>
        <v>0.39859999999999995</v>
      </c>
      <c r="E151" s="115">
        <f t="shared" ref="E151" ca="1" si="114">E40+E94</f>
        <v>0.39859999999999995</v>
      </c>
      <c r="F151" s="115">
        <f t="shared" ref="F151:G189" ca="1" si="115">F40+F94</f>
        <v>0.39859999999999995</v>
      </c>
      <c r="G151" s="115">
        <f t="shared" ca="1" si="115"/>
        <v>0.39859999999999995</v>
      </c>
      <c r="H151" s="115">
        <f t="shared" ca="1" si="14"/>
        <v>0.56409999999999993</v>
      </c>
      <c r="I151" s="115">
        <f t="shared" ref="I151" ca="1" si="116">I40+I94</f>
        <v>0.39859999999999995</v>
      </c>
      <c r="J151" s="115">
        <f t="shared" ref="J151:K151" ca="1" si="117">J40+J94</f>
        <v>0.39859999999999995</v>
      </c>
      <c r="K151" s="115">
        <f t="shared" ca="1" si="117"/>
        <v>0.39859999999999995</v>
      </c>
      <c r="L151" s="115">
        <f t="shared" ref="L151" ca="1" si="118">L40+L94</f>
        <v>0.39859999999999995</v>
      </c>
      <c r="M151" s="115">
        <f t="shared" ref="M151" ca="1" si="119">M40+M94</f>
        <v>0.39859999999999995</v>
      </c>
      <c r="N151" s="115">
        <f t="shared" ca="1" si="18"/>
        <v>0.39859999999999995</v>
      </c>
      <c r="O151" s="115">
        <f t="shared" ca="1" si="18"/>
        <v>0.56409999999999993</v>
      </c>
      <c r="P151" s="115">
        <f t="shared" ca="1" si="18"/>
        <v>0.56409999999999993</v>
      </c>
      <c r="Q151" s="115">
        <f t="shared" ca="1" si="18"/>
        <v>0.56409999999999993</v>
      </c>
      <c r="R151" s="115">
        <f t="shared" ref="R151:AZ151" ca="1" si="120">R40+R94</f>
        <v>0.56409999999999993</v>
      </c>
      <c r="S151" s="115">
        <f t="shared" ca="1" si="120"/>
        <v>0.99719999999999998</v>
      </c>
      <c r="T151" s="115">
        <f t="shared" ca="1" si="120"/>
        <v>0.70960000000000001</v>
      </c>
      <c r="U151" s="115">
        <f t="shared" ca="1" si="120"/>
        <v>0.99719999999999998</v>
      </c>
      <c r="V151" s="115">
        <f t="shared" ref="V151:W151" ca="1" si="121">V40+V94</f>
        <v>0.99719999999999998</v>
      </c>
      <c r="W151" s="115">
        <f t="shared" ca="1" si="121"/>
        <v>0.99719999999999998</v>
      </c>
      <c r="X151" s="115">
        <f t="shared" ref="X151:Y151" ca="1" si="122">X40+X94</f>
        <v>0.79719999999999991</v>
      </c>
      <c r="Y151" s="115">
        <f t="shared" ca="1" si="122"/>
        <v>0.79719999999999991</v>
      </c>
      <c r="Z151" s="115">
        <f t="shared" ref="Z151:AA151" ca="1" si="123">Z40+Z94</f>
        <v>0.79719999999999991</v>
      </c>
      <c r="AA151" s="115">
        <f t="shared" ca="1" si="123"/>
        <v>0.79719999999999991</v>
      </c>
      <c r="AB151" s="115">
        <f t="shared" ca="1" si="120"/>
        <v>0.70960000000000001</v>
      </c>
      <c r="AC151" s="115">
        <f t="shared" ca="1" si="120"/>
        <v>0.39859999999999995</v>
      </c>
      <c r="AD151" s="115">
        <f t="shared" ca="1" si="120"/>
        <v>0.39859999999999995</v>
      </c>
      <c r="AE151" s="115">
        <f t="shared" ca="1" si="120"/>
        <v>0.56409999999999993</v>
      </c>
      <c r="AF151" s="115">
        <f t="shared" ca="1" si="120"/>
        <v>0.79719999999999991</v>
      </c>
      <c r="AG151" s="115">
        <f t="shared" ref="AG151:AI151" ca="1" si="124">AG40+AG94</f>
        <v>0.79719999999999991</v>
      </c>
      <c r="AH151" s="115">
        <f t="shared" ca="1" si="124"/>
        <v>0.79719999999999991</v>
      </c>
      <c r="AI151" s="115">
        <f t="shared" ca="1" si="124"/>
        <v>0.79719999999999991</v>
      </c>
      <c r="AJ151" s="115" t="e">
        <f t="shared" si="120"/>
        <v>#N/A</v>
      </c>
      <c r="AK151" s="115" t="e">
        <f t="shared" si="120"/>
        <v>#N/A</v>
      </c>
      <c r="AL151" s="115" t="e">
        <f t="shared" si="120"/>
        <v>#N/A</v>
      </c>
      <c r="AM151" s="115" t="e">
        <f t="shared" si="120"/>
        <v>#N/A</v>
      </c>
      <c r="AN151" s="115" t="e">
        <f t="shared" si="120"/>
        <v>#N/A</v>
      </c>
      <c r="AO151" s="115" t="e">
        <f t="shared" si="120"/>
        <v>#N/A</v>
      </c>
      <c r="AP151" s="115" t="e">
        <f t="shared" si="120"/>
        <v>#N/A</v>
      </c>
      <c r="AQ151" s="115" t="e">
        <f t="shared" si="120"/>
        <v>#N/A</v>
      </c>
      <c r="AR151" s="115" t="e">
        <f t="shared" si="120"/>
        <v>#N/A</v>
      </c>
      <c r="AS151" s="115" t="e">
        <f t="shared" si="120"/>
        <v>#N/A</v>
      </c>
      <c r="AT151" s="115" t="e">
        <f t="shared" si="120"/>
        <v>#N/A</v>
      </c>
      <c r="AU151" s="115" t="e">
        <f t="shared" si="120"/>
        <v>#N/A</v>
      </c>
      <c r="AV151" s="115" t="e">
        <f t="shared" si="120"/>
        <v>#N/A</v>
      </c>
      <c r="AW151" s="115" t="e">
        <f t="shared" si="120"/>
        <v>#N/A</v>
      </c>
      <c r="AX151" s="115" t="e">
        <f t="shared" si="120"/>
        <v>#N/A</v>
      </c>
      <c r="AY151" s="115" t="e">
        <f t="shared" si="120"/>
        <v>#N/A</v>
      </c>
      <c r="AZ151" s="115" t="e">
        <f t="shared" si="120"/>
        <v>#N/A</v>
      </c>
      <c r="BA151" s="115" t="e">
        <f t="shared" ref="BA151:BC151" si="125">BA40+BA94</f>
        <v>#N/A</v>
      </c>
      <c r="BB151" s="115" t="e">
        <f t="shared" ref="BB151" si="126">BB40+BB94</f>
        <v>#N/A</v>
      </c>
      <c r="BC151" s="115" t="e">
        <f t="shared" si="125"/>
        <v>#N/A</v>
      </c>
      <c r="BD151" s="115" t="e">
        <f t="shared" ref="BD151:BE151" si="127">BD40+BD94</f>
        <v>#N/A</v>
      </c>
      <c r="BE151" s="115" t="e">
        <f t="shared" si="127"/>
        <v>#N/A</v>
      </c>
      <c r="BF151" s="115" t="e">
        <f t="shared" ref="BF151:BG151" si="128">BF40+BF94</f>
        <v>#N/A</v>
      </c>
      <c r="BG151" s="115" t="e">
        <f t="shared" si="128"/>
        <v>#N/A</v>
      </c>
      <c r="BH151" s="115" t="e">
        <f t="shared" ref="BH151" si="129">BH40+BH94</f>
        <v>#N/A</v>
      </c>
      <c r="BI151" s="115"/>
      <c r="BJ151" s="115"/>
      <c r="BK151" s="115"/>
      <c r="BL151" s="115"/>
      <c r="BM151" s="115"/>
      <c r="BN151" s="115"/>
      <c r="BO151" s="115"/>
      <c r="BP151" s="115"/>
      <c r="BQ151" s="115"/>
      <c r="BR151" s="115"/>
      <c r="BS151" s="115"/>
      <c r="BT151" s="115"/>
      <c r="BU151" s="115"/>
      <c r="BV151" s="115"/>
      <c r="BW151" s="115"/>
      <c r="BX151" s="115"/>
      <c r="BY151" s="115"/>
      <c r="BZ151" s="115"/>
      <c r="CA151" s="115"/>
      <c r="CB151" s="115"/>
      <c r="CC151" s="115"/>
      <c r="CD151" s="115"/>
      <c r="CE151" s="115"/>
      <c r="CF151" s="115"/>
      <c r="CG151" s="115"/>
      <c r="CH151" s="115"/>
      <c r="CI151" s="115"/>
      <c r="CJ151" s="115"/>
      <c r="CK151" s="115"/>
      <c r="CL151" s="115"/>
      <c r="CM151" s="115"/>
      <c r="CN151" s="115"/>
      <c r="CO151" s="115"/>
      <c r="CP151" s="115"/>
      <c r="CQ151" s="115"/>
      <c r="CR151" s="115"/>
      <c r="CS151" s="115"/>
      <c r="CT151" s="115"/>
      <c r="CU151" s="115"/>
      <c r="CV151" s="115"/>
      <c r="CW151" s="115"/>
      <c r="CX151" s="115"/>
      <c r="CY151" s="115"/>
      <c r="CZ151" s="115"/>
      <c r="DA151" s="115"/>
      <c r="DB151" s="115"/>
      <c r="DC151" s="115"/>
    </row>
    <row r="152" spans="1:107" s="106" customFormat="1" hidden="1" outlineLevel="1" x14ac:dyDescent="0.25">
      <c r="A152" s="110" t="s">
        <v>409</v>
      </c>
      <c r="B152" s="114">
        <f t="shared" ca="1" si="113"/>
        <v>2.1680000000000001</v>
      </c>
      <c r="C152" s="114">
        <f t="shared" ca="1" si="113"/>
        <v>1.2944</v>
      </c>
      <c r="D152" s="114">
        <f t="shared" ca="1" si="113"/>
        <v>0.76479999999999992</v>
      </c>
      <c r="E152" s="114">
        <f t="shared" ref="E152" ca="1" si="130">E41+E95</f>
        <v>0.76479999999999992</v>
      </c>
      <c r="F152" s="114">
        <f t="shared" ca="1" si="115"/>
        <v>0.76479999999999992</v>
      </c>
      <c r="G152" s="114">
        <f t="shared" ca="1" si="115"/>
        <v>0.76479999999999992</v>
      </c>
      <c r="H152" s="114">
        <f t="shared" ca="1" si="14"/>
        <v>1.0958000000000001</v>
      </c>
      <c r="I152" s="114">
        <f t="shared" ref="I152" ca="1" si="131">I41+I95</f>
        <v>0.76479999999999992</v>
      </c>
      <c r="J152" s="114">
        <f t="shared" ref="J152:K152" ca="1" si="132">J41+J95</f>
        <v>0.76479999999999992</v>
      </c>
      <c r="K152" s="114">
        <f t="shared" ca="1" si="132"/>
        <v>0.76479999999999992</v>
      </c>
      <c r="L152" s="114">
        <f t="shared" ref="L152" ca="1" si="133">L41+L95</f>
        <v>0.76479999999999992</v>
      </c>
      <c r="M152" s="114">
        <f t="shared" ref="M152" ca="1" si="134">M41+M95</f>
        <v>0.76479999999999992</v>
      </c>
      <c r="N152" s="114">
        <f t="shared" ca="1" si="18"/>
        <v>0.76479999999999992</v>
      </c>
      <c r="O152" s="114">
        <f t="shared" ca="1" si="18"/>
        <v>1.0958000000000001</v>
      </c>
      <c r="P152" s="114">
        <f t="shared" ca="1" si="18"/>
        <v>1.0958000000000001</v>
      </c>
      <c r="Q152" s="114">
        <f t="shared" ca="1" si="18"/>
        <v>1.0958000000000001</v>
      </c>
      <c r="R152" s="114">
        <f t="shared" ref="R152:AZ152" ca="1" si="135">R41+R95</f>
        <v>1.0958000000000001</v>
      </c>
      <c r="S152" s="114">
        <f t="shared" ca="1" si="135"/>
        <v>2.1680000000000001</v>
      </c>
      <c r="T152" s="114">
        <f t="shared" ca="1" si="135"/>
        <v>1.2944</v>
      </c>
      <c r="U152" s="114">
        <f t="shared" ca="1" si="135"/>
        <v>2.1680000000000001</v>
      </c>
      <c r="V152" s="114">
        <f t="shared" ref="V152:W152" ca="1" si="136">V41+V95</f>
        <v>2.1680000000000001</v>
      </c>
      <c r="W152" s="114">
        <f t="shared" ca="1" si="136"/>
        <v>2.1680000000000001</v>
      </c>
      <c r="X152" s="114">
        <f t="shared" ref="X152:Y152" ca="1" si="137">X41+X95</f>
        <v>2.1680000000000001</v>
      </c>
      <c r="Y152" s="114">
        <f t="shared" ca="1" si="137"/>
        <v>2.1680000000000001</v>
      </c>
      <c r="Z152" s="114">
        <f t="shared" ref="Z152:AA152" ca="1" si="138">Z41+Z95</f>
        <v>2.1680000000000001</v>
      </c>
      <c r="AA152" s="114">
        <f t="shared" ca="1" si="138"/>
        <v>2.1680000000000001</v>
      </c>
      <c r="AB152" s="114">
        <f t="shared" ca="1" si="135"/>
        <v>1.2944</v>
      </c>
      <c r="AC152" s="114">
        <f t="shared" ca="1" si="135"/>
        <v>0.76479999999999992</v>
      </c>
      <c r="AD152" s="114">
        <f t="shared" ca="1" si="135"/>
        <v>0.76479999999999992</v>
      </c>
      <c r="AE152" s="114">
        <f t="shared" ca="1" si="135"/>
        <v>1.0958000000000001</v>
      </c>
      <c r="AF152" s="114">
        <f t="shared" ca="1" si="135"/>
        <v>2.1680000000000001</v>
      </c>
      <c r="AG152" s="114">
        <f t="shared" ref="AG152:AI152" ca="1" si="139">AG41+AG95</f>
        <v>2.1680000000000001</v>
      </c>
      <c r="AH152" s="114">
        <f t="shared" ca="1" si="139"/>
        <v>2.1680000000000001</v>
      </c>
      <c r="AI152" s="114">
        <f t="shared" ca="1" si="139"/>
        <v>2.1680000000000001</v>
      </c>
      <c r="AJ152" s="114" t="e">
        <f t="shared" si="135"/>
        <v>#N/A</v>
      </c>
      <c r="AK152" s="114" t="e">
        <f t="shared" si="135"/>
        <v>#N/A</v>
      </c>
      <c r="AL152" s="114" t="e">
        <f t="shared" si="135"/>
        <v>#N/A</v>
      </c>
      <c r="AM152" s="114" t="e">
        <f t="shared" si="135"/>
        <v>#N/A</v>
      </c>
      <c r="AN152" s="114" t="e">
        <f t="shared" si="135"/>
        <v>#N/A</v>
      </c>
      <c r="AO152" s="114" t="e">
        <f t="shared" si="135"/>
        <v>#N/A</v>
      </c>
      <c r="AP152" s="114" t="e">
        <f t="shared" si="135"/>
        <v>#N/A</v>
      </c>
      <c r="AQ152" s="114" t="e">
        <f t="shared" si="135"/>
        <v>#N/A</v>
      </c>
      <c r="AR152" s="114" t="e">
        <f t="shared" si="135"/>
        <v>#N/A</v>
      </c>
      <c r="AS152" s="114" t="e">
        <f t="shared" si="135"/>
        <v>#N/A</v>
      </c>
      <c r="AT152" s="114" t="e">
        <f t="shared" si="135"/>
        <v>#N/A</v>
      </c>
      <c r="AU152" s="114" t="e">
        <f t="shared" si="135"/>
        <v>#N/A</v>
      </c>
      <c r="AV152" s="114" t="e">
        <f t="shared" si="135"/>
        <v>#N/A</v>
      </c>
      <c r="AW152" s="114" t="e">
        <f t="shared" si="135"/>
        <v>#N/A</v>
      </c>
      <c r="AX152" s="114" t="e">
        <f t="shared" si="135"/>
        <v>#N/A</v>
      </c>
      <c r="AY152" s="114" t="e">
        <f t="shared" si="135"/>
        <v>#N/A</v>
      </c>
      <c r="AZ152" s="114" t="e">
        <f t="shared" si="135"/>
        <v>#N/A</v>
      </c>
      <c r="BA152" s="114" t="e">
        <f t="shared" ref="BA152:BC152" si="140">BA41+BA95</f>
        <v>#N/A</v>
      </c>
      <c r="BB152" s="114" t="e">
        <f t="shared" ref="BB152" si="141">BB41+BB95</f>
        <v>#N/A</v>
      </c>
      <c r="BC152" s="114" t="e">
        <f t="shared" si="140"/>
        <v>#N/A</v>
      </c>
      <c r="BD152" s="114" t="e">
        <f t="shared" ref="BD152:BE152" si="142">BD41+BD95</f>
        <v>#N/A</v>
      </c>
      <c r="BE152" s="114" t="e">
        <f t="shared" si="142"/>
        <v>#N/A</v>
      </c>
      <c r="BF152" s="114" t="e">
        <f t="shared" ref="BF152:BG152" si="143">BF41+BF95</f>
        <v>#N/A</v>
      </c>
      <c r="BG152" s="114" t="e">
        <f t="shared" si="143"/>
        <v>#N/A</v>
      </c>
      <c r="BH152" s="114" t="e">
        <f t="shared" ref="BH152" si="144">BH41+BH95</f>
        <v>#N/A</v>
      </c>
      <c r="BI152" s="114"/>
      <c r="BJ152" s="114"/>
      <c r="BK152" s="114"/>
      <c r="BL152" s="114"/>
      <c r="BM152" s="114"/>
      <c r="BN152" s="114"/>
      <c r="BO152" s="114"/>
      <c r="BP152" s="114"/>
      <c r="BQ152" s="114"/>
      <c r="BR152" s="114"/>
      <c r="BS152" s="114"/>
      <c r="BT152" s="114"/>
      <c r="BU152" s="114"/>
      <c r="BV152" s="114"/>
      <c r="BW152" s="114"/>
      <c r="BX152" s="114"/>
      <c r="BY152" s="114"/>
      <c r="BZ152" s="114"/>
      <c r="CA152" s="114"/>
      <c r="CB152" s="114"/>
      <c r="CC152" s="114"/>
      <c r="CD152" s="114"/>
      <c r="CE152" s="114"/>
      <c r="CF152" s="114"/>
      <c r="CG152" s="114"/>
      <c r="CH152" s="114"/>
      <c r="CI152" s="114"/>
      <c r="CJ152" s="114"/>
      <c r="CK152" s="114"/>
      <c r="CL152" s="114"/>
      <c r="CM152" s="114"/>
      <c r="CN152" s="114"/>
      <c r="CO152" s="114"/>
      <c r="CP152" s="114"/>
      <c r="CQ152" s="114"/>
      <c r="CR152" s="114"/>
      <c r="CS152" s="114"/>
      <c r="CT152" s="114"/>
      <c r="CU152" s="114"/>
      <c r="CV152" s="114"/>
      <c r="CW152" s="114"/>
      <c r="CX152" s="114"/>
      <c r="CY152" s="114"/>
      <c r="CZ152" s="114"/>
      <c r="DA152" s="114"/>
      <c r="DB152" s="114"/>
      <c r="DC152" s="114"/>
    </row>
    <row r="153" spans="1:107" s="107" customFormat="1" hidden="1" outlineLevel="1" x14ac:dyDescent="0.25">
      <c r="A153" s="110" t="s">
        <v>68</v>
      </c>
      <c r="B153" s="115">
        <f t="shared" ref="B153:D172" si="145">B42+B96</f>
        <v>1.1102000000000001</v>
      </c>
      <c r="C153" s="115">
        <f t="shared" ca="1" si="145"/>
        <v>1.7057</v>
      </c>
      <c r="D153" s="115">
        <f t="shared" ca="1" si="145"/>
        <v>2.0432000000000001</v>
      </c>
      <c r="E153" s="115">
        <f t="shared" ref="E153" ca="1" si="146">E42+E96</f>
        <v>2.0432000000000001</v>
      </c>
      <c r="F153" s="115">
        <f t="shared" ca="1" si="115"/>
        <v>2.0432000000000001</v>
      </c>
      <c r="G153" s="115">
        <f t="shared" ca="1" si="115"/>
        <v>2.0432000000000001</v>
      </c>
      <c r="H153" s="115">
        <f t="shared" si="14"/>
        <v>1.6366000000000001</v>
      </c>
      <c r="I153" s="115">
        <f t="shared" ref="I153" ca="1" si="147">I42+I96</f>
        <v>2.0432000000000001</v>
      </c>
      <c r="J153" s="115">
        <f t="shared" ref="J153:K153" ca="1" si="148">J42+J96</f>
        <v>2.0432000000000001</v>
      </c>
      <c r="K153" s="115">
        <f t="shared" ca="1" si="148"/>
        <v>2.0432000000000001</v>
      </c>
      <c r="L153" s="115">
        <f t="shared" ref="L153" ca="1" si="149">L42+L96</f>
        <v>2.0432000000000001</v>
      </c>
      <c r="M153" s="115">
        <f t="shared" ref="M153" ca="1" si="150">M42+M96</f>
        <v>2.0432000000000001</v>
      </c>
      <c r="N153" s="115">
        <f t="shared" ca="1" si="18"/>
        <v>2.0432000000000001</v>
      </c>
      <c r="O153" s="115">
        <f t="shared" si="18"/>
        <v>1.6366000000000001</v>
      </c>
      <c r="P153" s="115">
        <f t="shared" si="18"/>
        <v>1.6366000000000001</v>
      </c>
      <c r="Q153" s="115">
        <f t="shared" si="18"/>
        <v>1.6366000000000001</v>
      </c>
      <c r="R153" s="115">
        <f t="shared" ref="R153:AZ153" si="151">R42+R96</f>
        <v>1.6366000000000001</v>
      </c>
      <c r="S153" s="115">
        <f t="shared" si="151"/>
        <v>1.1102000000000001</v>
      </c>
      <c r="T153" s="115">
        <f t="shared" ca="1" si="151"/>
        <v>1.7057</v>
      </c>
      <c r="U153" s="115">
        <f t="shared" si="151"/>
        <v>1.1102000000000001</v>
      </c>
      <c r="V153" s="115">
        <f t="shared" ref="V153:W153" si="152">V42+V96</f>
        <v>1.1102000000000001</v>
      </c>
      <c r="W153" s="115">
        <f t="shared" si="152"/>
        <v>1.1102000000000001</v>
      </c>
      <c r="X153" s="115">
        <f t="shared" ref="X153:Y153" si="153">X42+X96</f>
        <v>1.1102000000000001</v>
      </c>
      <c r="Y153" s="115">
        <f t="shared" si="153"/>
        <v>1.1102000000000001</v>
      </c>
      <c r="Z153" s="115">
        <f t="shared" ref="Z153:AA153" si="154">Z42+Z96</f>
        <v>1.1102000000000001</v>
      </c>
      <c r="AA153" s="115">
        <f t="shared" si="154"/>
        <v>1.1102000000000001</v>
      </c>
      <c r="AB153" s="115">
        <f t="shared" ca="1" si="151"/>
        <v>1.7057</v>
      </c>
      <c r="AC153" s="115">
        <f t="shared" ca="1" si="151"/>
        <v>2.0432000000000001</v>
      </c>
      <c r="AD153" s="115">
        <f t="shared" ca="1" si="151"/>
        <v>2.0432000000000001</v>
      </c>
      <c r="AE153" s="115">
        <f t="shared" si="151"/>
        <v>1.6366000000000001</v>
      </c>
      <c r="AF153" s="115">
        <f t="shared" si="151"/>
        <v>1.1102000000000001</v>
      </c>
      <c r="AG153" s="115">
        <f t="shared" ref="AG153:AI153" si="155">AG42+AG96</f>
        <v>1.1102000000000001</v>
      </c>
      <c r="AH153" s="115">
        <f t="shared" si="155"/>
        <v>1.1102000000000001</v>
      </c>
      <c r="AI153" s="115">
        <f t="shared" si="155"/>
        <v>1.1102000000000001</v>
      </c>
      <c r="AJ153" s="115" t="e">
        <f t="shared" si="151"/>
        <v>#N/A</v>
      </c>
      <c r="AK153" s="115" t="e">
        <f t="shared" si="151"/>
        <v>#N/A</v>
      </c>
      <c r="AL153" s="115" t="e">
        <f t="shared" si="151"/>
        <v>#N/A</v>
      </c>
      <c r="AM153" s="115" t="e">
        <f t="shared" si="151"/>
        <v>#N/A</v>
      </c>
      <c r="AN153" s="115" t="e">
        <f t="shared" si="151"/>
        <v>#N/A</v>
      </c>
      <c r="AO153" s="115" t="e">
        <f t="shared" si="151"/>
        <v>#N/A</v>
      </c>
      <c r="AP153" s="115" t="e">
        <f t="shared" si="151"/>
        <v>#N/A</v>
      </c>
      <c r="AQ153" s="115" t="e">
        <f t="shared" si="151"/>
        <v>#N/A</v>
      </c>
      <c r="AR153" s="115" t="e">
        <f t="shared" si="151"/>
        <v>#N/A</v>
      </c>
      <c r="AS153" s="115" t="e">
        <f t="shared" si="151"/>
        <v>#N/A</v>
      </c>
      <c r="AT153" s="115" t="e">
        <f t="shared" si="151"/>
        <v>#N/A</v>
      </c>
      <c r="AU153" s="115" t="e">
        <f t="shared" si="151"/>
        <v>#N/A</v>
      </c>
      <c r="AV153" s="115" t="e">
        <f t="shared" si="151"/>
        <v>#N/A</v>
      </c>
      <c r="AW153" s="115" t="e">
        <f t="shared" si="151"/>
        <v>#N/A</v>
      </c>
      <c r="AX153" s="115" t="e">
        <f t="shared" si="151"/>
        <v>#N/A</v>
      </c>
      <c r="AY153" s="115" t="e">
        <f t="shared" si="151"/>
        <v>#N/A</v>
      </c>
      <c r="AZ153" s="115" t="e">
        <f t="shared" si="151"/>
        <v>#N/A</v>
      </c>
      <c r="BA153" s="115" t="e">
        <f t="shared" ref="BA153:BC153" si="156">BA42+BA96</f>
        <v>#N/A</v>
      </c>
      <c r="BB153" s="115" t="e">
        <f t="shared" ref="BB153" si="157">BB42+BB96</f>
        <v>#N/A</v>
      </c>
      <c r="BC153" s="115" t="e">
        <f t="shared" si="156"/>
        <v>#N/A</v>
      </c>
      <c r="BD153" s="115" t="e">
        <f t="shared" ref="BD153:BE153" si="158">BD42+BD96</f>
        <v>#N/A</v>
      </c>
      <c r="BE153" s="115" t="e">
        <f t="shared" si="158"/>
        <v>#N/A</v>
      </c>
      <c r="BF153" s="115" t="e">
        <f t="shared" ref="BF153:BG153" si="159">BF42+BF96</f>
        <v>#N/A</v>
      </c>
      <c r="BG153" s="115" t="e">
        <f t="shared" si="159"/>
        <v>#N/A</v>
      </c>
      <c r="BH153" s="115" t="e">
        <f t="shared" ref="BH153" si="160">BH42+BH96</f>
        <v>#N/A</v>
      </c>
      <c r="BI153" s="115"/>
      <c r="BJ153" s="115"/>
      <c r="BK153" s="115"/>
      <c r="BL153" s="115"/>
      <c r="BM153" s="115"/>
      <c r="BN153" s="115"/>
      <c r="BO153" s="115"/>
      <c r="BP153" s="115"/>
      <c r="BQ153" s="115"/>
      <c r="BR153" s="115"/>
      <c r="BS153" s="115"/>
      <c r="BT153" s="115"/>
      <c r="BU153" s="115"/>
      <c r="BV153" s="115"/>
      <c r="BW153" s="115"/>
      <c r="BX153" s="115"/>
      <c r="BY153" s="115"/>
      <c r="BZ153" s="115"/>
      <c r="CA153" s="115"/>
      <c r="CB153" s="115"/>
      <c r="CC153" s="115"/>
      <c r="CD153" s="115"/>
      <c r="CE153" s="115"/>
      <c r="CF153" s="115"/>
      <c r="CG153" s="115"/>
      <c r="CH153" s="115"/>
      <c r="CI153" s="115"/>
      <c r="CJ153" s="115"/>
      <c r="CK153" s="115"/>
      <c r="CL153" s="115"/>
      <c r="CM153" s="115"/>
      <c r="CN153" s="115"/>
      <c r="CO153" s="115"/>
      <c r="CP153" s="115"/>
      <c r="CQ153" s="115"/>
      <c r="CR153" s="115"/>
      <c r="CS153" s="115"/>
      <c r="CT153" s="115"/>
      <c r="CU153" s="115"/>
      <c r="CV153" s="115"/>
      <c r="CW153" s="115"/>
      <c r="CX153" s="115"/>
      <c r="CY153" s="115"/>
      <c r="CZ153" s="115"/>
      <c r="DA153" s="115"/>
      <c r="DB153" s="115"/>
      <c r="DC153" s="115"/>
    </row>
    <row r="154" spans="1:107" s="106" customFormat="1" hidden="1" outlineLevel="1" x14ac:dyDescent="0.25">
      <c r="A154" s="110" t="s">
        <v>82</v>
      </c>
      <c r="B154" s="114">
        <f t="shared" si="145"/>
        <v>0</v>
      </c>
      <c r="C154" s="114">
        <f t="shared" si="145"/>
        <v>0</v>
      </c>
      <c r="D154" s="114">
        <f t="shared" si="145"/>
        <v>0</v>
      </c>
      <c r="E154" s="114">
        <f t="shared" ref="E154" si="161">E43+E97</f>
        <v>0</v>
      </c>
      <c r="F154" s="114">
        <f t="shared" si="115"/>
        <v>0</v>
      </c>
      <c r="G154" s="114">
        <f t="shared" si="115"/>
        <v>0</v>
      </c>
      <c r="H154" s="114">
        <f t="shared" si="14"/>
        <v>0</v>
      </c>
      <c r="I154" s="114">
        <f t="shared" ref="I154" si="162">I43+I97</f>
        <v>0</v>
      </c>
      <c r="J154" s="114">
        <f t="shared" ref="J154:K154" si="163">J43+J97</f>
        <v>0</v>
      </c>
      <c r="K154" s="114">
        <f t="shared" si="163"/>
        <v>0</v>
      </c>
      <c r="L154" s="114">
        <f t="shared" ref="L154" si="164">L43+L97</f>
        <v>0.57999999999999996</v>
      </c>
      <c r="M154" s="114">
        <f t="shared" ref="M154" si="165">M43+M97</f>
        <v>0</v>
      </c>
      <c r="N154" s="114">
        <f t="shared" si="18"/>
        <v>0</v>
      </c>
      <c r="O154" s="114">
        <f t="shared" si="18"/>
        <v>0</v>
      </c>
      <c r="P154" s="114">
        <f t="shared" si="18"/>
        <v>0</v>
      </c>
      <c r="Q154" s="114">
        <f t="shared" si="18"/>
        <v>0.57999999999999996</v>
      </c>
      <c r="R154" s="114">
        <f t="shared" ref="R154:AZ154" si="166">R43+R97</f>
        <v>0</v>
      </c>
      <c r="S154" s="114">
        <f t="shared" si="166"/>
        <v>0</v>
      </c>
      <c r="T154" s="114">
        <f t="shared" si="166"/>
        <v>0</v>
      </c>
      <c r="U154" s="114">
        <f t="shared" si="166"/>
        <v>0</v>
      </c>
      <c r="V154" s="114">
        <f t="shared" ref="V154:W154" si="167">V43+V97</f>
        <v>0</v>
      </c>
      <c r="W154" s="114">
        <f t="shared" si="167"/>
        <v>0.57999999999999996</v>
      </c>
      <c r="X154" s="114">
        <f t="shared" ref="X154:Y154" si="168">X43+X97</f>
        <v>0.57999999999999996</v>
      </c>
      <c r="Y154" s="114">
        <f t="shared" si="168"/>
        <v>0.57999999999999996</v>
      </c>
      <c r="Z154" s="114">
        <f t="shared" ref="Z154:AA154" si="169">Z43+Z97</f>
        <v>0.57999999999999996</v>
      </c>
      <c r="AA154" s="114">
        <f t="shared" si="169"/>
        <v>0</v>
      </c>
      <c r="AB154" s="114">
        <f t="shared" si="166"/>
        <v>0.57999999999999996</v>
      </c>
      <c r="AC154" s="114">
        <f t="shared" si="166"/>
        <v>0.57999999999999996</v>
      </c>
      <c r="AD154" s="114">
        <f t="shared" si="166"/>
        <v>0</v>
      </c>
      <c r="AE154" s="114">
        <f t="shared" si="166"/>
        <v>0.57999999999999996</v>
      </c>
      <c r="AF154" s="114">
        <f t="shared" si="166"/>
        <v>0.57999999999999996</v>
      </c>
      <c r="AG154" s="114">
        <f t="shared" ref="AG154:AI154" si="170">AG43+AG97</f>
        <v>0.57999999999999996</v>
      </c>
      <c r="AH154" s="114">
        <f t="shared" si="170"/>
        <v>0</v>
      </c>
      <c r="AI154" s="114">
        <f t="shared" si="170"/>
        <v>0</v>
      </c>
      <c r="AJ154" s="114" t="e">
        <f t="shared" si="166"/>
        <v>#N/A</v>
      </c>
      <c r="AK154" s="114" t="e">
        <f t="shared" si="166"/>
        <v>#N/A</v>
      </c>
      <c r="AL154" s="114" t="e">
        <f t="shared" si="166"/>
        <v>#N/A</v>
      </c>
      <c r="AM154" s="114" t="e">
        <f t="shared" si="166"/>
        <v>#N/A</v>
      </c>
      <c r="AN154" s="114" t="e">
        <f t="shared" si="166"/>
        <v>#N/A</v>
      </c>
      <c r="AO154" s="114" t="e">
        <f t="shared" si="166"/>
        <v>#N/A</v>
      </c>
      <c r="AP154" s="114" t="e">
        <f t="shared" si="166"/>
        <v>#N/A</v>
      </c>
      <c r="AQ154" s="114" t="e">
        <f t="shared" si="166"/>
        <v>#N/A</v>
      </c>
      <c r="AR154" s="114" t="e">
        <f t="shared" si="166"/>
        <v>#N/A</v>
      </c>
      <c r="AS154" s="114" t="e">
        <f t="shared" si="166"/>
        <v>#N/A</v>
      </c>
      <c r="AT154" s="114" t="e">
        <f t="shared" si="166"/>
        <v>#N/A</v>
      </c>
      <c r="AU154" s="114" t="e">
        <f t="shared" si="166"/>
        <v>#N/A</v>
      </c>
      <c r="AV154" s="114" t="e">
        <f t="shared" si="166"/>
        <v>#N/A</v>
      </c>
      <c r="AW154" s="114" t="e">
        <f t="shared" si="166"/>
        <v>#N/A</v>
      </c>
      <c r="AX154" s="114" t="e">
        <f t="shared" si="166"/>
        <v>#N/A</v>
      </c>
      <c r="AY154" s="114" t="e">
        <f t="shared" si="166"/>
        <v>#N/A</v>
      </c>
      <c r="AZ154" s="114" t="e">
        <f t="shared" si="166"/>
        <v>#N/A</v>
      </c>
      <c r="BA154" s="114" t="e">
        <f t="shared" ref="BA154:BC154" si="171">BA43+BA97</f>
        <v>#N/A</v>
      </c>
      <c r="BB154" s="114" t="e">
        <f t="shared" ref="BB154" si="172">BB43+BB97</f>
        <v>#N/A</v>
      </c>
      <c r="BC154" s="114" t="e">
        <f t="shared" si="171"/>
        <v>#N/A</v>
      </c>
      <c r="BD154" s="114" t="e">
        <f t="shared" ref="BD154:BE154" si="173">BD43+BD97</f>
        <v>#N/A</v>
      </c>
      <c r="BE154" s="114" t="e">
        <f t="shared" si="173"/>
        <v>#N/A</v>
      </c>
      <c r="BF154" s="114" t="e">
        <f t="shared" ref="BF154:BG154" si="174">BF43+BF97</f>
        <v>#N/A</v>
      </c>
      <c r="BG154" s="114" t="e">
        <f t="shared" si="174"/>
        <v>#N/A</v>
      </c>
      <c r="BH154" s="114" t="e">
        <f t="shared" ref="BH154" si="175">BH43+BH97</f>
        <v>#N/A</v>
      </c>
      <c r="BI154" s="114"/>
      <c r="BJ154" s="114"/>
      <c r="BK154" s="114"/>
      <c r="BL154" s="114"/>
      <c r="BM154" s="114"/>
      <c r="BN154" s="114"/>
      <c r="BO154" s="114"/>
      <c r="BP154" s="114"/>
      <c r="BQ154" s="114"/>
      <c r="BR154" s="114"/>
      <c r="BS154" s="114"/>
      <c r="BT154" s="114"/>
      <c r="BU154" s="114"/>
      <c r="BV154" s="114"/>
      <c r="BW154" s="114"/>
      <c r="BX154" s="114"/>
      <c r="BY154" s="114"/>
      <c r="BZ154" s="114"/>
      <c r="CA154" s="114"/>
      <c r="CB154" s="114"/>
      <c r="CC154" s="114"/>
      <c r="CD154" s="114"/>
      <c r="CE154" s="114"/>
      <c r="CF154" s="114"/>
      <c r="CG154" s="114"/>
      <c r="CH154" s="114"/>
      <c r="CI154" s="114"/>
      <c r="CJ154" s="114"/>
      <c r="CK154" s="114"/>
      <c r="CL154" s="114"/>
      <c r="CM154" s="114"/>
      <c r="CN154" s="114"/>
      <c r="CO154" s="114"/>
      <c r="CP154" s="114"/>
      <c r="CQ154" s="114"/>
      <c r="CR154" s="114"/>
      <c r="CS154" s="114"/>
      <c r="CT154" s="114"/>
      <c r="CU154" s="114"/>
      <c r="CV154" s="114"/>
      <c r="CW154" s="114"/>
      <c r="CX154" s="114"/>
      <c r="CY154" s="114"/>
      <c r="CZ154" s="114"/>
      <c r="DA154" s="114"/>
      <c r="DB154" s="114"/>
      <c r="DC154" s="114"/>
    </row>
    <row r="155" spans="1:107" s="107" customFormat="1" hidden="1" outlineLevel="1" x14ac:dyDescent="0.25">
      <c r="A155" s="110" t="s">
        <v>70</v>
      </c>
      <c r="B155" s="115">
        <f t="shared" si="145"/>
        <v>0</v>
      </c>
      <c r="C155" s="115">
        <f t="shared" si="145"/>
        <v>0</v>
      </c>
      <c r="D155" s="115">
        <f t="shared" si="145"/>
        <v>0</v>
      </c>
      <c r="E155" s="115">
        <f t="shared" ref="E155" si="176">E44+E98</f>
        <v>0</v>
      </c>
      <c r="F155" s="115">
        <f t="shared" si="115"/>
        <v>0</v>
      </c>
      <c r="G155" s="115">
        <f t="shared" si="115"/>
        <v>0</v>
      </c>
      <c r="H155" s="115">
        <f t="shared" si="14"/>
        <v>0</v>
      </c>
      <c r="I155" s="115">
        <f t="shared" ref="I155" si="177">I44+I98</f>
        <v>0</v>
      </c>
      <c r="J155" s="115">
        <f t="shared" ref="J155:K155" si="178">J44+J98</f>
        <v>0</v>
      </c>
      <c r="K155" s="115">
        <f t="shared" si="178"/>
        <v>0</v>
      </c>
      <c r="L155" s="115">
        <f t="shared" ref="L155" si="179">L44+L98</f>
        <v>0</v>
      </c>
      <c r="M155" s="115">
        <f t="shared" ref="M155" si="180">M44+M98</f>
        <v>0</v>
      </c>
      <c r="N155" s="115">
        <f t="shared" si="18"/>
        <v>0</v>
      </c>
      <c r="O155" s="115">
        <f t="shared" si="18"/>
        <v>0</v>
      </c>
      <c r="P155" s="115">
        <f t="shared" si="18"/>
        <v>0</v>
      </c>
      <c r="Q155" s="115">
        <f t="shared" si="18"/>
        <v>0</v>
      </c>
      <c r="R155" s="115">
        <f t="shared" ref="R155:AZ155" si="181">R44+R98</f>
        <v>0</v>
      </c>
      <c r="S155" s="115">
        <f t="shared" si="181"/>
        <v>0</v>
      </c>
      <c r="T155" s="115">
        <f t="shared" si="181"/>
        <v>0</v>
      </c>
      <c r="U155" s="115">
        <f t="shared" si="181"/>
        <v>0</v>
      </c>
      <c r="V155" s="115">
        <f t="shared" ref="V155:W155" si="182">V44+V98</f>
        <v>0</v>
      </c>
      <c r="W155" s="115">
        <f t="shared" si="182"/>
        <v>0</v>
      </c>
      <c r="X155" s="115">
        <f t="shared" ref="X155:Y155" si="183">X44+X98</f>
        <v>0</v>
      </c>
      <c r="Y155" s="115">
        <f t="shared" si="183"/>
        <v>0</v>
      </c>
      <c r="Z155" s="115">
        <f t="shared" ref="Z155:AA155" si="184">Z44+Z98</f>
        <v>0</v>
      </c>
      <c r="AA155" s="115">
        <f t="shared" si="184"/>
        <v>0</v>
      </c>
      <c r="AB155" s="115">
        <f t="shared" si="181"/>
        <v>0</v>
      </c>
      <c r="AC155" s="115">
        <f t="shared" si="181"/>
        <v>0</v>
      </c>
      <c r="AD155" s="115">
        <f t="shared" si="181"/>
        <v>0</v>
      </c>
      <c r="AE155" s="115">
        <f t="shared" si="181"/>
        <v>0</v>
      </c>
      <c r="AF155" s="115">
        <f t="shared" si="181"/>
        <v>0</v>
      </c>
      <c r="AG155" s="115">
        <f t="shared" ref="AG155:AI155" si="185">AG44+AG98</f>
        <v>0</v>
      </c>
      <c r="AH155" s="115">
        <f t="shared" si="185"/>
        <v>0</v>
      </c>
      <c r="AI155" s="115">
        <f t="shared" si="185"/>
        <v>0</v>
      </c>
      <c r="AJ155" s="115" t="e">
        <f t="shared" si="181"/>
        <v>#N/A</v>
      </c>
      <c r="AK155" s="115" t="e">
        <f t="shared" si="181"/>
        <v>#N/A</v>
      </c>
      <c r="AL155" s="115" t="e">
        <f t="shared" si="181"/>
        <v>#N/A</v>
      </c>
      <c r="AM155" s="115" t="e">
        <f t="shared" si="181"/>
        <v>#N/A</v>
      </c>
      <c r="AN155" s="115" t="e">
        <f t="shared" si="181"/>
        <v>#N/A</v>
      </c>
      <c r="AO155" s="115" t="e">
        <f t="shared" si="181"/>
        <v>#N/A</v>
      </c>
      <c r="AP155" s="115" t="e">
        <f t="shared" si="181"/>
        <v>#N/A</v>
      </c>
      <c r="AQ155" s="115" t="e">
        <f t="shared" si="181"/>
        <v>#N/A</v>
      </c>
      <c r="AR155" s="115" t="e">
        <f t="shared" si="181"/>
        <v>#N/A</v>
      </c>
      <c r="AS155" s="115" t="e">
        <f t="shared" si="181"/>
        <v>#N/A</v>
      </c>
      <c r="AT155" s="115" t="e">
        <f t="shared" si="181"/>
        <v>#N/A</v>
      </c>
      <c r="AU155" s="115" t="e">
        <f t="shared" si="181"/>
        <v>#N/A</v>
      </c>
      <c r="AV155" s="115" t="e">
        <f t="shared" si="181"/>
        <v>#N/A</v>
      </c>
      <c r="AW155" s="115" t="e">
        <f t="shared" si="181"/>
        <v>#N/A</v>
      </c>
      <c r="AX155" s="115" t="e">
        <f t="shared" si="181"/>
        <v>#N/A</v>
      </c>
      <c r="AY155" s="115" t="e">
        <f t="shared" si="181"/>
        <v>#N/A</v>
      </c>
      <c r="AZ155" s="115" t="e">
        <f t="shared" si="181"/>
        <v>#N/A</v>
      </c>
      <c r="BA155" s="115" t="e">
        <f t="shared" ref="BA155:BC155" si="186">BA44+BA98</f>
        <v>#N/A</v>
      </c>
      <c r="BB155" s="115" t="e">
        <f t="shared" ref="BB155" si="187">BB44+BB98</f>
        <v>#N/A</v>
      </c>
      <c r="BC155" s="115" t="e">
        <f t="shared" si="186"/>
        <v>#N/A</v>
      </c>
      <c r="BD155" s="115" t="e">
        <f t="shared" ref="BD155:BE155" si="188">BD44+BD98</f>
        <v>#N/A</v>
      </c>
      <c r="BE155" s="115" t="e">
        <f t="shared" si="188"/>
        <v>#N/A</v>
      </c>
      <c r="BF155" s="115" t="e">
        <f t="shared" ref="BF155:BG155" si="189">BF44+BF98</f>
        <v>#N/A</v>
      </c>
      <c r="BG155" s="115" t="e">
        <f t="shared" si="189"/>
        <v>#N/A</v>
      </c>
      <c r="BH155" s="115" t="e">
        <f t="shared" ref="BH155" si="190">BH44+BH98</f>
        <v>#N/A</v>
      </c>
      <c r="BI155" s="115"/>
      <c r="BJ155" s="115"/>
      <c r="BK155" s="115"/>
      <c r="BL155" s="115"/>
      <c r="BM155" s="115"/>
      <c r="BN155" s="115"/>
      <c r="BO155" s="115"/>
      <c r="BP155" s="115"/>
      <c r="BQ155" s="115"/>
      <c r="BR155" s="115"/>
      <c r="BS155" s="115"/>
      <c r="BT155" s="115"/>
      <c r="BU155" s="115"/>
      <c r="BV155" s="115"/>
      <c r="BW155" s="115"/>
      <c r="BX155" s="115"/>
      <c r="BY155" s="115"/>
      <c r="BZ155" s="115"/>
      <c r="CA155" s="115"/>
      <c r="CB155" s="115"/>
      <c r="CC155" s="115"/>
      <c r="CD155" s="115"/>
      <c r="CE155" s="115"/>
      <c r="CF155" s="115"/>
      <c r="CG155" s="115"/>
      <c r="CH155" s="115"/>
      <c r="CI155" s="115"/>
      <c r="CJ155" s="115"/>
      <c r="CK155" s="115"/>
      <c r="CL155" s="115"/>
      <c r="CM155" s="115"/>
      <c r="CN155" s="115"/>
      <c r="CO155" s="115"/>
      <c r="CP155" s="115"/>
      <c r="CQ155" s="115"/>
      <c r="CR155" s="115"/>
      <c r="CS155" s="115"/>
      <c r="CT155" s="115"/>
      <c r="CU155" s="115"/>
      <c r="CV155" s="115"/>
      <c r="CW155" s="115"/>
      <c r="CX155" s="115"/>
      <c r="CY155" s="115"/>
      <c r="CZ155" s="115"/>
      <c r="DA155" s="115"/>
      <c r="DB155" s="115"/>
      <c r="DC155" s="115"/>
    </row>
    <row r="156" spans="1:107" s="106" customFormat="1" hidden="1" outlineLevel="1" x14ac:dyDescent="0.25">
      <c r="A156" s="110" t="s">
        <v>71</v>
      </c>
      <c r="B156" s="114">
        <f t="shared" si="145"/>
        <v>0</v>
      </c>
      <c r="C156" s="114">
        <f t="shared" si="145"/>
        <v>0</v>
      </c>
      <c r="D156" s="114">
        <f t="shared" si="145"/>
        <v>0.15</v>
      </c>
      <c r="E156" s="114">
        <f t="shared" ref="E156" si="191">E45+E99</f>
        <v>0.15</v>
      </c>
      <c r="F156" s="114">
        <f t="shared" si="115"/>
        <v>0.15</v>
      </c>
      <c r="G156" s="114">
        <f t="shared" si="115"/>
        <v>0.15</v>
      </c>
      <c r="H156" s="114">
        <f t="shared" si="14"/>
        <v>0</v>
      </c>
      <c r="I156" s="114">
        <f t="shared" ref="I156" si="192">I45+I99</f>
        <v>0.15</v>
      </c>
      <c r="J156" s="114">
        <f t="shared" ref="J156:K156" si="193">J45+J99</f>
        <v>0.15</v>
      </c>
      <c r="K156" s="114">
        <f t="shared" si="193"/>
        <v>0.15</v>
      </c>
      <c r="L156" s="114">
        <f t="shared" ref="L156" si="194">L45+L99</f>
        <v>0.15</v>
      </c>
      <c r="M156" s="114">
        <f t="shared" ref="M156" si="195">M45+M99</f>
        <v>0.15</v>
      </c>
      <c r="N156" s="114">
        <f t="shared" si="18"/>
        <v>0.15</v>
      </c>
      <c r="O156" s="114">
        <f t="shared" si="18"/>
        <v>0</v>
      </c>
      <c r="P156" s="114">
        <f t="shared" si="18"/>
        <v>0</v>
      </c>
      <c r="Q156" s="114">
        <f t="shared" si="18"/>
        <v>0</v>
      </c>
      <c r="R156" s="114">
        <f t="shared" ref="R156:AZ156" si="196">R45+R99</f>
        <v>0</v>
      </c>
      <c r="S156" s="114">
        <f t="shared" si="196"/>
        <v>0</v>
      </c>
      <c r="T156" s="114">
        <f t="shared" si="196"/>
        <v>0</v>
      </c>
      <c r="U156" s="114">
        <f t="shared" si="196"/>
        <v>0</v>
      </c>
      <c r="V156" s="114">
        <f t="shared" ref="V156:W156" si="197">V45+V99</f>
        <v>0</v>
      </c>
      <c r="W156" s="114">
        <f t="shared" si="197"/>
        <v>0</v>
      </c>
      <c r="X156" s="114">
        <f t="shared" ref="X156:Y156" si="198">X45+X99</f>
        <v>0</v>
      </c>
      <c r="Y156" s="114">
        <f t="shared" si="198"/>
        <v>0</v>
      </c>
      <c r="Z156" s="114">
        <f t="shared" ref="Z156:AA156" si="199">Z45+Z99</f>
        <v>0</v>
      </c>
      <c r="AA156" s="114">
        <f t="shared" si="199"/>
        <v>0</v>
      </c>
      <c r="AB156" s="114">
        <f t="shared" si="196"/>
        <v>0</v>
      </c>
      <c r="AC156" s="114">
        <f t="shared" si="196"/>
        <v>0.15</v>
      </c>
      <c r="AD156" s="114">
        <f t="shared" si="196"/>
        <v>0.15</v>
      </c>
      <c r="AE156" s="114">
        <f t="shared" si="196"/>
        <v>0</v>
      </c>
      <c r="AF156" s="114">
        <f t="shared" si="196"/>
        <v>0</v>
      </c>
      <c r="AG156" s="114">
        <f t="shared" ref="AG156:AI156" si="200">AG45+AG99</f>
        <v>0</v>
      </c>
      <c r="AH156" s="114">
        <f t="shared" si="200"/>
        <v>0</v>
      </c>
      <c r="AI156" s="114">
        <f t="shared" si="200"/>
        <v>0</v>
      </c>
      <c r="AJ156" s="114" t="e">
        <f t="shared" si="196"/>
        <v>#N/A</v>
      </c>
      <c r="AK156" s="114" t="e">
        <f t="shared" si="196"/>
        <v>#N/A</v>
      </c>
      <c r="AL156" s="114" t="e">
        <f t="shared" si="196"/>
        <v>#N/A</v>
      </c>
      <c r="AM156" s="114" t="e">
        <f t="shared" si="196"/>
        <v>#N/A</v>
      </c>
      <c r="AN156" s="114" t="e">
        <f t="shared" si="196"/>
        <v>#N/A</v>
      </c>
      <c r="AO156" s="114" t="e">
        <f t="shared" si="196"/>
        <v>#N/A</v>
      </c>
      <c r="AP156" s="114" t="e">
        <f t="shared" si="196"/>
        <v>#N/A</v>
      </c>
      <c r="AQ156" s="114" t="e">
        <f t="shared" si="196"/>
        <v>#N/A</v>
      </c>
      <c r="AR156" s="114" t="e">
        <f t="shared" si="196"/>
        <v>#N/A</v>
      </c>
      <c r="AS156" s="114" t="e">
        <f t="shared" si="196"/>
        <v>#N/A</v>
      </c>
      <c r="AT156" s="114" t="e">
        <f t="shared" si="196"/>
        <v>#N/A</v>
      </c>
      <c r="AU156" s="114" t="e">
        <f t="shared" si="196"/>
        <v>#N/A</v>
      </c>
      <c r="AV156" s="114" t="e">
        <f t="shared" si="196"/>
        <v>#N/A</v>
      </c>
      <c r="AW156" s="114" t="e">
        <f t="shared" si="196"/>
        <v>#N/A</v>
      </c>
      <c r="AX156" s="114" t="e">
        <f t="shared" si="196"/>
        <v>#N/A</v>
      </c>
      <c r="AY156" s="114" t="e">
        <f t="shared" si="196"/>
        <v>#N/A</v>
      </c>
      <c r="AZ156" s="114" t="e">
        <f t="shared" si="196"/>
        <v>#N/A</v>
      </c>
      <c r="BA156" s="114" t="e">
        <f t="shared" ref="BA156:BC156" si="201">BA45+BA99</f>
        <v>#N/A</v>
      </c>
      <c r="BB156" s="114" t="e">
        <f t="shared" ref="BB156" si="202">BB45+BB99</f>
        <v>#N/A</v>
      </c>
      <c r="BC156" s="114" t="e">
        <f t="shared" si="201"/>
        <v>#N/A</v>
      </c>
      <c r="BD156" s="114" t="e">
        <f t="shared" ref="BD156:BE156" si="203">BD45+BD99</f>
        <v>#N/A</v>
      </c>
      <c r="BE156" s="114" t="e">
        <f t="shared" si="203"/>
        <v>#N/A</v>
      </c>
      <c r="BF156" s="114" t="e">
        <f t="shared" ref="BF156:BG156" si="204">BF45+BF99</f>
        <v>#N/A</v>
      </c>
      <c r="BG156" s="114" t="e">
        <f t="shared" si="204"/>
        <v>#N/A</v>
      </c>
      <c r="BH156" s="114" t="e">
        <f t="shared" ref="BH156" si="205">BH45+BH99</f>
        <v>#N/A</v>
      </c>
      <c r="BI156" s="114"/>
      <c r="BJ156" s="114"/>
      <c r="BK156" s="114"/>
      <c r="BL156" s="114"/>
      <c r="BM156" s="114"/>
      <c r="BN156" s="114"/>
      <c r="BO156" s="114"/>
      <c r="BP156" s="114"/>
      <c r="BQ156" s="114"/>
      <c r="BR156" s="114"/>
      <c r="BS156" s="114"/>
      <c r="BT156" s="114"/>
      <c r="BU156" s="114"/>
      <c r="BV156" s="114"/>
      <c r="BW156" s="114"/>
      <c r="BX156" s="114"/>
      <c r="BY156" s="114"/>
      <c r="BZ156" s="114"/>
      <c r="CA156" s="114"/>
      <c r="CB156" s="114"/>
      <c r="CC156" s="114"/>
      <c r="CD156" s="114"/>
      <c r="CE156" s="114"/>
      <c r="CF156" s="114"/>
      <c r="CG156" s="114"/>
      <c r="CH156" s="114"/>
      <c r="CI156" s="114"/>
      <c r="CJ156" s="114"/>
      <c r="CK156" s="114"/>
      <c r="CL156" s="114"/>
      <c r="CM156" s="114"/>
      <c r="CN156" s="114"/>
      <c r="CO156" s="114"/>
      <c r="CP156" s="114"/>
      <c r="CQ156" s="114"/>
      <c r="CR156" s="114"/>
      <c r="CS156" s="114"/>
      <c r="CT156" s="114"/>
      <c r="CU156" s="114"/>
      <c r="CV156" s="114"/>
      <c r="CW156" s="114"/>
      <c r="CX156" s="114"/>
      <c r="CY156" s="114"/>
      <c r="CZ156" s="114"/>
      <c r="DA156" s="114"/>
      <c r="DB156" s="114"/>
      <c r="DC156" s="114"/>
    </row>
    <row r="157" spans="1:107" s="107" customFormat="1" hidden="1" outlineLevel="1" x14ac:dyDescent="0.25">
      <c r="A157" s="110" t="s">
        <v>72</v>
      </c>
      <c r="B157" s="115">
        <f t="shared" si="145"/>
        <v>0</v>
      </c>
      <c r="C157" s="115">
        <f t="shared" si="145"/>
        <v>0</v>
      </c>
      <c r="D157" s="115">
        <f t="shared" si="145"/>
        <v>0</v>
      </c>
      <c r="E157" s="115">
        <f t="shared" ref="E157" si="206">E46+E100</f>
        <v>0</v>
      </c>
      <c r="F157" s="115">
        <f t="shared" si="115"/>
        <v>0</v>
      </c>
      <c r="G157" s="115">
        <f t="shared" si="115"/>
        <v>0</v>
      </c>
      <c r="H157" s="115">
        <f t="shared" si="14"/>
        <v>0</v>
      </c>
      <c r="I157" s="115">
        <f t="shared" ref="I157" si="207">I46+I100</f>
        <v>0</v>
      </c>
      <c r="J157" s="115">
        <f t="shared" ref="J157:K157" si="208">J46+J100</f>
        <v>0</v>
      </c>
      <c r="K157" s="115">
        <f t="shared" si="208"/>
        <v>0</v>
      </c>
      <c r="L157" s="115">
        <f t="shared" ref="L157" si="209">L46+L100</f>
        <v>0</v>
      </c>
      <c r="M157" s="115">
        <f t="shared" ref="M157" si="210">M46+M100</f>
        <v>0</v>
      </c>
      <c r="N157" s="115">
        <f t="shared" si="18"/>
        <v>0</v>
      </c>
      <c r="O157" s="115">
        <f t="shared" si="18"/>
        <v>0</v>
      </c>
      <c r="P157" s="115">
        <f t="shared" si="18"/>
        <v>0</v>
      </c>
      <c r="Q157" s="115">
        <f t="shared" si="18"/>
        <v>0</v>
      </c>
      <c r="R157" s="115">
        <f t="shared" ref="R157:AZ157" si="211">R46+R100</f>
        <v>0</v>
      </c>
      <c r="S157" s="115">
        <f t="shared" si="211"/>
        <v>0</v>
      </c>
      <c r="T157" s="115">
        <f t="shared" si="211"/>
        <v>0</v>
      </c>
      <c r="U157" s="115">
        <f t="shared" si="211"/>
        <v>0</v>
      </c>
      <c r="V157" s="115">
        <f t="shared" ref="V157:W157" si="212">V46+V100</f>
        <v>0</v>
      </c>
      <c r="W157" s="115">
        <f t="shared" si="212"/>
        <v>0</v>
      </c>
      <c r="X157" s="115">
        <f t="shared" ref="X157:Y157" si="213">X46+X100</f>
        <v>0</v>
      </c>
      <c r="Y157" s="115">
        <f t="shared" si="213"/>
        <v>0</v>
      </c>
      <c r="Z157" s="115">
        <f t="shared" ref="Z157:AA157" si="214">Z46+Z100</f>
        <v>0</v>
      </c>
      <c r="AA157" s="115">
        <f t="shared" si="214"/>
        <v>0</v>
      </c>
      <c r="AB157" s="115">
        <f t="shared" si="211"/>
        <v>0</v>
      </c>
      <c r="AC157" s="115">
        <f t="shared" si="211"/>
        <v>0</v>
      </c>
      <c r="AD157" s="115">
        <f t="shared" si="211"/>
        <v>0</v>
      </c>
      <c r="AE157" s="115">
        <f t="shared" si="211"/>
        <v>0</v>
      </c>
      <c r="AF157" s="115">
        <f t="shared" si="211"/>
        <v>0</v>
      </c>
      <c r="AG157" s="115">
        <f t="shared" ref="AG157:AI157" si="215">AG46+AG100</f>
        <v>0</v>
      </c>
      <c r="AH157" s="115">
        <f t="shared" si="215"/>
        <v>0</v>
      </c>
      <c r="AI157" s="115">
        <f t="shared" si="215"/>
        <v>0</v>
      </c>
      <c r="AJ157" s="115" t="e">
        <f t="shared" si="211"/>
        <v>#N/A</v>
      </c>
      <c r="AK157" s="115" t="e">
        <f t="shared" si="211"/>
        <v>#N/A</v>
      </c>
      <c r="AL157" s="115" t="e">
        <f t="shared" si="211"/>
        <v>#N/A</v>
      </c>
      <c r="AM157" s="115" t="e">
        <f t="shared" si="211"/>
        <v>#N/A</v>
      </c>
      <c r="AN157" s="115" t="e">
        <f t="shared" si="211"/>
        <v>#N/A</v>
      </c>
      <c r="AO157" s="115" t="e">
        <f t="shared" si="211"/>
        <v>#N/A</v>
      </c>
      <c r="AP157" s="115" t="e">
        <f t="shared" si="211"/>
        <v>#N/A</v>
      </c>
      <c r="AQ157" s="115" t="e">
        <f t="shared" si="211"/>
        <v>#N/A</v>
      </c>
      <c r="AR157" s="115" t="e">
        <f t="shared" si="211"/>
        <v>#N/A</v>
      </c>
      <c r="AS157" s="115" t="e">
        <f t="shared" si="211"/>
        <v>#N/A</v>
      </c>
      <c r="AT157" s="115" t="e">
        <f t="shared" si="211"/>
        <v>#N/A</v>
      </c>
      <c r="AU157" s="115" t="e">
        <f t="shared" si="211"/>
        <v>#N/A</v>
      </c>
      <c r="AV157" s="115" t="e">
        <f t="shared" si="211"/>
        <v>#N/A</v>
      </c>
      <c r="AW157" s="115" t="e">
        <f t="shared" si="211"/>
        <v>#N/A</v>
      </c>
      <c r="AX157" s="115" t="e">
        <f t="shared" si="211"/>
        <v>#N/A</v>
      </c>
      <c r="AY157" s="115" t="e">
        <f t="shared" si="211"/>
        <v>#N/A</v>
      </c>
      <c r="AZ157" s="115" t="e">
        <f t="shared" si="211"/>
        <v>#N/A</v>
      </c>
      <c r="BA157" s="115" t="e">
        <f t="shared" ref="BA157:BC157" si="216">BA46+BA100</f>
        <v>#N/A</v>
      </c>
      <c r="BB157" s="115" t="e">
        <f t="shared" ref="BB157" si="217">BB46+BB100</f>
        <v>#N/A</v>
      </c>
      <c r="BC157" s="115" t="e">
        <f t="shared" si="216"/>
        <v>#N/A</v>
      </c>
      <c r="BD157" s="115" t="e">
        <f t="shared" ref="BD157:BE157" si="218">BD46+BD100</f>
        <v>#N/A</v>
      </c>
      <c r="BE157" s="115" t="e">
        <f t="shared" si="218"/>
        <v>#N/A</v>
      </c>
      <c r="BF157" s="115" t="e">
        <f t="shared" ref="BF157:BG157" si="219">BF46+BF100</f>
        <v>#N/A</v>
      </c>
      <c r="BG157" s="115" t="e">
        <f t="shared" si="219"/>
        <v>#N/A</v>
      </c>
      <c r="BH157" s="115" t="e">
        <f t="shared" ref="BH157" si="220">BH46+BH100</f>
        <v>#N/A</v>
      </c>
      <c r="BI157" s="115"/>
      <c r="BJ157" s="115"/>
      <c r="BK157" s="115"/>
      <c r="BL157" s="115"/>
      <c r="BM157" s="115"/>
      <c r="BN157" s="115"/>
      <c r="BO157" s="115"/>
      <c r="BP157" s="115"/>
      <c r="BQ157" s="115"/>
      <c r="BR157" s="115"/>
      <c r="BS157" s="115"/>
      <c r="BT157" s="115"/>
      <c r="BU157" s="115"/>
      <c r="BV157" s="115"/>
      <c r="BW157" s="115"/>
      <c r="BX157" s="115"/>
      <c r="BY157" s="115"/>
      <c r="BZ157" s="115"/>
      <c r="CA157" s="115"/>
      <c r="CB157" s="115"/>
      <c r="CC157" s="115"/>
      <c r="CD157" s="115"/>
      <c r="CE157" s="115"/>
      <c r="CF157" s="115"/>
      <c r="CG157" s="115"/>
      <c r="CH157" s="115"/>
      <c r="CI157" s="115"/>
      <c r="CJ157" s="115"/>
      <c r="CK157" s="115"/>
      <c r="CL157" s="115"/>
      <c r="CM157" s="115"/>
      <c r="CN157" s="115"/>
      <c r="CO157" s="115"/>
      <c r="CP157" s="115"/>
      <c r="CQ157" s="115"/>
      <c r="CR157" s="115"/>
      <c r="CS157" s="115"/>
      <c r="CT157" s="115"/>
      <c r="CU157" s="115"/>
      <c r="CV157" s="115"/>
      <c r="CW157" s="115"/>
      <c r="CX157" s="115"/>
      <c r="CY157" s="115"/>
      <c r="CZ157" s="115"/>
      <c r="DA157" s="115"/>
      <c r="DB157" s="115"/>
      <c r="DC157" s="115"/>
    </row>
    <row r="158" spans="1:107" s="106" customFormat="1" hidden="1" outlineLevel="1" x14ac:dyDescent="0.25">
      <c r="A158" s="110" t="s">
        <v>73</v>
      </c>
      <c r="B158" s="114">
        <f t="shared" si="145"/>
        <v>0</v>
      </c>
      <c r="C158" s="114">
        <f t="shared" si="145"/>
        <v>0</v>
      </c>
      <c r="D158" s="114">
        <f t="shared" si="145"/>
        <v>0</v>
      </c>
      <c r="E158" s="114">
        <f t="shared" ref="E158" si="221">E47+E101</f>
        <v>0</v>
      </c>
      <c r="F158" s="114">
        <f t="shared" si="115"/>
        <v>0</v>
      </c>
      <c r="G158" s="114">
        <f t="shared" si="115"/>
        <v>0</v>
      </c>
      <c r="H158" s="114">
        <f t="shared" si="14"/>
        <v>0</v>
      </c>
      <c r="I158" s="114">
        <f t="shared" ref="I158" si="222">I47+I101</f>
        <v>0</v>
      </c>
      <c r="J158" s="114">
        <f t="shared" ref="J158:K158" si="223">J47+J101</f>
        <v>0</v>
      </c>
      <c r="K158" s="114">
        <f t="shared" si="223"/>
        <v>0</v>
      </c>
      <c r="L158" s="114">
        <f t="shared" ref="L158" si="224">L47+L101</f>
        <v>0</v>
      </c>
      <c r="M158" s="114">
        <f t="shared" ref="M158" si="225">M47+M101</f>
        <v>0</v>
      </c>
      <c r="N158" s="114">
        <f t="shared" si="18"/>
        <v>0</v>
      </c>
      <c r="O158" s="114">
        <f t="shared" si="18"/>
        <v>0</v>
      </c>
      <c r="P158" s="114">
        <f t="shared" si="18"/>
        <v>0</v>
      </c>
      <c r="Q158" s="114">
        <f t="shared" si="18"/>
        <v>0</v>
      </c>
      <c r="R158" s="114">
        <f t="shared" ref="R158:AZ158" si="226">R47+R101</f>
        <v>0</v>
      </c>
      <c r="S158" s="114">
        <f t="shared" si="226"/>
        <v>0</v>
      </c>
      <c r="T158" s="114">
        <f t="shared" si="226"/>
        <v>0</v>
      </c>
      <c r="U158" s="114">
        <f t="shared" si="226"/>
        <v>0</v>
      </c>
      <c r="V158" s="114">
        <f t="shared" ref="V158:W158" si="227">V47+V101</f>
        <v>0</v>
      </c>
      <c r="W158" s="114">
        <f t="shared" si="227"/>
        <v>0</v>
      </c>
      <c r="X158" s="114">
        <f t="shared" ref="X158:Y158" si="228">X47+X101</f>
        <v>0</v>
      </c>
      <c r="Y158" s="114">
        <f t="shared" si="228"/>
        <v>0</v>
      </c>
      <c r="Z158" s="114">
        <f t="shared" ref="Z158:AA158" si="229">Z47+Z101</f>
        <v>0</v>
      </c>
      <c r="AA158" s="114">
        <f t="shared" si="229"/>
        <v>0</v>
      </c>
      <c r="AB158" s="114">
        <f t="shared" si="226"/>
        <v>0</v>
      </c>
      <c r="AC158" s="114">
        <f t="shared" si="226"/>
        <v>0</v>
      </c>
      <c r="AD158" s="114">
        <f t="shared" si="226"/>
        <v>0</v>
      </c>
      <c r="AE158" s="114">
        <f t="shared" si="226"/>
        <v>0</v>
      </c>
      <c r="AF158" s="114">
        <f t="shared" si="226"/>
        <v>0</v>
      </c>
      <c r="AG158" s="114">
        <f t="shared" ref="AG158:AI158" si="230">AG47+AG101</f>
        <v>0</v>
      </c>
      <c r="AH158" s="114">
        <f t="shared" si="230"/>
        <v>0</v>
      </c>
      <c r="AI158" s="114">
        <f t="shared" si="230"/>
        <v>0</v>
      </c>
      <c r="AJ158" s="114" t="e">
        <f t="shared" si="226"/>
        <v>#N/A</v>
      </c>
      <c r="AK158" s="114" t="e">
        <f t="shared" si="226"/>
        <v>#N/A</v>
      </c>
      <c r="AL158" s="114" t="e">
        <f t="shared" si="226"/>
        <v>#N/A</v>
      </c>
      <c r="AM158" s="114" t="e">
        <f t="shared" si="226"/>
        <v>#N/A</v>
      </c>
      <c r="AN158" s="114" t="e">
        <f t="shared" si="226"/>
        <v>#N/A</v>
      </c>
      <c r="AO158" s="114" t="e">
        <f t="shared" si="226"/>
        <v>#N/A</v>
      </c>
      <c r="AP158" s="114" t="e">
        <f t="shared" si="226"/>
        <v>#N/A</v>
      </c>
      <c r="AQ158" s="114" t="e">
        <f t="shared" si="226"/>
        <v>#N/A</v>
      </c>
      <c r="AR158" s="114" t="e">
        <f t="shared" si="226"/>
        <v>#N/A</v>
      </c>
      <c r="AS158" s="114" t="e">
        <f t="shared" si="226"/>
        <v>#N/A</v>
      </c>
      <c r="AT158" s="114" t="e">
        <f t="shared" si="226"/>
        <v>#N/A</v>
      </c>
      <c r="AU158" s="114" t="e">
        <f t="shared" si="226"/>
        <v>#N/A</v>
      </c>
      <c r="AV158" s="114" t="e">
        <f t="shared" si="226"/>
        <v>#N/A</v>
      </c>
      <c r="AW158" s="114" t="e">
        <f t="shared" si="226"/>
        <v>#N/A</v>
      </c>
      <c r="AX158" s="114" t="e">
        <f t="shared" si="226"/>
        <v>#N/A</v>
      </c>
      <c r="AY158" s="114" t="e">
        <f t="shared" si="226"/>
        <v>#N/A</v>
      </c>
      <c r="AZ158" s="114" t="e">
        <f t="shared" si="226"/>
        <v>#N/A</v>
      </c>
      <c r="BA158" s="114" t="e">
        <f t="shared" ref="BA158:BC158" si="231">BA47+BA101</f>
        <v>#N/A</v>
      </c>
      <c r="BB158" s="114" t="e">
        <f t="shared" ref="BB158" si="232">BB47+BB101</f>
        <v>#N/A</v>
      </c>
      <c r="BC158" s="114" t="e">
        <f t="shared" si="231"/>
        <v>#N/A</v>
      </c>
      <c r="BD158" s="114" t="e">
        <f t="shared" ref="BD158:BE158" si="233">BD47+BD101</f>
        <v>#N/A</v>
      </c>
      <c r="BE158" s="114" t="e">
        <f t="shared" si="233"/>
        <v>#N/A</v>
      </c>
      <c r="BF158" s="114" t="e">
        <f t="shared" ref="BF158:BG158" si="234">BF47+BF101</f>
        <v>#N/A</v>
      </c>
      <c r="BG158" s="114" t="e">
        <f t="shared" si="234"/>
        <v>#N/A</v>
      </c>
      <c r="BH158" s="114" t="e">
        <f t="shared" ref="BH158" si="235">BH47+BH101</f>
        <v>#N/A</v>
      </c>
      <c r="BI158" s="114"/>
      <c r="BJ158" s="114"/>
      <c r="BK158" s="114"/>
      <c r="BL158" s="114"/>
      <c r="BM158" s="114"/>
      <c r="BN158" s="114"/>
      <c r="BO158" s="114"/>
      <c r="BP158" s="114"/>
      <c r="BQ158" s="114"/>
      <c r="BR158" s="114"/>
      <c r="BS158" s="114"/>
      <c r="BT158" s="114"/>
      <c r="BU158" s="114"/>
      <c r="BV158" s="114"/>
      <c r="BW158" s="114"/>
      <c r="BX158" s="114"/>
      <c r="BY158" s="114"/>
      <c r="BZ158" s="114"/>
      <c r="CA158" s="114"/>
      <c r="CB158" s="114"/>
      <c r="CC158" s="114"/>
      <c r="CD158" s="114"/>
      <c r="CE158" s="114"/>
      <c r="CF158" s="114"/>
      <c r="CG158" s="114"/>
      <c r="CH158" s="114"/>
      <c r="CI158" s="114"/>
      <c r="CJ158" s="114"/>
      <c r="CK158" s="114"/>
      <c r="CL158" s="114"/>
      <c r="CM158" s="114"/>
      <c r="CN158" s="114"/>
      <c r="CO158" s="114"/>
      <c r="CP158" s="114"/>
      <c r="CQ158" s="114"/>
      <c r="CR158" s="114"/>
      <c r="CS158" s="114"/>
      <c r="CT158" s="114"/>
      <c r="CU158" s="114"/>
      <c r="CV158" s="114"/>
      <c r="CW158" s="114"/>
      <c r="CX158" s="114"/>
      <c r="CY158" s="114"/>
      <c r="CZ158" s="114"/>
      <c r="DA158" s="114"/>
      <c r="DB158" s="114"/>
      <c r="DC158" s="114"/>
    </row>
    <row r="159" spans="1:107" s="107" customFormat="1" hidden="1" outlineLevel="1" x14ac:dyDescent="0.25">
      <c r="A159" s="110" t="s">
        <v>74</v>
      </c>
      <c r="B159" s="115">
        <f t="shared" si="145"/>
        <v>0.61599999999999999</v>
      </c>
      <c r="C159" s="115">
        <f t="shared" si="145"/>
        <v>0</v>
      </c>
      <c r="D159" s="115">
        <f t="shared" si="145"/>
        <v>0</v>
      </c>
      <c r="E159" s="115">
        <f t="shared" ref="E159" si="236">E48+E102</f>
        <v>0</v>
      </c>
      <c r="F159" s="115">
        <f t="shared" si="115"/>
        <v>0</v>
      </c>
      <c r="G159" s="115">
        <f t="shared" si="115"/>
        <v>0</v>
      </c>
      <c r="H159" s="115">
        <f t="shared" si="14"/>
        <v>0</v>
      </c>
      <c r="I159" s="115">
        <f t="shared" ref="I159" si="237">I48+I102</f>
        <v>0</v>
      </c>
      <c r="J159" s="115">
        <f t="shared" ref="J159:K159" si="238">J48+J102</f>
        <v>0</v>
      </c>
      <c r="K159" s="115">
        <f t="shared" si="238"/>
        <v>0</v>
      </c>
      <c r="L159" s="115">
        <f t="shared" ref="L159" si="239">L48+L102</f>
        <v>0</v>
      </c>
      <c r="M159" s="115">
        <f t="shared" ref="M159" si="240">M48+M102</f>
        <v>0</v>
      </c>
      <c r="N159" s="115">
        <f t="shared" si="18"/>
        <v>0</v>
      </c>
      <c r="O159" s="115">
        <f t="shared" si="18"/>
        <v>0</v>
      </c>
      <c r="P159" s="115">
        <f t="shared" si="18"/>
        <v>0</v>
      </c>
      <c r="Q159" s="115">
        <f t="shared" si="18"/>
        <v>0</v>
      </c>
      <c r="R159" s="115">
        <f t="shared" ref="R159:AZ159" si="241">R48+R102</f>
        <v>0</v>
      </c>
      <c r="S159" s="115">
        <f t="shared" si="241"/>
        <v>0.61599999999999999</v>
      </c>
      <c r="T159" s="115">
        <f t="shared" si="241"/>
        <v>0</v>
      </c>
      <c r="U159" s="115">
        <f t="shared" si="241"/>
        <v>0.76600000000000001</v>
      </c>
      <c r="V159" s="115">
        <f t="shared" ref="V159:W159" si="242">V48+V102</f>
        <v>0.76600000000000001</v>
      </c>
      <c r="W159" s="115">
        <f t="shared" si="242"/>
        <v>0.76600000000000001</v>
      </c>
      <c r="X159" s="115">
        <f t="shared" ref="X159:Y159" si="243">X48+X102</f>
        <v>0.76600000000000001</v>
      </c>
      <c r="Y159" s="115">
        <f t="shared" si="243"/>
        <v>0.76600000000000001</v>
      </c>
      <c r="Z159" s="115">
        <f t="shared" ref="Z159:AA159" si="244">Z48+Z102</f>
        <v>0.76600000000000001</v>
      </c>
      <c r="AA159" s="115">
        <f t="shared" si="244"/>
        <v>0.76600000000000001</v>
      </c>
      <c r="AB159" s="115">
        <f t="shared" si="241"/>
        <v>0</v>
      </c>
      <c r="AC159" s="115">
        <f t="shared" si="241"/>
        <v>0</v>
      </c>
      <c r="AD159" s="115">
        <f t="shared" si="241"/>
        <v>0</v>
      </c>
      <c r="AE159" s="115">
        <f t="shared" si="241"/>
        <v>0.35</v>
      </c>
      <c r="AF159" s="115">
        <f t="shared" si="241"/>
        <v>0.96599999999999997</v>
      </c>
      <c r="AG159" s="115">
        <f t="shared" ref="AG159:AI159" si="245">AG48+AG102</f>
        <v>0.96599999999999997</v>
      </c>
      <c r="AH159" s="115">
        <f t="shared" si="245"/>
        <v>0.96599999999999997</v>
      </c>
      <c r="AI159" s="115">
        <f t="shared" si="245"/>
        <v>0.96599999999999997</v>
      </c>
      <c r="AJ159" s="115" t="e">
        <f t="shared" si="241"/>
        <v>#N/A</v>
      </c>
      <c r="AK159" s="115" t="e">
        <f t="shared" si="241"/>
        <v>#N/A</v>
      </c>
      <c r="AL159" s="115" t="e">
        <f t="shared" si="241"/>
        <v>#N/A</v>
      </c>
      <c r="AM159" s="115" t="e">
        <f t="shared" si="241"/>
        <v>#N/A</v>
      </c>
      <c r="AN159" s="115" t="e">
        <f t="shared" si="241"/>
        <v>#N/A</v>
      </c>
      <c r="AO159" s="115" t="e">
        <f t="shared" si="241"/>
        <v>#N/A</v>
      </c>
      <c r="AP159" s="115" t="e">
        <f t="shared" si="241"/>
        <v>#N/A</v>
      </c>
      <c r="AQ159" s="115" t="e">
        <f t="shared" si="241"/>
        <v>#N/A</v>
      </c>
      <c r="AR159" s="115" t="e">
        <f t="shared" si="241"/>
        <v>#N/A</v>
      </c>
      <c r="AS159" s="115" t="e">
        <f t="shared" si="241"/>
        <v>#N/A</v>
      </c>
      <c r="AT159" s="115" t="e">
        <f t="shared" si="241"/>
        <v>#N/A</v>
      </c>
      <c r="AU159" s="115" t="e">
        <f t="shared" si="241"/>
        <v>#N/A</v>
      </c>
      <c r="AV159" s="115" t="e">
        <f t="shared" si="241"/>
        <v>#N/A</v>
      </c>
      <c r="AW159" s="115" t="e">
        <f t="shared" si="241"/>
        <v>#N/A</v>
      </c>
      <c r="AX159" s="115" t="e">
        <f t="shared" si="241"/>
        <v>#N/A</v>
      </c>
      <c r="AY159" s="115" t="e">
        <f t="shared" si="241"/>
        <v>#N/A</v>
      </c>
      <c r="AZ159" s="115" t="e">
        <f t="shared" si="241"/>
        <v>#N/A</v>
      </c>
      <c r="BA159" s="115" t="e">
        <f t="shared" ref="BA159:BC159" si="246">BA48+BA102</f>
        <v>#N/A</v>
      </c>
      <c r="BB159" s="115" t="e">
        <f t="shared" ref="BB159" si="247">BB48+BB102</f>
        <v>#N/A</v>
      </c>
      <c r="BC159" s="115" t="e">
        <f t="shared" si="246"/>
        <v>#N/A</v>
      </c>
      <c r="BD159" s="115" t="e">
        <f t="shared" ref="BD159:BE159" si="248">BD48+BD102</f>
        <v>#N/A</v>
      </c>
      <c r="BE159" s="115" t="e">
        <f t="shared" si="248"/>
        <v>#N/A</v>
      </c>
      <c r="BF159" s="115" t="e">
        <f t="shared" ref="BF159:BG159" si="249">BF48+BF102</f>
        <v>#N/A</v>
      </c>
      <c r="BG159" s="115" t="e">
        <f t="shared" si="249"/>
        <v>#N/A</v>
      </c>
      <c r="BH159" s="115" t="e">
        <f t="shared" ref="BH159" si="250">BH48+BH102</f>
        <v>#N/A</v>
      </c>
      <c r="BI159" s="115"/>
      <c r="BJ159" s="115"/>
      <c r="BK159" s="115"/>
      <c r="BL159" s="115"/>
      <c r="BM159" s="115"/>
      <c r="BN159" s="115"/>
      <c r="BO159" s="115"/>
      <c r="BP159" s="115"/>
      <c r="BQ159" s="115"/>
      <c r="BR159" s="115"/>
      <c r="BS159" s="115"/>
      <c r="BT159" s="115"/>
      <c r="BU159" s="115"/>
      <c r="BV159" s="115"/>
      <c r="BW159" s="115"/>
      <c r="BX159" s="115"/>
      <c r="BY159" s="115"/>
      <c r="BZ159" s="115"/>
      <c r="CA159" s="115"/>
      <c r="CB159" s="115"/>
      <c r="CC159" s="115"/>
      <c r="CD159" s="115"/>
      <c r="CE159" s="115"/>
      <c r="CF159" s="115"/>
      <c r="CG159" s="115"/>
      <c r="CH159" s="115"/>
      <c r="CI159" s="115"/>
      <c r="CJ159" s="115"/>
      <c r="CK159" s="115"/>
      <c r="CL159" s="115"/>
      <c r="CM159" s="115"/>
      <c r="CN159" s="115"/>
      <c r="CO159" s="115"/>
      <c r="CP159" s="115"/>
      <c r="CQ159" s="115"/>
      <c r="CR159" s="115"/>
      <c r="CS159" s="115"/>
      <c r="CT159" s="115"/>
      <c r="CU159" s="115"/>
      <c r="CV159" s="115"/>
      <c r="CW159" s="115"/>
      <c r="CX159" s="115"/>
      <c r="CY159" s="115"/>
      <c r="CZ159" s="115"/>
      <c r="DA159" s="115"/>
      <c r="DB159" s="115"/>
      <c r="DC159" s="115"/>
    </row>
    <row r="160" spans="1:107" s="106" customFormat="1" hidden="1" outlineLevel="1" x14ac:dyDescent="0.25">
      <c r="A160" s="110" t="s">
        <v>75</v>
      </c>
      <c r="B160" s="114">
        <f t="shared" si="145"/>
        <v>0</v>
      </c>
      <c r="C160" s="114">
        <f t="shared" ca="1" si="145"/>
        <v>0.80713999999999997</v>
      </c>
      <c r="D160" s="114">
        <f t="shared" si="145"/>
        <v>0</v>
      </c>
      <c r="E160" s="114">
        <f t="shared" ref="E160" si="251">E49+E103</f>
        <v>0</v>
      </c>
      <c r="F160" s="114">
        <f t="shared" si="115"/>
        <v>0</v>
      </c>
      <c r="G160" s="114">
        <f t="shared" si="115"/>
        <v>0</v>
      </c>
      <c r="H160" s="114">
        <f t="shared" si="14"/>
        <v>0</v>
      </c>
      <c r="I160" s="114">
        <f t="shared" ref="I160" si="252">I49+I103</f>
        <v>0</v>
      </c>
      <c r="J160" s="114">
        <f t="shared" ref="J160:K160" si="253">J49+J103</f>
        <v>0</v>
      </c>
      <c r="K160" s="114">
        <f t="shared" si="253"/>
        <v>0</v>
      </c>
      <c r="L160" s="114">
        <f t="shared" ref="L160" si="254">L49+L103</f>
        <v>0</v>
      </c>
      <c r="M160" s="114">
        <f t="shared" ref="M160" si="255">M49+M103</f>
        <v>0</v>
      </c>
      <c r="N160" s="114">
        <f t="shared" si="18"/>
        <v>0</v>
      </c>
      <c r="O160" s="114">
        <f t="shared" si="18"/>
        <v>0</v>
      </c>
      <c r="P160" s="114">
        <f t="shared" si="18"/>
        <v>0</v>
      </c>
      <c r="Q160" s="114">
        <f t="shared" si="18"/>
        <v>0</v>
      </c>
      <c r="R160" s="114">
        <f t="shared" ref="R160:AZ160" si="256">R49+R103</f>
        <v>0</v>
      </c>
      <c r="S160" s="114">
        <f t="shared" si="256"/>
        <v>0</v>
      </c>
      <c r="T160" s="114">
        <f t="shared" ca="1" si="256"/>
        <v>0.80713999999999997</v>
      </c>
      <c r="U160" s="114">
        <f t="shared" si="256"/>
        <v>0</v>
      </c>
      <c r="V160" s="114">
        <f t="shared" ref="V160:W160" si="257">V49+V103</f>
        <v>0</v>
      </c>
      <c r="W160" s="114">
        <f t="shared" si="257"/>
        <v>0</v>
      </c>
      <c r="X160" s="114">
        <f t="shared" ref="X160:Y160" si="258">X49+X103</f>
        <v>0</v>
      </c>
      <c r="Y160" s="114">
        <f t="shared" si="258"/>
        <v>0</v>
      </c>
      <c r="Z160" s="114">
        <f t="shared" ref="Z160:AA160" si="259">Z49+Z103</f>
        <v>0</v>
      </c>
      <c r="AA160" s="114">
        <f t="shared" si="259"/>
        <v>0</v>
      </c>
      <c r="AB160" s="114">
        <f t="shared" ca="1" si="256"/>
        <v>0.80713999999999997</v>
      </c>
      <c r="AC160" s="114">
        <f t="shared" si="256"/>
        <v>0</v>
      </c>
      <c r="AD160" s="114">
        <f t="shared" si="256"/>
        <v>0</v>
      </c>
      <c r="AE160" s="114">
        <f t="shared" si="256"/>
        <v>0</v>
      </c>
      <c r="AF160" s="114">
        <f t="shared" si="256"/>
        <v>0</v>
      </c>
      <c r="AG160" s="114">
        <f t="shared" ref="AG160:AI160" si="260">AG49+AG103</f>
        <v>0</v>
      </c>
      <c r="AH160" s="114">
        <f t="shared" si="260"/>
        <v>0</v>
      </c>
      <c r="AI160" s="114">
        <f t="shared" si="260"/>
        <v>0</v>
      </c>
      <c r="AJ160" s="114" t="e">
        <f t="shared" si="256"/>
        <v>#N/A</v>
      </c>
      <c r="AK160" s="114" t="e">
        <f t="shared" si="256"/>
        <v>#N/A</v>
      </c>
      <c r="AL160" s="114" t="e">
        <f t="shared" si="256"/>
        <v>#N/A</v>
      </c>
      <c r="AM160" s="114" t="e">
        <f t="shared" si="256"/>
        <v>#N/A</v>
      </c>
      <c r="AN160" s="114" t="e">
        <f t="shared" si="256"/>
        <v>#N/A</v>
      </c>
      <c r="AO160" s="114" t="e">
        <f t="shared" si="256"/>
        <v>#N/A</v>
      </c>
      <c r="AP160" s="114" t="e">
        <f t="shared" si="256"/>
        <v>#N/A</v>
      </c>
      <c r="AQ160" s="114" t="e">
        <f t="shared" si="256"/>
        <v>#N/A</v>
      </c>
      <c r="AR160" s="114" t="e">
        <f t="shared" si="256"/>
        <v>#N/A</v>
      </c>
      <c r="AS160" s="114" t="e">
        <f t="shared" si="256"/>
        <v>#N/A</v>
      </c>
      <c r="AT160" s="114" t="e">
        <f t="shared" si="256"/>
        <v>#N/A</v>
      </c>
      <c r="AU160" s="114" t="e">
        <f t="shared" si="256"/>
        <v>#N/A</v>
      </c>
      <c r="AV160" s="114" t="e">
        <f t="shared" si="256"/>
        <v>#N/A</v>
      </c>
      <c r="AW160" s="114" t="e">
        <f t="shared" si="256"/>
        <v>#N/A</v>
      </c>
      <c r="AX160" s="114" t="e">
        <f t="shared" si="256"/>
        <v>#N/A</v>
      </c>
      <c r="AY160" s="114" t="e">
        <f t="shared" si="256"/>
        <v>#N/A</v>
      </c>
      <c r="AZ160" s="114" t="e">
        <f t="shared" si="256"/>
        <v>#N/A</v>
      </c>
      <c r="BA160" s="114" t="e">
        <f t="shared" ref="BA160:BC160" si="261">BA49+BA103</f>
        <v>#N/A</v>
      </c>
      <c r="BB160" s="114" t="e">
        <f t="shared" ref="BB160" si="262">BB49+BB103</f>
        <v>#N/A</v>
      </c>
      <c r="BC160" s="114" t="e">
        <f t="shared" si="261"/>
        <v>#N/A</v>
      </c>
      <c r="BD160" s="114" t="e">
        <f t="shared" ref="BD160:BE160" si="263">BD49+BD103</f>
        <v>#N/A</v>
      </c>
      <c r="BE160" s="114" t="e">
        <f t="shared" si="263"/>
        <v>#N/A</v>
      </c>
      <c r="BF160" s="114" t="e">
        <f t="shared" ref="BF160:BG160" si="264">BF49+BF103</f>
        <v>#N/A</v>
      </c>
      <c r="BG160" s="114" t="e">
        <f t="shared" si="264"/>
        <v>#N/A</v>
      </c>
      <c r="BH160" s="114" t="e">
        <f t="shared" ref="BH160" si="265">BH49+BH103</f>
        <v>#N/A</v>
      </c>
      <c r="BI160" s="114"/>
      <c r="BJ160" s="114"/>
      <c r="BK160" s="114"/>
      <c r="BL160" s="114"/>
      <c r="BM160" s="114"/>
      <c r="BN160" s="114"/>
      <c r="BO160" s="114"/>
      <c r="BP160" s="114"/>
      <c r="BQ160" s="114"/>
      <c r="BR160" s="114"/>
      <c r="BS160" s="114"/>
      <c r="BT160" s="114"/>
      <c r="BU160" s="114"/>
      <c r="BV160" s="114"/>
      <c r="BW160" s="114"/>
      <c r="BX160" s="114"/>
      <c r="BY160" s="114"/>
      <c r="BZ160" s="114"/>
      <c r="CA160" s="114"/>
      <c r="CB160" s="114"/>
      <c r="CC160" s="114"/>
      <c r="CD160" s="114"/>
      <c r="CE160" s="114"/>
      <c r="CF160" s="114"/>
      <c r="CG160" s="114"/>
      <c r="CH160" s="114"/>
      <c r="CI160" s="114"/>
      <c r="CJ160" s="114"/>
      <c r="CK160" s="114"/>
      <c r="CL160" s="114"/>
      <c r="CM160" s="114"/>
      <c r="CN160" s="114"/>
      <c r="CO160" s="114"/>
      <c r="CP160" s="114"/>
      <c r="CQ160" s="114"/>
      <c r="CR160" s="114"/>
      <c r="CS160" s="114"/>
      <c r="CT160" s="114"/>
      <c r="CU160" s="114"/>
      <c r="CV160" s="114"/>
      <c r="CW160" s="114"/>
      <c r="CX160" s="114"/>
      <c r="CY160" s="114"/>
      <c r="CZ160" s="114"/>
      <c r="DA160" s="114"/>
      <c r="DB160" s="114"/>
      <c r="DC160" s="114"/>
    </row>
    <row r="161" spans="1:107" s="107" customFormat="1" hidden="1" outlineLevel="1" x14ac:dyDescent="0.25">
      <c r="A161" s="110" t="s">
        <v>76</v>
      </c>
      <c r="B161" s="115">
        <f t="shared" si="145"/>
        <v>0</v>
      </c>
      <c r="C161" s="115">
        <f t="shared" si="145"/>
        <v>0</v>
      </c>
      <c r="D161" s="115">
        <f t="shared" si="145"/>
        <v>0</v>
      </c>
      <c r="E161" s="115">
        <f t="shared" ref="E161" si="266">E50+E104</f>
        <v>0</v>
      </c>
      <c r="F161" s="115">
        <f t="shared" si="115"/>
        <v>0</v>
      </c>
      <c r="G161" s="115">
        <f t="shared" si="115"/>
        <v>0</v>
      </c>
      <c r="H161" s="115">
        <f t="shared" si="14"/>
        <v>0</v>
      </c>
      <c r="I161" s="115">
        <f t="shared" ref="I161" si="267">I50+I104</f>
        <v>0</v>
      </c>
      <c r="J161" s="115">
        <f t="shared" ref="J161:K161" si="268">J50+J104</f>
        <v>0</v>
      </c>
      <c r="K161" s="115">
        <f t="shared" si="268"/>
        <v>0</v>
      </c>
      <c r="L161" s="115">
        <f t="shared" ref="L161" si="269">L50+L104</f>
        <v>0</v>
      </c>
      <c r="M161" s="115">
        <f t="shared" ref="M161" si="270">M50+M104</f>
        <v>0</v>
      </c>
      <c r="N161" s="115">
        <f t="shared" si="18"/>
        <v>0</v>
      </c>
      <c r="O161" s="115">
        <f t="shared" si="18"/>
        <v>0</v>
      </c>
      <c r="P161" s="115">
        <f t="shared" si="18"/>
        <v>0</v>
      </c>
      <c r="Q161" s="115">
        <f t="shared" si="18"/>
        <v>0</v>
      </c>
      <c r="R161" s="115">
        <f t="shared" ref="R161:AZ161" si="271">R50+R104</f>
        <v>0</v>
      </c>
      <c r="S161" s="115">
        <f t="shared" si="271"/>
        <v>0</v>
      </c>
      <c r="T161" s="115">
        <f t="shared" si="271"/>
        <v>0</v>
      </c>
      <c r="U161" s="115">
        <f t="shared" si="271"/>
        <v>0</v>
      </c>
      <c r="V161" s="115">
        <f t="shared" ref="V161:W161" si="272">V50+V104</f>
        <v>0</v>
      </c>
      <c r="W161" s="115">
        <f t="shared" si="272"/>
        <v>0</v>
      </c>
      <c r="X161" s="115">
        <f t="shared" ref="X161:Y161" si="273">X50+X104</f>
        <v>0</v>
      </c>
      <c r="Y161" s="115">
        <f t="shared" si="273"/>
        <v>0</v>
      </c>
      <c r="Z161" s="115">
        <f t="shared" ref="Z161:AA161" si="274">Z50+Z104</f>
        <v>0</v>
      </c>
      <c r="AA161" s="115">
        <f t="shared" si="274"/>
        <v>0</v>
      </c>
      <c r="AB161" s="115">
        <f t="shared" si="271"/>
        <v>0</v>
      </c>
      <c r="AC161" s="115">
        <f t="shared" si="271"/>
        <v>0</v>
      </c>
      <c r="AD161" s="115">
        <f t="shared" si="271"/>
        <v>0</v>
      </c>
      <c r="AE161" s="115">
        <f t="shared" si="271"/>
        <v>0</v>
      </c>
      <c r="AF161" s="115">
        <f t="shared" si="271"/>
        <v>0</v>
      </c>
      <c r="AG161" s="115">
        <f t="shared" ref="AG161:AI161" si="275">AG50+AG104</f>
        <v>0</v>
      </c>
      <c r="AH161" s="115">
        <f t="shared" si="275"/>
        <v>0</v>
      </c>
      <c r="AI161" s="115">
        <f t="shared" si="275"/>
        <v>0</v>
      </c>
      <c r="AJ161" s="115" t="e">
        <f t="shared" si="271"/>
        <v>#N/A</v>
      </c>
      <c r="AK161" s="115" t="e">
        <f t="shared" si="271"/>
        <v>#N/A</v>
      </c>
      <c r="AL161" s="115" t="e">
        <f t="shared" si="271"/>
        <v>#N/A</v>
      </c>
      <c r="AM161" s="115" t="e">
        <f t="shared" si="271"/>
        <v>#N/A</v>
      </c>
      <c r="AN161" s="115" t="e">
        <f t="shared" si="271"/>
        <v>#N/A</v>
      </c>
      <c r="AO161" s="115" t="e">
        <f t="shared" si="271"/>
        <v>#N/A</v>
      </c>
      <c r="AP161" s="115" t="e">
        <f t="shared" si="271"/>
        <v>#N/A</v>
      </c>
      <c r="AQ161" s="115" t="e">
        <f t="shared" si="271"/>
        <v>#N/A</v>
      </c>
      <c r="AR161" s="115" t="e">
        <f t="shared" si="271"/>
        <v>#N/A</v>
      </c>
      <c r="AS161" s="115" t="e">
        <f t="shared" si="271"/>
        <v>#N/A</v>
      </c>
      <c r="AT161" s="115" t="e">
        <f t="shared" si="271"/>
        <v>#N/A</v>
      </c>
      <c r="AU161" s="115" t="e">
        <f t="shared" si="271"/>
        <v>#N/A</v>
      </c>
      <c r="AV161" s="115" t="e">
        <f t="shared" si="271"/>
        <v>#N/A</v>
      </c>
      <c r="AW161" s="115" t="e">
        <f t="shared" si="271"/>
        <v>#N/A</v>
      </c>
      <c r="AX161" s="115" t="e">
        <f t="shared" si="271"/>
        <v>#N/A</v>
      </c>
      <c r="AY161" s="115" t="e">
        <f t="shared" si="271"/>
        <v>#N/A</v>
      </c>
      <c r="AZ161" s="115" t="e">
        <f t="shared" si="271"/>
        <v>#N/A</v>
      </c>
      <c r="BA161" s="115" t="e">
        <f t="shared" ref="BA161:BC161" si="276">BA50+BA104</f>
        <v>#N/A</v>
      </c>
      <c r="BB161" s="115" t="e">
        <f t="shared" ref="BB161" si="277">BB50+BB104</f>
        <v>#N/A</v>
      </c>
      <c r="BC161" s="115" t="e">
        <f t="shared" si="276"/>
        <v>#N/A</v>
      </c>
      <c r="BD161" s="115" t="e">
        <f t="shared" ref="BD161:BE161" si="278">BD50+BD104</f>
        <v>#N/A</v>
      </c>
      <c r="BE161" s="115" t="e">
        <f t="shared" si="278"/>
        <v>#N/A</v>
      </c>
      <c r="BF161" s="115" t="e">
        <f t="shared" ref="BF161:BG161" si="279">BF50+BF104</f>
        <v>#N/A</v>
      </c>
      <c r="BG161" s="115" t="e">
        <f t="shared" si="279"/>
        <v>#N/A</v>
      </c>
      <c r="BH161" s="115" t="e">
        <f t="shared" ref="BH161" si="280">BH50+BH104</f>
        <v>#N/A</v>
      </c>
      <c r="BI161" s="115"/>
      <c r="BJ161" s="115"/>
      <c r="BK161" s="115"/>
      <c r="BL161" s="115"/>
      <c r="BM161" s="115"/>
      <c r="BN161" s="115"/>
      <c r="BO161" s="115"/>
      <c r="BP161" s="115"/>
      <c r="BQ161" s="115"/>
      <c r="BR161" s="115"/>
      <c r="BS161" s="115"/>
      <c r="BT161" s="115"/>
      <c r="BU161" s="115"/>
      <c r="BV161" s="115"/>
      <c r="BW161" s="115"/>
      <c r="BX161" s="115"/>
      <c r="BY161" s="115"/>
      <c r="BZ161" s="115"/>
      <c r="CA161" s="115"/>
      <c r="CB161" s="115"/>
      <c r="CC161" s="115"/>
      <c r="CD161" s="115"/>
      <c r="CE161" s="115"/>
      <c r="CF161" s="115"/>
      <c r="CG161" s="115"/>
      <c r="CH161" s="115"/>
      <c r="CI161" s="115"/>
      <c r="CJ161" s="115"/>
      <c r="CK161" s="115"/>
      <c r="CL161" s="115"/>
      <c r="CM161" s="115"/>
      <c r="CN161" s="115"/>
      <c r="CO161" s="115"/>
      <c r="CP161" s="115"/>
      <c r="CQ161" s="115"/>
      <c r="CR161" s="115"/>
      <c r="CS161" s="115"/>
      <c r="CT161" s="115"/>
      <c r="CU161" s="115"/>
      <c r="CV161" s="115"/>
      <c r="CW161" s="115"/>
      <c r="CX161" s="115"/>
      <c r="CY161" s="115"/>
      <c r="CZ161" s="115"/>
      <c r="DA161" s="115"/>
      <c r="DB161" s="115"/>
      <c r="DC161" s="115"/>
    </row>
    <row r="162" spans="1:107" s="106" customFormat="1" hidden="1" outlineLevel="1" x14ac:dyDescent="0.25">
      <c r="A162" s="110" t="s">
        <v>77</v>
      </c>
      <c r="B162" s="114">
        <f t="shared" si="145"/>
        <v>0</v>
      </c>
      <c r="C162" s="114">
        <f t="shared" si="145"/>
        <v>0</v>
      </c>
      <c r="D162" s="114">
        <f t="shared" si="145"/>
        <v>0</v>
      </c>
      <c r="E162" s="114">
        <f t="shared" ref="E162" si="281">E51+E105</f>
        <v>0</v>
      </c>
      <c r="F162" s="114">
        <f t="shared" si="115"/>
        <v>0</v>
      </c>
      <c r="G162" s="114">
        <f t="shared" si="115"/>
        <v>0</v>
      </c>
      <c r="H162" s="114">
        <f t="shared" si="14"/>
        <v>0</v>
      </c>
      <c r="I162" s="114">
        <f t="shared" ref="I162" si="282">I51+I105</f>
        <v>0</v>
      </c>
      <c r="J162" s="114">
        <f t="shared" ref="J162:K162" si="283">J51+J105</f>
        <v>0</v>
      </c>
      <c r="K162" s="114">
        <f t="shared" si="283"/>
        <v>0</v>
      </c>
      <c r="L162" s="114">
        <f t="shared" ref="L162" si="284">L51+L105</f>
        <v>0</v>
      </c>
      <c r="M162" s="114">
        <f t="shared" ref="M162" si="285">M51+M105</f>
        <v>0</v>
      </c>
      <c r="N162" s="114">
        <f t="shared" si="18"/>
        <v>0</v>
      </c>
      <c r="O162" s="114">
        <f t="shared" si="18"/>
        <v>0</v>
      </c>
      <c r="P162" s="114">
        <f t="shared" si="18"/>
        <v>0</v>
      </c>
      <c r="Q162" s="114">
        <f t="shared" si="18"/>
        <v>0</v>
      </c>
      <c r="R162" s="114">
        <f t="shared" ref="R162:AZ162" si="286">R51+R105</f>
        <v>0</v>
      </c>
      <c r="S162" s="114">
        <f t="shared" si="286"/>
        <v>0</v>
      </c>
      <c r="T162" s="114">
        <f t="shared" si="286"/>
        <v>0</v>
      </c>
      <c r="U162" s="114">
        <f t="shared" si="286"/>
        <v>0</v>
      </c>
      <c r="V162" s="114">
        <f t="shared" ref="V162:W162" si="287">V51+V105</f>
        <v>0</v>
      </c>
      <c r="W162" s="114">
        <f t="shared" si="287"/>
        <v>0</v>
      </c>
      <c r="X162" s="114">
        <f t="shared" ref="X162:Y162" si="288">X51+X105</f>
        <v>0</v>
      </c>
      <c r="Y162" s="114">
        <f t="shared" si="288"/>
        <v>0</v>
      </c>
      <c r="Z162" s="114">
        <f t="shared" ref="Z162:AA162" si="289">Z51+Z105</f>
        <v>0</v>
      </c>
      <c r="AA162" s="114">
        <f t="shared" si="289"/>
        <v>0</v>
      </c>
      <c r="AB162" s="114">
        <f t="shared" si="286"/>
        <v>0</v>
      </c>
      <c r="AC162" s="114">
        <f t="shared" si="286"/>
        <v>0</v>
      </c>
      <c r="AD162" s="114">
        <f t="shared" si="286"/>
        <v>0</v>
      </c>
      <c r="AE162" s="114">
        <f t="shared" si="286"/>
        <v>0</v>
      </c>
      <c r="AF162" s="114">
        <f t="shared" si="286"/>
        <v>0</v>
      </c>
      <c r="AG162" s="114">
        <f t="shared" ref="AG162:AI162" si="290">AG51+AG105</f>
        <v>0</v>
      </c>
      <c r="AH162" s="114">
        <f t="shared" si="290"/>
        <v>0</v>
      </c>
      <c r="AI162" s="114">
        <f t="shared" si="290"/>
        <v>0</v>
      </c>
      <c r="AJ162" s="114" t="e">
        <f t="shared" si="286"/>
        <v>#N/A</v>
      </c>
      <c r="AK162" s="114" t="e">
        <f t="shared" si="286"/>
        <v>#N/A</v>
      </c>
      <c r="AL162" s="114" t="e">
        <f t="shared" si="286"/>
        <v>#N/A</v>
      </c>
      <c r="AM162" s="114" t="e">
        <f t="shared" si="286"/>
        <v>#N/A</v>
      </c>
      <c r="AN162" s="114" t="e">
        <f t="shared" si="286"/>
        <v>#N/A</v>
      </c>
      <c r="AO162" s="114" t="e">
        <f t="shared" si="286"/>
        <v>#N/A</v>
      </c>
      <c r="AP162" s="114" t="e">
        <f t="shared" si="286"/>
        <v>#N/A</v>
      </c>
      <c r="AQ162" s="114" t="e">
        <f t="shared" si="286"/>
        <v>#N/A</v>
      </c>
      <c r="AR162" s="114" t="e">
        <f t="shared" si="286"/>
        <v>#N/A</v>
      </c>
      <c r="AS162" s="114" t="e">
        <f t="shared" si="286"/>
        <v>#N/A</v>
      </c>
      <c r="AT162" s="114" t="e">
        <f t="shared" si="286"/>
        <v>#N/A</v>
      </c>
      <c r="AU162" s="114" t="e">
        <f t="shared" si="286"/>
        <v>#N/A</v>
      </c>
      <c r="AV162" s="114" t="e">
        <f t="shared" si="286"/>
        <v>#N/A</v>
      </c>
      <c r="AW162" s="114" t="e">
        <f t="shared" si="286"/>
        <v>#N/A</v>
      </c>
      <c r="AX162" s="114" t="e">
        <f t="shared" si="286"/>
        <v>#N/A</v>
      </c>
      <c r="AY162" s="114" t="e">
        <f t="shared" si="286"/>
        <v>#N/A</v>
      </c>
      <c r="AZ162" s="114" t="e">
        <f t="shared" si="286"/>
        <v>#N/A</v>
      </c>
      <c r="BA162" s="114" t="e">
        <f t="shared" ref="BA162:BC162" si="291">BA51+BA105</f>
        <v>#N/A</v>
      </c>
      <c r="BB162" s="114" t="e">
        <f t="shared" ref="BB162" si="292">BB51+BB105</f>
        <v>#N/A</v>
      </c>
      <c r="BC162" s="114" t="e">
        <f t="shared" si="291"/>
        <v>#N/A</v>
      </c>
      <c r="BD162" s="114" t="e">
        <f t="shared" ref="BD162:BE162" si="293">BD51+BD105</f>
        <v>#N/A</v>
      </c>
      <c r="BE162" s="114" t="e">
        <f t="shared" si="293"/>
        <v>#N/A</v>
      </c>
      <c r="BF162" s="114" t="e">
        <f t="shared" ref="BF162:BG162" si="294">BF51+BF105</f>
        <v>#N/A</v>
      </c>
      <c r="BG162" s="114" t="e">
        <f t="shared" si="294"/>
        <v>#N/A</v>
      </c>
      <c r="BH162" s="114" t="e">
        <f t="shared" ref="BH162" si="295">BH51+BH105</f>
        <v>#N/A</v>
      </c>
      <c r="BI162" s="114"/>
      <c r="BJ162" s="114"/>
      <c r="BK162" s="114"/>
      <c r="BL162" s="114"/>
      <c r="BM162" s="114"/>
      <c r="BN162" s="114"/>
      <c r="BO162" s="114"/>
      <c r="BP162" s="114"/>
      <c r="BQ162" s="114"/>
      <c r="BR162" s="114"/>
      <c r="BS162" s="114"/>
      <c r="BT162" s="114"/>
      <c r="BU162" s="114"/>
      <c r="BV162" s="114"/>
      <c r="BW162" s="114"/>
      <c r="BX162" s="114"/>
      <c r="BY162" s="114"/>
      <c r="BZ162" s="114"/>
      <c r="CA162" s="114"/>
      <c r="CB162" s="114"/>
      <c r="CC162" s="114"/>
      <c r="CD162" s="114"/>
      <c r="CE162" s="114"/>
      <c r="CF162" s="114"/>
      <c r="CG162" s="114"/>
      <c r="CH162" s="114"/>
      <c r="CI162" s="114"/>
      <c r="CJ162" s="114"/>
      <c r="CK162" s="114"/>
      <c r="CL162" s="114"/>
      <c r="CM162" s="114"/>
      <c r="CN162" s="114"/>
      <c r="CO162" s="114"/>
      <c r="CP162" s="114"/>
      <c r="CQ162" s="114"/>
      <c r="CR162" s="114"/>
      <c r="CS162" s="114"/>
      <c r="CT162" s="114"/>
      <c r="CU162" s="114"/>
      <c r="CV162" s="114"/>
      <c r="CW162" s="114"/>
      <c r="CX162" s="114"/>
      <c r="CY162" s="114"/>
      <c r="CZ162" s="114"/>
      <c r="DA162" s="114"/>
      <c r="DB162" s="114"/>
      <c r="DC162" s="114"/>
    </row>
    <row r="163" spans="1:107" s="107" customFormat="1" hidden="1" outlineLevel="1" x14ac:dyDescent="0.25">
      <c r="A163" s="110" t="s">
        <v>78</v>
      </c>
      <c r="B163" s="115">
        <f t="shared" si="145"/>
        <v>0</v>
      </c>
      <c r="C163" s="115">
        <f t="shared" si="145"/>
        <v>0</v>
      </c>
      <c r="D163" s="115">
        <f t="shared" si="145"/>
        <v>0</v>
      </c>
      <c r="E163" s="115">
        <f t="shared" ref="E163" si="296">E52+E106</f>
        <v>0</v>
      </c>
      <c r="F163" s="115">
        <f t="shared" si="115"/>
        <v>0</v>
      </c>
      <c r="G163" s="115">
        <f t="shared" si="115"/>
        <v>0</v>
      </c>
      <c r="H163" s="115">
        <f t="shared" si="14"/>
        <v>0</v>
      </c>
      <c r="I163" s="115">
        <f t="shared" ref="I163" si="297">I52+I106</f>
        <v>0</v>
      </c>
      <c r="J163" s="115">
        <f t="shared" ref="J163:K163" si="298">J52+J106</f>
        <v>0</v>
      </c>
      <c r="K163" s="115">
        <f t="shared" si="298"/>
        <v>0</v>
      </c>
      <c r="L163" s="115">
        <f t="shared" ref="L163" si="299">L52+L106</f>
        <v>0</v>
      </c>
      <c r="M163" s="115">
        <f t="shared" ref="M163" si="300">M52+M106</f>
        <v>0</v>
      </c>
      <c r="N163" s="115">
        <f t="shared" si="18"/>
        <v>0</v>
      </c>
      <c r="O163" s="115">
        <f t="shared" si="18"/>
        <v>0</v>
      </c>
      <c r="P163" s="115">
        <f t="shared" si="18"/>
        <v>0</v>
      </c>
      <c r="Q163" s="115">
        <f t="shared" si="18"/>
        <v>0</v>
      </c>
      <c r="R163" s="115">
        <f t="shared" ref="R163:AZ163" si="301">R52+R106</f>
        <v>0</v>
      </c>
      <c r="S163" s="115">
        <f t="shared" si="301"/>
        <v>0</v>
      </c>
      <c r="T163" s="115">
        <f t="shared" si="301"/>
        <v>0</v>
      </c>
      <c r="U163" s="115">
        <f t="shared" si="301"/>
        <v>0</v>
      </c>
      <c r="V163" s="115">
        <f t="shared" ref="V163:W163" si="302">V52+V106</f>
        <v>0</v>
      </c>
      <c r="W163" s="115">
        <f t="shared" si="302"/>
        <v>0</v>
      </c>
      <c r="X163" s="115">
        <f t="shared" ref="X163:Y163" si="303">X52+X106</f>
        <v>0</v>
      </c>
      <c r="Y163" s="115">
        <f t="shared" si="303"/>
        <v>0</v>
      </c>
      <c r="Z163" s="115">
        <f t="shared" ref="Z163:AA163" si="304">Z52+Z106</f>
        <v>0</v>
      </c>
      <c r="AA163" s="115">
        <f t="shared" si="304"/>
        <v>0</v>
      </c>
      <c r="AB163" s="115">
        <f t="shared" si="301"/>
        <v>0</v>
      </c>
      <c r="AC163" s="115">
        <f t="shared" si="301"/>
        <v>0</v>
      </c>
      <c r="AD163" s="115">
        <f t="shared" si="301"/>
        <v>0</v>
      </c>
      <c r="AE163" s="115">
        <f t="shared" si="301"/>
        <v>0</v>
      </c>
      <c r="AF163" s="115">
        <f t="shared" si="301"/>
        <v>0</v>
      </c>
      <c r="AG163" s="115">
        <f t="shared" ref="AG163:AI163" si="305">AG52+AG106</f>
        <v>0</v>
      </c>
      <c r="AH163" s="115">
        <f t="shared" si="305"/>
        <v>0</v>
      </c>
      <c r="AI163" s="115">
        <f t="shared" si="305"/>
        <v>0</v>
      </c>
      <c r="AJ163" s="115" t="e">
        <f t="shared" si="301"/>
        <v>#N/A</v>
      </c>
      <c r="AK163" s="115" t="e">
        <f t="shared" si="301"/>
        <v>#N/A</v>
      </c>
      <c r="AL163" s="115" t="e">
        <f t="shared" si="301"/>
        <v>#N/A</v>
      </c>
      <c r="AM163" s="115" t="e">
        <f t="shared" si="301"/>
        <v>#N/A</v>
      </c>
      <c r="AN163" s="115" t="e">
        <f t="shared" si="301"/>
        <v>#N/A</v>
      </c>
      <c r="AO163" s="115" t="e">
        <f t="shared" si="301"/>
        <v>#N/A</v>
      </c>
      <c r="AP163" s="115" t="e">
        <f t="shared" si="301"/>
        <v>#N/A</v>
      </c>
      <c r="AQ163" s="115" t="e">
        <f t="shared" si="301"/>
        <v>#N/A</v>
      </c>
      <c r="AR163" s="115" t="e">
        <f t="shared" si="301"/>
        <v>#N/A</v>
      </c>
      <c r="AS163" s="115" t="e">
        <f t="shared" si="301"/>
        <v>#N/A</v>
      </c>
      <c r="AT163" s="115" t="e">
        <f t="shared" si="301"/>
        <v>#N/A</v>
      </c>
      <c r="AU163" s="115" t="e">
        <f t="shared" si="301"/>
        <v>#N/A</v>
      </c>
      <c r="AV163" s="115" t="e">
        <f t="shared" si="301"/>
        <v>#N/A</v>
      </c>
      <c r="AW163" s="115" t="e">
        <f t="shared" si="301"/>
        <v>#N/A</v>
      </c>
      <c r="AX163" s="115" t="e">
        <f t="shared" si="301"/>
        <v>#N/A</v>
      </c>
      <c r="AY163" s="115" t="e">
        <f t="shared" si="301"/>
        <v>#N/A</v>
      </c>
      <c r="AZ163" s="115" t="e">
        <f t="shared" si="301"/>
        <v>#N/A</v>
      </c>
      <c r="BA163" s="115" t="e">
        <f t="shared" ref="BA163:BC163" si="306">BA52+BA106</f>
        <v>#N/A</v>
      </c>
      <c r="BB163" s="115" t="e">
        <f t="shared" ref="BB163" si="307">BB52+BB106</f>
        <v>#N/A</v>
      </c>
      <c r="BC163" s="115" t="e">
        <f t="shared" si="306"/>
        <v>#N/A</v>
      </c>
      <c r="BD163" s="115" t="e">
        <f t="shared" ref="BD163:BE163" si="308">BD52+BD106</f>
        <v>#N/A</v>
      </c>
      <c r="BE163" s="115" t="e">
        <f t="shared" si="308"/>
        <v>#N/A</v>
      </c>
      <c r="BF163" s="115" t="e">
        <f t="shared" ref="BF163:BG163" si="309">BF52+BF106</f>
        <v>#N/A</v>
      </c>
      <c r="BG163" s="115" t="e">
        <f t="shared" si="309"/>
        <v>#N/A</v>
      </c>
      <c r="BH163" s="115" t="e">
        <f t="shared" ref="BH163" si="310">BH52+BH106</f>
        <v>#N/A</v>
      </c>
      <c r="BI163" s="115"/>
      <c r="BJ163" s="115"/>
      <c r="BK163" s="115"/>
      <c r="BL163" s="115"/>
      <c r="BM163" s="115"/>
      <c r="BN163" s="115"/>
      <c r="BO163" s="115"/>
      <c r="BP163" s="115"/>
      <c r="BQ163" s="115"/>
      <c r="BR163" s="115"/>
      <c r="BS163" s="115"/>
      <c r="BT163" s="115"/>
      <c r="BU163" s="115"/>
      <c r="BV163" s="115"/>
      <c r="BW163" s="115"/>
      <c r="BX163" s="115"/>
      <c r="BY163" s="115"/>
      <c r="BZ163" s="115"/>
      <c r="CA163" s="115"/>
      <c r="CB163" s="115"/>
      <c r="CC163" s="115"/>
      <c r="CD163" s="115"/>
      <c r="CE163" s="115"/>
      <c r="CF163" s="115"/>
      <c r="CG163" s="115"/>
      <c r="CH163" s="115"/>
      <c r="CI163" s="115"/>
      <c r="CJ163" s="115"/>
      <c r="CK163" s="115"/>
      <c r="CL163" s="115"/>
      <c r="CM163" s="115"/>
      <c r="CN163" s="115"/>
      <c r="CO163" s="115"/>
      <c r="CP163" s="115"/>
      <c r="CQ163" s="115"/>
      <c r="CR163" s="115"/>
      <c r="CS163" s="115"/>
      <c r="CT163" s="115"/>
      <c r="CU163" s="115"/>
      <c r="CV163" s="115"/>
      <c r="CW163" s="115"/>
      <c r="CX163" s="115"/>
      <c r="CY163" s="115"/>
      <c r="CZ163" s="115"/>
      <c r="DA163" s="115"/>
      <c r="DB163" s="115"/>
      <c r="DC163" s="115"/>
    </row>
    <row r="164" spans="1:107" s="106" customFormat="1" hidden="1" outlineLevel="1" x14ac:dyDescent="0.25">
      <c r="A164" s="110" t="s">
        <v>79</v>
      </c>
      <c r="B164" s="114">
        <f t="shared" si="145"/>
        <v>0</v>
      </c>
      <c r="C164" s="114">
        <f t="shared" si="145"/>
        <v>0</v>
      </c>
      <c r="D164" s="114">
        <f t="shared" si="145"/>
        <v>0</v>
      </c>
      <c r="E164" s="114">
        <f t="shared" ref="E164" si="311">E53+E107</f>
        <v>0</v>
      </c>
      <c r="F164" s="114">
        <f t="shared" si="115"/>
        <v>0</v>
      </c>
      <c r="G164" s="114">
        <f t="shared" si="115"/>
        <v>0</v>
      </c>
      <c r="H164" s="114">
        <f t="shared" si="14"/>
        <v>0</v>
      </c>
      <c r="I164" s="114">
        <f t="shared" ref="I164" si="312">I53+I107</f>
        <v>0</v>
      </c>
      <c r="J164" s="114">
        <f t="shared" ref="J164:K164" si="313">J53+J107</f>
        <v>0</v>
      </c>
      <c r="K164" s="114">
        <f t="shared" si="313"/>
        <v>0</v>
      </c>
      <c r="L164" s="114">
        <f t="shared" ref="L164" si="314">L53+L107</f>
        <v>0</v>
      </c>
      <c r="M164" s="114">
        <f t="shared" ref="M164" si="315">M53+M107</f>
        <v>0</v>
      </c>
      <c r="N164" s="114">
        <f t="shared" ref="N164:Q183" si="316">N53+N107</f>
        <v>0</v>
      </c>
      <c r="O164" s="114">
        <f t="shared" si="316"/>
        <v>0</v>
      </c>
      <c r="P164" s="114">
        <f t="shared" si="316"/>
        <v>0</v>
      </c>
      <c r="Q164" s="114">
        <f t="shared" si="316"/>
        <v>0</v>
      </c>
      <c r="R164" s="114">
        <f t="shared" ref="R164:AZ164" si="317">R53+R107</f>
        <v>0</v>
      </c>
      <c r="S164" s="114">
        <f t="shared" si="317"/>
        <v>0</v>
      </c>
      <c r="T164" s="114">
        <f t="shared" si="317"/>
        <v>0</v>
      </c>
      <c r="U164" s="114">
        <f t="shared" si="317"/>
        <v>0</v>
      </c>
      <c r="V164" s="114">
        <f t="shared" ref="V164:W164" si="318">V53+V107</f>
        <v>0</v>
      </c>
      <c r="W164" s="114">
        <f t="shared" si="318"/>
        <v>0</v>
      </c>
      <c r="X164" s="114">
        <f t="shared" ref="X164:Y164" si="319">X53+X107</f>
        <v>0</v>
      </c>
      <c r="Y164" s="114">
        <f t="shared" si="319"/>
        <v>0</v>
      </c>
      <c r="Z164" s="114">
        <f t="shared" ref="Z164:AA164" si="320">Z53+Z107</f>
        <v>0</v>
      </c>
      <c r="AA164" s="114">
        <f t="shared" si="320"/>
        <v>0</v>
      </c>
      <c r="AB164" s="114">
        <f t="shared" si="317"/>
        <v>0</v>
      </c>
      <c r="AC164" s="114">
        <f t="shared" si="317"/>
        <v>0</v>
      </c>
      <c r="AD164" s="114">
        <f t="shared" si="317"/>
        <v>0</v>
      </c>
      <c r="AE164" s="114">
        <f t="shared" si="317"/>
        <v>0</v>
      </c>
      <c r="AF164" s="114">
        <f t="shared" si="317"/>
        <v>0</v>
      </c>
      <c r="AG164" s="114">
        <f t="shared" ref="AG164:AI164" si="321">AG53+AG107</f>
        <v>0</v>
      </c>
      <c r="AH164" s="114">
        <f t="shared" si="321"/>
        <v>0</v>
      </c>
      <c r="AI164" s="114">
        <f t="shared" si="321"/>
        <v>0</v>
      </c>
      <c r="AJ164" s="114" t="e">
        <f t="shared" si="317"/>
        <v>#N/A</v>
      </c>
      <c r="AK164" s="114" t="e">
        <f t="shared" si="317"/>
        <v>#N/A</v>
      </c>
      <c r="AL164" s="114" t="e">
        <f t="shared" si="317"/>
        <v>#N/A</v>
      </c>
      <c r="AM164" s="114" t="e">
        <f t="shared" si="317"/>
        <v>#N/A</v>
      </c>
      <c r="AN164" s="114" t="e">
        <f t="shared" si="317"/>
        <v>#N/A</v>
      </c>
      <c r="AO164" s="114" t="e">
        <f t="shared" si="317"/>
        <v>#N/A</v>
      </c>
      <c r="AP164" s="114" t="e">
        <f t="shared" si="317"/>
        <v>#N/A</v>
      </c>
      <c r="AQ164" s="114" t="e">
        <f t="shared" si="317"/>
        <v>#N/A</v>
      </c>
      <c r="AR164" s="114" t="e">
        <f t="shared" si="317"/>
        <v>#N/A</v>
      </c>
      <c r="AS164" s="114" t="e">
        <f t="shared" si="317"/>
        <v>#N/A</v>
      </c>
      <c r="AT164" s="114" t="e">
        <f t="shared" si="317"/>
        <v>#N/A</v>
      </c>
      <c r="AU164" s="114" t="e">
        <f t="shared" si="317"/>
        <v>#N/A</v>
      </c>
      <c r="AV164" s="114" t="e">
        <f t="shared" si="317"/>
        <v>#N/A</v>
      </c>
      <c r="AW164" s="114" t="e">
        <f t="shared" si="317"/>
        <v>#N/A</v>
      </c>
      <c r="AX164" s="114" t="e">
        <f t="shared" si="317"/>
        <v>#N/A</v>
      </c>
      <c r="AY164" s="114" t="e">
        <f t="shared" si="317"/>
        <v>#N/A</v>
      </c>
      <c r="AZ164" s="114" t="e">
        <f t="shared" si="317"/>
        <v>#N/A</v>
      </c>
      <c r="BA164" s="114" t="e">
        <f t="shared" ref="BA164:BC164" si="322">BA53+BA107</f>
        <v>#N/A</v>
      </c>
      <c r="BB164" s="114" t="e">
        <f t="shared" ref="BB164" si="323">BB53+BB107</f>
        <v>#N/A</v>
      </c>
      <c r="BC164" s="114" t="e">
        <f t="shared" si="322"/>
        <v>#N/A</v>
      </c>
      <c r="BD164" s="114" t="e">
        <f t="shared" ref="BD164:BE164" si="324">BD53+BD107</f>
        <v>#N/A</v>
      </c>
      <c r="BE164" s="114" t="e">
        <f t="shared" si="324"/>
        <v>#N/A</v>
      </c>
      <c r="BF164" s="114" t="e">
        <f t="shared" ref="BF164:BG164" si="325">BF53+BF107</f>
        <v>#N/A</v>
      </c>
      <c r="BG164" s="114" t="e">
        <f t="shared" si="325"/>
        <v>#N/A</v>
      </c>
      <c r="BH164" s="114" t="e">
        <f t="shared" ref="BH164" si="326">BH53+BH107</f>
        <v>#N/A</v>
      </c>
      <c r="BI164" s="114"/>
      <c r="BJ164" s="114"/>
      <c r="BK164" s="114"/>
      <c r="BL164" s="114"/>
      <c r="BM164" s="114"/>
      <c r="BN164" s="114"/>
      <c r="BO164" s="114"/>
      <c r="BP164" s="114"/>
      <c r="BQ164" s="114"/>
      <c r="BR164" s="114"/>
      <c r="BS164" s="114"/>
      <c r="BT164" s="114"/>
      <c r="BU164" s="114"/>
      <c r="BV164" s="114"/>
      <c r="BW164" s="114"/>
      <c r="BX164" s="114"/>
      <c r="BY164" s="114"/>
      <c r="BZ164" s="114"/>
      <c r="CA164" s="114"/>
      <c r="CB164" s="114"/>
      <c r="CC164" s="114"/>
      <c r="CD164" s="114"/>
      <c r="CE164" s="114"/>
      <c r="CF164" s="114"/>
      <c r="CG164" s="114"/>
      <c r="CH164" s="114"/>
      <c r="CI164" s="114"/>
      <c r="CJ164" s="114"/>
      <c r="CK164" s="114"/>
      <c r="CL164" s="114"/>
      <c r="CM164" s="114"/>
      <c r="CN164" s="114"/>
      <c r="CO164" s="114"/>
      <c r="CP164" s="114"/>
      <c r="CQ164" s="114"/>
      <c r="CR164" s="114"/>
      <c r="CS164" s="114"/>
      <c r="CT164" s="114"/>
      <c r="CU164" s="114"/>
      <c r="CV164" s="114"/>
      <c r="CW164" s="114"/>
      <c r="CX164" s="114"/>
      <c r="CY164" s="114"/>
      <c r="CZ164" s="114"/>
      <c r="DA164" s="114"/>
      <c r="DB164" s="114"/>
      <c r="DC164" s="114"/>
    </row>
    <row r="165" spans="1:107" s="107" customFormat="1" hidden="1" outlineLevel="1" x14ac:dyDescent="0.25">
      <c r="A165" s="110" t="s">
        <v>80</v>
      </c>
      <c r="B165" s="115">
        <f t="shared" si="145"/>
        <v>0</v>
      </c>
      <c r="C165" s="115">
        <f t="shared" si="145"/>
        <v>0</v>
      </c>
      <c r="D165" s="115">
        <f t="shared" si="145"/>
        <v>0</v>
      </c>
      <c r="E165" s="115">
        <f t="shared" ref="E165" si="327">E54+E108</f>
        <v>0</v>
      </c>
      <c r="F165" s="115">
        <f t="shared" si="115"/>
        <v>0</v>
      </c>
      <c r="G165" s="115">
        <f t="shared" si="115"/>
        <v>0</v>
      </c>
      <c r="H165" s="115">
        <f t="shared" si="14"/>
        <v>0</v>
      </c>
      <c r="I165" s="115">
        <f t="shared" ref="I165" si="328">I54+I108</f>
        <v>0</v>
      </c>
      <c r="J165" s="115">
        <f t="shared" ref="J165:K165" si="329">J54+J108</f>
        <v>0</v>
      </c>
      <c r="K165" s="115">
        <f t="shared" si="329"/>
        <v>0</v>
      </c>
      <c r="L165" s="115">
        <f t="shared" ref="L165" si="330">L54+L108</f>
        <v>0</v>
      </c>
      <c r="M165" s="115">
        <f t="shared" ref="M165" si="331">M54+M108</f>
        <v>0</v>
      </c>
      <c r="N165" s="115">
        <f t="shared" si="316"/>
        <v>0</v>
      </c>
      <c r="O165" s="115">
        <f t="shared" si="316"/>
        <v>0.15</v>
      </c>
      <c r="P165" s="115">
        <f t="shared" si="316"/>
        <v>0.15</v>
      </c>
      <c r="Q165" s="115">
        <f t="shared" si="316"/>
        <v>0.15</v>
      </c>
      <c r="R165" s="115">
        <f t="shared" ref="R165:AZ165" si="332">R54+R108</f>
        <v>0.15</v>
      </c>
      <c r="S165" s="115">
        <f t="shared" si="332"/>
        <v>0.15</v>
      </c>
      <c r="T165" s="115">
        <f t="shared" si="332"/>
        <v>0.15</v>
      </c>
      <c r="U165" s="115">
        <f t="shared" si="332"/>
        <v>0.15</v>
      </c>
      <c r="V165" s="115">
        <f t="shared" ref="V165:W165" si="333">V54+V108</f>
        <v>0.15</v>
      </c>
      <c r="W165" s="115">
        <f t="shared" si="333"/>
        <v>0.15</v>
      </c>
      <c r="X165" s="115">
        <f t="shared" ref="X165:Y165" si="334">X54+X108</f>
        <v>0.15</v>
      </c>
      <c r="Y165" s="115">
        <f t="shared" si="334"/>
        <v>0.15</v>
      </c>
      <c r="Z165" s="115">
        <f t="shared" ref="Z165:AA165" si="335">Z54+Z108</f>
        <v>0.15</v>
      </c>
      <c r="AA165" s="115">
        <f t="shared" si="335"/>
        <v>0.15</v>
      </c>
      <c r="AB165" s="115">
        <f t="shared" si="332"/>
        <v>0.15</v>
      </c>
      <c r="AC165" s="115">
        <f t="shared" si="332"/>
        <v>0.15</v>
      </c>
      <c r="AD165" s="115">
        <f t="shared" si="332"/>
        <v>0</v>
      </c>
      <c r="AE165" s="115">
        <f t="shared" si="332"/>
        <v>0.15</v>
      </c>
      <c r="AF165" s="115">
        <f t="shared" si="332"/>
        <v>0</v>
      </c>
      <c r="AG165" s="115">
        <f t="shared" ref="AG165:AI165" si="336">AG54+AG108</f>
        <v>0</v>
      </c>
      <c r="AH165" s="115">
        <f t="shared" si="336"/>
        <v>0</v>
      </c>
      <c r="AI165" s="115">
        <f t="shared" si="336"/>
        <v>0</v>
      </c>
      <c r="AJ165" s="115" t="e">
        <f t="shared" si="332"/>
        <v>#N/A</v>
      </c>
      <c r="AK165" s="115" t="e">
        <f t="shared" si="332"/>
        <v>#N/A</v>
      </c>
      <c r="AL165" s="115" t="e">
        <f t="shared" si="332"/>
        <v>#N/A</v>
      </c>
      <c r="AM165" s="115" t="e">
        <f t="shared" si="332"/>
        <v>#N/A</v>
      </c>
      <c r="AN165" s="115" t="e">
        <f t="shared" si="332"/>
        <v>#N/A</v>
      </c>
      <c r="AO165" s="115" t="e">
        <f t="shared" si="332"/>
        <v>#N/A</v>
      </c>
      <c r="AP165" s="115" t="e">
        <f t="shared" si="332"/>
        <v>#N/A</v>
      </c>
      <c r="AQ165" s="115" t="e">
        <f t="shared" si="332"/>
        <v>#N/A</v>
      </c>
      <c r="AR165" s="115" t="e">
        <f t="shared" si="332"/>
        <v>#N/A</v>
      </c>
      <c r="AS165" s="115" t="e">
        <f t="shared" si="332"/>
        <v>#N/A</v>
      </c>
      <c r="AT165" s="115" t="e">
        <f t="shared" si="332"/>
        <v>#N/A</v>
      </c>
      <c r="AU165" s="115" t="e">
        <f t="shared" si="332"/>
        <v>#N/A</v>
      </c>
      <c r="AV165" s="115" t="e">
        <f t="shared" si="332"/>
        <v>#N/A</v>
      </c>
      <c r="AW165" s="115" t="e">
        <f t="shared" si="332"/>
        <v>#N/A</v>
      </c>
      <c r="AX165" s="115" t="e">
        <f t="shared" si="332"/>
        <v>#N/A</v>
      </c>
      <c r="AY165" s="115" t="e">
        <f t="shared" si="332"/>
        <v>#N/A</v>
      </c>
      <c r="AZ165" s="115" t="e">
        <f t="shared" si="332"/>
        <v>#N/A</v>
      </c>
      <c r="BA165" s="115" t="e">
        <f t="shared" ref="BA165:BC165" si="337">BA54+BA108</f>
        <v>#N/A</v>
      </c>
      <c r="BB165" s="115" t="e">
        <f t="shared" ref="BB165" si="338">BB54+BB108</f>
        <v>#N/A</v>
      </c>
      <c r="BC165" s="115" t="e">
        <f t="shared" si="337"/>
        <v>#N/A</v>
      </c>
      <c r="BD165" s="115" t="e">
        <f t="shared" ref="BD165:BE165" si="339">BD54+BD108</f>
        <v>#N/A</v>
      </c>
      <c r="BE165" s="115" t="e">
        <f t="shared" si="339"/>
        <v>#N/A</v>
      </c>
      <c r="BF165" s="115" t="e">
        <f t="shared" ref="BF165:BG165" si="340">BF54+BF108</f>
        <v>#N/A</v>
      </c>
      <c r="BG165" s="115" t="e">
        <f t="shared" si="340"/>
        <v>#N/A</v>
      </c>
      <c r="BH165" s="115" t="e">
        <f t="shared" ref="BH165" si="341">BH54+BH108</f>
        <v>#N/A</v>
      </c>
      <c r="BI165" s="115"/>
      <c r="BJ165" s="115"/>
      <c r="BK165" s="115"/>
      <c r="BL165" s="115"/>
      <c r="BM165" s="115"/>
      <c r="BN165" s="115"/>
      <c r="BO165" s="115"/>
      <c r="BP165" s="115"/>
      <c r="BQ165" s="115"/>
      <c r="BR165" s="115"/>
      <c r="BS165" s="115"/>
      <c r="BT165" s="115"/>
      <c r="BU165" s="115"/>
      <c r="BV165" s="115"/>
      <c r="BW165" s="115"/>
      <c r="BX165" s="115"/>
      <c r="BY165" s="115"/>
      <c r="BZ165" s="115"/>
      <c r="CA165" s="115"/>
      <c r="CB165" s="115"/>
      <c r="CC165" s="115"/>
      <c r="CD165" s="115"/>
      <c r="CE165" s="115"/>
      <c r="CF165" s="115"/>
      <c r="CG165" s="115"/>
      <c r="CH165" s="115"/>
      <c r="CI165" s="115"/>
      <c r="CJ165" s="115"/>
      <c r="CK165" s="115"/>
      <c r="CL165" s="115"/>
      <c r="CM165" s="115"/>
      <c r="CN165" s="115"/>
      <c r="CO165" s="115"/>
      <c r="CP165" s="115"/>
      <c r="CQ165" s="115"/>
      <c r="CR165" s="115"/>
      <c r="CS165" s="115"/>
      <c r="CT165" s="115"/>
      <c r="CU165" s="115"/>
      <c r="CV165" s="115"/>
      <c r="CW165" s="115"/>
      <c r="CX165" s="115"/>
      <c r="CY165" s="115"/>
      <c r="CZ165" s="115"/>
      <c r="DA165" s="115"/>
      <c r="DB165" s="115"/>
      <c r="DC165" s="115"/>
    </row>
    <row r="166" spans="1:107" s="106" customFormat="1" hidden="1" outlineLevel="1" x14ac:dyDescent="0.25">
      <c r="A166" s="110" t="s">
        <v>81</v>
      </c>
      <c r="B166" s="114">
        <f t="shared" si="145"/>
        <v>0</v>
      </c>
      <c r="C166" s="114">
        <f t="shared" si="145"/>
        <v>0</v>
      </c>
      <c r="D166" s="114">
        <f t="shared" si="145"/>
        <v>0</v>
      </c>
      <c r="E166" s="114">
        <f t="shared" ref="E166" si="342">E55+E109</f>
        <v>0</v>
      </c>
      <c r="F166" s="114">
        <f t="shared" si="115"/>
        <v>0</v>
      </c>
      <c r="G166" s="114">
        <f t="shared" si="115"/>
        <v>0</v>
      </c>
      <c r="H166" s="114">
        <f t="shared" si="14"/>
        <v>0.2</v>
      </c>
      <c r="I166" s="114">
        <f t="shared" ref="I166" si="343">I55+I109</f>
        <v>0</v>
      </c>
      <c r="J166" s="114">
        <f t="shared" ref="J166:K166" si="344">J55+J109</f>
        <v>0</v>
      </c>
      <c r="K166" s="114">
        <f t="shared" si="344"/>
        <v>0</v>
      </c>
      <c r="L166" s="114">
        <f t="shared" ref="L166" si="345">L55+L109</f>
        <v>0</v>
      </c>
      <c r="M166" s="114">
        <f t="shared" ref="M166" si="346">M55+M109</f>
        <v>0</v>
      </c>
      <c r="N166" s="114">
        <f t="shared" si="316"/>
        <v>0</v>
      </c>
      <c r="O166" s="114">
        <f t="shared" si="316"/>
        <v>0.35</v>
      </c>
      <c r="P166" s="114">
        <f t="shared" si="316"/>
        <v>0.35</v>
      </c>
      <c r="Q166" s="114">
        <f t="shared" si="316"/>
        <v>0.35</v>
      </c>
      <c r="R166" s="114">
        <f t="shared" ref="R166:AZ166" si="347">R55+R109</f>
        <v>0.35</v>
      </c>
      <c r="S166" s="114">
        <f t="shared" si="347"/>
        <v>0.15</v>
      </c>
      <c r="T166" s="114">
        <f t="shared" si="347"/>
        <v>0.15</v>
      </c>
      <c r="U166" s="114">
        <f t="shared" si="347"/>
        <v>0.15</v>
      </c>
      <c r="V166" s="114">
        <f t="shared" ref="V166:W166" si="348">V55+V109</f>
        <v>0.15</v>
      </c>
      <c r="W166" s="114">
        <f t="shared" si="348"/>
        <v>0.15</v>
      </c>
      <c r="X166" s="114">
        <f t="shared" ref="X166:Y166" si="349">X55+X109</f>
        <v>0.15</v>
      </c>
      <c r="Y166" s="114">
        <f t="shared" si="349"/>
        <v>0.15</v>
      </c>
      <c r="Z166" s="114">
        <f t="shared" ref="Z166:AA166" si="350">Z55+Z109</f>
        <v>0.15</v>
      </c>
      <c r="AA166" s="114">
        <f t="shared" si="350"/>
        <v>0.15</v>
      </c>
      <c r="AB166" s="114">
        <f t="shared" si="347"/>
        <v>0.15</v>
      </c>
      <c r="AC166" s="114">
        <f t="shared" si="347"/>
        <v>0.15</v>
      </c>
      <c r="AD166" s="114">
        <f t="shared" si="347"/>
        <v>0</v>
      </c>
      <c r="AE166" s="114">
        <f t="shared" si="347"/>
        <v>0.35</v>
      </c>
      <c r="AF166" s="114">
        <f t="shared" si="347"/>
        <v>0</v>
      </c>
      <c r="AG166" s="114">
        <f t="shared" ref="AG166:AI166" si="351">AG55+AG109</f>
        <v>0</v>
      </c>
      <c r="AH166" s="114">
        <f t="shared" si="351"/>
        <v>0</v>
      </c>
      <c r="AI166" s="114">
        <f t="shared" si="351"/>
        <v>0</v>
      </c>
      <c r="AJ166" s="114" t="e">
        <f t="shared" si="347"/>
        <v>#N/A</v>
      </c>
      <c r="AK166" s="114" t="e">
        <f t="shared" si="347"/>
        <v>#N/A</v>
      </c>
      <c r="AL166" s="114" t="e">
        <f t="shared" si="347"/>
        <v>#N/A</v>
      </c>
      <c r="AM166" s="114" t="e">
        <f t="shared" si="347"/>
        <v>#N/A</v>
      </c>
      <c r="AN166" s="114" t="e">
        <f t="shared" si="347"/>
        <v>#N/A</v>
      </c>
      <c r="AO166" s="114" t="e">
        <f t="shared" si="347"/>
        <v>#N/A</v>
      </c>
      <c r="AP166" s="114" t="e">
        <f t="shared" si="347"/>
        <v>#N/A</v>
      </c>
      <c r="AQ166" s="114" t="e">
        <f t="shared" si="347"/>
        <v>#N/A</v>
      </c>
      <c r="AR166" s="114" t="e">
        <f t="shared" si="347"/>
        <v>#N/A</v>
      </c>
      <c r="AS166" s="114" t="e">
        <f t="shared" si="347"/>
        <v>#N/A</v>
      </c>
      <c r="AT166" s="114" t="e">
        <f t="shared" si="347"/>
        <v>#N/A</v>
      </c>
      <c r="AU166" s="114" t="e">
        <f t="shared" si="347"/>
        <v>#N/A</v>
      </c>
      <c r="AV166" s="114" t="e">
        <f t="shared" si="347"/>
        <v>#N/A</v>
      </c>
      <c r="AW166" s="114" t="e">
        <f t="shared" si="347"/>
        <v>#N/A</v>
      </c>
      <c r="AX166" s="114" t="e">
        <f t="shared" si="347"/>
        <v>#N/A</v>
      </c>
      <c r="AY166" s="114" t="e">
        <f t="shared" si="347"/>
        <v>#N/A</v>
      </c>
      <c r="AZ166" s="114" t="e">
        <f t="shared" si="347"/>
        <v>#N/A</v>
      </c>
      <c r="BA166" s="114" t="e">
        <f t="shared" ref="BA166:BC166" si="352">BA55+BA109</f>
        <v>#N/A</v>
      </c>
      <c r="BB166" s="114" t="e">
        <f t="shared" ref="BB166" si="353">BB55+BB109</f>
        <v>#N/A</v>
      </c>
      <c r="BC166" s="114" t="e">
        <f t="shared" si="352"/>
        <v>#N/A</v>
      </c>
      <c r="BD166" s="114" t="e">
        <f t="shared" ref="BD166:BE166" si="354">BD55+BD109</f>
        <v>#N/A</v>
      </c>
      <c r="BE166" s="114" t="e">
        <f t="shared" si="354"/>
        <v>#N/A</v>
      </c>
      <c r="BF166" s="114" t="e">
        <f t="shared" ref="BF166:BG166" si="355">BF55+BF109</f>
        <v>#N/A</v>
      </c>
      <c r="BG166" s="114" t="e">
        <f t="shared" si="355"/>
        <v>#N/A</v>
      </c>
      <c r="BH166" s="114" t="e">
        <f t="shared" ref="BH166" si="356">BH55+BH109</f>
        <v>#N/A</v>
      </c>
      <c r="BI166" s="114"/>
      <c r="BJ166" s="114"/>
      <c r="BK166" s="114"/>
      <c r="BL166" s="114"/>
      <c r="BM166" s="114"/>
      <c r="BN166" s="114"/>
      <c r="BO166" s="114"/>
      <c r="BP166" s="114"/>
      <c r="BQ166" s="114"/>
      <c r="BR166" s="114"/>
      <c r="BS166" s="114"/>
      <c r="BT166" s="114"/>
      <c r="BU166" s="114"/>
      <c r="BV166" s="114"/>
      <c r="BW166" s="114"/>
      <c r="BX166" s="114"/>
      <c r="BY166" s="114"/>
      <c r="BZ166" s="114"/>
      <c r="CA166" s="114"/>
      <c r="CB166" s="114"/>
      <c r="CC166" s="114"/>
      <c r="CD166" s="114"/>
      <c r="CE166" s="114"/>
      <c r="CF166" s="114"/>
      <c r="CG166" s="114"/>
      <c r="CH166" s="114"/>
      <c r="CI166" s="114"/>
      <c r="CJ166" s="114"/>
      <c r="CK166" s="114"/>
      <c r="CL166" s="114"/>
      <c r="CM166" s="114"/>
      <c r="CN166" s="114"/>
      <c r="CO166" s="114"/>
      <c r="CP166" s="114"/>
      <c r="CQ166" s="114"/>
      <c r="CR166" s="114"/>
      <c r="CS166" s="114"/>
      <c r="CT166" s="114"/>
      <c r="CU166" s="114"/>
      <c r="CV166" s="114"/>
      <c r="CW166" s="114"/>
      <c r="CX166" s="114"/>
      <c r="CY166" s="114"/>
      <c r="CZ166" s="114"/>
      <c r="DA166" s="114"/>
      <c r="DB166" s="114"/>
      <c r="DC166" s="114"/>
    </row>
    <row r="167" spans="1:107" s="107" customFormat="1" hidden="1" outlineLevel="1" x14ac:dyDescent="0.25">
      <c r="A167" s="110" t="s">
        <v>83</v>
      </c>
      <c r="B167" s="115">
        <f t="shared" si="145"/>
        <v>0</v>
      </c>
      <c r="C167" s="115">
        <f t="shared" si="145"/>
        <v>0</v>
      </c>
      <c r="D167" s="115">
        <f t="shared" si="145"/>
        <v>0.6</v>
      </c>
      <c r="E167" s="115">
        <f t="shared" ref="E167" si="357">E56+E110</f>
        <v>0.6</v>
      </c>
      <c r="F167" s="115">
        <f t="shared" si="115"/>
        <v>0.6</v>
      </c>
      <c r="G167" s="115">
        <f t="shared" si="115"/>
        <v>0.6</v>
      </c>
      <c r="H167" s="115">
        <f t="shared" si="14"/>
        <v>0</v>
      </c>
      <c r="I167" s="115">
        <f t="shared" ref="I167" si="358">I56+I110</f>
        <v>0.6</v>
      </c>
      <c r="J167" s="115">
        <f t="shared" ref="J167:K167" si="359">J56+J110</f>
        <v>0.6</v>
      </c>
      <c r="K167" s="115">
        <f t="shared" si="359"/>
        <v>0.6</v>
      </c>
      <c r="L167" s="115">
        <f t="shared" ref="L167" si="360">L56+L110</f>
        <v>0.6</v>
      </c>
      <c r="M167" s="115">
        <f t="shared" ref="M167" si="361">M56+M110</f>
        <v>0.6</v>
      </c>
      <c r="N167" s="115">
        <f t="shared" si="316"/>
        <v>0.6</v>
      </c>
      <c r="O167" s="115">
        <f t="shared" si="316"/>
        <v>0</v>
      </c>
      <c r="P167" s="115">
        <f t="shared" si="316"/>
        <v>0</v>
      </c>
      <c r="Q167" s="115">
        <f t="shared" si="316"/>
        <v>0</v>
      </c>
      <c r="R167" s="115">
        <f t="shared" ref="R167:AZ167" si="362">R56+R110</f>
        <v>0</v>
      </c>
      <c r="S167" s="115">
        <f t="shared" si="362"/>
        <v>0</v>
      </c>
      <c r="T167" s="115">
        <f t="shared" si="362"/>
        <v>0</v>
      </c>
      <c r="U167" s="115">
        <f t="shared" si="362"/>
        <v>0</v>
      </c>
      <c r="V167" s="115">
        <f t="shared" ref="V167:W167" si="363">V56+V110</f>
        <v>0</v>
      </c>
      <c r="W167" s="115">
        <f t="shared" si="363"/>
        <v>0</v>
      </c>
      <c r="X167" s="115">
        <f t="shared" ref="X167:Y167" si="364">X56+X110</f>
        <v>0</v>
      </c>
      <c r="Y167" s="115">
        <f t="shared" si="364"/>
        <v>0</v>
      </c>
      <c r="Z167" s="115">
        <f t="shared" ref="Z167:AA167" si="365">Z56+Z110</f>
        <v>0</v>
      </c>
      <c r="AA167" s="115">
        <f t="shared" si="365"/>
        <v>0</v>
      </c>
      <c r="AB167" s="115">
        <f t="shared" si="362"/>
        <v>0</v>
      </c>
      <c r="AC167" s="115">
        <f t="shared" si="362"/>
        <v>0.6</v>
      </c>
      <c r="AD167" s="115">
        <f t="shared" si="362"/>
        <v>0.6</v>
      </c>
      <c r="AE167" s="115">
        <f t="shared" si="362"/>
        <v>0</v>
      </c>
      <c r="AF167" s="115">
        <f t="shared" si="362"/>
        <v>0</v>
      </c>
      <c r="AG167" s="115">
        <f t="shared" ref="AG167:AI167" si="366">AG56+AG110</f>
        <v>0</v>
      </c>
      <c r="AH167" s="115">
        <f t="shared" si="366"/>
        <v>0</v>
      </c>
      <c r="AI167" s="115">
        <f t="shared" si="366"/>
        <v>0</v>
      </c>
      <c r="AJ167" s="115" t="e">
        <f t="shared" si="362"/>
        <v>#N/A</v>
      </c>
      <c r="AK167" s="115" t="e">
        <f t="shared" si="362"/>
        <v>#N/A</v>
      </c>
      <c r="AL167" s="115" t="e">
        <f t="shared" si="362"/>
        <v>#N/A</v>
      </c>
      <c r="AM167" s="115" t="e">
        <f t="shared" si="362"/>
        <v>#N/A</v>
      </c>
      <c r="AN167" s="115" t="e">
        <f t="shared" si="362"/>
        <v>#N/A</v>
      </c>
      <c r="AO167" s="115" t="e">
        <f t="shared" si="362"/>
        <v>#N/A</v>
      </c>
      <c r="AP167" s="115" t="e">
        <f t="shared" si="362"/>
        <v>#N/A</v>
      </c>
      <c r="AQ167" s="115" t="e">
        <f t="shared" si="362"/>
        <v>#N/A</v>
      </c>
      <c r="AR167" s="115" t="e">
        <f t="shared" si="362"/>
        <v>#N/A</v>
      </c>
      <c r="AS167" s="115" t="e">
        <f t="shared" si="362"/>
        <v>#N/A</v>
      </c>
      <c r="AT167" s="115" t="e">
        <f t="shared" si="362"/>
        <v>#N/A</v>
      </c>
      <c r="AU167" s="115" t="e">
        <f t="shared" si="362"/>
        <v>#N/A</v>
      </c>
      <c r="AV167" s="115" t="e">
        <f t="shared" si="362"/>
        <v>#N/A</v>
      </c>
      <c r="AW167" s="115" t="e">
        <f t="shared" si="362"/>
        <v>#N/A</v>
      </c>
      <c r="AX167" s="115" t="e">
        <f t="shared" si="362"/>
        <v>#N/A</v>
      </c>
      <c r="AY167" s="115" t="e">
        <f t="shared" si="362"/>
        <v>#N/A</v>
      </c>
      <c r="AZ167" s="115" t="e">
        <f t="shared" si="362"/>
        <v>#N/A</v>
      </c>
      <c r="BA167" s="115" t="e">
        <f t="shared" ref="BA167:BC167" si="367">BA56+BA110</f>
        <v>#N/A</v>
      </c>
      <c r="BB167" s="115" t="e">
        <f t="shared" ref="BB167" si="368">BB56+BB110</f>
        <v>#N/A</v>
      </c>
      <c r="BC167" s="115" t="e">
        <f t="shared" si="367"/>
        <v>#N/A</v>
      </c>
      <c r="BD167" s="115" t="e">
        <f t="shared" ref="BD167:BE167" si="369">BD56+BD110</f>
        <v>#N/A</v>
      </c>
      <c r="BE167" s="115" t="e">
        <f t="shared" si="369"/>
        <v>#N/A</v>
      </c>
      <c r="BF167" s="115" t="e">
        <f t="shared" ref="BF167:BG167" si="370">BF56+BF110</f>
        <v>#N/A</v>
      </c>
      <c r="BG167" s="115" t="e">
        <f t="shared" si="370"/>
        <v>#N/A</v>
      </c>
      <c r="BH167" s="115" t="e">
        <f t="shared" ref="BH167" si="371">BH56+BH110</f>
        <v>#N/A</v>
      </c>
      <c r="BI167" s="115"/>
      <c r="BJ167" s="115"/>
      <c r="BK167" s="115"/>
      <c r="BL167" s="115"/>
      <c r="BM167" s="115"/>
      <c r="BN167" s="115"/>
      <c r="BO167" s="115"/>
      <c r="BP167" s="115"/>
      <c r="BQ167" s="115"/>
      <c r="BR167" s="115"/>
      <c r="BS167" s="115"/>
      <c r="BT167" s="115"/>
      <c r="BU167" s="115"/>
      <c r="BV167" s="115"/>
      <c r="BW167" s="115"/>
      <c r="BX167" s="115"/>
      <c r="BY167" s="115"/>
      <c r="BZ167" s="115"/>
      <c r="CA167" s="115"/>
      <c r="CB167" s="115"/>
      <c r="CC167" s="115"/>
      <c r="CD167" s="115"/>
      <c r="CE167" s="115"/>
      <c r="CF167" s="115"/>
      <c r="CG167" s="115"/>
      <c r="CH167" s="115"/>
      <c r="CI167" s="115"/>
      <c r="CJ167" s="115"/>
      <c r="CK167" s="115"/>
      <c r="CL167" s="115"/>
      <c r="CM167" s="115"/>
      <c r="CN167" s="115"/>
      <c r="CO167" s="115"/>
      <c r="CP167" s="115"/>
      <c r="CQ167" s="115"/>
      <c r="CR167" s="115"/>
      <c r="CS167" s="115"/>
      <c r="CT167" s="115"/>
      <c r="CU167" s="115"/>
      <c r="CV167" s="115"/>
      <c r="CW167" s="115"/>
      <c r="CX167" s="115"/>
      <c r="CY167" s="115"/>
      <c r="CZ167" s="115"/>
      <c r="DA167" s="115"/>
      <c r="DB167" s="115"/>
      <c r="DC167" s="115"/>
    </row>
    <row r="168" spans="1:107" s="106" customFormat="1" hidden="1" outlineLevel="1" x14ac:dyDescent="0.25">
      <c r="A168" s="110" t="s">
        <v>84</v>
      </c>
      <c r="B168" s="114">
        <f t="shared" si="145"/>
        <v>0</v>
      </c>
      <c r="C168" s="114">
        <f t="shared" si="145"/>
        <v>0</v>
      </c>
      <c r="D168" s="114">
        <f t="shared" si="145"/>
        <v>0</v>
      </c>
      <c r="E168" s="114">
        <f t="shared" ref="E168" si="372">E57+E111</f>
        <v>0</v>
      </c>
      <c r="F168" s="114">
        <f t="shared" si="115"/>
        <v>0</v>
      </c>
      <c r="G168" s="114">
        <f t="shared" si="115"/>
        <v>0</v>
      </c>
      <c r="H168" s="114">
        <f t="shared" si="14"/>
        <v>0</v>
      </c>
      <c r="I168" s="114">
        <f t="shared" ref="I168" si="373">I57+I111</f>
        <v>0</v>
      </c>
      <c r="J168" s="114">
        <f t="shared" ref="J168:K168" si="374">J57+J111</f>
        <v>0</v>
      </c>
      <c r="K168" s="114">
        <f t="shared" si="374"/>
        <v>0</v>
      </c>
      <c r="L168" s="114">
        <f t="shared" ref="L168" si="375">L57+L111</f>
        <v>0</v>
      </c>
      <c r="M168" s="114">
        <f t="shared" ref="M168" si="376">M57+M111</f>
        <v>0</v>
      </c>
      <c r="N168" s="114">
        <f t="shared" si="316"/>
        <v>0</v>
      </c>
      <c r="O168" s="114">
        <f t="shared" si="316"/>
        <v>0</v>
      </c>
      <c r="P168" s="114">
        <f t="shared" si="316"/>
        <v>0</v>
      </c>
      <c r="Q168" s="114">
        <f t="shared" si="316"/>
        <v>0</v>
      </c>
      <c r="R168" s="114">
        <f t="shared" ref="R168:AZ168" si="377">R57+R111</f>
        <v>0</v>
      </c>
      <c r="S168" s="114">
        <f t="shared" si="377"/>
        <v>0</v>
      </c>
      <c r="T168" s="114">
        <f t="shared" si="377"/>
        <v>0</v>
      </c>
      <c r="U168" s="114">
        <f t="shared" si="377"/>
        <v>0</v>
      </c>
      <c r="V168" s="114">
        <f t="shared" ref="V168:W168" si="378">V57+V111</f>
        <v>0</v>
      </c>
      <c r="W168" s="114">
        <f t="shared" si="378"/>
        <v>0</v>
      </c>
      <c r="X168" s="114">
        <f t="shared" ref="X168:Y168" si="379">X57+X111</f>
        <v>0</v>
      </c>
      <c r="Y168" s="114">
        <f t="shared" si="379"/>
        <v>0</v>
      </c>
      <c r="Z168" s="114">
        <f t="shared" ref="Z168:AA168" si="380">Z57+Z111</f>
        <v>0</v>
      </c>
      <c r="AA168" s="114">
        <f t="shared" si="380"/>
        <v>0</v>
      </c>
      <c r="AB168" s="114">
        <f t="shared" si="377"/>
        <v>0</v>
      </c>
      <c r="AC168" s="114">
        <f t="shared" si="377"/>
        <v>0</v>
      </c>
      <c r="AD168" s="114">
        <f t="shared" si="377"/>
        <v>0</v>
      </c>
      <c r="AE168" s="114">
        <f t="shared" si="377"/>
        <v>0</v>
      </c>
      <c r="AF168" s="114">
        <f t="shared" si="377"/>
        <v>0</v>
      </c>
      <c r="AG168" s="114">
        <f t="shared" ref="AG168:AI168" si="381">AG57+AG111</f>
        <v>0</v>
      </c>
      <c r="AH168" s="114">
        <f t="shared" si="381"/>
        <v>0</v>
      </c>
      <c r="AI168" s="114">
        <f t="shared" si="381"/>
        <v>0</v>
      </c>
      <c r="AJ168" s="114" t="e">
        <f t="shared" si="377"/>
        <v>#N/A</v>
      </c>
      <c r="AK168" s="114" t="e">
        <f t="shared" si="377"/>
        <v>#N/A</v>
      </c>
      <c r="AL168" s="114" t="e">
        <f t="shared" si="377"/>
        <v>#N/A</v>
      </c>
      <c r="AM168" s="114" t="e">
        <f t="shared" si="377"/>
        <v>#N/A</v>
      </c>
      <c r="AN168" s="114" t="e">
        <f t="shared" si="377"/>
        <v>#N/A</v>
      </c>
      <c r="AO168" s="114" t="e">
        <f t="shared" si="377"/>
        <v>#N/A</v>
      </c>
      <c r="AP168" s="114" t="e">
        <f t="shared" si="377"/>
        <v>#N/A</v>
      </c>
      <c r="AQ168" s="114" t="e">
        <f t="shared" si="377"/>
        <v>#N/A</v>
      </c>
      <c r="AR168" s="114" t="e">
        <f t="shared" si="377"/>
        <v>#N/A</v>
      </c>
      <c r="AS168" s="114" t="e">
        <f t="shared" si="377"/>
        <v>#N/A</v>
      </c>
      <c r="AT168" s="114" t="e">
        <f t="shared" si="377"/>
        <v>#N/A</v>
      </c>
      <c r="AU168" s="114" t="e">
        <f t="shared" si="377"/>
        <v>#N/A</v>
      </c>
      <c r="AV168" s="114" t="e">
        <f t="shared" si="377"/>
        <v>#N/A</v>
      </c>
      <c r="AW168" s="114" t="e">
        <f t="shared" si="377"/>
        <v>#N/A</v>
      </c>
      <c r="AX168" s="114" t="e">
        <f t="shared" si="377"/>
        <v>#N/A</v>
      </c>
      <c r="AY168" s="114" t="e">
        <f t="shared" si="377"/>
        <v>#N/A</v>
      </c>
      <c r="AZ168" s="114" t="e">
        <f t="shared" si="377"/>
        <v>#N/A</v>
      </c>
      <c r="BA168" s="114" t="e">
        <f t="shared" ref="BA168:BC168" si="382">BA57+BA111</f>
        <v>#N/A</v>
      </c>
      <c r="BB168" s="114" t="e">
        <f t="shared" ref="BB168" si="383">BB57+BB111</f>
        <v>#N/A</v>
      </c>
      <c r="BC168" s="114" t="e">
        <f t="shared" si="382"/>
        <v>#N/A</v>
      </c>
      <c r="BD168" s="114" t="e">
        <f t="shared" ref="BD168:BE168" si="384">BD57+BD111</f>
        <v>#N/A</v>
      </c>
      <c r="BE168" s="114" t="e">
        <f t="shared" si="384"/>
        <v>#N/A</v>
      </c>
      <c r="BF168" s="114" t="e">
        <f t="shared" ref="BF168:BG168" si="385">BF57+BF111</f>
        <v>#N/A</v>
      </c>
      <c r="BG168" s="114" t="e">
        <f t="shared" si="385"/>
        <v>#N/A</v>
      </c>
      <c r="BH168" s="114" t="e">
        <f t="shared" ref="BH168" si="386">BH57+BH111</f>
        <v>#N/A</v>
      </c>
      <c r="BI168" s="114"/>
      <c r="BJ168" s="114"/>
      <c r="BK168" s="114"/>
      <c r="BL168" s="114"/>
      <c r="BM168" s="114"/>
      <c r="BN168" s="114"/>
      <c r="BO168" s="114"/>
      <c r="BP168" s="114"/>
      <c r="BQ168" s="114"/>
      <c r="BR168" s="114"/>
      <c r="BS168" s="114"/>
      <c r="BT168" s="114"/>
      <c r="BU168" s="114"/>
      <c r="BV168" s="114"/>
      <c r="BW168" s="114"/>
      <c r="BX168" s="114"/>
      <c r="BY168" s="114"/>
      <c r="BZ168" s="114"/>
      <c r="CA168" s="114"/>
      <c r="CB168" s="114"/>
      <c r="CC168" s="114"/>
      <c r="CD168" s="114"/>
      <c r="CE168" s="114"/>
      <c r="CF168" s="114"/>
      <c r="CG168" s="114"/>
      <c r="CH168" s="114"/>
      <c r="CI168" s="114"/>
      <c r="CJ168" s="114"/>
      <c r="CK168" s="114"/>
      <c r="CL168" s="114"/>
      <c r="CM168" s="114"/>
      <c r="CN168" s="114"/>
      <c r="CO168" s="114"/>
      <c r="CP168" s="114"/>
      <c r="CQ168" s="114"/>
      <c r="CR168" s="114"/>
      <c r="CS168" s="114"/>
      <c r="CT168" s="114"/>
      <c r="CU168" s="114"/>
      <c r="CV168" s="114"/>
      <c r="CW168" s="114"/>
      <c r="CX168" s="114"/>
      <c r="CY168" s="114"/>
      <c r="CZ168" s="114"/>
      <c r="DA168" s="114"/>
      <c r="DB168" s="114"/>
      <c r="DC168" s="114"/>
    </row>
    <row r="169" spans="1:107" s="107" customFormat="1" hidden="1" outlineLevel="1" x14ac:dyDescent="0.25">
      <c r="A169" s="110" t="s">
        <v>85</v>
      </c>
      <c r="B169" s="115">
        <f t="shared" si="145"/>
        <v>0</v>
      </c>
      <c r="C169" s="115">
        <f t="shared" si="145"/>
        <v>0</v>
      </c>
      <c r="D169" s="115">
        <f t="shared" si="145"/>
        <v>0</v>
      </c>
      <c r="E169" s="115">
        <f t="shared" ref="E169" si="387">E58+E112</f>
        <v>0</v>
      </c>
      <c r="F169" s="115">
        <f t="shared" si="115"/>
        <v>0</v>
      </c>
      <c r="G169" s="115">
        <f t="shared" si="115"/>
        <v>0</v>
      </c>
      <c r="H169" s="115">
        <f t="shared" si="14"/>
        <v>0</v>
      </c>
      <c r="I169" s="115">
        <f t="shared" ref="I169" si="388">I58+I112</f>
        <v>0</v>
      </c>
      <c r="J169" s="115">
        <f t="shared" ref="J169:K169" si="389">J58+J112</f>
        <v>0</v>
      </c>
      <c r="K169" s="115">
        <f t="shared" si="389"/>
        <v>0</v>
      </c>
      <c r="L169" s="115">
        <f t="shared" ref="L169" si="390">L58+L112</f>
        <v>0</v>
      </c>
      <c r="M169" s="115">
        <f t="shared" ref="M169" si="391">M58+M112</f>
        <v>0</v>
      </c>
      <c r="N169" s="115">
        <f t="shared" si="316"/>
        <v>0</v>
      </c>
      <c r="O169" s="115">
        <f t="shared" si="316"/>
        <v>0</v>
      </c>
      <c r="P169" s="115">
        <f t="shared" si="316"/>
        <v>0</v>
      </c>
      <c r="Q169" s="115">
        <f t="shared" si="316"/>
        <v>0</v>
      </c>
      <c r="R169" s="115">
        <f t="shared" ref="R169:AZ169" si="392">R58+R112</f>
        <v>0</v>
      </c>
      <c r="S169" s="115">
        <f t="shared" si="392"/>
        <v>0</v>
      </c>
      <c r="T169" s="115">
        <f t="shared" si="392"/>
        <v>0</v>
      </c>
      <c r="U169" s="115">
        <f t="shared" si="392"/>
        <v>0</v>
      </c>
      <c r="V169" s="115">
        <f t="shared" ref="V169:W169" si="393">V58+V112</f>
        <v>0</v>
      </c>
      <c r="W169" s="115">
        <f t="shared" si="393"/>
        <v>0</v>
      </c>
      <c r="X169" s="115">
        <f t="shared" ref="X169:Y169" si="394">X58+X112</f>
        <v>0</v>
      </c>
      <c r="Y169" s="115">
        <f t="shared" si="394"/>
        <v>0</v>
      </c>
      <c r="Z169" s="115">
        <f t="shared" ref="Z169:AA169" si="395">Z58+Z112</f>
        <v>0</v>
      </c>
      <c r="AA169" s="115">
        <f t="shared" si="395"/>
        <v>0</v>
      </c>
      <c r="AB169" s="115">
        <f t="shared" si="392"/>
        <v>0</v>
      </c>
      <c r="AC169" s="115">
        <f t="shared" si="392"/>
        <v>0</v>
      </c>
      <c r="AD169" s="115">
        <f t="shared" si="392"/>
        <v>0</v>
      </c>
      <c r="AE169" s="115">
        <f t="shared" si="392"/>
        <v>0</v>
      </c>
      <c r="AF169" s="115">
        <f t="shared" si="392"/>
        <v>0</v>
      </c>
      <c r="AG169" s="115">
        <f t="shared" ref="AG169:AI169" si="396">AG58+AG112</f>
        <v>0</v>
      </c>
      <c r="AH169" s="115">
        <f t="shared" si="396"/>
        <v>0</v>
      </c>
      <c r="AI169" s="115">
        <f t="shared" si="396"/>
        <v>0</v>
      </c>
      <c r="AJ169" s="115" t="e">
        <f t="shared" si="392"/>
        <v>#N/A</v>
      </c>
      <c r="AK169" s="115" t="e">
        <f t="shared" si="392"/>
        <v>#N/A</v>
      </c>
      <c r="AL169" s="115" t="e">
        <f t="shared" si="392"/>
        <v>#N/A</v>
      </c>
      <c r="AM169" s="115" t="e">
        <f t="shared" si="392"/>
        <v>#N/A</v>
      </c>
      <c r="AN169" s="115" t="e">
        <f t="shared" si="392"/>
        <v>#N/A</v>
      </c>
      <c r="AO169" s="115" t="e">
        <f t="shared" si="392"/>
        <v>#N/A</v>
      </c>
      <c r="AP169" s="115" t="e">
        <f t="shared" si="392"/>
        <v>#N/A</v>
      </c>
      <c r="AQ169" s="115" t="e">
        <f t="shared" si="392"/>
        <v>#N/A</v>
      </c>
      <c r="AR169" s="115" t="e">
        <f t="shared" si="392"/>
        <v>#N/A</v>
      </c>
      <c r="AS169" s="115" t="e">
        <f t="shared" si="392"/>
        <v>#N/A</v>
      </c>
      <c r="AT169" s="115" t="e">
        <f t="shared" si="392"/>
        <v>#N/A</v>
      </c>
      <c r="AU169" s="115" t="e">
        <f t="shared" si="392"/>
        <v>#N/A</v>
      </c>
      <c r="AV169" s="115" t="e">
        <f t="shared" si="392"/>
        <v>#N/A</v>
      </c>
      <c r="AW169" s="115" t="e">
        <f t="shared" si="392"/>
        <v>#N/A</v>
      </c>
      <c r="AX169" s="115" t="e">
        <f t="shared" si="392"/>
        <v>#N/A</v>
      </c>
      <c r="AY169" s="115" t="e">
        <f t="shared" si="392"/>
        <v>#N/A</v>
      </c>
      <c r="AZ169" s="115" t="e">
        <f t="shared" si="392"/>
        <v>#N/A</v>
      </c>
      <c r="BA169" s="115" t="e">
        <f t="shared" ref="BA169:BC169" si="397">BA58+BA112</f>
        <v>#N/A</v>
      </c>
      <c r="BB169" s="115" t="e">
        <f t="shared" ref="BB169" si="398">BB58+BB112</f>
        <v>#N/A</v>
      </c>
      <c r="BC169" s="115" t="e">
        <f t="shared" si="397"/>
        <v>#N/A</v>
      </c>
      <c r="BD169" s="115" t="e">
        <f t="shared" ref="BD169:BE169" si="399">BD58+BD112</f>
        <v>#N/A</v>
      </c>
      <c r="BE169" s="115" t="e">
        <f t="shared" si="399"/>
        <v>#N/A</v>
      </c>
      <c r="BF169" s="115" t="e">
        <f t="shared" ref="BF169:BG169" si="400">BF58+BF112</f>
        <v>#N/A</v>
      </c>
      <c r="BG169" s="115" t="e">
        <f t="shared" si="400"/>
        <v>#N/A</v>
      </c>
      <c r="BH169" s="115" t="e">
        <f t="shared" ref="BH169" si="401">BH58+BH112</f>
        <v>#N/A</v>
      </c>
      <c r="BI169" s="115"/>
      <c r="BJ169" s="115"/>
      <c r="BK169" s="115"/>
      <c r="BL169" s="115"/>
      <c r="BM169" s="115"/>
      <c r="BN169" s="115"/>
      <c r="BO169" s="115"/>
      <c r="BP169" s="115"/>
      <c r="BQ169" s="115"/>
      <c r="BR169" s="115"/>
      <c r="BS169" s="115"/>
      <c r="BT169" s="115"/>
      <c r="BU169" s="115"/>
      <c r="BV169" s="115"/>
      <c r="BW169" s="115"/>
      <c r="BX169" s="115"/>
      <c r="BY169" s="115"/>
      <c r="BZ169" s="115"/>
      <c r="CA169" s="115"/>
      <c r="CB169" s="115"/>
      <c r="CC169" s="115"/>
      <c r="CD169" s="115"/>
      <c r="CE169" s="115"/>
      <c r="CF169" s="115"/>
      <c r="CG169" s="115"/>
      <c r="CH169" s="115"/>
      <c r="CI169" s="115"/>
      <c r="CJ169" s="115"/>
      <c r="CK169" s="115"/>
      <c r="CL169" s="115"/>
      <c r="CM169" s="115"/>
      <c r="CN169" s="115"/>
      <c r="CO169" s="115"/>
      <c r="CP169" s="115"/>
      <c r="CQ169" s="115"/>
      <c r="CR169" s="115"/>
      <c r="CS169" s="115"/>
      <c r="CT169" s="115"/>
      <c r="CU169" s="115"/>
      <c r="CV169" s="115"/>
      <c r="CW169" s="115"/>
      <c r="CX169" s="115"/>
      <c r="CY169" s="115"/>
      <c r="CZ169" s="115"/>
      <c r="DA169" s="115"/>
      <c r="DB169" s="115"/>
      <c r="DC169" s="115"/>
    </row>
    <row r="170" spans="1:107" s="106" customFormat="1" hidden="1" outlineLevel="1" x14ac:dyDescent="0.25">
      <c r="A170" s="110" t="s">
        <v>86</v>
      </c>
      <c r="B170" s="114">
        <f t="shared" si="145"/>
        <v>0</v>
      </c>
      <c r="C170" s="114">
        <f t="shared" si="145"/>
        <v>0</v>
      </c>
      <c r="D170" s="114">
        <f t="shared" si="145"/>
        <v>0</v>
      </c>
      <c r="E170" s="114">
        <f t="shared" ref="E170" si="402">E59+E113</f>
        <v>0</v>
      </c>
      <c r="F170" s="114">
        <f t="shared" si="115"/>
        <v>0</v>
      </c>
      <c r="G170" s="114">
        <f t="shared" si="115"/>
        <v>0</v>
      </c>
      <c r="H170" s="114">
        <f t="shared" si="14"/>
        <v>0</v>
      </c>
      <c r="I170" s="114">
        <f t="shared" ref="I170" si="403">I59+I113</f>
        <v>0</v>
      </c>
      <c r="J170" s="114">
        <f t="shared" ref="J170:K170" si="404">J59+J113</f>
        <v>0</v>
      </c>
      <c r="K170" s="114">
        <f t="shared" si="404"/>
        <v>0</v>
      </c>
      <c r="L170" s="114">
        <f t="shared" ref="L170" si="405">L59+L113</f>
        <v>0</v>
      </c>
      <c r="M170" s="114">
        <f t="shared" ref="M170" si="406">M59+M113</f>
        <v>0</v>
      </c>
      <c r="N170" s="114">
        <f t="shared" si="316"/>
        <v>0</v>
      </c>
      <c r="O170" s="114">
        <f t="shared" si="316"/>
        <v>0</v>
      </c>
      <c r="P170" s="114">
        <f t="shared" si="316"/>
        <v>0</v>
      </c>
      <c r="Q170" s="114">
        <f t="shared" si="316"/>
        <v>0</v>
      </c>
      <c r="R170" s="114">
        <f t="shared" ref="R170:AZ170" si="407">R59+R113</f>
        <v>0</v>
      </c>
      <c r="S170" s="114">
        <f t="shared" si="407"/>
        <v>0</v>
      </c>
      <c r="T170" s="114">
        <f t="shared" si="407"/>
        <v>0</v>
      </c>
      <c r="U170" s="114">
        <f t="shared" si="407"/>
        <v>0</v>
      </c>
      <c r="V170" s="114">
        <f t="shared" ref="V170:W170" si="408">V59+V113</f>
        <v>0</v>
      </c>
      <c r="W170" s="114">
        <f t="shared" si="408"/>
        <v>0</v>
      </c>
      <c r="X170" s="114">
        <f t="shared" ref="X170:Y170" si="409">X59+X113</f>
        <v>0</v>
      </c>
      <c r="Y170" s="114">
        <f t="shared" si="409"/>
        <v>0</v>
      </c>
      <c r="Z170" s="114">
        <f t="shared" ref="Z170:AA170" si="410">Z59+Z113</f>
        <v>0</v>
      </c>
      <c r="AA170" s="114">
        <f t="shared" si="410"/>
        <v>0</v>
      </c>
      <c r="AB170" s="114">
        <f t="shared" si="407"/>
        <v>0</v>
      </c>
      <c r="AC170" s="114">
        <f t="shared" si="407"/>
        <v>0</v>
      </c>
      <c r="AD170" s="114">
        <f t="shared" si="407"/>
        <v>0</v>
      </c>
      <c r="AE170" s="114">
        <f t="shared" si="407"/>
        <v>0</v>
      </c>
      <c r="AF170" s="114">
        <f t="shared" si="407"/>
        <v>0</v>
      </c>
      <c r="AG170" s="114">
        <f t="shared" ref="AG170:AI170" si="411">AG59+AG113</f>
        <v>0</v>
      </c>
      <c r="AH170" s="114">
        <f t="shared" si="411"/>
        <v>0</v>
      </c>
      <c r="AI170" s="114">
        <f t="shared" si="411"/>
        <v>0</v>
      </c>
      <c r="AJ170" s="114" t="e">
        <f t="shared" si="407"/>
        <v>#N/A</v>
      </c>
      <c r="AK170" s="114" t="e">
        <f t="shared" si="407"/>
        <v>#N/A</v>
      </c>
      <c r="AL170" s="114" t="e">
        <f t="shared" si="407"/>
        <v>#N/A</v>
      </c>
      <c r="AM170" s="114" t="e">
        <f t="shared" si="407"/>
        <v>#N/A</v>
      </c>
      <c r="AN170" s="114" t="e">
        <f t="shared" si="407"/>
        <v>#N/A</v>
      </c>
      <c r="AO170" s="114" t="e">
        <f t="shared" si="407"/>
        <v>#N/A</v>
      </c>
      <c r="AP170" s="114" t="e">
        <f t="shared" si="407"/>
        <v>#N/A</v>
      </c>
      <c r="AQ170" s="114" t="e">
        <f t="shared" si="407"/>
        <v>#N/A</v>
      </c>
      <c r="AR170" s="114" t="e">
        <f t="shared" si="407"/>
        <v>#N/A</v>
      </c>
      <c r="AS170" s="114" t="e">
        <f t="shared" si="407"/>
        <v>#N/A</v>
      </c>
      <c r="AT170" s="114" t="e">
        <f t="shared" si="407"/>
        <v>#N/A</v>
      </c>
      <c r="AU170" s="114" t="e">
        <f t="shared" si="407"/>
        <v>#N/A</v>
      </c>
      <c r="AV170" s="114" t="e">
        <f t="shared" si="407"/>
        <v>#N/A</v>
      </c>
      <c r="AW170" s="114" t="e">
        <f t="shared" si="407"/>
        <v>#N/A</v>
      </c>
      <c r="AX170" s="114" t="e">
        <f t="shared" si="407"/>
        <v>#N/A</v>
      </c>
      <c r="AY170" s="114" t="e">
        <f t="shared" si="407"/>
        <v>#N/A</v>
      </c>
      <c r="AZ170" s="114" t="e">
        <f t="shared" si="407"/>
        <v>#N/A</v>
      </c>
      <c r="BA170" s="114" t="e">
        <f t="shared" ref="BA170:BC170" si="412">BA59+BA113</f>
        <v>#N/A</v>
      </c>
      <c r="BB170" s="114" t="e">
        <f t="shared" ref="BB170" si="413">BB59+BB113</f>
        <v>#N/A</v>
      </c>
      <c r="BC170" s="114" t="e">
        <f t="shared" si="412"/>
        <v>#N/A</v>
      </c>
      <c r="BD170" s="114" t="e">
        <f t="shared" ref="BD170:BE170" si="414">BD59+BD113</f>
        <v>#N/A</v>
      </c>
      <c r="BE170" s="114" t="e">
        <f t="shared" si="414"/>
        <v>#N/A</v>
      </c>
      <c r="BF170" s="114" t="e">
        <f t="shared" ref="BF170:BG170" si="415">BF59+BF113</f>
        <v>#N/A</v>
      </c>
      <c r="BG170" s="114" t="e">
        <f t="shared" si="415"/>
        <v>#N/A</v>
      </c>
      <c r="BH170" s="114" t="e">
        <f t="shared" ref="BH170" si="416">BH59+BH113</f>
        <v>#N/A</v>
      </c>
      <c r="BI170" s="114"/>
      <c r="BJ170" s="114"/>
      <c r="BK170" s="114"/>
      <c r="BL170" s="114"/>
      <c r="BM170" s="114"/>
      <c r="BN170" s="114"/>
      <c r="BO170" s="114"/>
      <c r="BP170" s="114"/>
      <c r="BQ170" s="114"/>
      <c r="BR170" s="114"/>
      <c r="BS170" s="114"/>
      <c r="BT170" s="114"/>
      <c r="BU170" s="114"/>
      <c r="BV170" s="114"/>
      <c r="BW170" s="114"/>
      <c r="BX170" s="114"/>
      <c r="BY170" s="114"/>
      <c r="BZ170" s="114"/>
      <c r="CA170" s="114"/>
      <c r="CB170" s="114"/>
      <c r="CC170" s="114"/>
      <c r="CD170" s="114"/>
      <c r="CE170" s="114"/>
      <c r="CF170" s="114"/>
      <c r="CG170" s="114"/>
      <c r="CH170" s="114"/>
      <c r="CI170" s="114"/>
      <c r="CJ170" s="114"/>
      <c r="CK170" s="114"/>
      <c r="CL170" s="114"/>
      <c r="CM170" s="114"/>
      <c r="CN170" s="114"/>
      <c r="CO170" s="114"/>
      <c r="CP170" s="114"/>
      <c r="CQ170" s="114"/>
      <c r="CR170" s="114"/>
      <c r="CS170" s="114"/>
      <c r="CT170" s="114"/>
      <c r="CU170" s="114"/>
      <c r="CV170" s="114"/>
      <c r="CW170" s="114"/>
      <c r="CX170" s="114"/>
      <c r="CY170" s="114"/>
      <c r="CZ170" s="114"/>
      <c r="DA170" s="114"/>
      <c r="DB170" s="114"/>
      <c r="DC170" s="114"/>
    </row>
    <row r="171" spans="1:107" s="107" customFormat="1" hidden="1" outlineLevel="1" x14ac:dyDescent="0.25">
      <c r="A171" s="110" t="s">
        <v>87</v>
      </c>
      <c r="B171" s="115">
        <f t="shared" si="145"/>
        <v>0</v>
      </c>
      <c r="C171" s="115">
        <f t="shared" si="145"/>
        <v>0</v>
      </c>
      <c r="D171" s="115">
        <f t="shared" si="145"/>
        <v>0</v>
      </c>
      <c r="E171" s="115">
        <f t="shared" ref="E171" si="417">E60+E114</f>
        <v>0</v>
      </c>
      <c r="F171" s="115">
        <f t="shared" si="115"/>
        <v>0</v>
      </c>
      <c r="G171" s="115">
        <f t="shared" si="115"/>
        <v>0</v>
      </c>
      <c r="H171" s="115">
        <f t="shared" si="14"/>
        <v>0</v>
      </c>
      <c r="I171" s="115">
        <f t="shared" ref="I171" si="418">I60+I114</f>
        <v>0</v>
      </c>
      <c r="J171" s="115">
        <f t="shared" ref="J171:K171" si="419">J60+J114</f>
        <v>0</v>
      </c>
      <c r="K171" s="115">
        <f t="shared" si="419"/>
        <v>0</v>
      </c>
      <c r="L171" s="115">
        <f t="shared" ref="L171" si="420">L60+L114</f>
        <v>0</v>
      </c>
      <c r="M171" s="115">
        <f t="shared" ref="M171" si="421">M60+M114</f>
        <v>0</v>
      </c>
      <c r="N171" s="115">
        <f t="shared" si="316"/>
        <v>0</v>
      </c>
      <c r="O171" s="115">
        <f t="shared" si="316"/>
        <v>0</v>
      </c>
      <c r="P171" s="115">
        <f t="shared" si="316"/>
        <v>0</v>
      </c>
      <c r="Q171" s="115">
        <f t="shared" si="316"/>
        <v>0</v>
      </c>
      <c r="R171" s="115">
        <f t="shared" ref="R171:AZ171" si="422">R60+R114</f>
        <v>0</v>
      </c>
      <c r="S171" s="115">
        <f t="shared" si="422"/>
        <v>0</v>
      </c>
      <c r="T171" s="115">
        <f t="shared" si="422"/>
        <v>0</v>
      </c>
      <c r="U171" s="115">
        <f t="shared" si="422"/>
        <v>0</v>
      </c>
      <c r="V171" s="115">
        <f t="shared" ref="V171:W171" si="423">V60+V114</f>
        <v>0</v>
      </c>
      <c r="W171" s="115">
        <f t="shared" si="423"/>
        <v>0</v>
      </c>
      <c r="X171" s="115">
        <f t="shared" ref="X171:Y171" si="424">X60+X114</f>
        <v>0</v>
      </c>
      <c r="Y171" s="115">
        <f t="shared" si="424"/>
        <v>0</v>
      </c>
      <c r="Z171" s="115">
        <f t="shared" ref="Z171:AA171" si="425">Z60+Z114</f>
        <v>0</v>
      </c>
      <c r="AA171" s="115">
        <f t="shared" si="425"/>
        <v>0</v>
      </c>
      <c r="AB171" s="115">
        <f t="shared" si="422"/>
        <v>0</v>
      </c>
      <c r="AC171" s="115">
        <f t="shared" si="422"/>
        <v>0</v>
      </c>
      <c r="AD171" s="115">
        <f t="shared" si="422"/>
        <v>0</v>
      </c>
      <c r="AE171" s="115">
        <f t="shared" si="422"/>
        <v>0</v>
      </c>
      <c r="AF171" s="115">
        <f t="shared" si="422"/>
        <v>0</v>
      </c>
      <c r="AG171" s="115">
        <f t="shared" ref="AG171:AI171" si="426">AG60+AG114</f>
        <v>0</v>
      </c>
      <c r="AH171" s="115">
        <f t="shared" si="426"/>
        <v>0</v>
      </c>
      <c r="AI171" s="115">
        <f t="shared" si="426"/>
        <v>0</v>
      </c>
      <c r="AJ171" s="115" t="e">
        <f t="shared" si="422"/>
        <v>#N/A</v>
      </c>
      <c r="AK171" s="115" t="e">
        <f t="shared" si="422"/>
        <v>#N/A</v>
      </c>
      <c r="AL171" s="115" t="e">
        <f t="shared" si="422"/>
        <v>#N/A</v>
      </c>
      <c r="AM171" s="115" t="e">
        <f t="shared" si="422"/>
        <v>#N/A</v>
      </c>
      <c r="AN171" s="115" t="e">
        <f t="shared" si="422"/>
        <v>#N/A</v>
      </c>
      <c r="AO171" s="115" t="e">
        <f t="shared" si="422"/>
        <v>#N/A</v>
      </c>
      <c r="AP171" s="115" t="e">
        <f t="shared" si="422"/>
        <v>#N/A</v>
      </c>
      <c r="AQ171" s="115" t="e">
        <f t="shared" si="422"/>
        <v>#N/A</v>
      </c>
      <c r="AR171" s="115" t="e">
        <f t="shared" si="422"/>
        <v>#N/A</v>
      </c>
      <c r="AS171" s="115" t="e">
        <f t="shared" si="422"/>
        <v>#N/A</v>
      </c>
      <c r="AT171" s="115" t="e">
        <f t="shared" si="422"/>
        <v>#N/A</v>
      </c>
      <c r="AU171" s="115" t="e">
        <f t="shared" si="422"/>
        <v>#N/A</v>
      </c>
      <c r="AV171" s="115" t="e">
        <f t="shared" si="422"/>
        <v>#N/A</v>
      </c>
      <c r="AW171" s="115" t="e">
        <f t="shared" si="422"/>
        <v>#N/A</v>
      </c>
      <c r="AX171" s="115" t="e">
        <f t="shared" si="422"/>
        <v>#N/A</v>
      </c>
      <c r="AY171" s="115" t="e">
        <f t="shared" si="422"/>
        <v>#N/A</v>
      </c>
      <c r="AZ171" s="115" t="e">
        <f t="shared" si="422"/>
        <v>#N/A</v>
      </c>
      <c r="BA171" s="115" t="e">
        <f t="shared" ref="BA171:BC171" si="427">BA60+BA114</f>
        <v>#N/A</v>
      </c>
      <c r="BB171" s="115" t="e">
        <f t="shared" ref="BB171" si="428">BB60+BB114</f>
        <v>#N/A</v>
      </c>
      <c r="BC171" s="115" t="e">
        <f t="shared" si="427"/>
        <v>#N/A</v>
      </c>
      <c r="BD171" s="115" t="e">
        <f t="shared" ref="BD171:BE171" si="429">BD60+BD114</f>
        <v>#N/A</v>
      </c>
      <c r="BE171" s="115" t="e">
        <f t="shared" si="429"/>
        <v>#N/A</v>
      </c>
      <c r="BF171" s="115" t="e">
        <f t="shared" ref="BF171:BG171" si="430">BF60+BF114</f>
        <v>#N/A</v>
      </c>
      <c r="BG171" s="115" t="e">
        <f t="shared" si="430"/>
        <v>#N/A</v>
      </c>
      <c r="BH171" s="115" t="e">
        <f t="shared" ref="BH171" si="431">BH60+BH114</f>
        <v>#N/A</v>
      </c>
      <c r="BI171" s="115"/>
      <c r="BJ171" s="115"/>
      <c r="BK171" s="115"/>
      <c r="BL171" s="115"/>
      <c r="BM171" s="115"/>
      <c r="BN171" s="115"/>
      <c r="BO171" s="115"/>
      <c r="BP171" s="115"/>
      <c r="BQ171" s="115"/>
      <c r="BR171" s="115"/>
      <c r="BS171" s="115"/>
      <c r="BT171" s="115"/>
      <c r="BU171" s="115"/>
      <c r="BV171" s="115"/>
      <c r="BW171" s="115"/>
      <c r="BX171" s="115"/>
      <c r="BY171" s="115"/>
      <c r="BZ171" s="115"/>
      <c r="CA171" s="115"/>
      <c r="CB171" s="115"/>
      <c r="CC171" s="115"/>
      <c r="CD171" s="115"/>
      <c r="CE171" s="115"/>
      <c r="CF171" s="115"/>
      <c r="CG171" s="115"/>
      <c r="CH171" s="115"/>
      <c r="CI171" s="115"/>
      <c r="CJ171" s="115"/>
      <c r="CK171" s="115"/>
      <c r="CL171" s="115"/>
      <c r="CM171" s="115"/>
      <c r="CN171" s="115"/>
      <c r="CO171" s="115"/>
      <c r="CP171" s="115"/>
      <c r="CQ171" s="115"/>
      <c r="CR171" s="115"/>
      <c r="CS171" s="115"/>
      <c r="CT171" s="115"/>
      <c r="CU171" s="115"/>
      <c r="CV171" s="115"/>
      <c r="CW171" s="115"/>
      <c r="CX171" s="115"/>
      <c r="CY171" s="115"/>
      <c r="CZ171" s="115"/>
      <c r="DA171" s="115"/>
      <c r="DB171" s="115"/>
      <c r="DC171" s="115"/>
    </row>
    <row r="172" spans="1:107" s="106" customFormat="1" hidden="1" outlineLevel="1" x14ac:dyDescent="0.25">
      <c r="A172" s="110" t="s">
        <v>90</v>
      </c>
      <c r="B172" s="114">
        <f t="shared" si="145"/>
        <v>0</v>
      </c>
      <c r="C172" s="114">
        <f t="shared" si="145"/>
        <v>0</v>
      </c>
      <c r="D172" s="114">
        <f t="shared" si="145"/>
        <v>0</v>
      </c>
      <c r="E172" s="114">
        <f t="shared" ref="E172" si="432">E61+E115</f>
        <v>0</v>
      </c>
      <c r="F172" s="114">
        <f t="shared" si="115"/>
        <v>0</v>
      </c>
      <c r="G172" s="114">
        <f t="shared" si="115"/>
        <v>0</v>
      </c>
      <c r="H172" s="114">
        <f t="shared" si="14"/>
        <v>0</v>
      </c>
      <c r="I172" s="114">
        <f t="shared" ref="I172" si="433">I61+I115</f>
        <v>0</v>
      </c>
      <c r="J172" s="114">
        <f t="shared" ref="J172:K172" si="434">J61+J115</f>
        <v>0</v>
      </c>
      <c r="K172" s="114">
        <f t="shared" si="434"/>
        <v>0</v>
      </c>
      <c r="L172" s="114">
        <f t="shared" ref="L172" si="435">L61+L115</f>
        <v>0</v>
      </c>
      <c r="M172" s="114">
        <f t="shared" ref="M172" si="436">M61+M115</f>
        <v>0</v>
      </c>
      <c r="N172" s="114">
        <f t="shared" si="316"/>
        <v>0</v>
      </c>
      <c r="O172" s="114">
        <f t="shared" si="316"/>
        <v>0</v>
      </c>
      <c r="P172" s="114">
        <f t="shared" si="316"/>
        <v>0</v>
      </c>
      <c r="Q172" s="114">
        <f t="shared" si="316"/>
        <v>0</v>
      </c>
      <c r="R172" s="114">
        <f t="shared" ref="R172:AZ172" si="437">R61+R115</f>
        <v>0</v>
      </c>
      <c r="S172" s="114">
        <f t="shared" si="437"/>
        <v>0</v>
      </c>
      <c r="T172" s="114">
        <f t="shared" si="437"/>
        <v>0</v>
      </c>
      <c r="U172" s="114">
        <f t="shared" si="437"/>
        <v>0</v>
      </c>
      <c r="V172" s="114">
        <f t="shared" ref="V172:W172" si="438">V61+V115</f>
        <v>0</v>
      </c>
      <c r="W172" s="114">
        <f t="shared" si="438"/>
        <v>0</v>
      </c>
      <c r="X172" s="114">
        <f t="shared" ref="X172:Y172" si="439">X61+X115</f>
        <v>0</v>
      </c>
      <c r="Y172" s="114">
        <f t="shared" si="439"/>
        <v>0</v>
      </c>
      <c r="Z172" s="114">
        <f t="shared" ref="Z172:AA172" si="440">Z61+Z115</f>
        <v>0</v>
      </c>
      <c r="AA172" s="114">
        <f t="shared" si="440"/>
        <v>0</v>
      </c>
      <c r="AB172" s="114">
        <f t="shared" si="437"/>
        <v>0</v>
      </c>
      <c r="AC172" s="114">
        <f t="shared" si="437"/>
        <v>0</v>
      </c>
      <c r="AD172" s="114">
        <f t="shared" si="437"/>
        <v>0</v>
      </c>
      <c r="AE172" s="114">
        <f t="shared" si="437"/>
        <v>0</v>
      </c>
      <c r="AF172" s="114">
        <f t="shared" si="437"/>
        <v>0</v>
      </c>
      <c r="AG172" s="114">
        <f t="shared" ref="AG172:AI172" si="441">AG61+AG115</f>
        <v>0</v>
      </c>
      <c r="AH172" s="114">
        <f t="shared" si="441"/>
        <v>0</v>
      </c>
      <c r="AI172" s="114">
        <f t="shared" si="441"/>
        <v>0</v>
      </c>
      <c r="AJ172" s="114" t="e">
        <f t="shared" si="437"/>
        <v>#N/A</v>
      </c>
      <c r="AK172" s="114" t="e">
        <f t="shared" si="437"/>
        <v>#N/A</v>
      </c>
      <c r="AL172" s="114" t="e">
        <f t="shared" si="437"/>
        <v>#N/A</v>
      </c>
      <c r="AM172" s="114" t="e">
        <f t="shared" si="437"/>
        <v>#N/A</v>
      </c>
      <c r="AN172" s="114" t="e">
        <f t="shared" si="437"/>
        <v>#N/A</v>
      </c>
      <c r="AO172" s="114" t="e">
        <f t="shared" si="437"/>
        <v>#N/A</v>
      </c>
      <c r="AP172" s="114" t="e">
        <f t="shared" si="437"/>
        <v>#N/A</v>
      </c>
      <c r="AQ172" s="114" t="e">
        <f t="shared" si="437"/>
        <v>#N/A</v>
      </c>
      <c r="AR172" s="114" t="e">
        <f t="shared" si="437"/>
        <v>#N/A</v>
      </c>
      <c r="AS172" s="114" t="e">
        <f t="shared" si="437"/>
        <v>#N/A</v>
      </c>
      <c r="AT172" s="114" t="e">
        <f t="shared" si="437"/>
        <v>#N/A</v>
      </c>
      <c r="AU172" s="114" t="e">
        <f t="shared" si="437"/>
        <v>#N/A</v>
      </c>
      <c r="AV172" s="114" t="e">
        <f t="shared" si="437"/>
        <v>#N/A</v>
      </c>
      <c r="AW172" s="114" t="e">
        <f t="shared" si="437"/>
        <v>#N/A</v>
      </c>
      <c r="AX172" s="114" t="e">
        <f t="shared" si="437"/>
        <v>#N/A</v>
      </c>
      <c r="AY172" s="114" t="e">
        <f t="shared" si="437"/>
        <v>#N/A</v>
      </c>
      <c r="AZ172" s="114" t="e">
        <f t="shared" si="437"/>
        <v>#N/A</v>
      </c>
      <c r="BA172" s="114" t="e">
        <f t="shared" ref="BA172:BC172" si="442">BA61+BA115</f>
        <v>#N/A</v>
      </c>
      <c r="BB172" s="114" t="e">
        <f t="shared" ref="BB172" si="443">BB61+BB115</f>
        <v>#N/A</v>
      </c>
      <c r="BC172" s="114" t="e">
        <f t="shared" si="442"/>
        <v>#N/A</v>
      </c>
      <c r="BD172" s="114" t="e">
        <f t="shared" ref="BD172:BE172" si="444">BD61+BD115</f>
        <v>#N/A</v>
      </c>
      <c r="BE172" s="114" t="e">
        <f t="shared" si="444"/>
        <v>#N/A</v>
      </c>
      <c r="BF172" s="114" t="e">
        <f t="shared" ref="BF172:BG172" si="445">BF61+BF115</f>
        <v>#N/A</v>
      </c>
      <c r="BG172" s="114" t="e">
        <f t="shared" si="445"/>
        <v>#N/A</v>
      </c>
      <c r="BH172" s="114" t="e">
        <f t="shared" ref="BH172" si="446">BH61+BH115</f>
        <v>#N/A</v>
      </c>
      <c r="BI172" s="114"/>
      <c r="BJ172" s="114"/>
      <c r="BK172" s="114"/>
      <c r="BL172" s="114"/>
      <c r="BM172" s="114"/>
      <c r="BN172" s="114"/>
      <c r="BO172" s="114"/>
      <c r="BP172" s="114"/>
      <c r="BQ172" s="114"/>
      <c r="BR172" s="114"/>
      <c r="BS172" s="114"/>
      <c r="BT172" s="114"/>
      <c r="BU172" s="114"/>
      <c r="BV172" s="114"/>
      <c r="BW172" s="114"/>
      <c r="BX172" s="114"/>
      <c r="BY172" s="114"/>
      <c r="BZ172" s="114"/>
      <c r="CA172" s="114"/>
      <c r="CB172" s="114"/>
      <c r="CC172" s="114"/>
      <c r="CD172" s="114"/>
      <c r="CE172" s="114"/>
      <c r="CF172" s="114"/>
      <c r="CG172" s="114"/>
      <c r="CH172" s="114"/>
      <c r="CI172" s="114"/>
      <c r="CJ172" s="114"/>
      <c r="CK172" s="114"/>
      <c r="CL172" s="114"/>
      <c r="CM172" s="114"/>
      <c r="CN172" s="114"/>
      <c r="CO172" s="114"/>
      <c r="CP172" s="114"/>
      <c r="CQ172" s="114"/>
      <c r="CR172" s="114"/>
      <c r="CS172" s="114"/>
      <c r="CT172" s="114"/>
      <c r="CU172" s="114"/>
      <c r="CV172" s="114"/>
      <c r="CW172" s="114"/>
      <c r="CX172" s="114"/>
      <c r="CY172" s="114"/>
      <c r="CZ172" s="114"/>
      <c r="DA172" s="114"/>
      <c r="DB172" s="114"/>
      <c r="DC172" s="114"/>
    </row>
    <row r="173" spans="1:107" s="107" customFormat="1" hidden="1" outlineLevel="1" x14ac:dyDescent="0.25">
      <c r="A173" s="110" t="s">
        <v>88</v>
      </c>
      <c r="B173" s="115">
        <f t="shared" ref="B173:D189" si="447">B62+B116</f>
        <v>0</v>
      </c>
      <c r="C173" s="115">
        <f t="shared" si="447"/>
        <v>0</v>
      </c>
      <c r="D173" s="115">
        <f t="shared" si="447"/>
        <v>0</v>
      </c>
      <c r="E173" s="115">
        <f t="shared" ref="E173" si="448">E62+E116</f>
        <v>0</v>
      </c>
      <c r="F173" s="115">
        <f t="shared" si="115"/>
        <v>0</v>
      </c>
      <c r="G173" s="115">
        <f t="shared" si="115"/>
        <v>0</v>
      </c>
      <c r="H173" s="115">
        <f t="shared" si="14"/>
        <v>0</v>
      </c>
      <c r="I173" s="115">
        <f t="shared" ref="I173" si="449">I62+I116</f>
        <v>0</v>
      </c>
      <c r="J173" s="115">
        <f t="shared" ref="J173:K173" si="450">J62+J116</f>
        <v>0</v>
      </c>
      <c r="K173" s="115">
        <f t="shared" si="450"/>
        <v>0</v>
      </c>
      <c r="L173" s="115">
        <f t="shared" ref="L173" si="451">L62+L116</f>
        <v>0</v>
      </c>
      <c r="M173" s="115">
        <f t="shared" ref="M173" si="452">M62+M116</f>
        <v>0</v>
      </c>
      <c r="N173" s="115">
        <f t="shared" si="316"/>
        <v>0</v>
      </c>
      <c r="O173" s="115">
        <f t="shared" si="316"/>
        <v>0</v>
      </c>
      <c r="P173" s="115">
        <f t="shared" si="316"/>
        <v>0</v>
      </c>
      <c r="Q173" s="115">
        <f t="shared" si="316"/>
        <v>0</v>
      </c>
      <c r="R173" s="115">
        <f t="shared" ref="R173:AZ173" si="453">R62+R116</f>
        <v>0</v>
      </c>
      <c r="S173" s="115">
        <f t="shared" si="453"/>
        <v>0</v>
      </c>
      <c r="T173" s="115">
        <f t="shared" si="453"/>
        <v>0</v>
      </c>
      <c r="U173" s="115">
        <f t="shared" si="453"/>
        <v>0</v>
      </c>
      <c r="V173" s="115">
        <f t="shared" ref="V173:W173" si="454">V62+V116</f>
        <v>0</v>
      </c>
      <c r="W173" s="115">
        <f t="shared" si="454"/>
        <v>0</v>
      </c>
      <c r="X173" s="115">
        <f t="shared" ref="X173:Y173" si="455">X62+X116</f>
        <v>0</v>
      </c>
      <c r="Y173" s="115">
        <f t="shared" si="455"/>
        <v>0</v>
      </c>
      <c r="Z173" s="115">
        <f t="shared" ref="Z173:AA173" si="456">Z62+Z116</f>
        <v>0</v>
      </c>
      <c r="AA173" s="115">
        <f t="shared" si="456"/>
        <v>0</v>
      </c>
      <c r="AB173" s="115">
        <f t="shared" si="453"/>
        <v>0</v>
      </c>
      <c r="AC173" s="115">
        <f t="shared" si="453"/>
        <v>0</v>
      </c>
      <c r="AD173" s="115">
        <f t="shared" si="453"/>
        <v>0</v>
      </c>
      <c r="AE173" s="115">
        <f t="shared" si="453"/>
        <v>0</v>
      </c>
      <c r="AF173" s="115">
        <f t="shared" si="453"/>
        <v>0</v>
      </c>
      <c r="AG173" s="115">
        <f t="shared" ref="AG173:AI173" si="457">AG62+AG116</f>
        <v>0</v>
      </c>
      <c r="AH173" s="115">
        <f t="shared" si="457"/>
        <v>0</v>
      </c>
      <c r="AI173" s="115">
        <f t="shared" si="457"/>
        <v>0</v>
      </c>
      <c r="AJ173" s="115" t="e">
        <f t="shared" si="453"/>
        <v>#N/A</v>
      </c>
      <c r="AK173" s="115" t="e">
        <f t="shared" si="453"/>
        <v>#N/A</v>
      </c>
      <c r="AL173" s="115" t="e">
        <f t="shared" si="453"/>
        <v>#N/A</v>
      </c>
      <c r="AM173" s="115" t="e">
        <f t="shared" si="453"/>
        <v>#N/A</v>
      </c>
      <c r="AN173" s="115" t="e">
        <f t="shared" si="453"/>
        <v>#N/A</v>
      </c>
      <c r="AO173" s="115" t="e">
        <f t="shared" si="453"/>
        <v>#N/A</v>
      </c>
      <c r="AP173" s="115" t="e">
        <f t="shared" si="453"/>
        <v>#N/A</v>
      </c>
      <c r="AQ173" s="115" t="e">
        <f t="shared" si="453"/>
        <v>#N/A</v>
      </c>
      <c r="AR173" s="115" t="e">
        <f t="shared" si="453"/>
        <v>#N/A</v>
      </c>
      <c r="AS173" s="115" t="e">
        <f t="shared" si="453"/>
        <v>#N/A</v>
      </c>
      <c r="AT173" s="115" t="e">
        <f t="shared" si="453"/>
        <v>#N/A</v>
      </c>
      <c r="AU173" s="115" t="e">
        <f t="shared" si="453"/>
        <v>#N/A</v>
      </c>
      <c r="AV173" s="115" t="e">
        <f t="shared" si="453"/>
        <v>#N/A</v>
      </c>
      <c r="AW173" s="115" t="e">
        <f t="shared" si="453"/>
        <v>#N/A</v>
      </c>
      <c r="AX173" s="115" t="e">
        <f t="shared" si="453"/>
        <v>#N/A</v>
      </c>
      <c r="AY173" s="115" t="e">
        <f t="shared" si="453"/>
        <v>#N/A</v>
      </c>
      <c r="AZ173" s="115" t="e">
        <f t="shared" si="453"/>
        <v>#N/A</v>
      </c>
      <c r="BA173" s="115" t="e">
        <f t="shared" ref="BA173:BC173" si="458">BA62+BA116</f>
        <v>#N/A</v>
      </c>
      <c r="BB173" s="115" t="e">
        <f t="shared" ref="BB173" si="459">BB62+BB116</f>
        <v>#N/A</v>
      </c>
      <c r="BC173" s="115" t="e">
        <f t="shared" si="458"/>
        <v>#N/A</v>
      </c>
      <c r="BD173" s="115" t="e">
        <f t="shared" ref="BD173:BE173" si="460">BD62+BD116</f>
        <v>#N/A</v>
      </c>
      <c r="BE173" s="115" t="e">
        <f t="shared" si="460"/>
        <v>#N/A</v>
      </c>
      <c r="BF173" s="115" t="e">
        <f t="shared" ref="BF173:BG173" si="461">BF62+BF116</f>
        <v>#N/A</v>
      </c>
      <c r="BG173" s="115" t="e">
        <f t="shared" si="461"/>
        <v>#N/A</v>
      </c>
      <c r="BH173" s="115" t="e">
        <f t="shared" ref="BH173" si="462">BH62+BH116</f>
        <v>#N/A</v>
      </c>
      <c r="BI173" s="115"/>
      <c r="BJ173" s="115"/>
      <c r="BK173" s="115"/>
      <c r="BL173" s="115"/>
      <c r="BM173" s="115"/>
      <c r="BN173" s="115"/>
      <c r="BO173" s="115"/>
      <c r="BP173" s="115"/>
      <c r="BQ173" s="115"/>
      <c r="BR173" s="115"/>
      <c r="BS173" s="115"/>
      <c r="BT173" s="115"/>
      <c r="BU173" s="115"/>
      <c r="BV173" s="115"/>
      <c r="BW173" s="115"/>
      <c r="BX173" s="115"/>
      <c r="BY173" s="115"/>
      <c r="BZ173" s="115"/>
      <c r="CA173" s="115"/>
      <c r="CB173" s="115"/>
      <c r="CC173" s="115"/>
      <c r="CD173" s="115"/>
      <c r="CE173" s="115"/>
      <c r="CF173" s="115"/>
      <c r="CG173" s="115"/>
      <c r="CH173" s="115"/>
      <c r="CI173" s="115"/>
      <c r="CJ173" s="115"/>
      <c r="CK173" s="115"/>
      <c r="CL173" s="115"/>
      <c r="CM173" s="115"/>
      <c r="CN173" s="115"/>
      <c r="CO173" s="115"/>
      <c r="CP173" s="115"/>
      <c r="CQ173" s="115"/>
      <c r="CR173" s="115"/>
      <c r="CS173" s="115"/>
      <c r="CT173" s="115"/>
      <c r="CU173" s="115"/>
      <c r="CV173" s="115"/>
      <c r="CW173" s="115"/>
      <c r="CX173" s="115"/>
      <c r="CY173" s="115"/>
      <c r="CZ173" s="115"/>
      <c r="DA173" s="115"/>
      <c r="DB173" s="115"/>
      <c r="DC173" s="115"/>
    </row>
    <row r="174" spans="1:107" s="106" customFormat="1" hidden="1" outlineLevel="1" x14ac:dyDescent="0.25">
      <c r="A174" s="110" t="s">
        <v>89</v>
      </c>
      <c r="B174" s="114">
        <f t="shared" si="447"/>
        <v>0</v>
      </c>
      <c r="C174" s="114">
        <f t="shared" si="447"/>
        <v>0</v>
      </c>
      <c r="D174" s="114">
        <f t="shared" si="447"/>
        <v>0</v>
      </c>
      <c r="E174" s="114">
        <f t="shared" ref="E174" si="463">E63+E117</f>
        <v>0</v>
      </c>
      <c r="F174" s="114">
        <f t="shared" si="115"/>
        <v>0</v>
      </c>
      <c r="G174" s="114">
        <f t="shared" si="115"/>
        <v>0</v>
      </c>
      <c r="H174" s="114">
        <f t="shared" si="14"/>
        <v>0</v>
      </c>
      <c r="I174" s="114">
        <f t="shared" ref="I174" si="464">I63+I117</f>
        <v>0</v>
      </c>
      <c r="J174" s="114">
        <f t="shared" ref="J174:K174" si="465">J63+J117</f>
        <v>0</v>
      </c>
      <c r="K174" s="114">
        <f t="shared" si="465"/>
        <v>0</v>
      </c>
      <c r="L174" s="114">
        <f t="shared" ref="L174" si="466">L63+L117</f>
        <v>0</v>
      </c>
      <c r="M174" s="114">
        <f t="shared" ref="M174" si="467">M63+M117</f>
        <v>0</v>
      </c>
      <c r="N174" s="114">
        <f t="shared" si="316"/>
        <v>0</v>
      </c>
      <c r="O174" s="114">
        <f t="shared" si="316"/>
        <v>0</v>
      </c>
      <c r="P174" s="114">
        <f t="shared" si="316"/>
        <v>0</v>
      </c>
      <c r="Q174" s="114">
        <f t="shared" si="316"/>
        <v>0</v>
      </c>
      <c r="R174" s="114">
        <f t="shared" ref="R174:AZ174" si="468">R63+R117</f>
        <v>0</v>
      </c>
      <c r="S174" s="114">
        <f t="shared" si="468"/>
        <v>0</v>
      </c>
      <c r="T174" s="114">
        <f t="shared" si="468"/>
        <v>0</v>
      </c>
      <c r="U174" s="114">
        <f t="shared" si="468"/>
        <v>0</v>
      </c>
      <c r="V174" s="114">
        <f t="shared" ref="V174:W174" si="469">V63+V117</f>
        <v>0</v>
      </c>
      <c r="W174" s="114">
        <f t="shared" si="469"/>
        <v>0</v>
      </c>
      <c r="X174" s="114">
        <f t="shared" ref="X174:Y174" si="470">X63+X117</f>
        <v>0</v>
      </c>
      <c r="Y174" s="114">
        <f t="shared" si="470"/>
        <v>0</v>
      </c>
      <c r="Z174" s="114">
        <f t="shared" ref="Z174:AA174" si="471">Z63+Z117</f>
        <v>0</v>
      </c>
      <c r="AA174" s="114">
        <f t="shared" si="471"/>
        <v>0</v>
      </c>
      <c r="AB174" s="114">
        <f t="shared" si="468"/>
        <v>0</v>
      </c>
      <c r="AC174" s="114">
        <f t="shared" si="468"/>
        <v>0</v>
      </c>
      <c r="AD174" s="114">
        <f t="shared" si="468"/>
        <v>0</v>
      </c>
      <c r="AE174" s="114">
        <f t="shared" si="468"/>
        <v>0</v>
      </c>
      <c r="AF174" s="114">
        <f t="shared" si="468"/>
        <v>0</v>
      </c>
      <c r="AG174" s="114">
        <f t="shared" ref="AG174:AI174" si="472">AG63+AG117</f>
        <v>0</v>
      </c>
      <c r="AH174" s="114">
        <f t="shared" si="472"/>
        <v>0</v>
      </c>
      <c r="AI174" s="114">
        <f t="shared" si="472"/>
        <v>0</v>
      </c>
      <c r="AJ174" s="114" t="e">
        <f t="shared" si="468"/>
        <v>#N/A</v>
      </c>
      <c r="AK174" s="114" t="e">
        <f t="shared" si="468"/>
        <v>#N/A</v>
      </c>
      <c r="AL174" s="114" t="e">
        <f t="shared" si="468"/>
        <v>#N/A</v>
      </c>
      <c r="AM174" s="114" t="e">
        <f t="shared" si="468"/>
        <v>#N/A</v>
      </c>
      <c r="AN174" s="114" t="e">
        <f t="shared" si="468"/>
        <v>#N/A</v>
      </c>
      <c r="AO174" s="114" t="e">
        <f t="shared" si="468"/>
        <v>#N/A</v>
      </c>
      <c r="AP174" s="114" t="e">
        <f t="shared" si="468"/>
        <v>#N/A</v>
      </c>
      <c r="AQ174" s="114" t="e">
        <f t="shared" si="468"/>
        <v>#N/A</v>
      </c>
      <c r="AR174" s="114" t="e">
        <f t="shared" si="468"/>
        <v>#N/A</v>
      </c>
      <c r="AS174" s="114" t="e">
        <f t="shared" si="468"/>
        <v>#N/A</v>
      </c>
      <c r="AT174" s="114" t="e">
        <f t="shared" si="468"/>
        <v>#N/A</v>
      </c>
      <c r="AU174" s="114" t="e">
        <f t="shared" si="468"/>
        <v>#N/A</v>
      </c>
      <c r="AV174" s="114" t="e">
        <f t="shared" si="468"/>
        <v>#N/A</v>
      </c>
      <c r="AW174" s="114" t="e">
        <f t="shared" si="468"/>
        <v>#N/A</v>
      </c>
      <c r="AX174" s="114" t="e">
        <f t="shared" si="468"/>
        <v>#N/A</v>
      </c>
      <c r="AY174" s="114" t="e">
        <f t="shared" si="468"/>
        <v>#N/A</v>
      </c>
      <c r="AZ174" s="114" t="e">
        <f t="shared" si="468"/>
        <v>#N/A</v>
      </c>
      <c r="BA174" s="114" t="e">
        <f t="shared" ref="BA174:BC174" si="473">BA63+BA117</f>
        <v>#N/A</v>
      </c>
      <c r="BB174" s="114" t="e">
        <f t="shared" ref="BB174" si="474">BB63+BB117</f>
        <v>#N/A</v>
      </c>
      <c r="BC174" s="114" t="e">
        <f t="shared" si="473"/>
        <v>#N/A</v>
      </c>
      <c r="BD174" s="114" t="e">
        <f t="shared" ref="BD174:BE174" si="475">BD63+BD117</f>
        <v>#N/A</v>
      </c>
      <c r="BE174" s="114" t="e">
        <f t="shared" si="475"/>
        <v>#N/A</v>
      </c>
      <c r="BF174" s="114" t="e">
        <f t="shared" ref="BF174:BG174" si="476">BF63+BF117</f>
        <v>#N/A</v>
      </c>
      <c r="BG174" s="114" t="e">
        <f t="shared" si="476"/>
        <v>#N/A</v>
      </c>
      <c r="BH174" s="114" t="e">
        <f t="shared" ref="BH174" si="477">BH63+BH117</f>
        <v>#N/A</v>
      </c>
      <c r="BI174" s="114"/>
      <c r="BJ174" s="114"/>
      <c r="BK174" s="114"/>
      <c r="BL174" s="114"/>
      <c r="BM174" s="114"/>
      <c r="BN174" s="114"/>
      <c r="BO174" s="114"/>
      <c r="BP174" s="114"/>
      <c r="BQ174" s="114"/>
      <c r="BR174" s="114"/>
      <c r="BS174" s="114"/>
      <c r="BT174" s="114"/>
      <c r="BU174" s="114"/>
      <c r="BV174" s="114"/>
      <c r="BW174" s="114"/>
      <c r="BX174" s="114"/>
      <c r="BY174" s="114"/>
      <c r="BZ174" s="114"/>
      <c r="CA174" s="114"/>
      <c r="CB174" s="114"/>
      <c r="CC174" s="114"/>
      <c r="CD174" s="114"/>
      <c r="CE174" s="114"/>
      <c r="CF174" s="114"/>
      <c r="CG174" s="114"/>
      <c r="CH174" s="114"/>
      <c r="CI174" s="114"/>
      <c r="CJ174" s="114"/>
      <c r="CK174" s="114"/>
      <c r="CL174" s="114"/>
      <c r="CM174" s="114"/>
      <c r="CN174" s="114"/>
      <c r="CO174" s="114"/>
      <c r="CP174" s="114"/>
      <c r="CQ174" s="114"/>
      <c r="CR174" s="114"/>
      <c r="CS174" s="114"/>
      <c r="CT174" s="114"/>
      <c r="CU174" s="114"/>
      <c r="CV174" s="114"/>
      <c r="CW174" s="114"/>
      <c r="CX174" s="114"/>
      <c r="CY174" s="114"/>
      <c r="CZ174" s="114"/>
      <c r="DA174" s="114"/>
      <c r="DB174" s="114"/>
      <c r="DC174" s="114"/>
    </row>
    <row r="175" spans="1:107" s="107" customFormat="1" hidden="1" outlineLevel="1" x14ac:dyDescent="0.25">
      <c r="A175" s="110" t="s">
        <v>91</v>
      </c>
      <c r="B175" s="115">
        <f t="shared" si="447"/>
        <v>0</v>
      </c>
      <c r="C175" s="115">
        <f t="shared" si="447"/>
        <v>0</v>
      </c>
      <c r="D175" s="115">
        <f t="shared" si="447"/>
        <v>0</v>
      </c>
      <c r="E175" s="115">
        <f t="shared" ref="E175" si="478">E64+E118</f>
        <v>0</v>
      </c>
      <c r="F175" s="115">
        <f t="shared" si="115"/>
        <v>0</v>
      </c>
      <c r="G175" s="115">
        <f t="shared" si="115"/>
        <v>0</v>
      </c>
      <c r="H175" s="115">
        <f t="shared" si="14"/>
        <v>0</v>
      </c>
      <c r="I175" s="115">
        <f t="shared" ref="I175" si="479">I64+I118</f>
        <v>0</v>
      </c>
      <c r="J175" s="115">
        <f t="shared" ref="J175:K175" si="480">J64+J118</f>
        <v>0</v>
      </c>
      <c r="K175" s="115">
        <f t="shared" si="480"/>
        <v>0</v>
      </c>
      <c r="L175" s="115">
        <f t="shared" ref="L175" si="481">L64+L118</f>
        <v>0</v>
      </c>
      <c r="M175" s="115">
        <f t="shared" ref="M175" si="482">M64+M118</f>
        <v>0</v>
      </c>
      <c r="N175" s="115">
        <f t="shared" si="316"/>
        <v>0</v>
      </c>
      <c r="O175" s="115">
        <f t="shared" si="316"/>
        <v>0</v>
      </c>
      <c r="P175" s="115">
        <f t="shared" si="316"/>
        <v>0</v>
      </c>
      <c r="Q175" s="115">
        <f t="shared" si="316"/>
        <v>0</v>
      </c>
      <c r="R175" s="115">
        <f t="shared" ref="R175:AZ175" si="483">R64+R118</f>
        <v>0</v>
      </c>
      <c r="S175" s="115">
        <f t="shared" si="483"/>
        <v>0</v>
      </c>
      <c r="T175" s="115">
        <f t="shared" si="483"/>
        <v>0</v>
      </c>
      <c r="U175" s="115">
        <f t="shared" si="483"/>
        <v>0</v>
      </c>
      <c r="V175" s="115">
        <f t="shared" ref="V175:W175" si="484">V64+V118</f>
        <v>0</v>
      </c>
      <c r="W175" s="115">
        <f t="shared" si="484"/>
        <v>0</v>
      </c>
      <c r="X175" s="115">
        <f t="shared" ref="X175:Y175" si="485">X64+X118</f>
        <v>0</v>
      </c>
      <c r="Y175" s="115">
        <f t="shared" si="485"/>
        <v>0</v>
      </c>
      <c r="Z175" s="115">
        <f t="shared" ref="Z175:AA175" si="486">Z64+Z118</f>
        <v>0</v>
      </c>
      <c r="AA175" s="115">
        <f t="shared" si="486"/>
        <v>0</v>
      </c>
      <c r="AB175" s="115">
        <f t="shared" si="483"/>
        <v>0</v>
      </c>
      <c r="AC175" s="115">
        <f t="shared" si="483"/>
        <v>0</v>
      </c>
      <c r="AD175" s="115">
        <f t="shared" si="483"/>
        <v>0</v>
      </c>
      <c r="AE175" s="115">
        <f t="shared" si="483"/>
        <v>0</v>
      </c>
      <c r="AF175" s="115">
        <f t="shared" si="483"/>
        <v>0</v>
      </c>
      <c r="AG175" s="115">
        <f t="shared" ref="AG175:AI175" si="487">AG64+AG118</f>
        <v>0</v>
      </c>
      <c r="AH175" s="115">
        <f t="shared" si="487"/>
        <v>0</v>
      </c>
      <c r="AI175" s="115">
        <f t="shared" si="487"/>
        <v>0</v>
      </c>
      <c r="AJ175" s="115" t="e">
        <f t="shared" si="483"/>
        <v>#N/A</v>
      </c>
      <c r="AK175" s="115" t="e">
        <f t="shared" si="483"/>
        <v>#N/A</v>
      </c>
      <c r="AL175" s="115" t="e">
        <f t="shared" si="483"/>
        <v>#N/A</v>
      </c>
      <c r="AM175" s="115" t="e">
        <f t="shared" si="483"/>
        <v>#N/A</v>
      </c>
      <c r="AN175" s="115" t="e">
        <f t="shared" si="483"/>
        <v>#N/A</v>
      </c>
      <c r="AO175" s="115" t="e">
        <f t="shared" si="483"/>
        <v>#N/A</v>
      </c>
      <c r="AP175" s="115" t="e">
        <f t="shared" si="483"/>
        <v>#N/A</v>
      </c>
      <c r="AQ175" s="115" t="e">
        <f t="shared" si="483"/>
        <v>#N/A</v>
      </c>
      <c r="AR175" s="115" t="e">
        <f t="shared" si="483"/>
        <v>#N/A</v>
      </c>
      <c r="AS175" s="115" t="e">
        <f t="shared" si="483"/>
        <v>#N/A</v>
      </c>
      <c r="AT175" s="115" t="e">
        <f t="shared" si="483"/>
        <v>#N/A</v>
      </c>
      <c r="AU175" s="115" t="e">
        <f t="shared" si="483"/>
        <v>#N/A</v>
      </c>
      <c r="AV175" s="115" t="e">
        <f t="shared" si="483"/>
        <v>#N/A</v>
      </c>
      <c r="AW175" s="115" t="e">
        <f t="shared" si="483"/>
        <v>#N/A</v>
      </c>
      <c r="AX175" s="115" t="e">
        <f t="shared" si="483"/>
        <v>#N/A</v>
      </c>
      <c r="AY175" s="115" t="e">
        <f t="shared" si="483"/>
        <v>#N/A</v>
      </c>
      <c r="AZ175" s="115" t="e">
        <f t="shared" si="483"/>
        <v>#N/A</v>
      </c>
      <c r="BA175" s="115" t="e">
        <f t="shared" ref="BA175:BC175" si="488">BA64+BA118</f>
        <v>#N/A</v>
      </c>
      <c r="BB175" s="115" t="e">
        <f t="shared" ref="BB175" si="489">BB64+BB118</f>
        <v>#N/A</v>
      </c>
      <c r="BC175" s="115" t="e">
        <f t="shared" si="488"/>
        <v>#N/A</v>
      </c>
      <c r="BD175" s="115" t="e">
        <f t="shared" ref="BD175:BE175" si="490">BD64+BD118</f>
        <v>#N/A</v>
      </c>
      <c r="BE175" s="115" t="e">
        <f t="shared" si="490"/>
        <v>#N/A</v>
      </c>
      <c r="BF175" s="115" t="e">
        <f t="shared" ref="BF175:BG175" si="491">BF64+BF118</f>
        <v>#N/A</v>
      </c>
      <c r="BG175" s="115" t="e">
        <f t="shared" si="491"/>
        <v>#N/A</v>
      </c>
      <c r="BH175" s="115" t="e">
        <f t="shared" ref="BH175" si="492">BH64+BH118</f>
        <v>#N/A</v>
      </c>
      <c r="BI175" s="115"/>
      <c r="BJ175" s="115"/>
      <c r="BK175" s="115"/>
      <c r="BL175" s="115"/>
      <c r="BM175" s="115"/>
      <c r="BN175" s="115"/>
      <c r="BO175" s="115"/>
      <c r="BP175" s="115"/>
      <c r="BQ175" s="115"/>
      <c r="BR175" s="115"/>
      <c r="BS175" s="115"/>
      <c r="BT175" s="115"/>
      <c r="BU175" s="115"/>
      <c r="BV175" s="115"/>
      <c r="BW175" s="115"/>
      <c r="BX175" s="115"/>
      <c r="BY175" s="115"/>
      <c r="BZ175" s="115"/>
      <c r="CA175" s="115"/>
      <c r="CB175" s="115"/>
      <c r="CC175" s="115"/>
      <c r="CD175" s="115"/>
      <c r="CE175" s="115"/>
      <c r="CF175" s="115"/>
      <c r="CG175" s="115"/>
      <c r="CH175" s="115"/>
      <c r="CI175" s="115"/>
      <c r="CJ175" s="115"/>
      <c r="CK175" s="115"/>
      <c r="CL175" s="115"/>
      <c r="CM175" s="115"/>
      <c r="CN175" s="115"/>
      <c r="CO175" s="115"/>
      <c r="CP175" s="115"/>
      <c r="CQ175" s="115"/>
      <c r="CR175" s="115"/>
      <c r="CS175" s="115"/>
      <c r="CT175" s="115"/>
      <c r="CU175" s="115"/>
      <c r="CV175" s="115"/>
      <c r="CW175" s="115"/>
      <c r="CX175" s="115"/>
      <c r="CY175" s="115"/>
      <c r="CZ175" s="115"/>
      <c r="DA175" s="115"/>
      <c r="DB175" s="115"/>
      <c r="DC175" s="115"/>
    </row>
    <row r="176" spans="1:107" s="106" customFormat="1" hidden="1" outlineLevel="1" x14ac:dyDescent="0.25">
      <c r="A176" s="110" t="s">
        <v>453</v>
      </c>
      <c r="B176" s="114">
        <f t="shared" si="447"/>
        <v>0</v>
      </c>
      <c r="C176" s="114">
        <f t="shared" si="447"/>
        <v>0</v>
      </c>
      <c r="D176" s="114">
        <f t="shared" si="447"/>
        <v>0</v>
      </c>
      <c r="E176" s="114">
        <f t="shared" ref="E176" si="493">E65+E119</f>
        <v>0</v>
      </c>
      <c r="F176" s="114">
        <f t="shared" si="115"/>
        <v>0</v>
      </c>
      <c r="G176" s="114">
        <f t="shared" si="115"/>
        <v>0</v>
      </c>
      <c r="H176" s="114">
        <f t="shared" si="14"/>
        <v>0</v>
      </c>
      <c r="I176" s="114">
        <f t="shared" ref="I176" si="494">I65+I119</f>
        <v>0</v>
      </c>
      <c r="J176" s="114">
        <f t="shared" ref="J176:K176" si="495">J65+J119</f>
        <v>0</v>
      </c>
      <c r="K176" s="114">
        <f t="shared" si="495"/>
        <v>0</v>
      </c>
      <c r="L176" s="114">
        <f t="shared" ref="L176" si="496">L65+L119</f>
        <v>0</v>
      </c>
      <c r="M176" s="114">
        <f t="shared" ref="M176" si="497">M65+M119</f>
        <v>0</v>
      </c>
      <c r="N176" s="114">
        <f t="shared" si="316"/>
        <v>0</v>
      </c>
      <c r="O176" s="114">
        <f t="shared" si="316"/>
        <v>0</v>
      </c>
      <c r="P176" s="114">
        <f t="shared" si="316"/>
        <v>0</v>
      </c>
      <c r="Q176" s="114">
        <f t="shared" si="316"/>
        <v>0</v>
      </c>
      <c r="R176" s="114">
        <f t="shared" ref="R176:AZ176" si="498">R65+R119</f>
        <v>0</v>
      </c>
      <c r="S176" s="114">
        <f t="shared" si="498"/>
        <v>0</v>
      </c>
      <c r="T176" s="114">
        <f t="shared" si="498"/>
        <v>0</v>
      </c>
      <c r="U176" s="114">
        <f t="shared" si="498"/>
        <v>0</v>
      </c>
      <c r="V176" s="114">
        <f t="shared" ref="V176:W176" si="499">V65+V119</f>
        <v>0</v>
      </c>
      <c r="W176" s="114">
        <f t="shared" si="499"/>
        <v>0</v>
      </c>
      <c r="X176" s="114">
        <f t="shared" ref="X176:Y176" si="500">X65+X119</f>
        <v>0</v>
      </c>
      <c r="Y176" s="114">
        <f t="shared" si="500"/>
        <v>0</v>
      </c>
      <c r="Z176" s="114">
        <f t="shared" ref="Z176:AA176" si="501">Z65+Z119</f>
        <v>0</v>
      </c>
      <c r="AA176" s="114">
        <f t="shared" si="501"/>
        <v>0</v>
      </c>
      <c r="AB176" s="114">
        <f t="shared" si="498"/>
        <v>0</v>
      </c>
      <c r="AC176" s="114">
        <f t="shared" si="498"/>
        <v>0</v>
      </c>
      <c r="AD176" s="114">
        <f t="shared" si="498"/>
        <v>0</v>
      </c>
      <c r="AE176" s="114">
        <f t="shared" si="498"/>
        <v>0</v>
      </c>
      <c r="AF176" s="114">
        <f t="shared" si="498"/>
        <v>0</v>
      </c>
      <c r="AG176" s="114">
        <f t="shared" ref="AG176:AI176" si="502">AG65+AG119</f>
        <v>0</v>
      </c>
      <c r="AH176" s="114">
        <f t="shared" si="502"/>
        <v>0</v>
      </c>
      <c r="AI176" s="114">
        <f t="shared" si="502"/>
        <v>0</v>
      </c>
      <c r="AJ176" s="114" t="e">
        <f t="shared" si="498"/>
        <v>#N/A</v>
      </c>
      <c r="AK176" s="114" t="e">
        <f t="shared" si="498"/>
        <v>#N/A</v>
      </c>
      <c r="AL176" s="114" t="e">
        <f t="shared" si="498"/>
        <v>#N/A</v>
      </c>
      <c r="AM176" s="114" t="e">
        <f t="shared" si="498"/>
        <v>#N/A</v>
      </c>
      <c r="AN176" s="114" t="e">
        <f t="shared" si="498"/>
        <v>#N/A</v>
      </c>
      <c r="AO176" s="114" t="e">
        <f t="shared" si="498"/>
        <v>#N/A</v>
      </c>
      <c r="AP176" s="114" t="e">
        <f t="shared" si="498"/>
        <v>#N/A</v>
      </c>
      <c r="AQ176" s="114" t="e">
        <f t="shared" si="498"/>
        <v>#N/A</v>
      </c>
      <c r="AR176" s="114" t="e">
        <f t="shared" si="498"/>
        <v>#N/A</v>
      </c>
      <c r="AS176" s="114" t="e">
        <f t="shared" si="498"/>
        <v>#N/A</v>
      </c>
      <c r="AT176" s="114" t="e">
        <f t="shared" si="498"/>
        <v>#N/A</v>
      </c>
      <c r="AU176" s="114" t="e">
        <f t="shared" si="498"/>
        <v>#N/A</v>
      </c>
      <c r="AV176" s="114" t="e">
        <f t="shared" si="498"/>
        <v>#N/A</v>
      </c>
      <c r="AW176" s="114" t="e">
        <f t="shared" si="498"/>
        <v>#N/A</v>
      </c>
      <c r="AX176" s="114" t="e">
        <f t="shared" si="498"/>
        <v>#N/A</v>
      </c>
      <c r="AY176" s="114" t="e">
        <f t="shared" si="498"/>
        <v>#N/A</v>
      </c>
      <c r="AZ176" s="114" t="e">
        <f t="shared" si="498"/>
        <v>#N/A</v>
      </c>
      <c r="BA176" s="114" t="e">
        <f t="shared" ref="BA176:BC176" si="503">BA65+BA119</f>
        <v>#N/A</v>
      </c>
      <c r="BB176" s="114" t="e">
        <f t="shared" ref="BB176" si="504">BB65+BB119</f>
        <v>#N/A</v>
      </c>
      <c r="BC176" s="114" t="e">
        <f t="shared" si="503"/>
        <v>#N/A</v>
      </c>
      <c r="BD176" s="114" t="e">
        <f t="shared" ref="BD176:BE176" si="505">BD65+BD119</f>
        <v>#N/A</v>
      </c>
      <c r="BE176" s="114" t="e">
        <f t="shared" si="505"/>
        <v>#N/A</v>
      </c>
      <c r="BF176" s="114" t="e">
        <f t="shared" ref="BF176:BG176" si="506">BF65+BF119</f>
        <v>#N/A</v>
      </c>
      <c r="BG176" s="114" t="e">
        <f t="shared" si="506"/>
        <v>#N/A</v>
      </c>
      <c r="BH176" s="114" t="e">
        <f t="shared" ref="BH176" si="507">BH65+BH119</f>
        <v>#N/A</v>
      </c>
      <c r="BI176" s="114"/>
      <c r="BJ176" s="114"/>
      <c r="BK176" s="114"/>
      <c r="BL176" s="114"/>
      <c r="BM176" s="114"/>
      <c r="BN176" s="114"/>
      <c r="BO176" s="114"/>
      <c r="BP176" s="114"/>
      <c r="BQ176" s="114"/>
      <c r="BR176" s="114"/>
      <c r="BS176" s="114"/>
      <c r="BT176" s="114"/>
      <c r="BU176" s="114"/>
      <c r="BV176" s="114"/>
      <c r="BW176" s="114"/>
      <c r="BX176" s="114"/>
      <c r="BY176" s="114"/>
      <c r="BZ176" s="114"/>
      <c r="CA176" s="114"/>
      <c r="CB176" s="114"/>
      <c r="CC176" s="114"/>
      <c r="CD176" s="114"/>
      <c r="CE176" s="114"/>
      <c r="CF176" s="114"/>
      <c r="CG176" s="114"/>
      <c r="CH176" s="114"/>
      <c r="CI176" s="114"/>
      <c r="CJ176" s="114"/>
      <c r="CK176" s="114"/>
      <c r="CL176" s="114"/>
      <c r="CM176" s="114"/>
      <c r="CN176" s="114"/>
      <c r="CO176" s="114"/>
      <c r="CP176" s="114"/>
      <c r="CQ176" s="114"/>
      <c r="CR176" s="114"/>
      <c r="CS176" s="114"/>
      <c r="CT176" s="114"/>
      <c r="CU176" s="114"/>
      <c r="CV176" s="114"/>
      <c r="CW176" s="114"/>
      <c r="CX176" s="114"/>
      <c r="CY176" s="114"/>
      <c r="CZ176" s="114"/>
      <c r="DA176" s="114"/>
      <c r="DB176" s="114"/>
      <c r="DC176" s="114"/>
    </row>
    <row r="177" spans="1:107" s="107" customFormat="1" hidden="1" outlineLevel="1" x14ac:dyDescent="0.25">
      <c r="A177" s="110" t="s">
        <v>93</v>
      </c>
      <c r="B177" s="115">
        <f t="shared" si="447"/>
        <v>0</v>
      </c>
      <c r="C177" s="115">
        <f t="shared" si="447"/>
        <v>0</v>
      </c>
      <c r="D177" s="115">
        <f t="shared" si="447"/>
        <v>0</v>
      </c>
      <c r="E177" s="115">
        <f t="shared" ref="E177" si="508">E66+E120</f>
        <v>0</v>
      </c>
      <c r="F177" s="115">
        <f t="shared" si="115"/>
        <v>0</v>
      </c>
      <c r="G177" s="115">
        <f t="shared" si="115"/>
        <v>0</v>
      </c>
      <c r="H177" s="115">
        <f t="shared" si="14"/>
        <v>0</v>
      </c>
      <c r="I177" s="115">
        <f t="shared" ref="I177" si="509">I66+I120</f>
        <v>0</v>
      </c>
      <c r="J177" s="115">
        <f t="shared" ref="J177:K177" si="510">J66+J120</f>
        <v>0</v>
      </c>
      <c r="K177" s="115">
        <f t="shared" si="510"/>
        <v>0</v>
      </c>
      <c r="L177" s="115">
        <f t="shared" ref="L177" si="511">L66+L120</f>
        <v>0</v>
      </c>
      <c r="M177" s="115">
        <f t="shared" ref="M177" si="512">M66+M120</f>
        <v>0</v>
      </c>
      <c r="N177" s="115">
        <f t="shared" si="316"/>
        <v>0</v>
      </c>
      <c r="O177" s="115">
        <f t="shared" si="316"/>
        <v>0</v>
      </c>
      <c r="P177" s="115">
        <f t="shared" si="316"/>
        <v>0</v>
      </c>
      <c r="Q177" s="115">
        <f t="shared" si="316"/>
        <v>0</v>
      </c>
      <c r="R177" s="115">
        <f t="shared" ref="R177:AZ177" si="513">R66+R120</f>
        <v>0</v>
      </c>
      <c r="S177" s="115">
        <f t="shared" si="513"/>
        <v>0</v>
      </c>
      <c r="T177" s="115">
        <f t="shared" si="513"/>
        <v>0</v>
      </c>
      <c r="U177" s="115">
        <f t="shared" si="513"/>
        <v>0</v>
      </c>
      <c r="V177" s="115">
        <f t="shared" ref="V177:W177" si="514">V66+V120</f>
        <v>0</v>
      </c>
      <c r="W177" s="115">
        <f t="shared" si="514"/>
        <v>0</v>
      </c>
      <c r="X177" s="115">
        <f t="shared" ref="X177:Y177" si="515">X66+X120</f>
        <v>0</v>
      </c>
      <c r="Y177" s="115">
        <f t="shared" si="515"/>
        <v>0</v>
      </c>
      <c r="Z177" s="115">
        <f t="shared" ref="Z177:AA177" si="516">Z66+Z120</f>
        <v>0</v>
      </c>
      <c r="AA177" s="115">
        <f t="shared" si="516"/>
        <v>0</v>
      </c>
      <c r="AB177" s="115">
        <f t="shared" si="513"/>
        <v>0</v>
      </c>
      <c r="AC177" s="115">
        <f t="shared" si="513"/>
        <v>0</v>
      </c>
      <c r="AD177" s="115">
        <f t="shared" si="513"/>
        <v>0</v>
      </c>
      <c r="AE177" s="115">
        <f t="shared" si="513"/>
        <v>0</v>
      </c>
      <c r="AF177" s="115">
        <f t="shared" si="513"/>
        <v>0</v>
      </c>
      <c r="AG177" s="115">
        <f t="shared" ref="AG177:AI177" si="517">AG66+AG120</f>
        <v>0</v>
      </c>
      <c r="AH177" s="115">
        <f t="shared" si="517"/>
        <v>0</v>
      </c>
      <c r="AI177" s="115">
        <f t="shared" si="517"/>
        <v>0</v>
      </c>
      <c r="AJ177" s="115" t="e">
        <f t="shared" si="513"/>
        <v>#N/A</v>
      </c>
      <c r="AK177" s="115" t="e">
        <f t="shared" si="513"/>
        <v>#N/A</v>
      </c>
      <c r="AL177" s="115" t="e">
        <f t="shared" si="513"/>
        <v>#N/A</v>
      </c>
      <c r="AM177" s="115" t="e">
        <f t="shared" si="513"/>
        <v>#N/A</v>
      </c>
      <c r="AN177" s="115" t="e">
        <f t="shared" si="513"/>
        <v>#N/A</v>
      </c>
      <c r="AO177" s="115" t="e">
        <f t="shared" si="513"/>
        <v>#N/A</v>
      </c>
      <c r="AP177" s="115" t="e">
        <f t="shared" si="513"/>
        <v>#N/A</v>
      </c>
      <c r="AQ177" s="115" t="e">
        <f t="shared" si="513"/>
        <v>#N/A</v>
      </c>
      <c r="AR177" s="115" t="e">
        <f t="shared" si="513"/>
        <v>#N/A</v>
      </c>
      <c r="AS177" s="115" t="e">
        <f t="shared" si="513"/>
        <v>#N/A</v>
      </c>
      <c r="AT177" s="115" t="e">
        <f t="shared" si="513"/>
        <v>#N/A</v>
      </c>
      <c r="AU177" s="115" t="e">
        <f t="shared" si="513"/>
        <v>#N/A</v>
      </c>
      <c r="AV177" s="115" t="e">
        <f t="shared" si="513"/>
        <v>#N/A</v>
      </c>
      <c r="AW177" s="115" t="e">
        <f t="shared" si="513"/>
        <v>#N/A</v>
      </c>
      <c r="AX177" s="115" t="e">
        <f t="shared" si="513"/>
        <v>#N/A</v>
      </c>
      <c r="AY177" s="115" t="e">
        <f t="shared" si="513"/>
        <v>#N/A</v>
      </c>
      <c r="AZ177" s="115" t="e">
        <f t="shared" si="513"/>
        <v>#N/A</v>
      </c>
      <c r="BA177" s="115" t="e">
        <f t="shared" ref="BA177:BC177" si="518">BA66+BA120</f>
        <v>#N/A</v>
      </c>
      <c r="BB177" s="115" t="e">
        <f t="shared" ref="BB177" si="519">BB66+BB120</f>
        <v>#N/A</v>
      </c>
      <c r="BC177" s="115" t="e">
        <f t="shared" si="518"/>
        <v>#N/A</v>
      </c>
      <c r="BD177" s="115" t="e">
        <f t="shared" ref="BD177:BE177" si="520">BD66+BD120</f>
        <v>#N/A</v>
      </c>
      <c r="BE177" s="115" t="e">
        <f t="shared" si="520"/>
        <v>#N/A</v>
      </c>
      <c r="BF177" s="115" t="e">
        <f t="shared" ref="BF177:BG177" si="521">BF66+BF120</f>
        <v>#N/A</v>
      </c>
      <c r="BG177" s="115" t="e">
        <f t="shared" si="521"/>
        <v>#N/A</v>
      </c>
      <c r="BH177" s="115" t="e">
        <f t="shared" ref="BH177" si="522">BH66+BH120</f>
        <v>#N/A</v>
      </c>
      <c r="BI177" s="115"/>
      <c r="BJ177" s="115"/>
      <c r="BK177" s="115"/>
      <c r="BL177" s="115"/>
      <c r="BM177" s="115"/>
      <c r="BN177" s="115"/>
      <c r="BO177" s="115"/>
      <c r="BP177" s="115"/>
      <c r="BQ177" s="115"/>
      <c r="BR177" s="115"/>
      <c r="BS177" s="115"/>
      <c r="BT177" s="115"/>
      <c r="BU177" s="115"/>
      <c r="BV177" s="115"/>
      <c r="BW177" s="115"/>
      <c r="BX177" s="115"/>
      <c r="BY177" s="115"/>
      <c r="BZ177" s="115"/>
      <c r="CA177" s="115"/>
      <c r="CB177" s="115"/>
      <c r="CC177" s="115"/>
      <c r="CD177" s="115"/>
      <c r="CE177" s="115"/>
      <c r="CF177" s="115"/>
      <c r="CG177" s="115"/>
      <c r="CH177" s="115"/>
      <c r="CI177" s="115"/>
      <c r="CJ177" s="115"/>
      <c r="CK177" s="115"/>
      <c r="CL177" s="115"/>
      <c r="CM177" s="115"/>
      <c r="CN177" s="115"/>
      <c r="CO177" s="115"/>
      <c r="CP177" s="115"/>
      <c r="CQ177" s="115"/>
      <c r="CR177" s="115"/>
      <c r="CS177" s="115"/>
      <c r="CT177" s="115"/>
      <c r="CU177" s="115"/>
      <c r="CV177" s="115"/>
      <c r="CW177" s="115"/>
      <c r="CX177" s="115"/>
      <c r="CY177" s="115"/>
      <c r="CZ177" s="115"/>
      <c r="DA177" s="115"/>
      <c r="DB177" s="115"/>
      <c r="DC177" s="115"/>
    </row>
    <row r="178" spans="1:107" s="106" customFormat="1" hidden="1" outlineLevel="1" x14ac:dyDescent="0.25">
      <c r="A178" s="110" t="s">
        <v>422</v>
      </c>
      <c r="B178" s="114">
        <f t="shared" si="447"/>
        <v>0</v>
      </c>
      <c r="C178" s="114">
        <f t="shared" si="447"/>
        <v>0</v>
      </c>
      <c r="D178" s="114">
        <f t="shared" si="447"/>
        <v>0</v>
      </c>
      <c r="E178" s="114">
        <f t="shared" ref="E178" si="523">E67+E121</f>
        <v>0</v>
      </c>
      <c r="F178" s="114">
        <f t="shared" si="115"/>
        <v>0</v>
      </c>
      <c r="G178" s="114">
        <f t="shared" si="115"/>
        <v>0</v>
      </c>
      <c r="H178" s="114">
        <f t="shared" si="14"/>
        <v>0</v>
      </c>
      <c r="I178" s="114">
        <f t="shared" ref="I178" si="524">I67+I121</f>
        <v>0</v>
      </c>
      <c r="J178" s="114">
        <f t="shared" ref="J178:K178" si="525">J67+J121</f>
        <v>0</v>
      </c>
      <c r="K178" s="114">
        <f t="shared" si="525"/>
        <v>0</v>
      </c>
      <c r="L178" s="114">
        <f t="shared" ref="L178" si="526">L67+L121</f>
        <v>0</v>
      </c>
      <c r="M178" s="114">
        <f t="shared" ref="M178" si="527">M67+M121</f>
        <v>0</v>
      </c>
      <c r="N178" s="114">
        <f t="shared" si="316"/>
        <v>0</v>
      </c>
      <c r="O178" s="114">
        <f t="shared" si="316"/>
        <v>0</v>
      </c>
      <c r="P178" s="114">
        <f t="shared" si="316"/>
        <v>0</v>
      </c>
      <c r="Q178" s="114">
        <f t="shared" si="316"/>
        <v>0</v>
      </c>
      <c r="R178" s="114">
        <f t="shared" ref="R178:AZ178" si="528">R67+R121</f>
        <v>0</v>
      </c>
      <c r="S178" s="114">
        <f t="shared" si="528"/>
        <v>0</v>
      </c>
      <c r="T178" s="114">
        <f t="shared" si="528"/>
        <v>0</v>
      </c>
      <c r="U178" s="114">
        <f t="shared" si="528"/>
        <v>0</v>
      </c>
      <c r="V178" s="114">
        <f t="shared" ref="V178:W178" si="529">V67+V121</f>
        <v>0</v>
      </c>
      <c r="W178" s="114">
        <f t="shared" si="529"/>
        <v>0</v>
      </c>
      <c r="X178" s="114">
        <f t="shared" ref="X178:Y178" si="530">X67+X121</f>
        <v>0</v>
      </c>
      <c r="Y178" s="114">
        <f t="shared" si="530"/>
        <v>0</v>
      </c>
      <c r="Z178" s="114">
        <f t="shared" ref="Z178:AA178" si="531">Z67+Z121</f>
        <v>0</v>
      </c>
      <c r="AA178" s="114">
        <f t="shared" si="531"/>
        <v>0</v>
      </c>
      <c r="AB178" s="114">
        <f t="shared" si="528"/>
        <v>0</v>
      </c>
      <c r="AC178" s="114">
        <f t="shared" si="528"/>
        <v>0</v>
      </c>
      <c r="AD178" s="114">
        <f t="shared" si="528"/>
        <v>0</v>
      </c>
      <c r="AE178" s="114">
        <f t="shared" si="528"/>
        <v>0</v>
      </c>
      <c r="AF178" s="114">
        <f t="shared" si="528"/>
        <v>0</v>
      </c>
      <c r="AG178" s="114">
        <f t="shared" ref="AG178:AI178" si="532">AG67+AG121</f>
        <v>0</v>
      </c>
      <c r="AH178" s="114">
        <f t="shared" si="532"/>
        <v>0</v>
      </c>
      <c r="AI178" s="114">
        <f t="shared" si="532"/>
        <v>0</v>
      </c>
      <c r="AJ178" s="114" t="e">
        <f t="shared" si="528"/>
        <v>#N/A</v>
      </c>
      <c r="AK178" s="114" t="e">
        <f t="shared" si="528"/>
        <v>#N/A</v>
      </c>
      <c r="AL178" s="114" t="e">
        <f t="shared" si="528"/>
        <v>#N/A</v>
      </c>
      <c r="AM178" s="114" t="e">
        <f t="shared" si="528"/>
        <v>#N/A</v>
      </c>
      <c r="AN178" s="114" t="e">
        <f t="shared" si="528"/>
        <v>#N/A</v>
      </c>
      <c r="AO178" s="114" t="e">
        <f t="shared" si="528"/>
        <v>#N/A</v>
      </c>
      <c r="AP178" s="114" t="e">
        <f t="shared" si="528"/>
        <v>#N/A</v>
      </c>
      <c r="AQ178" s="114" t="e">
        <f t="shared" si="528"/>
        <v>#N/A</v>
      </c>
      <c r="AR178" s="114" t="e">
        <f t="shared" si="528"/>
        <v>#N/A</v>
      </c>
      <c r="AS178" s="114" t="e">
        <f t="shared" si="528"/>
        <v>#N/A</v>
      </c>
      <c r="AT178" s="114" t="e">
        <f t="shared" si="528"/>
        <v>#N/A</v>
      </c>
      <c r="AU178" s="114" t="e">
        <f t="shared" si="528"/>
        <v>#N/A</v>
      </c>
      <c r="AV178" s="114" t="e">
        <f t="shared" si="528"/>
        <v>#N/A</v>
      </c>
      <c r="AW178" s="114" t="e">
        <f t="shared" si="528"/>
        <v>#N/A</v>
      </c>
      <c r="AX178" s="114" t="e">
        <f t="shared" si="528"/>
        <v>#N/A</v>
      </c>
      <c r="AY178" s="114" t="e">
        <f t="shared" si="528"/>
        <v>#N/A</v>
      </c>
      <c r="AZ178" s="114" t="e">
        <f t="shared" si="528"/>
        <v>#N/A</v>
      </c>
      <c r="BA178" s="114" t="e">
        <f t="shared" ref="BA178:BC178" si="533">BA67+BA121</f>
        <v>#N/A</v>
      </c>
      <c r="BB178" s="114" t="e">
        <f t="shared" ref="BB178" si="534">BB67+BB121</f>
        <v>#N/A</v>
      </c>
      <c r="BC178" s="114" t="e">
        <f t="shared" si="533"/>
        <v>#N/A</v>
      </c>
      <c r="BD178" s="114" t="e">
        <f t="shared" ref="BD178:BE178" si="535">BD67+BD121</f>
        <v>#N/A</v>
      </c>
      <c r="BE178" s="114" t="e">
        <f t="shared" si="535"/>
        <v>#N/A</v>
      </c>
      <c r="BF178" s="114" t="e">
        <f t="shared" ref="BF178:BG178" si="536">BF67+BF121</f>
        <v>#N/A</v>
      </c>
      <c r="BG178" s="114" t="e">
        <f t="shared" si="536"/>
        <v>#N/A</v>
      </c>
      <c r="BH178" s="114" t="e">
        <f t="shared" ref="BH178" si="537">BH67+BH121</f>
        <v>#N/A</v>
      </c>
      <c r="BI178" s="114"/>
      <c r="BJ178" s="114"/>
      <c r="BK178" s="114"/>
      <c r="BL178" s="114"/>
      <c r="BM178" s="114"/>
      <c r="BN178" s="114"/>
      <c r="BO178" s="114"/>
      <c r="BP178" s="114"/>
      <c r="BQ178" s="114"/>
      <c r="BR178" s="114"/>
      <c r="BS178" s="114"/>
      <c r="BT178" s="114"/>
      <c r="BU178" s="114"/>
      <c r="BV178" s="114"/>
      <c r="BW178" s="114"/>
      <c r="BX178" s="114"/>
      <c r="BY178" s="114"/>
      <c r="BZ178" s="114"/>
      <c r="CA178" s="114"/>
      <c r="CB178" s="114"/>
      <c r="CC178" s="114"/>
      <c r="CD178" s="114"/>
      <c r="CE178" s="114"/>
      <c r="CF178" s="114"/>
      <c r="CG178" s="114"/>
      <c r="CH178" s="114"/>
      <c r="CI178" s="114"/>
      <c r="CJ178" s="114"/>
      <c r="CK178" s="114"/>
      <c r="CL178" s="114"/>
      <c r="CM178" s="114"/>
      <c r="CN178" s="114"/>
      <c r="CO178" s="114"/>
      <c r="CP178" s="114"/>
      <c r="CQ178" s="114"/>
      <c r="CR178" s="114"/>
      <c r="CS178" s="114"/>
      <c r="CT178" s="114"/>
      <c r="CU178" s="114"/>
      <c r="CV178" s="114"/>
      <c r="CW178" s="114"/>
      <c r="CX178" s="114"/>
      <c r="CY178" s="114"/>
      <c r="CZ178" s="114"/>
      <c r="DA178" s="114"/>
      <c r="DB178" s="114"/>
      <c r="DC178" s="114"/>
    </row>
    <row r="179" spans="1:107" s="107" customFormat="1" hidden="1" outlineLevel="1" x14ac:dyDescent="0.25">
      <c r="A179" s="110" t="s">
        <v>452</v>
      </c>
      <c r="B179" s="115">
        <f t="shared" si="447"/>
        <v>0</v>
      </c>
      <c r="C179" s="115">
        <f t="shared" si="447"/>
        <v>0</v>
      </c>
      <c r="D179" s="115">
        <f t="shared" si="447"/>
        <v>0</v>
      </c>
      <c r="E179" s="115">
        <f t="shared" ref="E179" si="538">E68+E122</f>
        <v>0</v>
      </c>
      <c r="F179" s="115">
        <f t="shared" si="115"/>
        <v>0</v>
      </c>
      <c r="G179" s="115">
        <f t="shared" si="115"/>
        <v>0</v>
      </c>
      <c r="H179" s="115">
        <f t="shared" si="14"/>
        <v>0</v>
      </c>
      <c r="I179" s="115">
        <f t="shared" ref="I179" si="539">I68+I122</f>
        <v>0</v>
      </c>
      <c r="J179" s="115">
        <f t="shared" ref="J179:K179" si="540">J68+J122</f>
        <v>0</v>
      </c>
      <c r="K179" s="115">
        <f t="shared" si="540"/>
        <v>0</v>
      </c>
      <c r="L179" s="115">
        <f t="shared" ref="L179" si="541">L68+L122</f>
        <v>0</v>
      </c>
      <c r="M179" s="115">
        <f t="shared" ref="M179" si="542">M68+M122</f>
        <v>0</v>
      </c>
      <c r="N179" s="115">
        <f t="shared" si="316"/>
        <v>0</v>
      </c>
      <c r="O179" s="115">
        <f t="shared" si="316"/>
        <v>0</v>
      </c>
      <c r="P179" s="115">
        <f t="shared" si="316"/>
        <v>0</v>
      </c>
      <c r="Q179" s="115">
        <f t="shared" si="316"/>
        <v>0</v>
      </c>
      <c r="R179" s="115">
        <f t="shared" ref="R179:AZ179" si="543">R68+R122</f>
        <v>0</v>
      </c>
      <c r="S179" s="115">
        <f t="shared" si="543"/>
        <v>0</v>
      </c>
      <c r="T179" s="115">
        <f t="shared" si="543"/>
        <v>0</v>
      </c>
      <c r="U179" s="115">
        <f t="shared" si="543"/>
        <v>0</v>
      </c>
      <c r="V179" s="115">
        <f t="shared" ref="V179:W179" si="544">V68+V122</f>
        <v>0</v>
      </c>
      <c r="W179" s="115">
        <f t="shared" si="544"/>
        <v>0</v>
      </c>
      <c r="X179" s="115">
        <f t="shared" ref="X179:Y179" si="545">X68+X122</f>
        <v>0</v>
      </c>
      <c r="Y179" s="115">
        <f t="shared" si="545"/>
        <v>0</v>
      </c>
      <c r="Z179" s="115">
        <f t="shared" ref="Z179:AA179" si="546">Z68+Z122</f>
        <v>0</v>
      </c>
      <c r="AA179" s="115">
        <f t="shared" si="546"/>
        <v>0</v>
      </c>
      <c r="AB179" s="115">
        <f t="shared" si="543"/>
        <v>0</v>
      </c>
      <c r="AC179" s="115">
        <f t="shared" si="543"/>
        <v>0</v>
      </c>
      <c r="AD179" s="115">
        <f t="shared" si="543"/>
        <v>0</v>
      </c>
      <c r="AE179" s="115">
        <f t="shared" si="543"/>
        <v>0</v>
      </c>
      <c r="AF179" s="115">
        <f t="shared" si="543"/>
        <v>0</v>
      </c>
      <c r="AG179" s="115">
        <f t="shared" ref="AG179:AI179" si="547">AG68+AG122</f>
        <v>0</v>
      </c>
      <c r="AH179" s="115">
        <f t="shared" si="547"/>
        <v>0</v>
      </c>
      <c r="AI179" s="115">
        <f t="shared" si="547"/>
        <v>0</v>
      </c>
      <c r="AJ179" s="115" t="e">
        <f t="shared" si="543"/>
        <v>#N/A</v>
      </c>
      <c r="AK179" s="115" t="e">
        <f t="shared" si="543"/>
        <v>#N/A</v>
      </c>
      <c r="AL179" s="115" t="e">
        <f t="shared" si="543"/>
        <v>#N/A</v>
      </c>
      <c r="AM179" s="115" t="e">
        <f t="shared" si="543"/>
        <v>#N/A</v>
      </c>
      <c r="AN179" s="115" t="e">
        <f t="shared" si="543"/>
        <v>#N/A</v>
      </c>
      <c r="AO179" s="115" t="e">
        <f t="shared" si="543"/>
        <v>#N/A</v>
      </c>
      <c r="AP179" s="115" t="e">
        <f t="shared" si="543"/>
        <v>#N/A</v>
      </c>
      <c r="AQ179" s="115" t="e">
        <f t="shared" si="543"/>
        <v>#N/A</v>
      </c>
      <c r="AR179" s="115" t="e">
        <f t="shared" si="543"/>
        <v>#N/A</v>
      </c>
      <c r="AS179" s="115" t="e">
        <f t="shared" si="543"/>
        <v>#N/A</v>
      </c>
      <c r="AT179" s="115" t="e">
        <f t="shared" si="543"/>
        <v>#N/A</v>
      </c>
      <c r="AU179" s="115" t="e">
        <f t="shared" si="543"/>
        <v>#N/A</v>
      </c>
      <c r="AV179" s="115" t="e">
        <f t="shared" si="543"/>
        <v>#N/A</v>
      </c>
      <c r="AW179" s="115" t="e">
        <f t="shared" si="543"/>
        <v>#N/A</v>
      </c>
      <c r="AX179" s="115" t="e">
        <f t="shared" si="543"/>
        <v>#N/A</v>
      </c>
      <c r="AY179" s="115" t="e">
        <f t="shared" si="543"/>
        <v>#N/A</v>
      </c>
      <c r="AZ179" s="115" t="e">
        <f t="shared" si="543"/>
        <v>#N/A</v>
      </c>
      <c r="BA179" s="115" t="e">
        <f t="shared" ref="BA179:BC179" si="548">BA68+BA122</f>
        <v>#N/A</v>
      </c>
      <c r="BB179" s="115" t="e">
        <f t="shared" ref="BB179" si="549">BB68+BB122</f>
        <v>#N/A</v>
      </c>
      <c r="BC179" s="115" t="e">
        <f t="shared" si="548"/>
        <v>#N/A</v>
      </c>
      <c r="BD179" s="115" t="e">
        <f t="shared" ref="BD179:BE179" si="550">BD68+BD122</f>
        <v>#N/A</v>
      </c>
      <c r="BE179" s="115" t="e">
        <f t="shared" si="550"/>
        <v>#N/A</v>
      </c>
      <c r="BF179" s="115" t="e">
        <f t="shared" ref="BF179:BG179" si="551">BF68+BF122</f>
        <v>#N/A</v>
      </c>
      <c r="BG179" s="115" t="e">
        <f t="shared" si="551"/>
        <v>#N/A</v>
      </c>
      <c r="BH179" s="115" t="e">
        <f t="shared" ref="BH179" si="552">BH68+BH122</f>
        <v>#N/A</v>
      </c>
      <c r="BI179" s="115"/>
      <c r="BJ179" s="115"/>
      <c r="BK179" s="115"/>
      <c r="BL179" s="115"/>
      <c r="BM179" s="115"/>
      <c r="BN179" s="115"/>
      <c r="BO179" s="115"/>
      <c r="BP179" s="115"/>
      <c r="BQ179" s="115"/>
      <c r="BR179" s="115"/>
      <c r="BS179" s="115"/>
      <c r="BT179" s="115"/>
      <c r="BU179" s="115"/>
      <c r="BV179" s="115"/>
      <c r="BW179" s="115"/>
      <c r="BX179" s="115"/>
      <c r="BY179" s="115"/>
      <c r="BZ179" s="115"/>
      <c r="CA179" s="115"/>
      <c r="CB179" s="115"/>
      <c r="CC179" s="115"/>
      <c r="CD179" s="115"/>
      <c r="CE179" s="115"/>
      <c r="CF179" s="115"/>
      <c r="CG179" s="115"/>
      <c r="CH179" s="115"/>
      <c r="CI179" s="115"/>
      <c r="CJ179" s="115"/>
      <c r="CK179" s="115"/>
      <c r="CL179" s="115"/>
      <c r="CM179" s="115"/>
      <c r="CN179" s="115"/>
      <c r="CO179" s="115"/>
      <c r="CP179" s="115"/>
      <c r="CQ179" s="115"/>
      <c r="CR179" s="115"/>
      <c r="CS179" s="115"/>
      <c r="CT179" s="115"/>
      <c r="CU179" s="115"/>
      <c r="CV179" s="115"/>
      <c r="CW179" s="115"/>
      <c r="CX179" s="115"/>
      <c r="CY179" s="115"/>
      <c r="CZ179" s="115"/>
      <c r="DA179" s="115"/>
      <c r="DB179" s="115"/>
      <c r="DC179" s="115"/>
    </row>
    <row r="180" spans="1:107" s="106" customFormat="1" hidden="1" outlineLevel="1" x14ac:dyDescent="0.25">
      <c r="A180" s="110" t="s">
        <v>92</v>
      </c>
      <c r="B180" s="114">
        <f t="shared" si="447"/>
        <v>0</v>
      </c>
      <c r="C180" s="114">
        <f t="shared" si="447"/>
        <v>0</v>
      </c>
      <c r="D180" s="114">
        <f t="shared" si="447"/>
        <v>0</v>
      </c>
      <c r="E180" s="114">
        <f t="shared" ref="E180" si="553">E69+E123</f>
        <v>0</v>
      </c>
      <c r="F180" s="114">
        <f t="shared" si="115"/>
        <v>0</v>
      </c>
      <c r="G180" s="114">
        <f t="shared" si="115"/>
        <v>0</v>
      </c>
      <c r="H180" s="114">
        <f t="shared" si="14"/>
        <v>0</v>
      </c>
      <c r="I180" s="114">
        <f t="shared" ref="I180" si="554">I69+I123</f>
        <v>0</v>
      </c>
      <c r="J180" s="114">
        <f t="shared" ref="J180:K180" si="555">J69+J123</f>
        <v>0</v>
      </c>
      <c r="K180" s="114">
        <f t="shared" si="555"/>
        <v>0</v>
      </c>
      <c r="L180" s="114">
        <f t="shared" ref="L180" si="556">L69+L123</f>
        <v>0</v>
      </c>
      <c r="M180" s="114">
        <f t="shared" ref="M180" si="557">M69+M123</f>
        <v>0</v>
      </c>
      <c r="N180" s="114">
        <f t="shared" si="316"/>
        <v>0</v>
      </c>
      <c r="O180" s="114">
        <f t="shared" si="316"/>
        <v>0</v>
      </c>
      <c r="P180" s="114">
        <f t="shared" si="316"/>
        <v>0</v>
      </c>
      <c r="Q180" s="114">
        <f t="shared" si="316"/>
        <v>0</v>
      </c>
      <c r="R180" s="114">
        <f t="shared" ref="R180:AZ180" si="558">R69+R123</f>
        <v>0</v>
      </c>
      <c r="S180" s="114">
        <f t="shared" si="558"/>
        <v>0</v>
      </c>
      <c r="T180" s="114">
        <f t="shared" si="558"/>
        <v>0</v>
      </c>
      <c r="U180" s="114">
        <f t="shared" si="558"/>
        <v>0</v>
      </c>
      <c r="V180" s="114">
        <f t="shared" ref="V180:W180" si="559">V69+V123</f>
        <v>0</v>
      </c>
      <c r="W180" s="114">
        <f t="shared" si="559"/>
        <v>0</v>
      </c>
      <c r="X180" s="114">
        <f t="shared" ref="X180:Y180" si="560">X69+X123</f>
        <v>0</v>
      </c>
      <c r="Y180" s="114">
        <f t="shared" si="560"/>
        <v>0</v>
      </c>
      <c r="Z180" s="114">
        <f t="shared" ref="Z180:AA180" si="561">Z69+Z123</f>
        <v>0</v>
      </c>
      <c r="AA180" s="114">
        <f t="shared" si="561"/>
        <v>0</v>
      </c>
      <c r="AB180" s="114">
        <f t="shared" si="558"/>
        <v>0</v>
      </c>
      <c r="AC180" s="114">
        <f t="shared" si="558"/>
        <v>0</v>
      </c>
      <c r="AD180" s="114">
        <f t="shared" si="558"/>
        <v>0</v>
      </c>
      <c r="AE180" s="114">
        <f t="shared" si="558"/>
        <v>0</v>
      </c>
      <c r="AF180" s="114">
        <f t="shared" si="558"/>
        <v>0</v>
      </c>
      <c r="AG180" s="114">
        <f t="shared" ref="AG180:AI180" si="562">AG69+AG123</f>
        <v>0</v>
      </c>
      <c r="AH180" s="114">
        <f t="shared" si="562"/>
        <v>0</v>
      </c>
      <c r="AI180" s="114">
        <f t="shared" si="562"/>
        <v>0</v>
      </c>
      <c r="AJ180" s="114" t="e">
        <f t="shared" si="558"/>
        <v>#N/A</v>
      </c>
      <c r="AK180" s="114" t="e">
        <f t="shared" si="558"/>
        <v>#N/A</v>
      </c>
      <c r="AL180" s="114" t="e">
        <f t="shared" si="558"/>
        <v>#N/A</v>
      </c>
      <c r="AM180" s="114" t="e">
        <f t="shared" si="558"/>
        <v>#N/A</v>
      </c>
      <c r="AN180" s="114" t="e">
        <f t="shared" si="558"/>
        <v>#N/A</v>
      </c>
      <c r="AO180" s="114" t="e">
        <f t="shared" si="558"/>
        <v>#N/A</v>
      </c>
      <c r="AP180" s="114" t="e">
        <f t="shared" si="558"/>
        <v>#N/A</v>
      </c>
      <c r="AQ180" s="114" t="e">
        <f t="shared" si="558"/>
        <v>#N/A</v>
      </c>
      <c r="AR180" s="114" t="e">
        <f t="shared" si="558"/>
        <v>#N/A</v>
      </c>
      <c r="AS180" s="114" t="e">
        <f t="shared" si="558"/>
        <v>#N/A</v>
      </c>
      <c r="AT180" s="114" t="e">
        <f t="shared" si="558"/>
        <v>#N/A</v>
      </c>
      <c r="AU180" s="114" t="e">
        <f t="shared" si="558"/>
        <v>#N/A</v>
      </c>
      <c r="AV180" s="114" t="e">
        <f t="shared" si="558"/>
        <v>#N/A</v>
      </c>
      <c r="AW180" s="114" t="e">
        <f t="shared" si="558"/>
        <v>#N/A</v>
      </c>
      <c r="AX180" s="114" t="e">
        <f t="shared" si="558"/>
        <v>#N/A</v>
      </c>
      <c r="AY180" s="114" t="e">
        <f t="shared" si="558"/>
        <v>#N/A</v>
      </c>
      <c r="AZ180" s="114" t="e">
        <f t="shared" si="558"/>
        <v>#N/A</v>
      </c>
      <c r="BA180" s="114" t="e">
        <f t="shared" ref="BA180:BC180" si="563">BA69+BA123</f>
        <v>#N/A</v>
      </c>
      <c r="BB180" s="114" t="e">
        <f t="shared" ref="BB180" si="564">BB69+BB123</f>
        <v>#N/A</v>
      </c>
      <c r="BC180" s="114" t="e">
        <f t="shared" si="563"/>
        <v>#N/A</v>
      </c>
      <c r="BD180" s="114" t="e">
        <f t="shared" ref="BD180:BE180" si="565">BD69+BD123</f>
        <v>#N/A</v>
      </c>
      <c r="BE180" s="114" t="e">
        <f t="shared" si="565"/>
        <v>#N/A</v>
      </c>
      <c r="BF180" s="114" t="e">
        <f t="shared" ref="BF180:BG180" si="566">BF69+BF123</f>
        <v>#N/A</v>
      </c>
      <c r="BG180" s="114" t="e">
        <f t="shared" si="566"/>
        <v>#N/A</v>
      </c>
      <c r="BH180" s="114" t="e">
        <f t="shared" ref="BH180" si="567">BH69+BH123</f>
        <v>#N/A</v>
      </c>
      <c r="BI180" s="114"/>
      <c r="BJ180" s="114"/>
      <c r="BK180" s="114"/>
      <c r="BL180" s="114"/>
      <c r="BM180" s="114"/>
      <c r="BN180" s="114"/>
      <c r="BO180" s="114"/>
      <c r="BP180" s="114"/>
      <c r="BQ180" s="114"/>
      <c r="BR180" s="114"/>
      <c r="BS180" s="114"/>
      <c r="BT180" s="114"/>
      <c r="BU180" s="114"/>
      <c r="BV180" s="114"/>
      <c r="BW180" s="114"/>
      <c r="BX180" s="114"/>
      <c r="BY180" s="114"/>
      <c r="BZ180" s="114"/>
      <c r="CA180" s="114"/>
      <c r="CB180" s="114"/>
      <c r="CC180" s="114"/>
      <c r="CD180" s="114"/>
      <c r="CE180" s="114"/>
      <c r="CF180" s="114"/>
      <c r="CG180" s="114"/>
      <c r="CH180" s="114"/>
      <c r="CI180" s="114"/>
      <c r="CJ180" s="114"/>
      <c r="CK180" s="114"/>
      <c r="CL180" s="114"/>
      <c r="CM180" s="114"/>
      <c r="CN180" s="114"/>
      <c r="CO180" s="114"/>
      <c r="CP180" s="114"/>
      <c r="CQ180" s="114"/>
      <c r="CR180" s="114"/>
      <c r="CS180" s="114"/>
      <c r="CT180" s="114"/>
      <c r="CU180" s="114"/>
      <c r="CV180" s="114"/>
      <c r="CW180" s="114"/>
      <c r="CX180" s="114"/>
      <c r="CY180" s="114"/>
      <c r="CZ180" s="114"/>
      <c r="DA180" s="114"/>
      <c r="DB180" s="114"/>
      <c r="DC180" s="114"/>
    </row>
    <row r="181" spans="1:107" s="107" customFormat="1" hidden="1" outlineLevel="1" x14ac:dyDescent="0.25">
      <c r="A181" s="110" t="s">
        <v>94</v>
      </c>
      <c r="B181" s="115">
        <f t="shared" si="447"/>
        <v>0</v>
      </c>
      <c r="C181" s="115">
        <f t="shared" si="447"/>
        <v>0</v>
      </c>
      <c r="D181" s="115">
        <f t="shared" si="447"/>
        <v>0</v>
      </c>
      <c r="E181" s="115">
        <f t="shared" ref="E181" si="568">E70+E124</f>
        <v>0</v>
      </c>
      <c r="F181" s="115">
        <f t="shared" si="115"/>
        <v>0</v>
      </c>
      <c r="G181" s="115">
        <f t="shared" si="115"/>
        <v>0</v>
      </c>
      <c r="H181" s="115">
        <f t="shared" si="14"/>
        <v>0</v>
      </c>
      <c r="I181" s="115">
        <f t="shared" ref="I181" si="569">I70+I124</f>
        <v>0</v>
      </c>
      <c r="J181" s="115">
        <f t="shared" ref="J181:K181" si="570">J70+J124</f>
        <v>0</v>
      </c>
      <c r="K181" s="115">
        <f t="shared" si="570"/>
        <v>0</v>
      </c>
      <c r="L181" s="115">
        <f t="shared" ref="L181" si="571">L70+L124</f>
        <v>0</v>
      </c>
      <c r="M181" s="115">
        <f t="shared" ref="M181" si="572">M70+M124</f>
        <v>0</v>
      </c>
      <c r="N181" s="115">
        <f t="shared" si="316"/>
        <v>0</v>
      </c>
      <c r="O181" s="115">
        <f t="shared" si="316"/>
        <v>0</v>
      </c>
      <c r="P181" s="115">
        <f t="shared" si="316"/>
        <v>0</v>
      </c>
      <c r="Q181" s="115">
        <f t="shared" si="316"/>
        <v>0</v>
      </c>
      <c r="R181" s="115">
        <f t="shared" ref="R181:AZ181" si="573">R70+R124</f>
        <v>0</v>
      </c>
      <c r="S181" s="115">
        <f t="shared" si="573"/>
        <v>0</v>
      </c>
      <c r="T181" s="115">
        <f t="shared" si="573"/>
        <v>0</v>
      </c>
      <c r="U181" s="115">
        <f t="shared" si="573"/>
        <v>0</v>
      </c>
      <c r="V181" s="115">
        <f t="shared" ref="V181:W181" si="574">V70+V124</f>
        <v>0</v>
      </c>
      <c r="W181" s="115">
        <f t="shared" si="574"/>
        <v>0</v>
      </c>
      <c r="X181" s="115">
        <f t="shared" ref="X181:Y181" si="575">X70+X124</f>
        <v>0</v>
      </c>
      <c r="Y181" s="115">
        <f t="shared" si="575"/>
        <v>0</v>
      </c>
      <c r="Z181" s="115">
        <f t="shared" ref="Z181:AA181" si="576">Z70+Z124</f>
        <v>0</v>
      </c>
      <c r="AA181" s="115">
        <f t="shared" si="576"/>
        <v>0</v>
      </c>
      <c r="AB181" s="115">
        <f t="shared" si="573"/>
        <v>0</v>
      </c>
      <c r="AC181" s="115">
        <f t="shared" si="573"/>
        <v>0</v>
      </c>
      <c r="AD181" s="115">
        <f t="shared" si="573"/>
        <v>0</v>
      </c>
      <c r="AE181" s="115">
        <f t="shared" si="573"/>
        <v>0</v>
      </c>
      <c r="AF181" s="115">
        <f t="shared" si="573"/>
        <v>0</v>
      </c>
      <c r="AG181" s="115">
        <f t="shared" ref="AG181:AI181" si="577">AG70+AG124</f>
        <v>0</v>
      </c>
      <c r="AH181" s="115">
        <f t="shared" si="577"/>
        <v>0</v>
      </c>
      <c r="AI181" s="115">
        <f t="shared" si="577"/>
        <v>0</v>
      </c>
      <c r="AJ181" s="115" t="e">
        <f t="shared" si="573"/>
        <v>#N/A</v>
      </c>
      <c r="AK181" s="115" t="e">
        <f t="shared" si="573"/>
        <v>#N/A</v>
      </c>
      <c r="AL181" s="115" t="e">
        <f t="shared" si="573"/>
        <v>#N/A</v>
      </c>
      <c r="AM181" s="115" t="e">
        <f t="shared" si="573"/>
        <v>#N/A</v>
      </c>
      <c r="AN181" s="115" t="e">
        <f t="shared" si="573"/>
        <v>#N/A</v>
      </c>
      <c r="AO181" s="115" t="e">
        <f t="shared" si="573"/>
        <v>#N/A</v>
      </c>
      <c r="AP181" s="115" t="e">
        <f t="shared" si="573"/>
        <v>#N/A</v>
      </c>
      <c r="AQ181" s="115" t="e">
        <f t="shared" si="573"/>
        <v>#N/A</v>
      </c>
      <c r="AR181" s="115" t="e">
        <f t="shared" si="573"/>
        <v>#N/A</v>
      </c>
      <c r="AS181" s="115" t="e">
        <f t="shared" si="573"/>
        <v>#N/A</v>
      </c>
      <c r="AT181" s="115" t="e">
        <f t="shared" si="573"/>
        <v>#N/A</v>
      </c>
      <c r="AU181" s="115" t="e">
        <f t="shared" si="573"/>
        <v>#N/A</v>
      </c>
      <c r="AV181" s="115" t="e">
        <f t="shared" si="573"/>
        <v>#N/A</v>
      </c>
      <c r="AW181" s="115" t="e">
        <f t="shared" si="573"/>
        <v>#N/A</v>
      </c>
      <c r="AX181" s="115" t="e">
        <f t="shared" si="573"/>
        <v>#N/A</v>
      </c>
      <c r="AY181" s="115" t="e">
        <f t="shared" si="573"/>
        <v>#N/A</v>
      </c>
      <c r="AZ181" s="115" t="e">
        <f t="shared" si="573"/>
        <v>#N/A</v>
      </c>
      <c r="BA181" s="115" t="e">
        <f t="shared" ref="BA181:BC181" si="578">BA70+BA124</f>
        <v>#N/A</v>
      </c>
      <c r="BB181" s="115" t="e">
        <f t="shared" ref="BB181" si="579">BB70+BB124</f>
        <v>#N/A</v>
      </c>
      <c r="BC181" s="115" t="e">
        <f t="shared" si="578"/>
        <v>#N/A</v>
      </c>
      <c r="BD181" s="115" t="e">
        <f t="shared" ref="BD181:BE181" si="580">BD70+BD124</f>
        <v>#N/A</v>
      </c>
      <c r="BE181" s="115" t="e">
        <f t="shared" si="580"/>
        <v>#N/A</v>
      </c>
      <c r="BF181" s="115" t="e">
        <f t="shared" ref="BF181:BG181" si="581">BF70+BF124</f>
        <v>#N/A</v>
      </c>
      <c r="BG181" s="115" t="e">
        <f t="shared" si="581"/>
        <v>#N/A</v>
      </c>
      <c r="BH181" s="115" t="e">
        <f t="shared" ref="BH181" si="582">BH70+BH124</f>
        <v>#N/A</v>
      </c>
      <c r="BI181" s="115"/>
      <c r="BJ181" s="115"/>
      <c r="BK181" s="115"/>
      <c r="BL181" s="115"/>
      <c r="BM181" s="115"/>
      <c r="BN181" s="115"/>
      <c r="BO181" s="115"/>
      <c r="BP181" s="115"/>
      <c r="BQ181" s="115"/>
      <c r="BR181" s="115"/>
      <c r="BS181" s="115"/>
      <c r="BT181" s="115"/>
      <c r="BU181" s="115"/>
      <c r="BV181" s="115"/>
      <c r="BW181" s="115"/>
      <c r="BX181" s="115"/>
      <c r="BY181" s="115"/>
      <c r="BZ181" s="115"/>
      <c r="CA181" s="115"/>
      <c r="CB181" s="115"/>
      <c r="CC181" s="115"/>
      <c r="CD181" s="115"/>
      <c r="CE181" s="115"/>
      <c r="CF181" s="115"/>
      <c r="CG181" s="115"/>
      <c r="CH181" s="115"/>
      <c r="CI181" s="115"/>
      <c r="CJ181" s="115"/>
      <c r="CK181" s="115"/>
      <c r="CL181" s="115"/>
      <c r="CM181" s="115"/>
      <c r="CN181" s="115"/>
      <c r="CO181" s="115"/>
      <c r="CP181" s="115"/>
      <c r="CQ181" s="115"/>
      <c r="CR181" s="115"/>
      <c r="CS181" s="115"/>
      <c r="CT181" s="115"/>
      <c r="CU181" s="115"/>
      <c r="CV181" s="115"/>
      <c r="CW181" s="115"/>
      <c r="CX181" s="115"/>
      <c r="CY181" s="115"/>
      <c r="CZ181" s="115"/>
      <c r="DA181" s="115"/>
      <c r="DB181" s="115"/>
      <c r="DC181" s="115"/>
    </row>
    <row r="182" spans="1:107" s="106" customFormat="1" hidden="1" outlineLevel="1" x14ac:dyDescent="0.25">
      <c r="A182" s="110" t="s">
        <v>95</v>
      </c>
      <c r="B182" s="114">
        <f t="shared" si="447"/>
        <v>0</v>
      </c>
      <c r="C182" s="114">
        <f t="shared" si="447"/>
        <v>0</v>
      </c>
      <c r="D182" s="114">
        <f t="shared" si="447"/>
        <v>0</v>
      </c>
      <c r="E182" s="114">
        <f t="shared" ref="E182" si="583">E71+E125</f>
        <v>0</v>
      </c>
      <c r="F182" s="114">
        <f t="shared" si="115"/>
        <v>0</v>
      </c>
      <c r="G182" s="114">
        <f t="shared" si="115"/>
        <v>0</v>
      </c>
      <c r="H182" s="114">
        <f t="shared" si="14"/>
        <v>0</v>
      </c>
      <c r="I182" s="114">
        <f t="shared" ref="I182" si="584">I71+I125</f>
        <v>0</v>
      </c>
      <c r="J182" s="114">
        <f t="shared" ref="J182:K182" si="585">J71+J125</f>
        <v>0</v>
      </c>
      <c r="K182" s="114">
        <f t="shared" si="585"/>
        <v>0</v>
      </c>
      <c r="L182" s="114">
        <f t="shared" ref="L182" si="586">L71+L125</f>
        <v>0</v>
      </c>
      <c r="M182" s="114">
        <f t="shared" ref="M182" si="587">M71+M125</f>
        <v>0</v>
      </c>
      <c r="N182" s="114">
        <f t="shared" si="316"/>
        <v>0</v>
      </c>
      <c r="O182" s="114">
        <f t="shared" si="316"/>
        <v>0</v>
      </c>
      <c r="P182" s="114">
        <f t="shared" si="316"/>
        <v>0</v>
      </c>
      <c r="Q182" s="114">
        <f t="shared" si="316"/>
        <v>0</v>
      </c>
      <c r="R182" s="114">
        <f t="shared" ref="R182:AZ182" si="588">R71+R125</f>
        <v>0</v>
      </c>
      <c r="S182" s="114">
        <f t="shared" si="588"/>
        <v>0</v>
      </c>
      <c r="T182" s="114">
        <f t="shared" si="588"/>
        <v>0</v>
      </c>
      <c r="U182" s="114">
        <f t="shared" si="588"/>
        <v>0</v>
      </c>
      <c r="V182" s="114">
        <f t="shared" ref="V182:W182" si="589">V71+V125</f>
        <v>0</v>
      </c>
      <c r="W182" s="114">
        <f t="shared" si="589"/>
        <v>0</v>
      </c>
      <c r="X182" s="114">
        <f t="shared" ref="X182:Y182" si="590">X71+X125</f>
        <v>0</v>
      </c>
      <c r="Y182" s="114">
        <f t="shared" si="590"/>
        <v>0</v>
      </c>
      <c r="Z182" s="114">
        <f t="shared" ref="Z182:AA182" si="591">Z71+Z125</f>
        <v>0</v>
      </c>
      <c r="AA182" s="114">
        <f t="shared" si="591"/>
        <v>0</v>
      </c>
      <c r="AB182" s="114">
        <f t="shared" si="588"/>
        <v>0</v>
      </c>
      <c r="AC182" s="114">
        <f t="shared" si="588"/>
        <v>0</v>
      </c>
      <c r="AD182" s="114">
        <f t="shared" si="588"/>
        <v>0</v>
      </c>
      <c r="AE182" s="114">
        <f t="shared" si="588"/>
        <v>0</v>
      </c>
      <c r="AF182" s="114">
        <f t="shared" si="588"/>
        <v>0</v>
      </c>
      <c r="AG182" s="114">
        <f t="shared" ref="AG182:AI182" si="592">AG71+AG125</f>
        <v>0</v>
      </c>
      <c r="AH182" s="114">
        <f t="shared" si="592"/>
        <v>0</v>
      </c>
      <c r="AI182" s="114">
        <f t="shared" si="592"/>
        <v>0</v>
      </c>
      <c r="AJ182" s="114" t="e">
        <f t="shared" si="588"/>
        <v>#N/A</v>
      </c>
      <c r="AK182" s="114" t="e">
        <f t="shared" si="588"/>
        <v>#N/A</v>
      </c>
      <c r="AL182" s="114" t="e">
        <f t="shared" si="588"/>
        <v>#N/A</v>
      </c>
      <c r="AM182" s="114" t="e">
        <f t="shared" si="588"/>
        <v>#N/A</v>
      </c>
      <c r="AN182" s="114" t="e">
        <f t="shared" si="588"/>
        <v>#N/A</v>
      </c>
      <c r="AO182" s="114" t="e">
        <f t="shared" si="588"/>
        <v>#N/A</v>
      </c>
      <c r="AP182" s="114" t="e">
        <f t="shared" si="588"/>
        <v>#N/A</v>
      </c>
      <c r="AQ182" s="114" t="e">
        <f t="shared" si="588"/>
        <v>#N/A</v>
      </c>
      <c r="AR182" s="114" t="e">
        <f t="shared" si="588"/>
        <v>#N/A</v>
      </c>
      <c r="AS182" s="114" t="e">
        <f t="shared" si="588"/>
        <v>#N/A</v>
      </c>
      <c r="AT182" s="114" t="e">
        <f t="shared" si="588"/>
        <v>#N/A</v>
      </c>
      <c r="AU182" s="114" t="e">
        <f t="shared" si="588"/>
        <v>#N/A</v>
      </c>
      <c r="AV182" s="114" t="e">
        <f t="shared" si="588"/>
        <v>#N/A</v>
      </c>
      <c r="AW182" s="114" t="e">
        <f t="shared" si="588"/>
        <v>#N/A</v>
      </c>
      <c r="AX182" s="114" t="e">
        <f t="shared" si="588"/>
        <v>#N/A</v>
      </c>
      <c r="AY182" s="114" t="e">
        <f t="shared" si="588"/>
        <v>#N/A</v>
      </c>
      <c r="AZ182" s="114" t="e">
        <f t="shared" si="588"/>
        <v>#N/A</v>
      </c>
      <c r="BA182" s="114" t="e">
        <f t="shared" ref="BA182:BC182" si="593">BA71+BA125</f>
        <v>#N/A</v>
      </c>
      <c r="BB182" s="114" t="e">
        <f t="shared" ref="BB182" si="594">BB71+BB125</f>
        <v>#N/A</v>
      </c>
      <c r="BC182" s="114" t="e">
        <f t="shared" si="593"/>
        <v>#N/A</v>
      </c>
      <c r="BD182" s="114" t="e">
        <f t="shared" ref="BD182:BE182" si="595">BD71+BD125</f>
        <v>#N/A</v>
      </c>
      <c r="BE182" s="114" t="e">
        <f t="shared" si="595"/>
        <v>#N/A</v>
      </c>
      <c r="BF182" s="114" t="e">
        <f t="shared" ref="BF182:BG182" si="596">BF71+BF125</f>
        <v>#N/A</v>
      </c>
      <c r="BG182" s="114" t="e">
        <f t="shared" si="596"/>
        <v>#N/A</v>
      </c>
      <c r="BH182" s="114" t="e">
        <f t="shared" ref="BH182" si="597">BH71+BH125</f>
        <v>#N/A</v>
      </c>
      <c r="BI182" s="114"/>
      <c r="BJ182" s="114"/>
      <c r="BK182" s="114"/>
      <c r="BL182" s="114"/>
      <c r="BM182" s="114"/>
      <c r="BN182" s="114"/>
      <c r="BO182" s="114"/>
      <c r="BP182" s="114"/>
      <c r="BQ182" s="114"/>
      <c r="BR182" s="114"/>
      <c r="BS182" s="114"/>
      <c r="BT182" s="114"/>
      <c r="BU182" s="114"/>
      <c r="BV182" s="114"/>
      <c r="BW182" s="114"/>
      <c r="BX182" s="114"/>
      <c r="BY182" s="114"/>
      <c r="BZ182" s="114"/>
      <c r="CA182" s="114"/>
      <c r="CB182" s="114"/>
      <c r="CC182" s="114"/>
      <c r="CD182" s="114"/>
      <c r="CE182" s="114"/>
      <c r="CF182" s="114"/>
      <c r="CG182" s="114"/>
      <c r="CH182" s="114"/>
      <c r="CI182" s="114"/>
      <c r="CJ182" s="114"/>
      <c r="CK182" s="114"/>
      <c r="CL182" s="114"/>
      <c r="CM182" s="114"/>
      <c r="CN182" s="114"/>
      <c r="CO182" s="114"/>
      <c r="CP182" s="114"/>
      <c r="CQ182" s="114"/>
      <c r="CR182" s="114"/>
      <c r="CS182" s="114"/>
      <c r="CT182" s="114"/>
      <c r="CU182" s="114"/>
      <c r="CV182" s="114"/>
      <c r="CW182" s="114"/>
      <c r="CX182" s="114"/>
      <c r="CY182" s="114"/>
      <c r="CZ182" s="114"/>
      <c r="DA182" s="114"/>
      <c r="DB182" s="114"/>
      <c r="DC182" s="114"/>
    </row>
    <row r="183" spans="1:107" s="107" customFormat="1" hidden="1" outlineLevel="1" x14ac:dyDescent="0.25">
      <c r="A183" s="110" t="s">
        <v>96</v>
      </c>
      <c r="B183" s="115">
        <f t="shared" si="447"/>
        <v>0</v>
      </c>
      <c r="C183" s="115">
        <f t="shared" si="447"/>
        <v>0</v>
      </c>
      <c r="D183" s="115">
        <f t="shared" si="447"/>
        <v>0</v>
      </c>
      <c r="E183" s="115">
        <f t="shared" ref="E183" si="598">E72+E126</f>
        <v>0</v>
      </c>
      <c r="F183" s="115">
        <f t="shared" si="115"/>
        <v>0</v>
      </c>
      <c r="G183" s="115">
        <f t="shared" si="115"/>
        <v>0</v>
      </c>
      <c r="H183" s="115">
        <f t="shared" si="14"/>
        <v>0</v>
      </c>
      <c r="I183" s="115">
        <f t="shared" ref="I183" si="599">I72+I126</f>
        <v>0</v>
      </c>
      <c r="J183" s="115">
        <f t="shared" ref="J183:K183" si="600">J72+J126</f>
        <v>0</v>
      </c>
      <c r="K183" s="115">
        <f t="shared" si="600"/>
        <v>0</v>
      </c>
      <c r="L183" s="115">
        <f t="shared" ref="L183" si="601">L72+L126</f>
        <v>0</v>
      </c>
      <c r="M183" s="115">
        <f t="shared" ref="M183" si="602">M72+M126</f>
        <v>0</v>
      </c>
      <c r="N183" s="115">
        <f t="shared" si="316"/>
        <v>0</v>
      </c>
      <c r="O183" s="115">
        <f t="shared" si="316"/>
        <v>0</v>
      </c>
      <c r="P183" s="115">
        <f t="shared" si="316"/>
        <v>0</v>
      </c>
      <c r="Q183" s="115">
        <f t="shared" si="316"/>
        <v>0</v>
      </c>
      <c r="R183" s="115">
        <f t="shared" ref="R183:AZ183" si="603">R72+R126</f>
        <v>0</v>
      </c>
      <c r="S183" s="115">
        <f t="shared" si="603"/>
        <v>0</v>
      </c>
      <c r="T183" s="115">
        <f t="shared" si="603"/>
        <v>0</v>
      </c>
      <c r="U183" s="115">
        <f t="shared" si="603"/>
        <v>0</v>
      </c>
      <c r="V183" s="115">
        <f t="shared" ref="V183:W183" si="604">V72+V126</f>
        <v>0</v>
      </c>
      <c r="W183" s="115">
        <f t="shared" si="604"/>
        <v>0</v>
      </c>
      <c r="X183" s="115">
        <f t="shared" ref="X183:Y183" si="605">X72+X126</f>
        <v>0</v>
      </c>
      <c r="Y183" s="115">
        <f t="shared" si="605"/>
        <v>0</v>
      </c>
      <c r="Z183" s="115">
        <f t="shared" ref="Z183:AA183" si="606">Z72+Z126</f>
        <v>0</v>
      </c>
      <c r="AA183" s="115">
        <f t="shared" si="606"/>
        <v>0</v>
      </c>
      <c r="AB183" s="115">
        <f t="shared" si="603"/>
        <v>0</v>
      </c>
      <c r="AC183" s="115">
        <f t="shared" si="603"/>
        <v>0</v>
      </c>
      <c r="AD183" s="115">
        <f t="shared" si="603"/>
        <v>0</v>
      </c>
      <c r="AE183" s="115">
        <f t="shared" si="603"/>
        <v>0</v>
      </c>
      <c r="AF183" s="115">
        <f t="shared" si="603"/>
        <v>0</v>
      </c>
      <c r="AG183" s="115">
        <f t="shared" ref="AG183:AI183" si="607">AG72+AG126</f>
        <v>0</v>
      </c>
      <c r="AH183" s="115">
        <f t="shared" si="607"/>
        <v>0</v>
      </c>
      <c r="AI183" s="115">
        <f t="shared" si="607"/>
        <v>0</v>
      </c>
      <c r="AJ183" s="115" t="e">
        <f t="shared" si="603"/>
        <v>#N/A</v>
      </c>
      <c r="AK183" s="115" t="e">
        <f t="shared" si="603"/>
        <v>#N/A</v>
      </c>
      <c r="AL183" s="115" t="e">
        <f t="shared" si="603"/>
        <v>#N/A</v>
      </c>
      <c r="AM183" s="115" t="e">
        <f t="shared" si="603"/>
        <v>#N/A</v>
      </c>
      <c r="AN183" s="115" t="e">
        <f t="shared" si="603"/>
        <v>#N/A</v>
      </c>
      <c r="AO183" s="115" t="e">
        <f t="shared" si="603"/>
        <v>#N/A</v>
      </c>
      <c r="AP183" s="115" t="e">
        <f t="shared" si="603"/>
        <v>#N/A</v>
      </c>
      <c r="AQ183" s="115" t="e">
        <f t="shared" si="603"/>
        <v>#N/A</v>
      </c>
      <c r="AR183" s="115" t="e">
        <f t="shared" si="603"/>
        <v>#N/A</v>
      </c>
      <c r="AS183" s="115" t="e">
        <f t="shared" si="603"/>
        <v>#N/A</v>
      </c>
      <c r="AT183" s="115" t="e">
        <f t="shared" si="603"/>
        <v>#N/A</v>
      </c>
      <c r="AU183" s="115" t="e">
        <f t="shared" si="603"/>
        <v>#N/A</v>
      </c>
      <c r="AV183" s="115" t="e">
        <f t="shared" si="603"/>
        <v>#N/A</v>
      </c>
      <c r="AW183" s="115" t="e">
        <f t="shared" si="603"/>
        <v>#N/A</v>
      </c>
      <c r="AX183" s="115" t="e">
        <f t="shared" si="603"/>
        <v>#N/A</v>
      </c>
      <c r="AY183" s="115" t="e">
        <f t="shared" si="603"/>
        <v>#N/A</v>
      </c>
      <c r="AZ183" s="115" t="e">
        <f t="shared" si="603"/>
        <v>#N/A</v>
      </c>
      <c r="BA183" s="115" t="e">
        <f t="shared" ref="BA183:BC183" si="608">BA72+BA126</f>
        <v>#N/A</v>
      </c>
      <c r="BB183" s="115" t="e">
        <f t="shared" ref="BB183" si="609">BB72+BB126</f>
        <v>#N/A</v>
      </c>
      <c r="BC183" s="115" t="e">
        <f t="shared" si="608"/>
        <v>#N/A</v>
      </c>
      <c r="BD183" s="115" t="e">
        <f t="shared" ref="BD183:BE183" si="610">BD72+BD126</f>
        <v>#N/A</v>
      </c>
      <c r="BE183" s="115" t="e">
        <f t="shared" si="610"/>
        <v>#N/A</v>
      </c>
      <c r="BF183" s="115" t="e">
        <f t="shared" ref="BF183:BG183" si="611">BF72+BF126</f>
        <v>#N/A</v>
      </c>
      <c r="BG183" s="115" t="e">
        <f t="shared" si="611"/>
        <v>#N/A</v>
      </c>
      <c r="BH183" s="115" t="e">
        <f t="shared" ref="BH183" si="612">BH72+BH126</f>
        <v>#N/A</v>
      </c>
      <c r="BI183" s="115"/>
      <c r="BJ183" s="115"/>
      <c r="BK183" s="115"/>
      <c r="BL183" s="115"/>
      <c r="BM183" s="115"/>
      <c r="BN183" s="115"/>
      <c r="BO183" s="115"/>
      <c r="BP183" s="115"/>
      <c r="BQ183" s="115"/>
      <c r="BR183" s="115"/>
      <c r="BS183" s="115"/>
      <c r="BT183" s="115"/>
      <c r="BU183" s="115"/>
      <c r="BV183" s="115"/>
      <c r="BW183" s="115"/>
      <c r="BX183" s="115"/>
      <c r="BY183" s="115"/>
      <c r="BZ183" s="115"/>
      <c r="CA183" s="115"/>
      <c r="CB183" s="115"/>
      <c r="CC183" s="115"/>
      <c r="CD183" s="115"/>
      <c r="CE183" s="115"/>
      <c r="CF183" s="115"/>
      <c r="CG183" s="115"/>
      <c r="CH183" s="115"/>
      <c r="CI183" s="115"/>
      <c r="CJ183" s="115"/>
      <c r="CK183" s="115"/>
      <c r="CL183" s="115"/>
      <c r="CM183" s="115"/>
      <c r="CN183" s="115"/>
      <c r="CO183" s="115"/>
      <c r="CP183" s="115"/>
      <c r="CQ183" s="115"/>
      <c r="CR183" s="115"/>
      <c r="CS183" s="115"/>
      <c r="CT183" s="115"/>
      <c r="CU183" s="115"/>
      <c r="CV183" s="115"/>
      <c r="CW183" s="115"/>
      <c r="CX183" s="115"/>
      <c r="CY183" s="115"/>
      <c r="CZ183" s="115"/>
      <c r="DA183" s="115"/>
      <c r="DB183" s="115"/>
      <c r="DC183" s="115"/>
    </row>
    <row r="184" spans="1:107" s="106" customFormat="1" hidden="1" outlineLevel="1" x14ac:dyDescent="0.25">
      <c r="A184" s="110" t="s">
        <v>97</v>
      </c>
      <c r="B184" s="114">
        <f t="shared" si="447"/>
        <v>0</v>
      </c>
      <c r="C184" s="114">
        <f t="shared" si="447"/>
        <v>0</v>
      </c>
      <c r="D184" s="114">
        <f t="shared" si="447"/>
        <v>0</v>
      </c>
      <c r="E184" s="114">
        <f t="shared" ref="E184" si="613">E73+E127</f>
        <v>0</v>
      </c>
      <c r="F184" s="114">
        <f t="shared" si="115"/>
        <v>0</v>
      </c>
      <c r="G184" s="114">
        <f t="shared" si="115"/>
        <v>0</v>
      </c>
      <c r="H184" s="114">
        <f t="shared" si="14"/>
        <v>0</v>
      </c>
      <c r="I184" s="114">
        <f t="shared" ref="I184" si="614">I73+I127</f>
        <v>0</v>
      </c>
      <c r="J184" s="114">
        <f t="shared" ref="J184:K184" si="615">J73+J127</f>
        <v>0</v>
      </c>
      <c r="K184" s="114">
        <f t="shared" si="615"/>
        <v>0</v>
      </c>
      <c r="L184" s="114">
        <f t="shared" ref="L184" si="616">L73+L127</f>
        <v>0</v>
      </c>
      <c r="M184" s="114">
        <f t="shared" ref="M184" si="617">M73+M127</f>
        <v>0</v>
      </c>
      <c r="N184" s="114">
        <f t="shared" ref="N184:Q189" si="618">N73+N127</f>
        <v>0</v>
      </c>
      <c r="O184" s="114">
        <f t="shared" si="618"/>
        <v>0</v>
      </c>
      <c r="P184" s="114">
        <f t="shared" si="618"/>
        <v>0</v>
      </c>
      <c r="Q184" s="114">
        <f t="shared" si="618"/>
        <v>0</v>
      </c>
      <c r="R184" s="114">
        <f t="shared" ref="R184:AZ184" si="619">R73+R127</f>
        <v>0</v>
      </c>
      <c r="S184" s="114">
        <f t="shared" si="619"/>
        <v>0</v>
      </c>
      <c r="T184" s="114">
        <f t="shared" si="619"/>
        <v>0</v>
      </c>
      <c r="U184" s="114">
        <f t="shared" si="619"/>
        <v>0</v>
      </c>
      <c r="V184" s="114">
        <f t="shared" ref="V184:W184" si="620">V73+V127</f>
        <v>0</v>
      </c>
      <c r="W184" s="114">
        <f t="shared" si="620"/>
        <v>0</v>
      </c>
      <c r="X184" s="114">
        <f t="shared" ref="X184:Y184" si="621">X73+X127</f>
        <v>0</v>
      </c>
      <c r="Y184" s="114">
        <f t="shared" si="621"/>
        <v>0</v>
      </c>
      <c r="Z184" s="114">
        <f t="shared" ref="Z184:AA184" si="622">Z73+Z127</f>
        <v>0</v>
      </c>
      <c r="AA184" s="114">
        <f t="shared" si="622"/>
        <v>0</v>
      </c>
      <c r="AB184" s="114">
        <f t="shared" si="619"/>
        <v>0</v>
      </c>
      <c r="AC184" s="114">
        <f t="shared" si="619"/>
        <v>0</v>
      </c>
      <c r="AD184" s="114">
        <f t="shared" si="619"/>
        <v>0</v>
      </c>
      <c r="AE184" s="114">
        <f t="shared" si="619"/>
        <v>0</v>
      </c>
      <c r="AF184" s="114">
        <f t="shared" si="619"/>
        <v>0</v>
      </c>
      <c r="AG184" s="114">
        <f t="shared" ref="AG184:AI184" si="623">AG73+AG127</f>
        <v>0</v>
      </c>
      <c r="AH184" s="114">
        <f t="shared" si="623"/>
        <v>0</v>
      </c>
      <c r="AI184" s="114">
        <f t="shared" si="623"/>
        <v>0</v>
      </c>
      <c r="AJ184" s="114" t="e">
        <f t="shared" si="619"/>
        <v>#N/A</v>
      </c>
      <c r="AK184" s="114" t="e">
        <f t="shared" si="619"/>
        <v>#N/A</v>
      </c>
      <c r="AL184" s="114" t="e">
        <f t="shared" si="619"/>
        <v>#N/A</v>
      </c>
      <c r="AM184" s="114" t="e">
        <f t="shared" si="619"/>
        <v>#N/A</v>
      </c>
      <c r="AN184" s="114" t="e">
        <f t="shared" si="619"/>
        <v>#N/A</v>
      </c>
      <c r="AO184" s="114" t="e">
        <f t="shared" si="619"/>
        <v>#N/A</v>
      </c>
      <c r="AP184" s="114" t="e">
        <f t="shared" si="619"/>
        <v>#N/A</v>
      </c>
      <c r="AQ184" s="114" t="e">
        <f t="shared" si="619"/>
        <v>#N/A</v>
      </c>
      <c r="AR184" s="114" t="e">
        <f t="shared" si="619"/>
        <v>#N/A</v>
      </c>
      <c r="AS184" s="114" t="e">
        <f t="shared" si="619"/>
        <v>#N/A</v>
      </c>
      <c r="AT184" s="114" t="e">
        <f t="shared" si="619"/>
        <v>#N/A</v>
      </c>
      <c r="AU184" s="114" t="e">
        <f t="shared" si="619"/>
        <v>#N/A</v>
      </c>
      <c r="AV184" s="114" t="e">
        <f t="shared" si="619"/>
        <v>#N/A</v>
      </c>
      <c r="AW184" s="114" t="e">
        <f t="shared" si="619"/>
        <v>#N/A</v>
      </c>
      <c r="AX184" s="114" t="e">
        <f t="shared" si="619"/>
        <v>#N/A</v>
      </c>
      <c r="AY184" s="114" t="e">
        <f t="shared" si="619"/>
        <v>#N/A</v>
      </c>
      <c r="AZ184" s="114" t="e">
        <f t="shared" si="619"/>
        <v>#N/A</v>
      </c>
      <c r="BA184" s="114" t="e">
        <f t="shared" ref="BA184:BC184" si="624">BA73+BA127</f>
        <v>#N/A</v>
      </c>
      <c r="BB184" s="114" t="e">
        <f t="shared" ref="BB184" si="625">BB73+BB127</f>
        <v>#N/A</v>
      </c>
      <c r="BC184" s="114" t="e">
        <f t="shared" si="624"/>
        <v>#N/A</v>
      </c>
      <c r="BD184" s="114" t="e">
        <f t="shared" ref="BD184:BE184" si="626">BD73+BD127</f>
        <v>#N/A</v>
      </c>
      <c r="BE184" s="114" t="e">
        <f t="shared" si="626"/>
        <v>#N/A</v>
      </c>
      <c r="BF184" s="114" t="e">
        <f t="shared" ref="BF184:BG184" si="627">BF73+BF127</f>
        <v>#N/A</v>
      </c>
      <c r="BG184" s="114" t="e">
        <f t="shared" si="627"/>
        <v>#N/A</v>
      </c>
      <c r="BH184" s="114" t="e">
        <f t="shared" ref="BH184" si="628">BH73+BH127</f>
        <v>#N/A</v>
      </c>
      <c r="BI184" s="114"/>
      <c r="BJ184" s="114"/>
      <c r="BK184" s="114"/>
      <c r="BL184" s="114"/>
      <c r="BM184" s="114"/>
      <c r="BN184" s="114"/>
      <c r="BO184" s="114"/>
      <c r="BP184" s="114"/>
      <c r="BQ184" s="114"/>
      <c r="BR184" s="114"/>
      <c r="BS184" s="114"/>
      <c r="BT184" s="114"/>
      <c r="BU184" s="114"/>
      <c r="BV184" s="114"/>
      <c r="BW184" s="114"/>
      <c r="BX184" s="114"/>
      <c r="BY184" s="114"/>
      <c r="BZ184" s="114"/>
      <c r="CA184" s="114"/>
      <c r="CB184" s="114"/>
      <c r="CC184" s="114"/>
      <c r="CD184" s="114"/>
      <c r="CE184" s="114"/>
      <c r="CF184" s="114"/>
      <c r="CG184" s="114"/>
      <c r="CH184" s="114"/>
      <c r="CI184" s="114"/>
      <c r="CJ184" s="114"/>
      <c r="CK184" s="114"/>
      <c r="CL184" s="114"/>
      <c r="CM184" s="114"/>
      <c r="CN184" s="114"/>
      <c r="CO184" s="114"/>
      <c r="CP184" s="114"/>
      <c r="CQ184" s="114"/>
      <c r="CR184" s="114"/>
      <c r="CS184" s="114"/>
      <c r="CT184" s="114"/>
      <c r="CU184" s="114"/>
      <c r="CV184" s="114"/>
      <c r="CW184" s="114"/>
      <c r="CX184" s="114"/>
      <c r="CY184" s="114"/>
      <c r="CZ184" s="114"/>
      <c r="DA184" s="114"/>
      <c r="DB184" s="114"/>
      <c r="DC184" s="114"/>
    </row>
    <row r="185" spans="1:107" s="107" customFormat="1" hidden="1" outlineLevel="1" x14ac:dyDescent="0.25">
      <c r="A185" s="110" t="s">
        <v>98</v>
      </c>
      <c r="B185" s="115">
        <f t="shared" si="447"/>
        <v>0</v>
      </c>
      <c r="C185" s="115">
        <f t="shared" si="447"/>
        <v>0</v>
      </c>
      <c r="D185" s="115">
        <f t="shared" si="447"/>
        <v>0</v>
      </c>
      <c r="E185" s="115">
        <f t="shared" ref="E185" si="629">E74+E128</f>
        <v>0</v>
      </c>
      <c r="F185" s="115">
        <f t="shared" si="115"/>
        <v>0</v>
      </c>
      <c r="G185" s="115">
        <f t="shared" si="115"/>
        <v>0</v>
      </c>
      <c r="H185" s="115">
        <f t="shared" si="14"/>
        <v>0</v>
      </c>
      <c r="I185" s="115">
        <f t="shared" ref="I185" si="630">I74+I128</f>
        <v>0</v>
      </c>
      <c r="J185" s="115">
        <f t="shared" ref="J185:K185" si="631">J74+J128</f>
        <v>0</v>
      </c>
      <c r="K185" s="115">
        <f t="shared" si="631"/>
        <v>0</v>
      </c>
      <c r="L185" s="115">
        <f t="shared" ref="L185" si="632">L74+L128</f>
        <v>0</v>
      </c>
      <c r="M185" s="115">
        <f t="shared" ref="M185" si="633">M74+M128</f>
        <v>0</v>
      </c>
      <c r="N185" s="115">
        <f t="shared" si="618"/>
        <v>0</v>
      </c>
      <c r="O185" s="115">
        <f t="shared" si="618"/>
        <v>0</v>
      </c>
      <c r="P185" s="115">
        <f t="shared" si="618"/>
        <v>0</v>
      </c>
      <c r="Q185" s="115">
        <f t="shared" si="618"/>
        <v>0</v>
      </c>
      <c r="R185" s="115">
        <f t="shared" ref="R185:AZ185" si="634">R74+R128</f>
        <v>0</v>
      </c>
      <c r="S185" s="115">
        <f t="shared" si="634"/>
        <v>0</v>
      </c>
      <c r="T185" s="115">
        <f t="shared" si="634"/>
        <v>0</v>
      </c>
      <c r="U185" s="115">
        <f t="shared" si="634"/>
        <v>0</v>
      </c>
      <c r="V185" s="115">
        <f t="shared" ref="V185:W185" si="635">V74+V128</f>
        <v>0</v>
      </c>
      <c r="W185" s="115">
        <f t="shared" si="635"/>
        <v>0</v>
      </c>
      <c r="X185" s="115">
        <f t="shared" ref="X185:Y185" si="636">X74+X128</f>
        <v>0</v>
      </c>
      <c r="Y185" s="115">
        <f t="shared" si="636"/>
        <v>0</v>
      </c>
      <c r="Z185" s="115">
        <f t="shared" ref="Z185:AA185" si="637">Z74+Z128</f>
        <v>0</v>
      </c>
      <c r="AA185" s="115">
        <f t="shared" si="637"/>
        <v>0</v>
      </c>
      <c r="AB185" s="115">
        <f t="shared" si="634"/>
        <v>0</v>
      </c>
      <c r="AC185" s="115">
        <f t="shared" si="634"/>
        <v>0</v>
      </c>
      <c r="AD185" s="115">
        <f t="shared" si="634"/>
        <v>0</v>
      </c>
      <c r="AE185" s="115">
        <f t="shared" si="634"/>
        <v>0</v>
      </c>
      <c r="AF185" s="115">
        <f t="shared" si="634"/>
        <v>0</v>
      </c>
      <c r="AG185" s="115">
        <f t="shared" ref="AG185:AI185" si="638">AG74+AG128</f>
        <v>0</v>
      </c>
      <c r="AH185" s="115">
        <f t="shared" si="638"/>
        <v>0</v>
      </c>
      <c r="AI185" s="115">
        <f t="shared" si="638"/>
        <v>0</v>
      </c>
      <c r="AJ185" s="115" t="e">
        <f t="shared" si="634"/>
        <v>#N/A</v>
      </c>
      <c r="AK185" s="115" t="e">
        <f t="shared" si="634"/>
        <v>#N/A</v>
      </c>
      <c r="AL185" s="115" t="e">
        <f t="shared" si="634"/>
        <v>#N/A</v>
      </c>
      <c r="AM185" s="115" t="e">
        <f t="shared" si="634"/>
        <v>#N/A</v>
      </c>
      <c r="AN185" s="115" t="e">
        <f t="shared" si="634"/>
        <v>#N/A</v>
      </c>
      <c r="AO185" s="115" t="e">
        <f t="shared" si="634"/>
        <v>#N/A</v>
      </c>
      <c r="AP185" s="115" t="e">
        <f t="shared" si="634"/>
        <v>#N/A</v>
      </c>
      <c r="AQ185" s="115" t="e">
        <f t="shared" si="634"/>
        <v>#N/A</v>
      </c>
      <c r="AR185" s="115" t="e">
        <f t="shared" si="634"/>
        <v>#N/A</v>
      </c>
      <c r="AS185" s="115" t="e">
        <f t="shared" si="634"/>
        <v>#N/A</v>
      </c>
      <c r="AT185" s="115" t="e">
        <f t="shared" si="634"/>
        <v>#N/A</v>
      </c>
      <c r="AU185" s="115" t="e">
        <f t="shared" si="634"/>
        <v>#N/A</v>
      </c>
      <c r="AV185" s="115" t="e">
        <f t="shared" si="634"/>
        <v>#N/A</v>
      </c>
      <c r="AW185" s="115" t="e">
        <f t="shared" si="634"/>
        <v>#N/A</v>
      </c>
      <c r="AX185" s="115" t="e">
        <f t="shared" si="634"/>
        <v>#N/A</v>
      </c>
      <c r="AY185" s="115" t="e">
        <f t="shared" si="634"/>
        <v>#N/A</v>
      </c>
      <c r="AZ185" s="115" t="e">
        <f t="shared" si="634"/>
        <v>#N/A</v>
      </c>
      <c r="BA185" s="115" t="e">
        <f t="shared" ref="BA185:BC185" si="639">BA74+BA128</f>
        <v>#N/A</v>
      </c>
      <c r="BB185" s="115" t="e">
        <f t="shared" ref="BB185" si="640">BB74+BB128</f>
        <v>#N/A</v>
      </c>
      <c r="BC185" s="115" t="e">
        <f t="shared" si="639"/>
        <v>#N/A</v>
      </c>
      <c r="BD185" s="115" t="e">
        <f t="shared" ref="BD185:BE185" si="641">BD74+BD128</f>
        <v>#N/A</v>
      </c>
      <c r="BE185" s="115" t="e">
        <f t="shared" si="641"/>
        <v>#N/A</v>
      </c>
      <c r="BF185" s="115" t="e">
        <f t="shared" ref="BF185:BG185" si="642">BF74+BF128</f>
        <v>#N/A</v>
      </c>
      <c r="BG185" s="115" t="e">
        <f t="shared" si="642"/>
        <v>#N/A</v>
      </c>
      <c r="BH185" s="115" t="e">
        <f t="shared" ref="BH185" si="643">BH74+BH128</f>
        <v>#N/A</v>
      </c>
      <c r="BI185" s="115"/>
      <c r="BJ185" s="115"/>
      <c r="BK185" s="115"/>
      <c r="BL185" s="115"/>
      <c r="BM185" s="115"/>
      <c r="BN185" s="115"/>
      <c r="BO185" s="115"/>
      <c r="BP185" s="115"/>
      <c r="BQ185" s="115"/>
      <c r="BR185" s="115"/>
      <c r="BS185" s="115"/>
      <c r="BT185" s="115"/>
      <c r="BU185" s="115"/>
      <c r="BV185" s="115"/>
      <c r="BW185" s="115"/>
      <c r="BX185" s="115"/>
      <c r="BY185" s="115"/>
      <c r="BZ185" s="115"/>
      <c r="CA185" s="115"/>
      <c r="CB185" s="115"/>
      <c r="CC185" s="115"/>
      <c r="CD185" s="115"/>
      <c r="CE185" s="115"/>
      <c r="CF185" s="115"/>
      <c r="CG185" s="115"/>
      <c r="CH185" s="115"/>
      <c r="CI185" s="115"/>
      <c r="CJ185" s="115"/>
      <c r="CK185" s="115"/>
      <c r="CL185" s="115"/>
      <c r="CM185" s="115"/>
      <c r="CN185" s="115"/>
      <c r="CO185" s="115"/>
      <c r="CP185" s="115"/>
      <c r="CQ185" s="115"/>
      <c r="CR185" s="115"/>
      <c r="CS185" s="115"/>
      <c r="CT185" s="115"/>
      <c r="CU185" s="115"/>
      <c r="CV185" s="115"/>
      <c r="CW185" s="115"/>
      <c r="CX185" s="115"/>
      <c r="CY185" s="115"/>
      <c r="CZ185" s="115"/>
      <c r="DA185" s="115"/>
      <c r="DB185" s="115"/>
      <c r="DC185" s="115"/>
    </row>
    <row r="186" spans="1:107" s="106" customFormat="1" hidden="1" outlineLevel="1" x14ac:dyDescent="0.25">
      <c r="A186" s="110" t="s">
        <v>419</v>
      </c>
      <c r="B186" s="114">
        <f t="shared" si="447"/>
        <v>0</v>
      </c>
      <c r="C186" s="114">
        <f t="shared" si="447"/>
        <v>0</v>
      </c>
      <c r="D186" s="114">
        <f t="shared" si="447"/>
        <v>0</v>
      </c>
      <c r="E186" s="114">
        <f t="shared" ref="E186" si="644">E75+E129</f>
        <v>0</v>
      </c>
      <c r="F186" s="114">
        <f t="shared" si="115"/>
        <v>0</v>
      </c>
      <c r="G186" s="114">
        <f t="shared" si="115"/>
        <v>0</v>
      </c>
      <c r="H186" s="114">
        <f t="shared" si="14"/>
        <v>0</v>
      </c>
      <c r="I186" s="114">
        <f t="shared" ref="I186" si="645">I75+I129</f>
        <v>0</v>
      </c>
      <c r="J186" s="114">
        <f t="shared" ref="J186:K186" si="646">J75+J129</f>
        <v>0</v>
      </c>
      <c r="K186" s="114">
        <f t="shared" si="646"/>
        <v>0</v>
      </c>
      <c r="L186" s="114">
        <f t="shared" ref="L186" si="647">L75+L129</f>
        <v>0</v>
      </c>
      <c r="M186" s="114">
        <f t="shared" ref="M186" si="648">M75+M129</f>
        <v>0</v>
      </c>
      <c r="N186" s="114">
        <f t="shared" si="618"/>
        <v>0</v>
      </c>
      <c r="O186" s="114">
        <f t="shared" si="618"/>
        <v>0</v>
      </c>
      <c r="P186" s="114">
        <f t="shared" si="618"/>
        <v>0</v>
      </c>
      <c r="Q186" s="114">
        <f t="shared" si="618"/>
        <v>0</v>
      </c>
      <c r="R186" s="114">
        <f t="shared" ref="R186:AZ186" si="649">R75+R129</f>
        <v>0</v>
      </c>
      <c r="S186" s="114">
        <f t="shared" si="649"/>
        <v>0</v>
      </c>
      <c r="T186" s="114">
        <f t="shared" si="649"/>
        <v>0</v>
      </c>
      <c r="U186" s="114">
        <f t="shared" si="649"/>
        <v>0</v>
      </c>
      <c r="V186" s="114">
        <f t="shared" ref="V186:W186" si="650">V75+V129</f>
        <v>0</v>
      </c>
      <c r="W186" s="114">
        <f t="shared" si="650"/>
        <v>0</v>
      </c>
      <c r="X186" s="114">
        <f t="shared" ref="X186:Y186" si="651">X75+X129</f>
        <v>0</v>
      </c>
      <c r="Y186" s="114">
        <f t="shared" si="651"/>
        <v>0</v>
      </c>
      <c r="Z186" s="114">
        <f t="shared" ref="Z186:AA186" si="652">Z75+Z129</f>
        <v>0</v>
      </c>
      <c r="AA186" s="114">
        <f t="shared" si="652"/>
        <v>0</v>
      </c>
      <c r="AB186" s="114">
        <f t="shared" si="649"/>
        <v>0</v>
      </c>
      <c r="AC186" s="114">
        <f t="shared" si="649"/>
        <v>0</v>
      </c>
      <c r="AD186" s="114">
        <f t="shared" si="649"/>
        <v>0</v>
      </c>
      <c r="AE186" s="114">
        <f t="shared" si="649"/>
        <v>0</v>
      </c>
      <c r="AF186" s="114">
        <f t="shared" si="649"/>
        <v>0</v>
      </c>
      <c r="AG186" s="114">
        <f t="shared" ref="AG186:AI186" si="653">AG75+AG129</f>
        <v>0</v>
      </c>
      <c r="AH186" s="114">
        <f t="shared" si="653"/>
        <v>0</v>
      </c>
      <c r="AI186" s="114">
        <f t="shared" si="653"/>
        <v>0</v>
      </c>
      <c r="AJ186" s="114" t="e">
        <f t="shared" si="649"/>
        <v>#N/A</v>
      </c>
      <c r="AK186" s="114" t="e">
        <f t="shared" si="649"/>
        <v>#N/A</v>
      </c>
      <c r="AL186" s="114" t="e">
        <f t="shared" si="649"/>
        <v>#N/A</v>
      </c>
      <c r="AM186" s="114" t="e">
        <f t="shared" si="649"/>
        <v>#N/A</v>
      </c>
      <c r="AN186" s="114" t="e">
        <f t="shared" si="649"/>
        <v>#N/A</v>
      </c>
      <c r="AO186" s="114" t="e">
        <f t="shared" si="649"/>
        <v>#N/A</v>
      </c>
      <c r="AP186" s="114" t="e">
        <f t="shared" si="649"/>
        <v>#N/A</v>
      </c>
      <c r="AQ186" s="114" t="e">
        <f t="shared" si="649"/>
        <v>#N/A</v>
      </c>
      <c r="AR186" s="114" t="e">
        <f t="shared" si="649"/>
        <v>#N/A</v>
      </c>
      <c r="AS186" s="114" t="e">
        <f t="shared" si="649"/>
        <v>#N/A</v>
      </c>
      <c r="AT186" s="114" t="e">
        <f t="shared" si="649"/>
        <v>#N/A</v>
      </c>
      <c r="AU186" s="114" t="e">
        <f t="shared" si="649"/>
        <v>#N/A</v>
      </c>
      <c r="AV186" s="114" t="e">
        <f t="shared" si="649"/>
        <v>#N/A</v>
      </c>
      <c r="AW186" s="114" t="e">
        <f t="shared" si="649"/>
        <v>#N/A</v>
      </c>
      <c r="AX186" s="114" t="e">
        <f t="shared" si="649"/>
        <v>#N/A</v>
      </c>
      <c r="AY186" s="114" t="e">
        <f t="shared" si="649"/>
        <v>#N/A</v>
      </c>
      <c r="AZ186" s="114" t="e">
        <f t="shared" si="649"/>
        <v>#N/A</v>
      </c>
      <c r="BA186" s="114" t="e">
        <f t="shared" ref="BA186:BC186" si="654">BA75+BA129</f>
        <v>#N/A</v>
      </c>
      <c r="BB186" s="114" t="e">
        <f t="shared" ref="BB186" si="655">BB75+BB129</f>
        <v>#N/A</v>
      </c>
      <c r="BC186" s="114" t="e">
        <f t="shared" si="654"/>
        <v>#N/A</v>
      </c>
      <c r="BD186" s="114" t="e">
        <f t="shared" ref="BD186:BE186" si="656">BD75+BD129</f>
        <v>#N/A</v>
      </c>
      <c r="BE186" s="114" t="e">
        <f t="shared" si="656"/>
        <v>#N/A</v>
      </c>
      <c r="BF186" s="114" t="e">
        <f t="shared" ref="BF186:BG186" si="657">BF75+BF129</f>
        <v>#N/A</v>
      </c>
      <c r="BG186" s="114" t="e">
        <f t="shared" si="657"/>
        <v>#N/A</v>
      </c>
      <c r="BH186" s="114" t="e">
        <f t="shared" ref="BH186" si="658">BH75+BH129</f>
        <v>#N/A</v>
      </c>
      <c r="BI186" s="114"/>
      <c r="BJ186" s="114"/>
      <c r="BK186" s="114"/>
      <c r="BL186" s="114"/>
      <c r="BM186" s="114"/>
      <c r="BN186" s="114"/>
      <c r="BO186" s="114"/>
      <c r="BP186" s="114"/>
      <c r="BQ186" s="114"/>
      <c r="BR186" s="114"/>
      <c r="BS186" s="114"/>
      <c r="BT186" s="114"/>
      <c r="BU186" s="114"/>
      <c r="BV186" s="114"/>
      <c r="BW186" s="114"/>
      <c r="BX186" s="114"/>
      <c r="BY186" s="114"/>
      <c r="BZ186" s="114"/>
      <c r="CA186" s="114"/>
      <c r="CB186" s="114"/>
      <c r="CC186" s="114"/>
      <c r="CD186" s="114"/>
      <c r="CE186" s="114"/>
      <c r="CF186" s="114"/>
      <c r="CG186" s="114"/>
      <c r="CH186" s="114"/>
      <c r="CI186" s="114"/>
      <c r="CJ186" s="114"/>
      <c r="CK186" s="114"/>
      <c r="CL186" s="114"/>
      <c r="CM186" s="114"/>
      <c r="CN186" s="114"/>
      <c r="CO186" s="114"/>
      <c r="CP186" s="114"/>
      <c r="CQ186" s="114"/>
      <c r="CR186" s="114"/>
      <c r="CS186" s="114"/>
      <c r="CT186" s="114"/>
      <c r="CU186" s="114"/>
      <c r="CV186" s="114"/>
      <c r="CW186" s="114"/>
      <c r="CX186" s="114"/>
      <c r="CY186" s="114"/>
      <c r="CZ186" s="114"/>
      <c r="DA186" s="114"/>
      <c r="DB186" s="114"/>
      <c r="DC186" s="114"/>
    </row>
    <row r="187" spans="1:107" s="107" customFormat="1" hidden="1" outlineLevel="1" x14ac:dyDescent="0.25">
      <c r="A187" s="110" t="s">
        <v>420</v>
      </c>
      <c r="B187" s="115">
        <f t="shared" si="447"/>
        <v>0</v>
      </c>
      <c r="C187" s="115">
        <f t="shared" si="447"/>
        <v>0</v>
      </c>
      <c r="D187" s="115">
        <f t="shared" si="447"/>
        <v>0</v>
      </c>
      <c r="E187" s="115">
        <f t="shared" ref="E187" si="659">E76+E130</f>
        <v>0</v>
      </c>
      <c r="F187" s="115">
        <f t="shared" si="115"/>
        <v>0</v>
      </c>
      <c r="G187" s="115">
        <f t="shared" si="115"/>
        <v>0</v>
      </c>
      <c r="H187" s="115">
        <f t="shared" si="14"/>
        <v>0</v>
      </c>
      <c r="I187" s="115">
        <f t="shared" ref="I187" si="660">I76+I130</f>
        <v>0</v>
      </c>
      <c r="J187" s="115">
        <f t="shared" ref="J187:K187" si="661">J76+J130</f>
        <v>0</v>
      </c>
      <c r="K187" s="115">
        <f t="shared" si="661"/>
        <v>0</v>
      </c>
      <c r="L187" s="115">
        <f t="shared" ref="L187" si="662">L76+L130</f>
        <v>0</v>
      </c>
      <c r="M187" s="115">
        <f t="shared" ref="M187" si="663">M76+M130</f>
        <v>0</v>
      </c>
      <c r="N187" s="115">
        <f t="shared" si="618"/>
        <v>0</v>
      </c>
      <c r="O187" s="115">
        <f t="shared" si="618"/>
        <v>0</v>
      </c>
      <c r="P187" s="115">
        <f t="shared" si="618"/>
        <v>0</v>
      </c>
      <c r="Q187" s="115">
        <f t="shared" si="618"/>
        <v>0</v>
      </c>
      <c r="R187" s="115">
        <f t="shared" ref="R187:AZ187" si="664">R76+R130</f>
        <v>0</v>
      </c>
      <c r="S187" s="115">
        <f t="shared" si="664"/>
        <v>0</v>
      </c>
      <c r="T187" s="115">
        <f t="shared" si="664"/>
        <v>0</v>
      </c>
      <c r="U187" s="115">
        <f t="shared" si="664"/>
        <v>0</v>
      </c>
      <c r="V187" s="115">
        <f t="shared" ref="V187:W187" si="665">V76+V130</f>
        <v>0</v>
      </c>
      <c r="W187" s="115">
        <f t="shared" si="665"/>
        <v>0</v>
      </c>
      <c r="X187" s="115">
        <f t="shared" ref="X187:Y187" si="666">X76+X130</f>
        <v>0</v>
      </c>
      <c r="Y187" s="115">
        <f t="shared" si="666"/>
        <v>0</v>
      </c>
      <c r="Z187" s="115">
        <f t="shared" ref="Z187:AA187" si="667">Z76+Z130</f>
        <v>0</v>
      </c>
      <c r="AA187" s="115">
        <f t="shared" si="667"/>
        <v>0</v>
      </c>
      <c r="AB187" s="115">
        <f t="shared" si="664"/>
        <v>0</v>
      </c>
      <c r="AC187" s="115">
        <f t="shared" si="664"/>
        <v>0</v>
      </c>
      <c r="AD187" s="115">
        <f t="shared" si="664"/>
        <v>0</v>
      </c>
      <c r="AE187" s="115">
        <f t="shared" si="664"/>
        <v>0</v>
      </c>
      <c r="AF187" s="115">
        <f t="shared" si="664"/>
        <v>0</v>
      </c>
      <c r="AG187" s="115">
        <f t="shared" ref="AG187:AI187" si="668">AG76+AG130</f>
        <v>0</v>
      </c>
      <c r="AH187" s="115">
        <f t="shared" si="668"/>
        <v>0</v>
      </c>
      <c r="AI187" s="115">
        <f t="shared" si="668"/>
        <v>0</v>
      </c>
      <c r="AJ187" s="115" t="e">
        <f t="shared" si="664"/>
        <v>#N/A</v>
      </c>
      <c r="AK187" s="115" t="e">
        <f t="shared" si="664"/>
        <v>#N/A</v>
      </c>
      <c r="AL187" s="115" t="e">
        <f t="shared" si="664"/>
        <v>#N/A</v>
      </c>
      <c r="AM187" s="115" t="e">
        <f t="shared" si="664"/>
        <v>#N/A</v>
      </c>
      <c r="AN187" s="115" t="e">
        <f t="shared" si="664"/>
        <v>#N/A</v>
      </c>
      <c r="AO187" s="115" t="e">
        <f t="shared" si="664"/>
        <v>#N/A</v>
      </c>
      <c r="AP187" s="115" t="e">
        <f t="shared" si="664"/>
        <v>#N/A</v>
      </c>
      <c r="AQ187" s="115" t="e">
        <f t="shared" si="664"/>
        <v>#N/A</v>
      </c>
      <c r="AR187" s="115" t="e">
        <f t="shared" si="664"/>
        <v>#N/A</v>
      </c>
      <c r="AS187" s="115" t="e">
        <f t="shared" si="664"/>
        <v>#N/A</v>
      </c>
      <c r="AT187" s="115" t="e">
        <f t="shared" si="664"/>
        <v>#N/A</v>
      </c>
      <c r="AU187" s="115" t="e">
        <f t="shared" si="664"/>
        <v>#N/A</v>
      </c>
      <c r="AV187" s="115" t="e">
        <f t="shared" si="664"/>
        <v>#N/A</v>
      </c>
      <c r="AW187" s="115" t="e">
        <f t="shared" si="664"/>
        <v>#N/A</v>
      </c>
      <c r="AX187" s="115" t="e">
        <f t="shared" si="664"/>
        <v>#N/A</v>
      </c>
      <c r="AY187" s="115" t="e">
        <f t="shared" si="664"/>
        <v>#N/A</v>
      </c>
      <c r="AZ187" s="115" t="e">
        <f t="shared" si="664"/>
        <v>#N/A</v>
      </c>
      <c r="BA187" s="115" t="e">
        <f t="shared" ref="BA187:BC187" si="669">BA76+BA130</f>
        <v>#N/A</v>
      </c>
      <c r="BB187" s="115" t="e">
        <f t="shared" ref="BB187" si="670">BB76+BB130</f>
        <v>#N/A</v>
      </c>
      <c r="BC187" s="115" t="e">
        <f t="shared" si="669"/>
        <v>#N/A</v>
      </c>
      <c r="BD187" s="115" t="e">
        <f t="shared" ref="BD187:BE187" si="671">BD76+BD130</f>
        <v>#N/A</v>
      </c>
      <c r="BE187" s="115" t="e">
        <f t="shared" si="671"/>
        <v>#N/A</v>
      </c>
      <c r="BF187" s="115" t="e">
        <f t="shared" ref="BF187:BG187" si="672">BF76+BF130</f>
        <v>#N/A</v>
      </c>
      <c r="BG187" s="115" t="e">
        <f t="shared" si="672"/>
        <v>#N/A</v>
      </c>
      <c r="BH187" s="115" t="e">
        <f t="shared" ref="BH187" si="673">BH76+BH130</f>
        <v>#N/A</v>
      </c>
      <c r="BI187" s="115"/>
      <c r="BJ187" s="115"/>
      <c r="BK187" s="115"/>
      <c r="BL187" s="115"/>
      <c r="BM187" s="115"/>
      <c r="BN187" s="115"/>
      <c r="BO187" s="115"/>
      <c r="BP187" s="115"/>
      <c r="BQ187" s="115"/>
      <c r="BR187" s="115"/>
      <c r="BS187" s="115"/>
      <c r="BT187" s="115"/>
      <c r="BU187" s="115"/>
      <c r="BV187" s="115"/>
      <c r="BW187" s="115"/>
      <c r="BX187" s="115"/>
      <c r="BY187" s="115"/>
      <c r="BZ187" s="115"/>
      <c r="CA187" s="115"/>
      <c r="CB187" s="115"/>
      <c r="CC187" s="115"/>
      <c r="CD187" s="115"/>
      <c r="CE187" s="115"/>
      <c r="CF187" s="115"/>
      <c r="CG187" s="115"/>
      <c r="CH187" s="115"/>
      <c r="CI187" s="115"/>
      <c r="CJ187" s="115"/>
      <c r="CK187" s="115"/>
      <c r="CL187" s="115"/>
      <c r="CM187" s="115"/>
      <c r="CN187" s="115"/>
      <c r="CO187" s="115"/>
      <c r="CP187" s="115"/>
      <c r="CQ187" s="115"/>
      <c r="CR187" s="115"/>
      <c r="CS187" s="115"/>
      <c r="CT187" s="115"/>
      <c r="CU187" s="115"/>
      <c r="CV187" s="115"/>
      <c r="CW187" s="115"/>
      <c r="CX187" s="115"/>
      <c r="CY187" s="115"/>
      <c r="CZ187" s="115"/>
      <c r="DA187" s="115"/>
      <c r="DB187" s="115"/>
      <c r="DC187" s="115"/>
    </row>
    <row r="188" spans="1:107" s="106" customFormat="1" hidden="1" outlineLevel="1" x14ac:dyDescent="0.25">
      <c r="A188" s="110" t="s">
        <v>433</v>
      </c>
      <c r="B188" s="114">
        <f t="shared" si="447"/>
        <v>0</v>
      </c>
      <c r="C188" s="114">
        <f t="shared" si="447"/>
        <v>0</v>
      </c>
      <c r="D188" s="114">
        <f t="shared" si="447"/>
        <v>0</v>
      </c>
      <c r="E188" s="114">
        <f t="shared" ref="E188" si="674">E77+E131</f>
        <v>0</v>
      </c>
      <c r="F188" s="114">
        <f t="shared" si="115"/>
        <v>0</v>
      </c>
      <c r="G188" s="114">
        <f t="shared" si="115"/>
        <v>0</v>
      </c>
      <c r="H188" s="114">
        <f t="shared" si="14"/>
        <v>0</v>
      </c>
      <c r="I188" s="114">
        <f t="shared" ref="I188" si="675">I77+I131</f>
        <v>0</v>
      </c>
      <c r="J188" s="114">
        <f t="shared" ref="J188:K188" si="676">J77+J131</f>
        <v>0</v>
      </c>
      <c r="K188" s="114">
        <f t="shared" si="676"/>
        <v>0</v>
      </c>
      <c r="L188" s="114">
        <f t="shared" ref="L188" si="677">L77+L131</f>
        <v>0</v>
      </c>
      <c r="M188" s="114">
        <f t="shared" ref="M188" si="678">M77+M131</f>
        <v>0</v>
      </c>
      <c r="N188" s="114">
        <f t="shared" si="618"/>
        <v>0</v>
      </c>
      <c r="O188" s="114">
        <f t="shared" si="618"/>
        <v>0</v>
      </c>
      <c r="P188" s="114">
        <f t="shared" si="618"/>
        <v>0</v>
      </c>
      <c r="Q188" s="114">
        <f t="shared" si="618"/>
        <v>0</v>
      </c>
      <c r="R188" s="114">
        <f t="shared" ref="R188:AZ188" si="679">R77+R131</f>
        <v>0</v>
      </c>
      <c r="S188" s="114">
        <f t="shared" si="679"/>
        <v>0</v>
      </c>
      <c r="T188" s="114">
        <f t="shared" si="679"/>
        <v>0</v>
      </c>
      <c r="U188" s="114">
        <f t="shared" si="679"/>
        <v>0</v>
      </c>
      <c r="V188" s="114">
        <f t="shared" ref="V188:W188" si="680">V77+V131</f>
        <v>0</v>
      </c>
      <c r="W188" s="114">
        <f t="shared" si="680"/>
        <v>0</v>
      </c>
      <c r="X188" s="114">
        <f t="shared" ref="X188:Y188" si="681">X77+X131</f>
        <v>0</v>
      </c>
      <c r="Y188" s="114">
        <f t="shared" si="681"/>
        <v>0</v>
      </c>
      <c r="Z188" s="114">
        <f t="shared" ref="Z188:AA188" si="682">Z77+Z131</f>
        <v>0</v>
      </c>
      <c r="AA188" s="114">
        <f t="shared" si="682"/>
        <v>0</v>
      </c>
      <c r="AB188" s="114">
        <f t="shared" si="679"/>
        <v>0</v>
      </c>
      <c r="AC188" s="114">
        <f t="shared" si="679"/>
        <v>0</v>
      </c>
      <c r="AD188" s="114">
        <f t="shared" si="679"/>
        <v>0</v>
      </c>
      <c r="AE188" s="114">
        <f t="shared" si="679"/>
        <v>0</v>
      </c>
      <c r="AF188" s="114">
        <f t="shared" si="679"/>
        <v>0</v>
      </c>
      <c r="AG188" s="114">
        <f t="shared" ref="AG188:AI188" si="683">AG77+AG131</f>
        <v>0</v>
      </c>
      <c r="AH188" s="114">
        <f t="shared" si="683"/>
        <v>0</v>
      </c>
      <c r="AI188" s="114">
        <f t="shared" si="683"/>
        <v>0</v>
      </c>
      <c r="AJ188" s="114" t="e">
        <f t="shared" si="679"/>
        <v>#N/A</v>
      </c>
      <c r="AK188" s="114" t="e">
        <f t="shared" si="679"/>
        <v>#N/A</v>
      </c>
      <c r="AL188" s="114" t="e">
        <f t="shared" si="679"/>
        <v>#N/A</v>
      </c>
      <c r="AM188" s="114" t="e">
        <f t="shared" si="679"/>
        <v>#N/A</v>
      </c>
      <c r="AN188" s="114" t="e">
        <f t="shared" si="679"/>
        <v>#N/A</v>
      </c>
      <c r="AO188" s="114" t="e">
        <f t="shared" si="679"/>
        <v>#N/A</v>
      </c>
      <c r="AP188" s="114" t="e">
        <f t="shared" si="679"/>
        <v>#N/A</v>
      </c>
      <c r="AQ188" s="114" t="e">
        <f t="shared" si="679"/>
        <v>#N/A</v>
      </c>
      <c r="AR188" s="114" t="e">
        <f t="shared" si="679"/>
        <v>#N/A</v>
      </c>
      <c r="AS188" s="114" t="e">
        <f t="shared" si="679"/>
        <v>#N/A</v>
      </c>
      <c r="AT188" s="114" t="e">
        <f t="shared" si="679"/>
        <v>#N/A</v>
      </c>
      <c r="AU188" s="114" t="e">
        <f t="shared" si="679"/>
        <v>#N/A</v>
      </c>
      <c r="AV188" s="114" t="e">
        <f t="shared" si="679"/>
        <v>#N/A</v>
      </c>
      <c r="AW188" s="114" t="e">
        <f t="shared" si="679"/>
        <v>#N/A</v>
      </c>
      <c r="AX188" s="114" t="e">
        <f t="shared" si="679"/>
        <v>#N/A</v>
      </c>
      <c r="AY188" s="114" t="e">
        <f t="shared" si="679"/>
        <v>#N/A</v>
      </c>
      <c r="AZ188" s="114" t="e">
        <f t="shared" si="679"/>
        <v>#N/A</v>
      </c>
      <c r="BA188" s="114" t="e">
        <f t="shared" ref="BA188:BC188" si="684">BA77+BA131</f>
        <v>#N/A</v>
      </c>
      <c r="BB188" s="114" t="e">
        <f t="shared" ref="BB188" si="685">BB77+BB131</f>
        <v>#N/A</v>
      </c>
      <c r="BC188" s="114" t="e">
        <f t="shared" si="684"/>
        <v>#N/A</v>
      </c>
      <c r="BD188" s="114" t="e">
        <f t="shared" ref="BD188:BE188" si="686">BD77+BD131</f>
        <v>#N/A</v>
      </c>
      <c r="BE188" s="114" t="e">
        <f t="shared" si="686"/>
        <v>#N/A</v>
      </c>
      <c r="BF188" s="114" t="e">
        <f t="shared" ref="BF188:BG188" si="687">BF77+BF131</f>
        <v>#N/A</v>
      </c>
      <c r="BG188" s="114" t="e">
        <f t="shared" si="687"/>
        <v>#N/A</v>
      </c>
      <c r="BH188" s="114" t="e">
        <f t="shared" ref="BH188" si="688">BH77+BH131</f>
        <v>#N/A</v>
      </c>
      <c r="BI188" s="114"/>
      <c r="BJ188" s="114"/>
      <c r="BK188" s="114"/>
      <c r="BL188" s="114"/>
      <c r="BM188" s="114"/>
      <c r="BN188" s="114"/>
      <c r="BO188" s="114"/>
      <c r="BP188" s="114"/>
      <c r="BQ188" s="114"/>
      <c r="BR188" s="114"/>
      <c r="BS188" s="114"/>
      <c r="BT188" s="114"/>
      <c r="BU188" s="114"/>
      <c r="BV188" s="114"/>
      <c r="BW188" s="114"/>
      <c r="BX188" s="114"/>
      <c r="BY188" s="114"/>
      <c r="BZ188" s="114"/>
      <c r="CA188" s="114"/>
      <c r="CB188" s="114"/>
      <c r="CC188" s="114"/>
      <c r="CD188" s="114"/>
      <c r="CE188" s="114"/>
      <c r="CF188" s="114"/>
      <c r="CG188" s="114"/>
      <c r="CH188" s="114"/>
      <c r="CI188" s="114"/>
      <c r="CJ188" s="114"/>
      <c r="CK188" s="114"/>
      <c r="CL188" s="114"/>
      <c r="CM188" s="114"/>
      <c r="CN188" s="114"/>
      <c r="CO188" s="114"/>
      <c r="CP188" s="114"/>
      <c r="CQ188" s="114"/>
      <c r="CR188" s="114"/>
      <c r="CS188" s="114"/>
      <c r="CT188" s="114"/>
      <c r="CU188" s="114"/>
      <c r="CV188" s="114"/>
      <c r="CW188" s="114"/>
      <c r="CX188" s="114"/>
      <c r="CY188" s="114"/>
      <c r="CZ188" s="114"/>
      <c r="DA188" s="114"/>
      <c r="DB188" s="114"/>
      <c r="DC188" s="114"/>
    </row>
    <row r="189" spans="1:107" s="107" customFormat="1" hidden="1" outlineLevel="1" x14ac:dyDescent="0.25">
      <c r="A189" s="110" t="s">
        <v>421</v>
      </c>
      <c r="B189" s="115">
        <f t="shared" si="447"/>
        <v>0</v>
      </c>
      <c r="C189" s="115">
        <f t="shared" si="447"/>
        <v>0</v>
      </c>
      <c r="D189" s="115">
        <f t="shared" si="447"/>
        <v>0</v>
      </c>
      <c r="E189" s="115">
        <f t="shared" ref="E189" si="689">E78+E132</f>
        <v>0</v>
      </c>
      <c r="F189" s="115">
        <f t="shared" si="115"/>
        <v>0</v>
      </c>
      <c r="G189" s="115">
        <f t="shared" si="115"/>
        <v>0</v>
      </c>
      <c r="H189" s="115">
        <f t="shared" si="14"/>
        <v>0</v>
      </c>
      <c r="I189" s="115">
        <f t="shared" ref="I189" si="690">I78+I132</f>
        <v>0</v>
      </c>
      <c r="J189" s="115">
        <f t="shared" ref="J189:K189" si="691">J78+J132</f>
        <v>0</v>
      </c>
      <c r="K189" s="115">
        <f t="shared" si="691"/>
        <v>0</v>
      </c>
      <c r="L189" s="115">
        <f t="shared" ref="L189" si="692">L78+L132</f>
        <v>0</v>
      </c>
      <c r="M189" s="115">
        <f t="shared" ref="M189" si="693">M78+M132</f>
        <v>0</v>
      </c>
      <c r="N189" s="115">
        <f t="shared" si="618"/>
        <v>0</v>
      </c>
      <c r="O189" s="115">
        <f t="shared" si="618"/>
        <v>0</v>
      </c>
      <c r="P189" s="115">
        <f t="shared" si="618"/>
        <v>0</v>
      </c>
      <c r="Q189" s="115">
        <f t="shared" si="618"/>
        <v>0</v>
      </c>
      <c r="R189" s="115">
        <f t="shared" ref="R189:AZ189" si="694">R78+R132</f>
        <v>0</v>
      </c>
      <c r="S189" s="115">
        <f t="shared" si="694"/>
        <v>0</v>
      </c>
      <c r="T189" s="115">
        <f t="shared" si="694"/>
        <v>0</v>
      </c>
      <c r="U189" s="115">
        <f t="shared" si="694"/>
        <v>0</v>
      </c>
      <c r="V189" s="115">
        <f t="shared" ref="V189:W189" si="695">V78+V132</f>
        <v>0</v>
      </c>
      <c r="W189" s="115">
        <f t="shared" si="695"/>
        <v>0</v>
      </c>
      <c r="X189" s="115">
        <f t="shared" ref="X189:Y189" si="696">X78+X132</f>
        <v>0</v>
      </c>
      <c r="Y189" s="115">
        <f t="shared" si="696"/>
        <v>0</v>
      </c>
      <c r="Z189" s="115">
        <f t="shared" ref="Z189:AA189" si="697">Z78+Z132</f>
        <v>0</v>
      </c>
      <c r="AA189" s="115">
        <f t="shared" si="697"/>
        <v>0</v>
      </c>
      <c r="AB189" s="115">
        <f t="shared" si="694"/>
        <v>0</v>
      </c>
      <c r="AC189" s="115">
        <f t="shared" si="694"/>
        <v>0</v>
      </c>
      <c r="AD189" s="115">
        <f t="shared" si="694"/>
        <v>0</v>
      </c>
      <c r="AE189" s="115">
        <f t="shared" si="694"/>
        <v>0</v>
      </c>
      <c r="AF189" s="115">
        <f t="shared" si="694"/>
        <v>0</v>
      </c>
      <c r="AG189" s="115">
        <f t="shared" ref="AG189:AI189" si="698">AG78+AG132</f>
        <v>0</v>
      </c>
      <c r="AH189" s="115">
        <f t="shared" si="698"/>
        <v>0</v>
      </c>
      <c r="AI189" s="115">
        <f t="shared" si="698"/>
        <v>0</v>
      </c>
      <c r="AJ189" s="115" t="e">
        <f t="shared" si="694"/>
        <v>#N/A</v>
      </c>
      <c r="AK189" s="115" t="e">
        <f t="shared" si="694"/>
        <v>#N/A</v>
      </c>
      <c r="AL189" s="115" t="e">
        <f t="shared" si="694"/>
        <v>#N/A</v>
      </c>
      <c r="AM189" s="115" t="e">
        <f t="shared" si="694"/>
        <v>#N/A</v>
      </c>
      <c r="AN189" s="115" t="e">
        <f t="shared" si="694"/>
        <v>#N/A</v>
      </c>
      <c r="AO189" s="115" t="e">
        <f t="shared" si="694"/>
        <v>#N/A</v>
      </c>
      <c r="AP189" s="115" t="e">
        <f t="shared" si="694"/>
        <v>#N/A</v>
      </c>
      <c r="AQ189" s="115" t="e">
        <f t="shared" si="694"/>
        <v>#N/A</v>
      </c>
      <c r="AR189" s="115" t="e">
        <f t="shared" si="694"/>
        <v>#N/A</v>
      </c>
      <c r="AS189" s="115" t="e">
        <f t="shared" si="694"/>
        <v>#N/A</v>
      </c>
      <c r="AT189" s="115" t="e">
        <f t="shared" si="694"/>
        <v>#N/A</v>
      </c>
      <c r="AU189" s="115" t="e">
        <f t="shared" si="694"/>
        <v>#N/A</v>
      </c>
      <c r="AV189" s="115" t="e">
        <f t="shared" si="694"/>
        <v>#N/A</v>
      </c>
      <c r="AW189" s="115" t="e">
        <f t="shared" si="694"/>
        <v>#N/A</v>
      </c>
      <c r="AX189" s="115" t="e">
        <f t="shared" si="694"/>
        <v>#N/A</v>
      </c>
      <c r="AY189" s="115" t="e">
        <f t="shared" si="694"/>
        <v>#N/A</v>
      </c>
      <c r="AZ189" s="115" t="e">
        <f t="shared" si="694"/>
        <v>#N/A</v>
      </c>
      <c r="BA189" s="115" t="e">
        <f t="shared" ref="BA189:BC189" si="699">BA78+BA132</f>
        <v>#N/A</v>
      </c>
      <c r="BB189" s="115" t="e">
        <f t="shared" ref="BB189" si="700">BB78+BB132</f>
        <v>#N/A</v>
      </c>
      <c r="BC189" s="115" t="e">
        <f t="shared" si="699"/>
        <v>#N/A</v>
      </c>
      <c r="BD189" s="115" t="e">
        <f t="shared" ref="BD189:BE189" si="701">BD78+BD132</f>
        <v>#N/A</v>
      </c>
      <c r="BE189" s="115" t="e">
        <f t="shared" si="701"/>
        <v>#N/A</v>
      </c>
      <c r="BF189" s="115" t="e">
        <f t="shared" ref="BF189:BG189" si="702">BF78+BF132</f>
        <v>#N/A</v>
      </c>
      <c r="BG189" s="115" t="e">
        <f t="shared" si="702"/>
        <v>#N/A</v>
      </c>
      <c r="BH189" s="115" t="e">
        <f t="shared" ref="BH189" si="703">BH78+BH132</f>
        <v>#N/A</v>
      </c>
      <c r="BI189" s="115"/>
      <c r="BJ189" s="115"/>
      <c r="BK189" s="115"/>
      <c r="BL189" s="115"/>
      <c r="BM189" s="115"/>
      <c r="BN189" s="115"/>
      <c r="BO189" s="115"/>
      <c r="BP189" s="115"/>
      <c r="BQ189" s="115"/>
      <c r="BR189" s="115"/>
      <c r="BS189" s="115"/>
      <c r="BT189" s="115"/>
      <c r="BU189" s="115"/>
      <c r="BV189" s="115"/>
      <c r="BW189" s="115"/>
      <c r="BX189" s="115"/>
      <c r="BY189" s="115"/>
      <c r="BZ189" s="115"/>
      <c r="CA189" s="115"/>
      <c r="CB189" s="115"/>
      <c r="CC189" s="115"/>
      <c r="CD189" s="115"/>
      <c r="CE189" s="115"/>
      <c r="CF189" s="115"/>
      <c r="CG189" s="115"/>
      <c r="CH189" s="115"/>
      <c r="CI189" s="115"/>
      <c r="CJ189" s="115"/>
      <c r="CK189" s="115"/>
      <c r="CL189" s="115"/>
      <c r="CM189" s="115"/>
      <c r="CN189" s="115"/>
      <c r="CO189" s="115"/>
      <c r="CP189" s="115"/>
      <c r="CQ189" s="115"/>
      <c r="CR189" s="115"/>
      <c r="CS189" s="115"/>
      <c r="CT189" s="115"/>
      <c r="CU189" s="115"/>
      <c r="CV189" s="115"/>
      <c r="CW189" s="115"/>
      <c r="CX189" s="115"/>
      <c r="CY189" s="115"/>
      <c r="CZ189" s="115"/>
      <c r="DA189" s="115"/>
      <c r="DB189" s="115"/>
      <c r="DC189" s="115"/>
    </row>
    <row r="190" spans="1:107" s="106" customFormat="1" hidden="1" outlineLevel="1" x14ac:dyDescent="0.25">
      <c r="A190" s="110" t="s">
        <v>60</v>
      </c>
      <c r="B190" s="114">
        <f t="shared" ref="B190:F196" si="704">B79-B133</f>
        <v>0.1</v>
      </c>
      <c r="C190" s="114">
        <f t="shared" si="704"/>
        <v>0.1</v>
      </c>
      <c r="D190" s="114">
        <f t="shared" si="704"/>
        <v>0.1</v>
      </c>
      <c r="E190" s="114">
        <f t="shared" ref="E190" si="705">E79-E133</f>
        <v>0.1</v>
      </c>
      <c r="F190" s="114">
        <f t="shared" si="704"/>
        <v>0.1</v>
      </c>
      <c r="G190" s="114">
        <f t="shared" ref="G190:G196" si="706">G79-G133</f>
        <v>0.1</v>
      </c>
      <c r="H190" s="114">
        <f t="shared" ref="H190:H196" si="707">H79-H133</f>
        <v>0.1</v>
      </c>
      <c r="I190" s="114">
        <f t="shared" ref="I190:K190" si="708">I79-I133</f>
        <v>0.1</v>
      </c>
      <c r="J190" s="114">
        <f t="shared" si="708"/>
        <v>0.1</v>
      </c>
      <c r="K190" s="114">
        <f t="shared" si="708"/>
        <v>0.1</v>
      </c>
      <c r="L190" s="114">
        <f t="shared" ref="L190" si="709">L79-L133</f>
        <v>0.1</v>
      </c>
      <c r="M190" s="114">
        <f t="shared" ref="M190" si="710">M79-M133</f>
        <v>0.1</v>
      </c>
      <c r="N190" s="114">
        <f t="shared" ref="N190:Q196" si="711">N79-N133</f>
        <v>0.1</v>
      </c>
      <c r="O190" s="114">
        <f t="shared" si="711"/>
        <v>0.1</v>
      </c>
      <c r="P190" s="114">
        <f t="shared" si="711"/>
        <v>0.1</v>
      </c>
      <c r="Q190" s="114">
        <f t="shared" si="711"/>
        <v>0.1</v>
      </c>
      <c r="R190" s="114">
        <f t="shared" ref="R190:AZ190" si="712">R79-R133</f>
        <v>0.1</v>
      </c>
      <c r="S190" s="114">
        <f t="shared" si="712"/>
        <v>0.1</v>
      </c>
      <c r="T190" s="114">
        <f t="shared" si="712"/>
        <v>0.1</v>
      </c>
      <c r="U190" s="114">
        <f t="shared" si="712"/>
        <v>0.1</v>
      </c>
      <c r="V190" s="114">
        <f t="shared" ref="V190:W190" si="713">V79-V133</f>
        <v>0.1</v>
      </c>
      <c r="W190" s="114">
        <f t="shared" si="713"/>
        <v>0.1</v>
      </c>
      <c r="X190" s="114">
        <f t="shared" ref="X190:Y190" si="714">X79-X133</f>
        <v>0.1</v>
      </c>
      <c r="Y190" s="114">
        <f t="shared" si="714"/>
        <v>0.1</v>
      </c>
      <c r="Z190" s="114">
        <f t="shared" ref="Z190:AA190" si="715">Z79-Z133</f>
        <v>0.1</v>
      </c>
      <c r="AA190" s="114">
        <f t="shared" si="715"/>
        <v>0.1</v>
      </c>
      <c r="AB190" s="114">
        <f t="shared" si="712"/>
        <v>0.1</v>
      </c>
      <c r="AC190" s="114">
        <f t="shared" si="712"/>
        <v>0.1</v>
      </c>
      <c r="AD190" s="114">
        <f t="shared" si="712"/>
        <v>0.1</v>
      </c>
      <c r="AE190" s="114">
        <f t="shared" si="712"/>
        <v>0.1</v>
      </c>
      <c r="AF190" s="114">
        <f t="shared" si="712"/>
        <v>0.1</v>
      </c>
      <c r="AG190" s="114">
        <f t="shared" ref="AG190:AI190" si="716">AG79-AG133</f>
        <v>0.1</v>
      </c>
      <c r="AH190" s="114">
        <f t="shared" si="716"/>
        <v>0.1</v>
      </c>
      <c r="AI190" s="114">
        <f t="shared" si="716"/>
        <v>0.1</v>
      </c>
      <c r="AJ190" s="114">
        <f t="shared" si="712"/>
        <v>0.1</v>
      </c>
      <c r="AK190" s="114">
        <f t="shared" si="712"/>
        <v>0.1</v>
      </c>
      <c r="AL190" s="114">
        <f t="shared" si="712"/>
        <v>0.1</v>
      </c>
      <c r="AM190" s="114">
        <f t="shared" si="712"/>
        <v>0.1</v>
      </c>
      <c r="AN190" s="114">
        <f t="shared" si="712"/>
        <v>0.1</v>
      </c>
      <c r="AO190" s="114">
        <f t="shared" si="712"/>
        <v>0.1</v>
      </c>
      <c r="AP190" s="114">
        <f t="shared" si="712"/>
        <v>0.1</v>
      </c>
      <c r="AQ190" s="114">
        <f t="shared" si="712"/>
        <v>0.1</v>
      </c>
      <c r="AR190" s="114">
        <f t="shared" si="712"/>
        <v>0.1</v>
      </c>
      <c r="AS190" s="114">
        <f t="shared" si="712"/>
        <v>0.1</v>
      </c>
      <c r="AT190" s="114">
        <f t="shared" si="712"/>
        <v>0.1</v>
      </c>
      <c r="AU190" s="114">
        <f t="shared" si="712"/>
        <v>0.1</v>
      </c>
      <c r="AV190" s="114">
        <f t="shared" si="712"/>
        <v>0.1</v>
      </c>
      <c r="AW190" s="114">
        <f t="shared" si="712"/>
        <v>0.1</v>
      </c>
      <c r="AX190" s="114">
        <f t="shared" si="712"/>
        <v>0.1</v>
      </c>
      <c r="AY190" s="114">
        <f t="shared" si="712"/>
        <v>0.1</v>
      </c>
      <c r="AZ190" s="114">
        <f t="shared" si="712"/>
        <v>0.1</v>
      </c>
      <c r="BA190" s="114">
        <f t="shared" ref="BA190:BC190" si="717">BA79-BA133</f>
        <v>0.1</v>
      </c>
      <c r="BB190" s="114">
        <f t="shared" ref="BB190" si="718">BB79-BB133</f>
        <v>0.1</v>
      </c>
      <c r="BC190" s="114">
        <f t="shared" si="717"/>
        <v>0.1</v>
      </c>
      <c r="BD190" s="114">
        <f t="shared" ref="BD190:BE190" si="719">BD79-BD133</f>
        <v>0.1</v>
      </c>
      <c r="BE190" s="114">
        <f t="shared" si="719"/>
        <v>0.1</v>
      </c>
      <c r="BF190" s="114">
        <f t="shared" ref="BF190:BG190" si="720">BF79-BF133</f>
        <v>0.1</v>
      </c>
      <c r="BG190" s="114">
        <f t="shared" si="720"/>
        <v>0.1</v>
      </c>
      <c r="BH190" s="114">
        <f t="shared" ref="BH190" si="721">BH79-BH133</f>
        <v>0.1</v>
      </c>
      <c r="BI190" s="114"/>
      <c r="BJ190" s="114"/>
      <c r="BK190" s="114"/>
      <c r="BL190" s="114"/>
      <c r="BM190" s="114"/>
      <c r="BN190" s="114"/>
      <c r="BO190" s="114"/>
      <c r="BP190" s="114"/>
      <c r="BQ190" s="114"/>
      <c r="BR190" s="114"/>
      <c r="BS190" s="114"/>
      <c r="BT190" s="114"/>
      <c r="BU190" s="114"/>
      <c r="BV190" s="114"/>
      <c r="BW190" s="114"/>
      <c r="BX190" s="114"/>
      <c r="BY190" s="114"/>
      <c r="BZ190" s="114"/>
      <c r="CA190" s="114"/>
      <c r="CB190" s="114"/>
      <c r="CC190" s="114"/>
      <c r="CD190" s="114"/>
      <c r="CE190" s="114"/>
      <c r="CF190" s="114"/>
      <c r="CG190" s="114"/>
      <c r="CH190" s="114"/>
      <c r="CI190" s="114"/>
      <c r="CJ190" s="114"/>
      <c r="CK190" s="114"/>
      <c r="CL190" s="114"/>
      <c r="CM190" s="114"/>
      <c r="CN190" s="114"/>
      <c r="CO190" s="114"/>
      <c r="CP190" s="114"/>
      <c r="CQ190" s="114"/>
      <c r="CR190" s="114"/>
      <c r="CS190" s="114"/>
      <c r="CT190" s="114"/>
      <c r="CU190" s="114"/>
      <c r="CV190" s="114"/>
      <c r="CW190" s="114"/>
      <c r="CX190" s="114"/>
      <c r="CY190" s="114"/>
      <c r="CZ190" s="114"/>
      <c r="DA190" s="114"/>
      <c r="DB190" s="114"/>
      <c r="DC190" s="114"/>
    </row>
    <row r="191" spans="1:107" s="107" customFormat="1" hidden="1" outlineLevel="1" x14ac:dyDescent="0.25">
      <c r="A191" s="110" t="s">
        <v>58</v>
      </c>
      <c r="B191" s="104">
        <f t="shared" si="704"/>
        <v>0.1</v>
      </c>
      <c r="C191" s="104">
        <f t="shared" si="704"/>
        <v>0.1</v>
      </c>
      <c r="D191" s="104">
        <f t="shared" si="704"/>
        <v>0.1</v>
      </c>
      <c r="E191" s="104">
        <f t="shared" ref="E191" si="722">E80-E134</f>
        <v>0.1</v>
      </c>
      <c r="F191" s="104">
        <f t="shared" si="704"/>
        <v>0.1</v>
      </c>
      <c r="G191" s="104">
        <f t="shared" si="706"/>
        <v>0.1</v>
      </c>
      <c r="H191" s="104">
        <f t="shared" si="707"/>
        <v>0.1</v>
      </c>
      <c r="I191" s="104">
        <f t="shared" ref="I191:K191" si="723">I80-I134</f>
        <v>0.1</v>
      </c>
      <c r="J191" s="104">
        <f t="shared" si="723"/>
        <v>0.1</v>
      </c>
      <c r="K191" s="104">
        <f t="shared" si="723"/>
        <v>0.1</v>
      </c>
      <c r="L191" s="104">
        <f t="shared" ref="L191" si="724">L80-L134</f>
        <v>0.1</v>
      </c>
      <c r="M191" s="104">
        <f t="shared" ref="M191" si="725">M80-M134</f>
        <v>0.1</v>
      </c>
      <c r="N191" s="104">
        <f t="shared" si="711"/>
        <v>0.1</v>
      </c>
      <c r="O191" s="104">
        <f t="shared" si="711"/>
        <v>0.1</v>
      </c>
      <c r="P191" s="104">
        <f t="shared" si="711"/>
        <v>0.1</v>
      </c>
      <c r="Q191" s="104">
        <f t="shared" si="711"/>
        <v>0.1</v>
      </c>
      <c r="R191" s="104">
        <f t="shared" ref="R191:AZ191" si="726">R80-R134</f>
        <v>0.1</v>
      </c>
      <c r="S191" s="104">
        <f t="shared" si="726"/>
        <v>0.1</v>
      </c>
      <c r="T191" s="104">
        <f t="shared" si="726"/>
        <v>0.1</v>
      </c>
      <c r="U191" s="104">
        <f t="shared" si="726"/>
        <v>0.1</v>
      </c>
      <c r="V191" s="104">
        <f t="shared" ref="V191:W191" si="727">V80-V134</f>
        <v>0.1</v>
      </c>
      <c r="W191" s="104">
        <f t="shared" si="727"/>
        <v>0.1</v>
      </c>
      <c r="X191" s="104">
        <f t="shared" ref="X191:Y191" si="728">X80-X134</f>
        <v>0.1</v>
      </c>
      <c r="Y191" s="104">
        <f t="shared" si="728"/>
        <v>0.1</v>
      </c>
      <c r="Z191" s="104">
        <f t="shared" ref="Z191:AA191" si="729">Z80-Z134</f>
        <v>0.1</v>
      </c>
      <c r="AA191" s="104">
        <f t="shared" si="729"/>
        <v>0.1</v>
      </c>
      <c r="AB191" s="104">
        <f t="shared" si="726"/>
        <v>0.1</v>
      </c>
      <c r="AC191" s="104">
        <f t="shared" si="726"/>
        <v>0.1</v>
      </c>
      <c r="AD191" s="104">
        <f t="shared" si="726"/>
        <v>0.1</v>
      </c>
      <c r="AE191" s="104">
        <f t="shared" si="726"/>
        <v>0.1</v>
      </c>
      <c r="AF191" s="104">
        <f t="shared" si="726"/>
        <v>0.1</v>
      </c>
      <c r="AG191" s="104">
        <f t="shared" ref="AG191:AI191" si="730">AG80-AG134</f>
        <v>0.1</v>
      </c>
      <c r="AH191" s="104">
        <f t="shared" si="730"/>
        <v>0.1</v>
      </c>
      <c r="AI191" s="104">
        <f t="shared" si="730"/>
        <v>0.1</v>
      </c>
      <c r="AJ191" s="104">
        <f t="shared" si="726"/>
        <v>0.1</v>
      </c>
      <c r="AK191" s="104">
        <f t="shared" si="726"/>
        <v>0.1</v>
      </c>
      <c r="AL191" s="104">
        <f t="shared" si="726"/>
        <v>0.1</v>
      </c>
      <c r="AM191" s="104">
        <f t="shared" si="726"/>
        <v>0.1</v>
      </c>
      <c r="AN191" s="104">
        <f t="shared" si="726"/>
        <v>0.1</v>
      </c>
      <c r="AO191" s="104">
        <f t="shared" si="726"/>
        <v>0.1</v>
      </c>
      <c r="AP191" s="104">
        <f t="shared" si="726"/>
        <v>0.1</v>
      </c>
      <c r="AQ191" s="104">
        <f t="shared" si="726"/>
        <v>0.1</v>
      </c>
      <c r="AR191" s="104">
        <f t="shared" si="726"/>
        <v>0.1</v>
      </c>
      <c r="AS191" s="104">
        <f t="shared" si="726"/>
        <v>0.1</v>
      </c>
      <c r="AT191" s="104">
        <f t="shared" si="726"/>
        <v>0.1</v>
      </c>
      <c r="AU191" s="104">
        <f t="shared" si="726"/>
        <v>0.1</v>
      </c>
      <c r="AV191" s="104">
        <f t="shared" si="726"/>
        <v>0.1</v>
      </c>
      <c r="AW191" s="104">
        <f t="shared" si="726"/>
        <v>0.1</v>
      </c>
      <c r="AX191" s="104">
        <f t="shared" si="726"/>
        <v>0.1</v>
      </c>
      <c r="AY191" s="104">
        <f t="shared" si="726"/>
        <v>0.1</v>
      </c>
      <c r="AZ191" s="104">
        <f t="shared" si="726"/>
        <v>0.1</v>
      </c>
      <c r="BA191" s="104">
        <f t="shared" ref="BA191:BC191" si="731">BA80-BA134</f>
        <v>0.1</v>
      </c>
      <c r="BB191" s="104">
        <f t="shared" ref="BB191" si="732">BB80-BB134</f>
        <v>0.1</v>
      </c>
      <c r="BC191" s="104">
        <f t="shared" si="731"/>
        <v>0.1</v>
      </c>
      <c r="BD191" s="104">
        <f t="shared" ref="BD191:BE191" si="733">BD80-BD134</f>
        <v>0.1</v>
      </c>
      <c r="BE191" s="104">
        <f t="shared" si="733"/>
        <v>0.1</v>
      </c>
      <c r="BF191" s="104">
        <f t="shared" ref="BF191:BG191" si="734">BF80-BF134</f>
        <v>0.1</v>
      </c>
      <c r="BG191" s="104">
        <f t="shared" si="734"/>
        <v>0.1</v>
      </c>
      <c r="BH191" s="104">
        <f t="shared" ref="BH191" si="735">BH80-BH134</f>
        <v>0.1</v>
      </c>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c r="CZ191" s="104"/>
      <c r="DA191" s="104"/>
      <c r="DB191" s="104"/>
      <c r="DC191" s="104"/>
    </row>
    <row r="192" spans="1:107" s="106" customFormat="1" hidden="1" outlineLevel="1" x14ac:dyDescent="0.25">
      <c r="A192" s="110" t="s">
        <v>59</v>
      </c>
      <c r="B192" s="114">
        <f t="shared" si="704"/>
        <v>0.1</v>
      </c>
      <c r="C192" s="114">
        <f t="shared" si="704"/>
        <v>0.1</v>
      </c>
      <c r="D192" s="114">
        <f t="shared" si="704"/>
        <v>0.1</v>
      </c>
      <c r="E192" s="114">
        <f t="shared" ref="E192" si="736">E81-E135</f>
        <v>0.1</v>
      </c>
      <c r="F192" s="114">
        <f t="shared" si="704"/>
        <v>0.1</v>
      </c>
      <c r="G192" s="114">
        <f t="shared" si="706"/>
        <v>0.1</v>
      </c>
      <c r="H192" s="114">
        <f t="shared" si="707"/>
        <v>0.1</v>
      </c>
      <c r="I192" s="114">
        <f t="shared" ref="I192:K192" si="737">I81-I135</f>
        <v>0.1</v>
      </c>
      <c r="J192" s="114">
        <f t="shared" si="737"/>
        <v>0.1</v>
      </c>
      <c r="K192" s="114">
        <f t="shared" si="737"/>
        <v>0.1</v>
      </c>
      <c r="L192" s="114">
        <f t="shared" ref="L192" si="738">L81-L135</f>
        <v>0.1</v>
      </c>
      <c r="M192" s="114">
        <f t="shared" ref="M192" si="739">M81-M135</f>
        <v>0.1</v>
      </c>
      <c r="N192" s="114">
        <f t="shared" si="711"/>
        <v>0.1</v>
      </c>
      <c r="O192" s="114">
        <f t="shared" si="711"/>
        <v>0.1</v>
      </c>
      <c r="P192" s="114">
        <f t="shared" si="711"/>
        <v>0.1</v>
      </c>
      <c r="Q192" s="114">
        <f t="shared" si="711"/>
        <v>0.1</v>
      </c>
      <c r="R192" s="114">
        <f t="shared" ref="R192:AZ192" si="740">R81-R135</f>
        <v>0.1</v>
      </c>
      <c r="S192" s="114">
        <f t="shared" si="740"/>
        <v>0.1</v>
      </c>
      <c r="T192" s="114">
        <f t="shared" si="740"/>
        <v>0.1</v>
      </c>
      <c r="U192" s="114">
        <f t="shared" si="740"/>
        <v>0.1</v>
      </c>
      <c r="V192" s="114">
        <f t="shared" ref="V192:W192" si="741">V81-V135</f>
        <v>0.1</v>
      </c>
      <c r="W192" s="114">
        <f t="shared" si="741"/>
        <v>0.1</v>
      </c>
      <c r="X192" s="114">
        <f t="shared" ref="X192:Y192" si="742">X81-X135</f>
        <v>0.1</v>
      </c>
      <c r="Y192" s="114">
        <f t="shared" si="742"/>
        <v>0.1</v>
      </c>
      <c r="Z192" s="114">
        <f t="shared" ref="Z192:AA192" si="743">Z81-Z135</f>
        <v>0.1</v>
      </c>
      <c r="AA192" s="114">
        <f t="shared" si="743"/>
        <v>0.1</v>
      </c>
      <c r="AB192" s="114">
        <f t="shared" si="740"/>
        <v>0.1</v>
      </c>
      <c r="AC192" s="114">
        <f t="shared" si="740"/>
        <v>0.1</v>
      </c>
      <c r="AD192" s="114">
        <f t="shared" si="740"/>
        <v>0.1</v>
      </c>
      <c r="AE192" s="114">
        <f t="shared" si="740"/>
        <v>0.1</v>
      </c>
      <c r="AF192" s="114">
        <f t="shared" si="740"/>
        <v>0.1</v>
      </c>
      <c r="AG192" s="114">
        <f t="shared" ref="AG192:AI192" si="744">AG81-AG135</f>
        <v>0.1</v>
      </c>
      <c r="AH192" s="114">
        <f t="shared" si="744"/>
        <v>0.1</v>
      </c>
      <c r="AI192" s="114">
        <f t="shared" si="744"/>
        <v>0.1</v>
      </c>
      <c r="AJ192" s="114">
        <f t="shared" si="740"/>
        <v>0.1</v>
      </c>
      <c r="AK192" s="114">
        <f t="shared" si="740"/>
        <v>0.1</v>
      </c>
      <c r="AL192" s="114">
        <f t="shared" si="740"/>
        <v>0.1</v>
      </c>
      <c r="AM192" s="114">
        <f t="shared" si="740"/>
        <v>0.1</v>
      </c>
      <c r="AN192" s="114">
        <f t="shared" si="740"/>
        <v>0.1</v>
      </c>
      <c r="AO192" s="114">
        <f t="shared" si="740"/>
        <v>0.1</v>
      </c>
      <c r="AP192" s="114">
        <f t="shared" si="740"/>
        <v>0.1</v>
      </c>
      <c r="AQ192" s="114">
        <f t="shared" si="740"/>
        <v>0.1</v>
      </c>
      <c r="AR192" s="114">
        <f t="shared" si="740"/>
        <v>0.1</v>
      </c>
      <c r="AS192" s="114">
        <f t="shared" si="740"/>
        <v>0.1</v>
      </c>
      <c r="AT192" s="114">
        <f t="shared" si="740"/>
        <v>0.1</v>
      </c>
      <c r="AU192" s="114">
        <f t="shared" si="740"/>
        <v>0.1</v>
      </c>
      <c r="AV192" s="114">
        <f t="shared" si="740"/>
        <v>0.1</v>
      </c>
      <c r="AW192" s="114">
        <f t="shared" si="740"/>
        <v>0.1</v>
      </c>
      <c r="AX192" s="114">
        <f t="shared" si="740"/>
        <v>0.1</v>
      </c>
      <c r="AY192" s="114">
        <f t="shared" si="740"/>
        <v>0.1</v>
      </c>
      <c r="AZ192" s="114">
        <f t="shared" si="740"/>
        <v>0.1</v>
      </c>
      <c r="BA192" s="114">
        <f t="shared" ref="BA192:BC192" si="745">BA81-BA135</f>
        <v>0.1</v>
      </c>
      <c r="BB192" s="114">
        <f t="shared" ref="BB192" si="746">BB81-BB135</f>
        <v>0.1</v>
      </c>
      <c r="BC192" s="114">
        <f t="shared" si="745"/>
        <v>0.1</v>
      </c>
      <c r="BD192" s="114">
        <f t="shared" ref="BD192:BE192" si="747">BD81-BD135</f>
        <v>0.1</v>
      </c>
      <c r="BE192" s="114">
        <f t="shared" si="747"/>
        <v>0.1</v>
      </c>
      <c r="BF192" s="114">
        <f t="shared" ref="BF192:BG192" si="748">BF81-BF135</f>
        <v>0.1</v>
      </c>
      <c r="BG192" s="114">
        <f t="shared" si="748"/>
        <v>0.1</v>
      </c>
      <c r="BH192" s="114">
        <f t="shared" ref="BH192" si="749">BH81-BH135</f>
        <v>0.1</v>
      </c>
      <c r="BI192" s="114"/>
      <c r="BJ192" s="114"/>
      <c r="BK192" s="114"/>
      <c r="BL192" s="114"/>
      <c r="BM192" s="114"/>
      <c r="BN192" s="114"/>
      <c r="BO192" s="114"/>
      <c r="BP192" s="114"/>
      <c r="BQ192" s="114"/>
      <c r="BR192" s="114"/>
      <c r="BS192" s="114"/>
      <c r="BT192" s="114"/>
      <c r="BU192" s="114"/>
      <c r="BV192" s="114"/>
      <c r="BW192" s="114"/>
      <c r="BX192" s="114"/>
      <c r="BY192" s="114"/>
      <c r="BZ192" s="114"/>
      <c r="CA192" s="114"/>
      <c r="CB192" s="114"/>
      <c r="CC192" s="114"/>
      <c r="CD192" s="114"/>
      <c r="CE192" s="114"/>
      <c r="CF192" s="114"/>
      <c r="CG192" s="114"/>
      <c r="CH192" s="114"/>
      <c r="CI192" s="114"/>
      <c r="CJ192" s="114"/>
      <c r="CK192" s="114"/>
      <c r="CL192" s="114"/>
      <c r="CM192" s="114"/>
      <c r="CN192" s="114"/>
      <c r="CO192" s="114"/>
      <c r="CP192" s="114"/>
      <c r="CQ192" s="114"/>
      <c r="CR192" s="114"/>
      <c r="CS192" s="114"/>
      <c r="CT192" s="114"/>
      <c r="CU192" s="114"/>
      <c r="CV192" s="114"/>
      <c r="CW192" s="114"/>
      <c r="CX192" s="114"/>
      <c r="CY192" s="114"/>
      <c r="CZ192" s="114"/>
      <c r="DA192" s="114"/>
      <c r="DB192" s="114"/>
      <c r="DC192" s="114"/>
    </row>
    <row r="193" spans="1:107" s="107" customFormat="1" hidden="1" outlineLevel="1" x14ac:dyDescent="0.25">
      <c r="A193" s="110" t="s">
        <v>26</v>
      </c>
      <c r="B193" s="104">
        <f t="shared" si="704"/>
        <v>0.1</v>
      </c>
      <c r="C193" s="104">
        <f t="shared" si="704"/>
        <v>0.1</v>
      </c>
      <c r="D193" s="104">
        <f t="shared" si="704"/>
        <v>0.1</v>
      </c>
      <c r="E193" s="104">
        <f t="shared" ref="E193" si="750">E82-E136</f>
        <v>0.1</v>
      </c>
      <c r="F193" s="104">
        <f t="shared" si="704"/>
        <v>0.1</v>
      </c>
      <c r="G193" s="104">
        <f t="shared" si="706"/>
        <v>0.1</v>
      </c>
      <c r="H193" s="104">
        <f t="shared" si="707"/>
        <v>0.1</v>
      </c>
      <c r="I193" s="104">
        <f t="shared" ref="I193:K193" si="751">I82-I136</f>
        <v>0.1</v>
      </c>
      <c r="J193" s="104">
        <f t="shared" si="751"/>
        <v>0.1</v>
      </c>
      <c r="K193" s="104">
        <f t="shared" si="751"/>
        <v>0.1</v>
      </c>
      <c r="L193" s="104">
        <f t="shared" ref="L193" si="752">L82-L136</f>
        <v>0.1</v>
      </c>
      <c r="M193" s="104">
        <f t="shared" ref="M193" si="753">M82-M136</f>
        <v>0.1</v>
      </c>
      <c r="N193" s="104">
        <f t="shared" si="711"/>
        <v>0.1</v>
      </c>
      <c r="O193" s="104">
        <f t="shared" si="711"/>
        <v>0.1</v>
      </c>
      <c r="P193" s="104">
        <f t="shared" si="711"/>
        <v>0.1</v>
      </c>
      <c r="Q193" s="104">
        <f t="shared" si="711"/>
        <v>0.1</v>
      </c>
      <c r="R193" s="104">
        <f t="shared" ref="R193:AZ193" si="754">R82-R136</f>
        <v>0.1</v>
      </c>
      <c r="S193" s="104">
        <f t="shared" si="754"/>
        <v>0.1</v>
      </c>
      <c r="T193" s="104">
        <f t="shared" si="754"/>
        <v>0.1</v>
      </c>
      <c r="U193" s="104">
        <f t="shared" si="754"/>
        <v>0.1</v>
      </c>
      <c r="V193" s="104">
        <f t="shared" ref="V193:W193" si="755">V82-V136</f>
        <v>0.1</v>
      </c>
      <c r="W193" s="104">
        <f t="shared" si="755"/>
        <v>0.1</v>
      </c>
      <c r="X193" s="104">
        <f t="shared" ref="X193:Y193" si="756">X82-X136</f>
        <v>0.1</v>
      </c>
      <c r="Y193" s="104">
        <f t="shared" si="756"/>
        <v>0.1</v>
      </c>
      <c r="Z193" s="104">
        <f t="shared" ref="Z193:AA193" si="757">Z82-Z136</f>
        <v>0.1</v>
      </c>
      <c r="AA193" s="104">
        <f t="shared" si="757"/>
        <v>0.1</v>
      </c>
      <c r="AB193" s="104">
        <f t="shared" si="754"/>
        <v>0.1</v>
      </c>
      <c r="AC193" s="104">
        <f t="shared" si="754"/>
        <v>0.1</v>
      </c>
      <c r="AD193" s="104">
        <f t="shared" si="754"/>
        <v>0.1</v>
      </c>
      <c r="AE193" s="104">
        <f t="shared" si="754"/>
        <v>0.1</v>
      </c>
      <c r="AF193" s="104">
        <f t="shared" si="754"/>
        <v>0.1</v>
      </c>
      <c r="AG193" s="104">
        <f t="shared" ref="AG193:AI193" si="758">AG82-AG136</f>
        <v>0.1</v>
      </c>
      <c r="AH193" s="104">
        <f t="shared" si="758"/>
        <v>0.1</v>
      </c>
      <c r="AI193" s="104">
        <f t="shared" si="758"/>
        <v>0.1</v>
      </c>
      <c r="AJ193" s="104">
        <f t="shared" si="754"/>
        <v>0.1</v>
      </c>
      <c r="AK193" s="104">
        <f t="shared" si="754"/>
        <v>0.1</v>
      </c>
      <c r="AL193" s="104">
        <f t="shared" si="754"/>
        <v>0.1</v>
      </c>
      <c r="AM193" s="104">
        <f t="shared" si="754"/>
        <v>0.1</v>
      </c>
      <c r="AN193" s="104">
        <f t="shared" si="754"/>
        <v>0.1</v>
      </c>
      <c r="AO193" s="104">
        <f t="shared" si="754"/>
        <v>0.1</v>
      </c>
      <c r="AP193" s="104">
        <f t="shared" si="754"/>
        <v>0.1</v>
      </c>
      <c r="AQ193" s="104">
        <f t="shared" si="754"/>
        <v>0.1</v>
      </c>
      <c r="AR193" s="104">
        <f t="shared" si="754"/>
        <v>0.1</v>
      </c>
      <c r="AS193" s="104">
        <f t="shared" si="754"/>
        <v>0.1</v>
      </c>
      <c r="AT193" s="104">
        <f t="shared" si="754"/>
        <v>0.1</v>
      </c>
      <c r="AU193" s="104">
        <f t="shared" si="754"/>
        <v>0.1</v>
      </c>
      <c r="AV193" s="104">
        <f t="shared" si="754"/>
        <v>0.1</v>
      </c>
      <c r="AW193" s="104">
        <f t="shared" si="754"/>
        <v>0.1</v>
      </c>
      <c r="AX193" s="104">
        <f t="shared" si="754"/>
        <v>0.1</v>
      </c>
      <c r="AY193" s="104">
        <f t="shared" si="754"/>
        <v>0.1</v>
      </c>
      <c r="AZ193" s="104">
        <f t="shared" si="754"/>
        <v>0.1</v>
      </c>
      <c r="BA193" s="104">
        <f t="shared" ref="BA193:BC193" si="759">BA82-BA136</f>
        <v>0.1</v>
      </c>
      <c r="BB193" s="104">
        <f t="shared" ref="BB193" si="760">BB82-BB136</f>
        <v>0.1</v>
      </c>
      <c r="BC193" s="104">
        <f t="shared" si="759"/>
        <v>0.1</v>
      </c>
      <c r="BD193" s="104">
        <f t="shared" ref="BD193:BE193" si="761">BD82-BD136</f>
        <v>0.1</v>
      </c>
      <c r="BE193" s="104">
        <f t="shared" si="761"/>
        <v>0.1</v>
      </c>
      <c r="BF193" s="104">
        <f t="shared" ref="BF193:BG193" si="762">BF82-BF136</f>
        <v>0.1</v>
      </c>
      <c r="BG193" s="104">
        <f t="shared" si="762"/>
        <v>0.1</v>
      </c>
      <c r="BH193" s="104">
        <f t="shared" ref="BH193" si="763">BH82-BH136</f>
        <v>0.1</v>
      </c>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c r="CZ193" s="104"/>
      <c r="DA193" s="104"/>
      <c r="DB193" s="104"/>
      <c r="DC193" s="104"/>
    </row>
    <row r="194" spans="1:107" s="106" customFormat="1" hidden="1" outlineLevel="1" x14ac:dyDescent="0.25">
      <c r="A194" s="110" t="s">
        <v>55</v>
      </c>
      <c r="B194" s="114">
        <f t="shared" si="704"/>
        <v>0.1</v>
      </c>
      <c r="C194" s="114">
        <f t="shared" si="704"/>
        <v>0.1</v>
      </c>
      <c r="D194" s="114">
        <f t="shared" si="704"/>
        <v>0.1</v>
      </c>
      <c r="E194" s="114">
        <f t="shared" ref="E194" si="764">E83-E137</f>
        <v>0.1</v>
      </c>
      <c r="F194" s="114">
        <f t="shared" si="704"/>
        <v>0.1</v>
      </c>
      <c r="G194" s="114">
        <f t="shared" si="706"/>
        <v>0.1</v>
      </c>
      <c r="H194" s="114">
        <f t="shared" si="707"/>
        <v>0.1</v>
      </c>
      <c r="I194" s="114">
        <f t="shared" ref="I194:K194" si="765">I83-I137</f>
        <v>0.1</v>
      </c>
      <c r="J194" s="114">
        <f t="shared" si="765"/>
        <v>0.1</v>
      </c>
      <c r="K194" s="114">
        <f t="shared" si="765"/>
        <v>0.1</v>
      </c>
      <c r="L194" s="114">
        <f t="shared" ref="L194" si="766">L83-L137</f>
        <v>0.1</v>
      </c>
      <c r="M194" s="114">
        <f t="shared" ref="M194" si="767">M83-M137</f>
        <v>0.1</v>
      </c>
      <c r="N194" s="114">
        <f t="shared" si="711"/>
        <v>0.1</v>
      </c>
      <c r="O194" s="114">
        <f t="shared" si="711"/>
        <v>0.1</v>
      </c>
      <c r="P194" s="114">
        <f t="shared" si="711"/>
        <v>0.1</v>
      </c>
      <c r="Q194" s="114">
        <f t="shared" si="711"/>
        <v>0.1</v>
      </c>
      <c r="R194" s="114">
        <f t="shared" ref="R194:AZ194" si="768">R83-R137</f>
        <v>0.1</v>
      </c>
      <c r="S194" s="114">
        <f t="shared" si="768"/>
        <v>0.1</v>
      </c>
      <c r="T194" s="114">
        <f t="shared" si="768"/>
        <v>0.1</v>
      </c>
      <c r="U194" s="114">
        <f t="shared" si="768"/>
        <v>0.1</v>
      </c>
      <c r="V194" s="114">
        <f t="shared" ref="V194:W194" si="769">V83-V137</f>
        <v>0.1</v>
      </c>
      <c r="W194" s="114">
        <f t="shared" si="769"/>
        <v>0.1</v>
      </c>
      <c r="X194" s="114">
        <f t="shared" ref="X194:Y194" si="770">X83-X137</f>
        <v>0.1</v>
      </c>
      <c r="Y194" s="114">
        <f t="shared" si="770"/>
        <v>0.1</v>
      </c>
      <c r="Z194" s="114">
        <f t="shared" ref="Z194:AA194" si="771">Z83-Z137</f>
        <v>0.1</v>
      </c>
      <c r="AA194" s="114">
        <f t="shared" si="771"/>
        <v>0.1</v>
      </c>
      <c r="AB194" s="114">
        <f t="shared" si="768"/>
        <v>0.1</v>
      </c>
      <c r="AC194" s="114">
        <f t="shared" si="768"/>
        <v>0.1</v>
      </c>
      <c r="AD194" s="114">
        <f t="shared" si="768"/>
        <v>0.1</v>
      </c>
      <c r="AE194" s="114">
        <f t="shared" si="768"/>
        <v>0.1</v>
      </c>
      <c r="AF194" s="114">
        <f t="shared" si="768"/>
        <v>0.1</v>
      </c>
      <c r="AG194" s="114">
        <f t="shared" ref="AG194:AI194" si="772">AG83-AG137</f>
        <v>0.1</v>
      </c>
      <c r="AH194" s="114">
        <f t="shared" si="772"/>
        <v>0.1</v>
      </c>
      <c r="AI194" s="114">
        <f t="shared" si="772"/>
        <v>0.1</v>
      </c>
      <c r="AJ194" s="114">
        <f t="shared" si="768"/>
        <v>0.1</v>
      </c>
      <c r="AK194" s="114">
        <f t="shared" si="768"/>
        <v>0.1</v>
      </c>
      <c r="AL194" s="114">
        <f t="shared" si="768"/>
        <v>0.1</v>
      </c>
      <c r="AM194" s="114">
        <f t="shared" si="768"/>
        <v>0.1</v>
      </c>
      <c r="AN194" s="114">
        <f t="shared" si="768"/>
        <v>0.1</v>
      </c>
      <c r="AO194" s="114">
        <f t="shared" si="768"/>
        <v>0.1</v>
      </c>
      <c r="AP194" s="114">
        <f t="shared" si="768"/>
        <v>0.1</v>
      </c>
      <c r="AQ194" s="114">
        <f t="shared" si="768"/>
        <v>0.1</v>
      </c>
      <c r="AR194" s="114">
        <f t="shared" si="768"/>
        <v>0.1</v>
      </c>
      <c r="AS194" s="114">
        <f t="shared" si="768"/>
        <v>0.1</v>
      </c>
      <c r="AT194" s="114">
        <f t="shared" si="768"/>
        <v>0.1</v>
      </c>
      <c r="AU194" s="114">
        <f t="shared" si="768"/>
        <v>0.1</v>
      </c>
      <c r="AV194" s="114">
        <f t="shared" si="768"/>
        <v>0.1</v>
      </c>
      <c r="AW194" s="114">
        <f t="shared" si="768"/>
        <v>0.1</v>
      </c>
      <c r="AX194" s="114">
        <f t="shared" si="768"/>
        <v>0.1</v>
      </c>
      <c r="AY194" s="114">
        <f t="shared" si="768"/>
        <v>0.1</v>
      </c>
      <c r="AZ194" s="114">
        <f t="shared" si="768"/>
        <v>0.1</v>
      </c>
      <c r="BA194" s="114">
        <f t="shared" ref="BA194:BC194" si="773">BA83-BA137</f>
        <v>0.1</v>
      </c>
      <c r="BB194" s="114">
        <f t="shared" ref="BB194" si="774">BB83-BB137</f>
        <v>0.1</v>
      </c>
      <c r="BC194" s="114">
        <f t="shared" si="773"/>
        <v>0.1</v>
      </c>
      <c r="BD194" s="114">
        <f t="shared" ref="BD194:BE194" si="775">BD83-BD137</f>
        <v>0.1</v>
      </c>
      <c r="BE194" s="114">
        <f t="shared" si="775"/>
        <v>0.1</v>
      </c>
      <c r="BF194" s="114">
        <f t="shared" ref="BF194:BG194" si="776">BF83-BF137</f>
        <v>0.1</v>
      </c>
      <c r="BG194" s="114">
        <f t="shared" si="776"/>
        <v>0.1</v>
      </c>
      <c r="BH194" s="114">
        <f t="shared" ref="BH194" si="777">BH83-BH137</f>
        <v>0.1</v>
      </c>
      <c r="BI194" s="114"/>
      <c r="BJ194" s="114"/>
      <c r="BK194" s="114"/>
      <c r="BL194" s="114"/>
      <c r="BM194" s="114"/>
      <c r="BN194" s="114"/>
      <c r="BO194" s="114"/>
      <c r="BP194" s="114"/>
      <c r="BQ194" s="114"/>
      <c r="BR194" s="114"/>
      <c r="BS194" s="114"/>
      <c r="BT194" s="114"/>
      <c r="BU194" s="114"/>
      <c r="BV194" s="114"/>
      <c r="BW194" s="114"/>
      <c r="BX194" s="114"/>
      <c r="BY194" s="114"/>
      <c r="BZ194" s="114"/>
      <c r="CA194" s="114"/>
      <c r="CB194" s="114"/>
      <c r="CC194" s="114"/>
      <c r="CD194" s="114"/>
      <c r="CE194" s="114"/>
      <c r="CF194" s="114"/>
      <c r="CG194" s="114"/>
      <c r="CH194" s="114"/>
      <c r="CI194" s="114"/>
      <c r="CJ194" s="114"/>
      <c r="CK194" s="114"/>
      <c r="CL194" s="114"/>
      <c r="CM194" s="114"/>
      <c r="CN194" s="114"/>
      <c r="CO194" s="114"/>
      <c r="CP194" s="114"/>
      <c r="CQ194" s="114"/>
      <c r="CR194" s="114"/>
      <c r="CS194" s="114"/>
      <c r="CT194" s="114"/>
      <c r="CU194" s="114"/>
      <c r="CV194" s="114"/>
      <c r="CW194" s="114"/>
      <c r="CX194" s="114"/>
      <c r="CY194" s="114"/>
      <c r="CZ194" s="114"/>
      <c r="DA194" s="114"/>
      <c r="DB194" s="114"/>
      <c r="DC194" s="114"/>
    </row>
    <row r="195" spans="1:107" s="107" customFormat="1" hidden="1" outlineLevel="1" x14ac:dyDescent="0.25">
      <c r="A195" s="110" t="s">
        <v>56</v>
      </c>
      <c r="B195" s="104">
        <f t="shared" si="704"/>
        <v>0.1</v>
      </c>
      <c r="C195" s="104">
        <f t="shared" si="704"/>
        <v>0.1</v>
      </c>
      <c r="D195" s="104">
        <f t="shared" si="704"/>
        <v>0.1</v>
      </c>
      <c r="E195" s="104">
        <f t="shared" ref="E195" si="778">E84-E138</f>
        <v>-0.30000000000000004</v>
      </c>
      <c r="F195" s="104">
        <f t="shared" si="704"/>
        <v>-0.30000000000000004</v>
      </c>
      <c r="G195" s="104">
        <f t="shared" si="706"/>
        <v>-0.30000000000000004</v>
      </c>
      <c r="H195" s="104">
        <f t="shared" si="707"/>
        <v>-0.30000000000000004</v>
      </c>
      <c r="I195" s="104">
        <f t="shared" ref="I195:K195" si="779">I84-I138</f>
        <v>-0.30000000000000004</v>
      </c>
      <c r="J195" s="104">
        <f t="shared" si="779"/>
        <v>-0.44000000000000006</v>
      </c>
      <c r="K195" s="104">
        <f t="shared" si="779"/>
        <v>-0.44000000000000006</v>
      </c>
      <c r="L195" s="104">
        <f t="shared" ref="L195" si="780">L84-L138</f>
        <v>-0.44000000000000006</v>
      </c>
      <c r="M195" s="104">
        <f t="shared" ref="M195" si="781">M84-M138</f>
        <v>-0.44000000000000006</v>
      </c>
      <c r="N195" s="104">
        <f t="shared" si="711"/>
        <v>-0.30000000000000004</v>
      </c>
      <c r="O195" s="104">
        <f t="shared" si="711"/>
        <v>-0.44000000000000006</v>
      </c>
      <c r="P195" s="104">
        <f t="shared" si="711"/>
        <v>-0.44000000000000006</v>
      </c>
      <c r="Q195" s="104">
        <f t="shared" si="711"/>
        <v>-0.44000000000000006</v>
      </c>
      <c r="R195" s="104">
        <f t="shared" ref="R195:AZ195" si="782">R84-R138</f>
        <v>0.1</v>
      </c>
      <c r="S195" s="104">
        <f t="shared" si="782"/>
        <v>-0.44000000000000006</v>
      </c>
      <c r="T195" s="104">
        <f t="shared" si="782"/>
        <v>0.1</v>
      </c>
      <c r="U195" s="104">
        <f t="shared" si="782"/>
        <v>-0.44000000000000006</v>
      </c>
      <c r="V195" s="104">
        <f t="shared" ref="V195:W195" si="783">V84-V138</f>
        <v>-0.44000000000000006</v>
      </c>
      <c r="W195" s="104">
        <f t="shared" si="783"/>
        <v>-0.44000000000000006</v>
      </c>
      <c r="X195" s="104">
        <f t="shared" ref="X195:Y195" si="784">X84-X138</f>
        <v>-0.44000000000000006</v>
      </c>
      <c r="Y195" s="104">
        <f t="shared" si="784"/>
        <v>-0.44000000000000006</v>
      </c>
      <c r="Z195" s="104">
        <f t="shared" ref="Z195:AA195" si="785">Z84-Z138</f>
        <v>-0.30000000000000004</v>
      </c>
      <c r="AA195" s="104">
        <f t="shared" si="785"/>
        <v>-0.30000000000000004</v>
      </c>
      <c r="AB195" s="104">
        <f t="shared" si="782"/>
        <v>0.1</v>
      </c>
      <c r="AC195" s="104">
        <f t="shared" si="782"/>
        <v>0.1</v>
      </c>
      <c r="AD195" s="104">
        <f t="shared" si="782"/>
        <v>-0.44000000000000006</v>
      </c>
      <c r="AE195" s="104">
        <f t="shared" si="782"/>
        <v>-0.44000000000000006</v>
      </c>
      <c r="AF195" s="104">
        <f t="shared" si="782"/>
        <v>-0.30000000000000004</v>
      </c>
      <c r="AG195" s="104">
        <f t="shared" ref="AG195:AI195" si="786">AG84-AG138</f>
        <v>-0.30000000000000004</v>
      </c>
      <c r="AH195" s="104">
        <f t="shared" si="786"/>
        <v>-0.30000000000000004</v>
      </c>
      <c r="AI195" s="104">
        <f t="shared" si="786"/>
        <v>-0.30000000000000004</v>
      </c>
      <c r="AJ195" s="104">
        <f t="shared" si="782"/>
        <v>0.1</v>
      </c>
      <c r="AK195" s="104">
        <f t="shared" si="782"/>
        <v>0.1</v>
      </c>
      <c r="AL195" s="104">
        <f t="shared" si="782"/>
        <v>0.1</v>
      </c>
      <c r="AM195" s="104">
        <f t="shared" si="782"/>
        <v>0.1</v>
      </c>
      <c r="AN195" s="104">
        <f t="shared" si="782"/>
        <v>0.1</v>
      </c>
      <c r="AO195" s="104">
        <f t="shared" si="782"/>
        <v>0.1</v>
      </c>
      <c r="AP195" s="104">
        <f t="shared" si="782"/>
        <v>0.1</v>
      </c>
      <c r="AQ195" s="104">
        <f t="shared" si="782"/>
        <v>0.1</v>
      </c>
      <c r="AR195" s="104">
        <f t="shared" si="782"/>
        <v>0.1</v>
      </c>
      <c r="AS195" s="104">
        <f t="shared" si="782"/>
        <v>0.1</v>
      </c>
      <c r="AT195" s="104">
        <f t="shared" si="782"/>
        <v>0.1</v>
      </c>
      <c r="AU195" s="104">
        <f t="shared" si="782"/>
        <v>0.1</v>
      </c>
      <c r="AV195" s="104">
        <f t="shared" si="782"/>
        <v>0.1</v>
      </c>
      <c r="AW195" s="104">
        <f t="shared" si="782"/>
        <v>0.1</v>
      </c>
      <c r="AX195" s="104">
        <f t="shared" si="782"/>
        <v>0.1</v>
      </c>
      <c r="AY195" s="104">
        <f t="shared" si="782"/>
        <v>0.1</v>
      </c>
      <c r="AZ195" s="104">
        <f t="shared" si="782"/>
        <v>0.1</v>
      </c>
      <c r="BA195" s="104">
        <f t="shared" ref="BA195:BC195" si="787">BA84-BA138</f>
        <v>0.1</v>
      </c>
      <c r="BB195" s="104">
        <f t="shared" ref="BB195" si="788">BB84-BB138</f>
        <v>0.1</v>
      </c>
      <c r="BC195" s="104">
        <f t="shared" si="787"/>
        <v>0.1</v>
      </c>
      <c r="BD195" s="104">
        <f t="shared" ref="BD195:BE195" si="789">BD84-BD138</f>
        <v>0.1</v>
      </c>
      <c r="BE195" s="104">
        <f t="shared" si="789"/>
        <v>0.1</v>
      </c>
      <c r="BF195" s="104">
        <f t="shared" ref="BF195:BG195" si="790">BF84-BF138</f>
        <v>0.1</v>
      </c>
      <c r="BG195" s="104">
        <f t="shared" si="790"/>
        <v>0.1</v>
      </c>
      <c r="BH195" s="104">
        <f t="shared" ref="BH195" si="791">BH84-BH138</f>
        <v>0.1</v>
      </c>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c r="CZ195" s="104"/>
      <c r="DA195" s="104"/>
      <c r="DB195" s="104"/>
      <c r="DC195" s="104"/>
    </row>
    <row r="196" spans="1:107" s="106" customFormat="1" hidden="1" outlineLevel="1" x14ac:dyDescent="0.25">
      <c r="A196" s="110" t="s">
        <v>57</v>
      </c>
      <c r="B196" s="114">
        <f t="shared" si="704"/>
        <v>0.1</v>
      </c>
      <c r="C196" s="114">
        <f t="shared" si="704"/>
        <v>0.1</v>
      </c>
      <c r="D196" s="114">
        <f t="shared" si="704"/>
        <v>0.1</v>
      </c>
      <c r="E196" s="114">
        <f t="shared" ref="E196" si="792">E85-E139</f>
        <v>0.1</v>
      </c>
      <c r="F196" s="114">
        <f t="shared" si="704"/>
        <v>0.1</v>
      </c>
      <c r="G196" s="114">
        <f t="shared" si="706"/>
        <v>0.1</v>
      </c>
      <c r="H196" s="114">
        <f t="shared" si="707"/>
        <v>0.1</v>
      </c>
      <c r="I196" s="114">
        <f t="shared" ref="I196:K196" si="793">I85-I139</f>
        <v>0.1</v>
      </c>
      <c r="J196" s="114">
        <f t="shared" si="793"/>
        <v>0.1</v>
      </c>
      <c r="K196" s="114">
        <f t="shared" si="793"/>
        <v>0.1</v>
      </c>
      <c r="L196" s="114">
        <f t="shared" ref="L196" si="794">L85-L139</f>
        <v>0.1</v>
      </c>
      <c r="M196" s="114">
        <f t="shared" ref="M196" si="795">M85-M139</f>
        <v>0.1</v>
      </c>
      <c r="N196" s="114">
        <f t="shared" si="711"/>
        <v>0.1</v>
      </c>
      <c r="O196" s="114">
        <f t="shared" si="711"/>
        <v>0.1</v>
      </c>
      <c r="P196" s="114">
        <f t="shared" si="711"/>
        <v>0.1</v>
      </c>
      <c r="Q196" s="114">
        <f t="shared" si="711"/>
        <v>0.1</v>
      </c>
      <c r="R196" s="114">
        <f t="shared" ref="R196:AZ196" si="796">R85-R139</f>
        <v>0.1</v>
      </c>
      <c r="S196" s="114">
        <f t="shared" si="796"/>
        <v>0.1</v>
      </c>
      <c r="T196" s="114">
        <f t="shared" si="796"/>
        <v>0.1</v>
      </c>
      <c r="U196" s="114">
        <f t="shared" si="796"/>
        <v>0.1</v>
      </c>
      <c r="V196" s="114">
        <f t="shared" ref="V196:W196" si="797">V85-V139</f>
        <v>0.1</v>
      </c>
      <c r="W196" s="114">
        <f t="shared" si="797"/>
        <v>0.1</v>
      </c>
      <c r="X196" s="114">
        <f t="shared" ref="X196:Y196" si="798">X85-X139</f>
        <v>0.1</v>
      </c>
      <c r="Y196" s="114">
        <f t="shared" si="798"/>
        <v>0.1</v>
      </c>
      <c r="Z196" s="114">
        <f t="shared" ref="Z196:AA196" si="799">Z85-Z139</f>
        <v>0.1</v>
      </c>
      <c r="AA196" s="114">
        <f t="shared" si="799"/>
        <v>0.1</v>
      </c>
      <c r="AB196" s="114">
        <f t="shared" si="796"/>
        <v>0.1</v>
      </c>
      <c r="AC196" s="114">
        <f t="shared" si="796"/>
        <v>0.1</v>
      </c>
      <c r="AD196" s="114">
        <f t="shared" si="796"/>
        <v>0.1</v>
      </c>
      <c r="AE196" s="114">
        <f t="shared" si="796"/>
        <v>0.1</v>
      </c>
      <c r="AF196" s="114">
        <f t="shared" si="796"/>
        <v>0.1</v>
      </c>
      <c r="AG196" s="114">
        <f t="shared" ref="AG196:AI196" si="800">AG85-AG139</f>
        <v>0.1</v>
      </c>
      <c r="AH196" s="114">
        <f t="shared" si="800"/>
        <v>0.1</v>
      </c>
      <c r="AI196" s="114">
        <f t="shared" si="800"/>
        <v>0.1</v>
      </c>
      <c r="AJ196" s="114">
        <f t="shared" si="796"/>
        <v>0.1</v>
      </c>
      <c r="AK196" s="114">
        <f t="shared" si="796"/>
        <v>0.1</v>
      </c>
      <c r="AL196" s="114">
        <f t="shared" si="796"/>
        <v>0.1</v>
      </c>
      <c r="AM196" s="114">
        <f t="shared" si="796"/>
        <v>0.1</v>
      </c>
      <c r="AN196" s="114">
        <f t="shared" si="796"/>
        <v>0.1</v>
      </c>
      <c r="AO196" s="114">
        <f t="shared" si="796"/>
        <v>0.1</v>
      </c>
      <c r="AP196" s="114">
        <f t="shared" si="796"/>
        <v>0.1</v>
      </c>
      <c r="AQ196" s="114">
        <f t="shared" si="796"/>
        <v>0.1</v>
      </c>
      <c r="AR196" s="114">
        <f t="shared" si="796"/>
        <v>0.1</v>
      </c>
      <c r="AS196" s="114">
        <f t="shared" si="796"/>
        <v>0.1</v>
      </c>
      <c r="AT196" s="114">
        <f t="shared" si="796"/>
        <v>0.1</v>
      </c>
      <c r="AU196" s="114">
        <f t="shared" si="796"/>
        <v>0.1</v>
      </c>
      <c r="AV196" s="114">
        <f t="shared" si="796"/>
        <v>0.1</v>
      </c>
      <c r="AW196" s="114">
        <f t="shared" si="796"/>
        <v>0.1</v>
      </c>
      <c r="AX196" s="114">
        <f t="shared" si="796"/>
        <v>0.1</v>
      </c>
      <c r="AY196" s="114">
        <f t="shared" si="796"/>
        <v>0.1</v>
      </c>
      <c r="AZ196" s="114">
        <f t="shared" si="796"/>
        <v>0.1</v>
      </c>
      <c r="BA196" s="114">
        <f t="shared" ref="BA196:BC196" si="801">BA85-BA139</f>
        <v>0.1</v>
      </c>
      <c r="BB196" s="114">
        <f t="shared" ref="BB196" si="802">BB85-BB139</f>
        <v>0.1</v>
      </c>
      <c r="BC196" s="114">
        <f t="shared" si="801"/>
        <v>0.1</v>
      </c>
      <c r="BD196" s="114">
        <f t="shared" ref="BD196:BE196" si="803">BD85-BD139</f>
        <v>0.1</v>
      </c>
      <c r="BE196" s="114">
        <f t="shared" si="803"/>
        <v>0.1</v>
      </c>
      <c r="BF196" s="114">
        <f t="shared" ref="BF196:BG196" si="804">BF85-BF139</f>
        <v>0.1</v>
      </c>
      <c r="BG196" s="114">
        <f t="shared" si="804"/>
        <v>0.1</v>
      </c>
      <c r="BH196" s="114">
        <f t="shared" ref="BH196" si="805">BH85-BH139</f>
        <v>0.1</v>
      </c>
      <c r="BI196" s="114"/>
      <c r="BJ196" s="114"/>
      <c r="BK196" s="114"/>
      <c r="BL196" s="114"/>
      <c r="BM196" s="114"/>
      <c r="BN196" s="114"/>
      <c r="BO196" s="114"/>
      <c r="BP196" s="114"/>
      <c r="BQ196" s="114"/>
      <c r="BR196" s="114"/>
      <c r="BS196" s="114"/>
      <c r="BT196" s="114"/>
      <c r="BU196" s="114"/>
      <c r="BV196" s="114"/>
      <c r="BW196" s="114"/>
      <c r="BX196" s="114"/>
      <c r="BY196" s="114"/>
      <c r="BZ196" s="114"/>
      <c r="CA196" s="114"/>
      <c r="CB196" s="114"/>
      <c r="CC196" s="114"/>
      <c r="CD196" s="114"/>
      <c r="CE196" s="114"/>
      <c r="CF196" s="114"/>
      <c r="CG196" s="114"/>
      <c r="CH196" s="114"/>
      <c r="CI196" s="114"/>
      <c r="CJ196" s="114"/>
      <c r="CK196" s="114"/>
      <c r="CL196" s="114"/>
      <c r="CM196" s="114"/>
      <c r="CN196" s="114"/>
      <c r="CO196" s="114"/>
      <c r="CP196" s="114"/>
      <c r="CQ196" s="114"/>
      <c r="CR196" s="114"/>
      <c r="CS196" s="114"/>
      <c r="CT196" s="114"/>
      <c r="CU196" s="114"/>
      <c r="CV196" s="114"/>
      <c r="CW196" s="114"/>
      <c r="CX196" s="114"/>
      <c r="CY196" s="114"/>
      <c r="CZ196" s="114"/>
      <c r="DA196" s="114"/>
      <c r="DB196" s="114"/>
      <c r="DC196" s="114"/>
    </row>
    <row r="197" spans="1:107" s="116" customFormat="1" collapsed="1" x14ac:dyDescent="0.25">
      <c r="A197" s="116" t="s">
        <v>687</v>
      </c>
    </row>
    <row r="198" spans="1:107" s="121" customFormat="1" hidden="1" outlineLevel="1" x14ac:dyDescent="0.25">
      <c r="A198" s="110" t="s">
        <v>653</v>
      </c>
      <c r="B198" s="120">
        <f t="shared" ref="B198:F204" si="806">IF(B190&lt;0, B190/2, IF(AND(B190&gt;=0, B190&lt;=75%), B190, IF(B190&gt;75%, 1/(4*B190+1))))</f>
        <v>0.1</v>
      </c>
      <c r="C198" s="120">
        <f t="shared" si="806"/>
        <v>0.1</v>
      </c>
      <c r="D198" s="120">
        <f t="shared" si="806"/>
        <v>0.1</v>
      </c>
      <c r="E198" s="120">
        <f t="shared" ref="E198" si="807">IF(E190&lt;0, E190/2, IF(AND(E190&gt;=0, E190&lt;=75%), E190, IF(E190&gt;75%, 1/(4*E190+1))))</f>
        <v>0.1</v>
      </c>
      <c r="F198" s="120">
        <f t="shared" si="806"/>
        <v>0.1</v>
      </c>
      <c r="G198" s="120">
        <f t="shared" ref="G198:G204" si="808">IF(G190&lt;0, G190/2, IF(AND(G190&gt;=0, G190&lt;=75%), G190, IF(G190&gt;75%, 1/(4*G190+1))))</f>
        <v>0.1</v>
      </c>
      <c r="H198" s="120">
        <f t="shared" ref="H198:H204" si="809">IF(H190&lt;0, H190/2, IF(AND(H190&gt;=0, H190&lt;=75%), H190, IF(H190&gt;75%, 1/(4*H190+1))))</f>
        <v>0.1</v>
      </c>
      <c r="I198" s="120">
        <f t="shared" ref="I198:K198" si="810">IF(I190&lt;0, I190/2, IF(AND(I190&gt;=0, I190&lt;=75%), I190, IF(I190&gt;75%, 1/(4*I190+1))))</f>
        <v>0.1</v>
      </c>
      <c r="J198" s="120">
        <f t="shared" si="810"/>
        <v>0.1</v>
      </c>
      <c r="K198" s="120">
        <f t="shared" si="810"/>
        <v>0.1</v>
      </c>
      <c r="L198" s="120">
        <f t="shared" ref="L198" si="811">IF(L190&lt;0, L190/2, IF(AND(L190&gt;=0, L190&lt;=75%), L190, IF(L190&gt;75%, 1/(4*L190+1))))</f>
        <v>0.1</v>
      </c>
      <c r="M198" s="120">
        <f t="shared" ref="M198" si="812">IF(M190&lt;0, M190/2, IF(AND(M190&gt;=0, M190&lt;=75%), M190, IF(M190&gt;75%, 1/(4*M190+1))))</f>
        <v>0.1</v>
      </c>
      <c r="N198" s="120">
        <f t="shared" ref="N198:Q204" si="813">IF(N190&lt;0, N190/2, IF(AND(N190&gt;=0, N190&lt;=75%), N190, IF(N190&gt;75%, 1/(4*N190+1))))</f>
        <v>0.1</v>
      </c>
      <c r="O198" s="120">
        <f t="shared" si="813"/>
        <v>0.1</v>
      </c>
      <c r="P198" s="120">
        <f t="shared" si="813"/>
        <v>0.1</v>
      </c>
      <c r="Q198" s="120">
        <f t="shared" si="813"/>
        <v>0.1</v>
      </c>
      <c r="R198" s="120">
        <f t="shared" ref="R198:AZ198" si="814">IF(R190&lt;0, R190/2, IF(AND(R190&gt;=0, R190&lt;=75%), R190, IF(R190&gt;75%, 1/(4*R190+1))))</f>
        <v>0.1</v>
      </c>
      <c r="S198" s="120">
        <f t="shared" si="814"/>
        <v>0.1</v>
      </c>
      <c r="T198" s="120">
        <f t="shared" si="814"/>
        <v>0.1</v>
      </c>
      <c r="U198" s="120">
        <f t="shared" si="814"/>
        <v>0.1</v>
      </c>
      <c r="V198" s="120">
        <f t="shared" ref="V198:W198" si="815">IF(V190&lt;0, V190/2, IF(AND(V190&gt;=0, V190&lt;=75%), V190, IF(V190&gt;75%, 1/(4*V190+1))))</f>
        <v>0.1</v>
      </c>
      <c r="W198" s="120">
        <f t="shared" si="815"/>
        <v>0.1</v>
      </c>
      <c r="X198" s="120">
        <f t="shared" ref="X198:Y198" si="816">IF(X190&lt;0, X190/2, IF(AND(X190&gt;=0, X190&lt;=75%), X190, IF(X190&gt;75%, 1/(4*X190+1))))</f>
        <v>0.1</v>
      </c>
      <c r="Y198" s="120">
        <f t="shared" si="816"/>
        <v>0.1</v>
      </c>
      <c r="Z198" s="120">
        <f t="shared" ref="Z198:AA198" si="817">IF(Z190&lt;0, Z190/2, IF(AND(Z190&gt;=0, Z190&lt;=75%), Z190, IF(Z190&gt;75%, 1/(4*Z190+1))))</f>
        <v>0.1</v>
      </c>
      <c r="AA198" s="120">
        <f t="shared" si="817"/>
        <v>0.1</v>
      </c>
      <c r="AB198" s="120">
        <f t="shared" si="814"/>
        <v>0.1</v>
      </c>
      <c r="AC198" s="120">
        <f t="shared" si="814"/>
        <v>0.1</v>
      </c>
      <c r="AD198" s="120">
        <f t="shared" si="814"/>
        <v>0.1</v>
      </c>
      <c r="AE198" s="120">
        <f t="shared" si="814"/>
        <v>0.1</v>
      </c>
      <c r="AF198" s="120">
        <f t="shared" si="814"/>
        <v>0.1</v>
      </c>
      <c r="AG198" s="120">
        <f t="shared" ref="AG198:AI198" si="818">IF(AG190&lt;0, AG190/2, IF(AND(AG190&gt;=0, AG190&lt;=75%), AG190, IF(AG190&gt;75%, 1/(4*AG190+1))))</f>
        <v>0.1</v>
      </c>
      <c r="AH198" s="120">
        <f t="shared" si="818"/>
        <v>0.1</v>
      </c>
      <c r="AI198" s="120">
        <f t="shared" si="818"/>
        <v>0.1</v>
      </c>
      <c r="AJ198" s="120">
        <f t="shared" si="814"/>
        <v>0.1</v>
      </c>
      <c r="AK198" s="120">
        <f t="shared" si="814"/>
        <v>0.1</v>
      </c>
      <c r="AL198" s="120">
        <f t="shared" si="814"/>
        <v>0.1</v>
      </c>
      <c r="AM198" s="120">
        <f t="shared" si="814"/>
        <v>0.1</v>
      </c>
      <c r="AN198" s="120">
        <f t="shared" si="814"/>
        <v>0.1</v>
      </c>
      <c r="AO198" s="120">
        <f t="shared" si="814"/>
        <v>0.1</v>
      </c>
      <c r="AP198" s="120">
        <f t="shared" si="814"/>
        <v>0.1</v>
      </c>
      <c r="AQ198" s="120">
        <f t="shared" si="814"/>
        <v>0.1</v>
      </c>
      <c r="AR198" s="120">
        <f t="shared" si="814"/>
        <v>0.1</v>
      </c>
      <c r="AS198" s="120">
        <f t="shared" si="814"/>
        <v>0.1</v>
      </c>
      <c r="AT198" s="120">
        <f t="shared" si="814"/>
        <v>0.1</v>
      </c>
      <c r="AU198" s="120">
        <f t="shared" si="814"/>
        <v>0.1</v>
      </c>
      <c r="AV198" s="120">
        <f t="shared" si="814"/>
        <v>0.1</v>
      </c>
      <c r="AW198" s="120">
        <f t="shared" si="814"/>
        <v>0.1</v>
      </c>
      <c r="AX198" s="120">
        <f t="shared" si="814"/>
        <v>0.1</v>
      </c>
      <c r="AY198" s="120">
        <f t="shared" si="814"/>
        <v>0.1</v>
      </c>
      <c r="AZ198" s="120">
        <f t="shared" si="814"/>
        <v>0.1</v>
      </c>
      <c r="BA198" s="120">
        <f t="shared" ref="BA198:BC198" si="819">IF(BA190&lt;0, BA190/2, IF(AND(BA190&gt;=0, BA190&lt;=75%), BA190, IF(BA190&gt;75%, 1/(4*BA190+1))))</f>
        <v>0.1</v>
      </c>
      <c r="BB198" s="120">
        <f t="shared" ref="BB198" si="820">IF(BB190&lt;0, BB190/2, IF(AND(BB190&gt;=0, BB190&lt;=75%), BB190, IF(BB190&gt;75%, 1/(4*BB190+1))))</f>
        <v>0.1</v>
      </c>
      <c r="BC198" s="120">
        <f t="shared" si="819"/>
        <v>0.1</v>
      </c>
      <c r="BD198" s="120">
        <f t="shared" ref="BD198:BE198" si="821">IF(BD190&lt;0, BD190/2, IF(AND(BD190&gt;=0, BD190&lt;=75%), BD190, IF(BD190&gt;75%, 1/(4*BD190+1))))</f>
        <v>0.1</v>
      </c>
      <c r="BE198" s="120">
        <f t="shared" si="821"/>
        <v>0.1</v>
      </c>
      <c r="BF198" s="120">
        <f t="shared" ref="BF198:BG198" si="822">IF(BF190&lt;0, BF190/2, IF(AND(BF190&gt;=0, BF190&lt;=75%), BF190, IF(BF190&gt;75%, 1/(4*BF190+1))))</f>
        <v>0.1</v>
      </c>
      <c r="BG198" s="120">
        <f t="shared" si="822"/>
        <v>0.1</v>
      </c>
      <c r="BH198" s="120">
        <f t="shared" ref="BH198" si="823">IF(BH190&lt;0, BH190/2, IF(AND(BH190&gt;=0, BH190&lt;=75%), BH190, IF(BH190&gt;75%, 1/(4*BH190+1))))</f>
        <v>0.1</v>
      </c>
      <c r="BI198" s="120"/>
      <c r="BJ198" s="120"/>
      <c r="BK198" s="120"/>
      <c r="BL198" s="120"/>
      <c r="BM198" s="120"/>
      <c r="BN198" s="120"/>
      <c r="BO198" s="120"/>
      <c r="BP198" s="120"/>
      <c r="BQ198" s="120"/>
      <c r="BR198" s="120"/>
      <c r="BS198" s="120"/>
      <c r="BT198" s="120"/>
      <c r="BU198" s="120"/>
      <c r="BV198" s="120"/>
      <c r="BW198" s="120"/>
      <c r="BX198" s="120"/>
      <c r="BY198" s="120"/>
      <c r="BZ198" s="120"/>
      <c r="CA198" s="120"/>
      <c r="CB198" s="120"/>
      <c r="CC198" s="120"/>
      <c r="CD198" s="120"/>
      <c r="CE198" s="120"/>
      <c r="CF198" s="120"/>
      <c r="CG198" s="120"/>
      <c r="CH198" s="120"/>
      <c r="CI198" s="120"/>
      <c r="CJ198" s="120"/>
      <c r="CK198" s="120"/>
      <c r="CL198" s="120"/>
      <c r="CM198" s="120"/>
      <c r="CN198" s="120"/>
      <c r="CO198" s="120"/>
      <c r="CP198" s="120"/>
      <c r="CQ198" s="120"/>
      <c r="CR198" s="120"/>
      <c r="CS198" s="120"/>
      <c r="CT198" s="120"/>
      <c r="CU198" s="120"/>
      <c r="CV198" s="120"/>
      <c r="CW198" s="120"/>
      <c r="CX198" s="120"/>
      <c r="CY198" s="120"/>
      <c r="CZ198" s="120"/>
      <c r="DA198" s="120"/>
      <c r="DB198" s="120"/>
      <c r="DC198" s="120"/>
    </row>
    <row r="199" spans="1:107" s="121" customFormat="1" hidden="1" outlineLevel="1" x14ac:dyDescent="0.25">
      <c r="A199" s="110" t="s">
        <v>654</v>
      </c>
      <c r="B199" s="120">
        <f t="shared" si="806"/>
        <v>0.1</v>
      </c>
      <c r="C199" s="120">
        <f t="shared" si="806"/>
        <v>0.1</v>
      </c>
      <c r="D199" s="120">
        <f t="shared" si="806"/>
        <v>0.1</v>
      </c>
      <c r="E199" s="120">
        <f t="shared" ref="E199" si="824">IF(E191&lt;0, E191/2, IF(AND(E191&gt;=0, E191&lt;=75%), E191, IF(E191&gt;75%, 1/(4*E191+1))))</f>
        <v>0.1</v>
      </c>
      <c r="F199" s="120">
        <f t="shared" si="806"/>
        <v>0.1</v>
      </c>
      <c r="G199" s="120">
        <f t="shared" si="808"/>
        <v>0.1</v>
      </c>
      <c r="H199" s="120">
        <f t="shared" si="809"/>
        <v>0.1</v>
      </c>
      <c r="I199" s="120">
        <f t="shared" ref="I199:K199" si="825">IF(I191&lt;0, I191/2, IF(AND(I191&gt;=0, I191&lt;=75%), I191, IF(I191&gt;75%, 1/(4*I191+1))))</f>
        <v>0.1</v>
      </c>
      <c r="J199" s="120">
        <f t="shared" si="825"/>
        <v>0.1</v>
      </c>
      <c r="K199" s="120">
        <f t="shared" si="825"/>
        <v>0.1</v>
      </c>
      <c r="L199" s="120">
        <f t="shared" ref="L199" si="826">IF(L191&lt;0, L191/2, IF(AND(L191&gt;=0, L191&lt;=75%), L191, IF(L191&gt;75%, 1/(4*L191+1))))</f>
        <v>0.1</v>
      </c>
      <c r="M199" s="120">
        <f t="shared" ref="M199" si="827">IF(M191&lt;0, M191/2, IF(AND(M191&gt;=0, M191&lt;=75%), M191, IF(M191&gt;75%, 1/(4*M191+1))))</f>
        <v>0.1</v>
      </c>
      <c r="N199" s="120">
        <f t="shared" si="813"/>
        <v>0.1</v>
      </c>
      <c r="O199" s="120">
        <f t="shared" si="813"/>
        <v>0.1</v>
      </c>
      <c r="P199" s="120">
        <f t="shared" si="813"/>
        <v>0.1</v>
      </c>
      <c r="Q199" s="120">
        <f t="shared" si="813"/>
        <v>0.1</v>
      </c>
      <c r="R199" s="120">
        <f t="shared" ref="R199:AZ199" si="828">IF(R191&lt;0, R191/2, IF(AND(R191&gt;=0, R191&lt;=75%), R191, IF(R191&gt;75%, 1/(4*R191+1))))</f>
        <v>0.1</v>
      </c>
      <c r="S199" s="120">
        <f t="shared" si="828"/>
        <v>0.1</v>
      </c>
      <c r="T199" s="120">
        <f t="shared" si="828"/>
        <v>0.1</v>
      </c>
      <c r="U199" s="120">
        <f t="shared" si="828"/>
        <v>0.1</v>
      </c>
      <c r="V199" s="120">
        <f t="shared" ref="V199:W199" si="829">IF(V191&lt;0, V191/2, IF(AND(V191&gt;=0, V191&lt;=75%), V191, IF(V191&gt;75%, 1/(4*V191+1))))</f>
        <v>0.1</v>
      </c>
      <c r="W199" s="120">
        <f t="shared" si="829"/>
        <v>0.1</v>
      </c>
      <c r="X199" s="120">
        <f t="shared" ref="X199:Y199" si="830">IF(X191&lt;0, X191/2, IF(AND(X191&gt;=0, X191&lt;=75%), X191, IF(X191&gt;75%, 1/(4*X191+1))))</f>
        <v>0.1</v>
      </c>
      <c r="Y199" s="120">
        <f t="shared" si="830"/>
        <v>0.1</v>
      </c>
      <c r="Z199" s="120">
        <f t="shared" ref="Z199:AA199" si="831">IF(Z191&lt;0, Z191/2, IF(AND(Z191&gt;=0, Z191&lt;=75%), Z191, IF(Z191&gt;75%, 1/(4*Z191+1))))</f>
        <v>0.1</v>
      </c>
      <c r="AA199" s="120">
        <f t="shared" si="831"/>
        <v>0.1</v>
      </c>
      <c r="AB199" s="120">
        <f t="shared" si="828"/>
        <v>0.1</v>
      </c>
      <c r="AC199" s="120">
        <f t="shared" si="828"/>
        <v>0.1</v>
      </c>
      <c r="AD199" s="120">
        <f t="shared" si="828"/>
        <v>0.1</v>
      </c>
      <c r="AE199" s="120">
        <f t="shared" si="828"/>
        <v>0.1</v>
      </c>
      <c r="AF199" s="120">
        <f t="shared" si="828"/>
        <v>0.1</v>
      </c>
      <c r="AG199" s="120">
        <f t="shared" ref="AG199:AI199" si="832">IF(AG191&lt;0, AG191/2, IF(AND(AG191&gt;=0, AG191&lt;=75%), AG191, IF(AG191&gt;75%, 1/(4*AG191+1))))</f>
        <v>0.1</v>
      </c>
      <c r="AH199" s="120">
        <f t="shared" si="832"/>
        <v>0.1</v>
      </c>
      <c r="AI199" s="120">
        <f t="shared" si="832"/>
        <v>0.1</v>
      </c>
      <c r="AJ199" s="120">
        <f t="shared" si="828"/>
        <v>0.1</v>
      </c>
      <c r="AK199" s="120">
        <f t="shared" si="828"/>
        <v>0.1</v>
      </c>
      <c r="AL199" s="120">
        <f t="shared" si="828"/>
        <v>0.1</v>
      </c>
      <c r="AM199" s="120">
        <f t="shared" si="828"/>
        <v>0.1</v>
      </c>
      <c r="AN199" s="120">
        <f t="shared" si="828"/>
        <v>0.1</v>
      </c>
      <c r="AO199" s="120">
        <f t="shared" si="828"/>
        <v>0.1</v>
      </c>
      <c r="AP199" s="120">
        <f t="shared" si="828"/>
        <v>0.1</v>
      </c>
      <c r="AQ199" s="120">
        <f t="shared" si="828"/>
        <v>0.1</v>
      </c>
      <c r="AR199" s="120">
        <f t="shared" si="828"/>
        <v>0.1</v>
      </c>
      <c r="AS199" s="120">
        <f t="shared" si="828"/>
        <v>0.1</v>
      </c>
      <c r="AT199" s="120">
        <f t="shared" si="828"/>
        <v>0.1</v>
      </c>
      <c r="AU199" s="120">
        <f t="shared" si="828"/>
        <v>0.1</v>
      </c>
      <c r="AV199" s="120">
        <f t="shared" si="828"/>
        <v>0.1</v>
      </c>
      <c r="AW199" s="120">
        <f t="shared" si="828"/>
        <v>0.1</v>
      </c>
      <c r="AX199" s="120">
        <f t="shared" si="828"/>
        <v>0.1</v>
      </c>
      <c r="AY199" s="120">
        <f t="shared" si="828"/>
        <v>0.1</v>
      </c>
      <c r="AZ199" s="120">
        <f t="shared" si="828"/>
        <v>0.1</v>
      </c>
      <c r="BA199" s="120">
        <f t="shared" ref="BA199:BC199" si="833">IF(BA191&lt;0, BA191/2, IF(AND(BA191&gt;=0, BA191&lt;=75%), BA191, IF(BA191&gt;75%, 1/(4*BA191+1))))</f>
        <v>0.1</v>
      </c>
      <c r="BB199" s="120">
        <f t="shared" ref="BB199" si="834">IF(BB191&lt;0, BB191/2, IF(AND(BB191&gt;=0, BB191&lt;=75%), BB191, IF(BB191&gt;75%, 1/(4*BB191+1))))</f>
        <v>0.1</v>
      </c>
      <c r="BC199" s="120">
        <f t="shared" si="833"/>
        <v>0.1</v>
      </c>
      <c r="BD199" s="120">
        <f t="shared" ref="BD199:BE199" si="835">IF(BD191&lt;0, BD191/2, IF(AND(BD191&gt;=0, BD191&lt;=75%), BD191, IF(BD191&gt;75%, 1/(4*BD191+1))))</f>
        <v>0.1</v>
      </c>
      <c r="BE199" s="120">
        <f t="shared" si="835"/>
        <v>0.1</v>
      </c>
      <c r="BF199" s="120">
        <f t="shared" ref="BF199:BG199" si="836">IF(BF191&lt;0, BF191/2, IF(AND(BF191&gt;=0, BF191&lt;=75%), BF191, IF(BF191&gt;75%, 1/(4*BF191+1))))</f>
        <v>0.1</v>
      </c>
      <c r="BG199" s="120">
        <f t="shared" si="836"/>
        <v>0.1</v>
      </c>
      <c r="BH199" s="120">
        <f t="shared" ref="BH199" si="837">IF(BH191&lt;0, BH191/2, IF(AND(BH191&gt;=0, BH191&lt;=75%), BH191, IF(BH191&gt;75%, 1/(4*BH191+1))))</f>
        <v>0.1</v>
      </c>
      <c r="BI199" s="120"/>
      <c r="BJ199" s="120"/>
      <c r="BK199" s="120"/>
      <c r="BL199" s="120"/>
      <c r="BM199" s="120"/>
      <c r="BN199" s="120"/>
      <c r="BO199" s="120"/>
      <c r="BP199" s="120"/>
      <c r="BQ199" s="120"/>
      <c r="BR199" s="120"/>
      <c r="BS199" s="120"/>
      <c r="BT199" s="120"/>
      <c r="BU199" s="120"/>
      <c r="BV199" s="120"/>
      <c r="BW199" s="120"/>
      <c r="BX199" s="120"/>
      <c r="BY199" s="120"/>
      <c r="BZ199" s="120"/>
      <c r="CA199" s="120"/>
      <c r="CB199" s="120"/>
      <c r="CC199" s="120"/>
      <c r="CD199" s="120"/>
      <c r="CE199" s="120"/>
      <c r="CF199" s="120"/>
      <c r="CG199" s="120"/>
      <c r="CH199" s="120"/>
      <c r="CI199" s="120"/>
      <c r="CJ199" s="120"/>
      <c r="CK199" s="120"/>
      <c r="CL199" s="120"/>
      <c r="CM199" s="120"/>
      <c r="CN199" s="120"/>
      <c r="CO199" s="120"/>
      <c r="CP199" s="120"/>
      <c r="CQ199" s="120"/>
      <c r="CR199" s="120"/>
      <c r="CS199" s="120"/>
      <c r="CT199" s="120"/>
      <c r="CU199" s="120"/>
      <c r="CV199" s="120"/>
      <c r="CW199" s="120"/>
      <c r="CX199" s="120"/>
      <c r="CY199" s="120"/>
      <c r="CZ199" s="120"/>
      <c r="DA199" s="120"/>
      <c r="DB199" s="120"/>
      <c r="DC199" s="120"/>
    </row>
    <row r="200" spans="1:107" s="121" customFormat="1" hidden="1" outlineLevel="1" x14ac:dyDescent="0.25">
      <c r="A200" s="110" t="s">
        <v>655</v>
      </c>
      <c r="B200" s="120">
        <f t="shared" si="806"/>
        <v>0.1</v>
      </c>
      <c r="C200" s="120">
        <f t="shared" si="806"/>
        <v>0.1</v>
      </c>
      <c r="D200" s="120">
        <f t="shared" si="806"/>
        <v>0.1</v>
      </c>
      <c r="E200" s="120">
        <f t="shared" ref="E200" si="838">IF(E192&lt;0, E192/2, IF(AND(E192&gt;=0, E192&lt;=75%), E192, IF(E192&gt;75%, 1/(4*E192+1))))</f>
        <v>0.1</v>
      </c>
      <c r="F200" s="120">
        <f t="shared" si="806"/>
        <v>0.1</v>
      </c>
      <c r="G200" s="120">
        <f t="shared" si="808"/>
        <v>0.1</v>
      </c>
      <c r="H200" s="120">
        <f t="shared" si="809"/>
        <v>0.1</v>
      </c>
      <c r="I200" s="120">
        <f t="shared" ref="I200:K200" si="839">IF(I192&lt;0, I192/2, IF(AND(I192&gt;=0, I192&lt;=75%), I192, IF(I192&gt;75%, 1/(4*I192+1))))</f>
        <v>0.1</v>
      </c>
      <c r="J200" s="120">
        <f t="shared" si="839"/>
        <v>0.1</v>
      </c>
      <c r="K200" s="120">
        <f t="shared" si="839"/>
        <v>0.1</v>
      </c>
      <c r="L200" s="120">
        <f t="shared" ref="L200" si="840">IF(L192&lt;0, L192/2, IF(AND(L192&gt;=0, L192&lt;=75%), L192, IF(L192&gt;75%, 1/(4*L192+1))))</f>
        <v>0.1</v>
      </c>
      <c r="M200" s="120">
        <f t="shared" ref="M200" si="841">IF(M192&lt;0, M192/2, IF(AND(M192&gt;=0, M192&lt;=75%), M192, IF(M192&gt;75%, 1/(4*M192+1))))</f>
        <v>0.1</v>
      </c>
      <c r="N200" s="120">
        <f t="shared" si="813"/>
        <v>0.1</v>
      </c>
      <c r="O200" s="120">
        <f t="shared" si="813"/>
        <v>0.1</v>
      </c>
      <c r="P200" s="120">
        <f t="shared" si="813"/>
        <v>0.1</v>
      </c>
      <c r="Q200" s="120">
        <f t="shared" si="813"/>
        <v>0.1</v>
      </c>
      <c r="R200" s="120">
        <f t="shared" ref="R200:AZ200" si="842">IF(R192&lt;0, R192/2, IF(AND(R192&gt;=0, R192&lt;=75%), R192, IF(R192&gt;75%, 1/(4*R192+1))))</f>
        <v>0.1</v>
      </c>
      <c r="S200" s="120">
        <f t="shared" si="842"/>
        <v>0.1</v>
      </c>
      <c r="T200" s="120">
        <f t="shared" si="842"/>
        <v>0.1</v>
      </c>
      <c r="U200" s="120">
        <f t="shared" si="842"/>
        <v>0.1</v>
      </c>
      <c r="V200" s="120">
        <f t="shared" ref="V200:W200" si="843">IF(V192&lt;0, V192/2, IF(AND(V192&gt;=0, V192&lt;=75%), V192, IF(V192&gt;75%, 1/(4*V192+1))))</f>
        <v>0.1</v>
      </c>
      <c r="W200" s="120">
        <f t="shared" si="843"/>
        <v>0.1</v>
      </c>
      <c r="X200" s="120">
        <f t="shared" ref="X200:Y200" si="844">IF(X192&lt;0, X192/2, IF(AND(X192&gt;=0, X192&lt;=75%), X192, IF(X192&gt;75%, 1/(4*X192+1))))</f>
        <v>0.1</v>
      </c>
      <c r="Y200" s="120">
        <f t="shared" si="844"/>
        <v>0.1</v>
      </c>
      <c r="Z200" s="120">
        <f t="shared" ref="Z200:AA200" si="845">IF(Z192&lt;0, Z192/2, IF(AND(Z192&gt;=0, Z192&lt;=75%), Z192, IF(Z192&gt;75%, 1/(4*Z192+1))))</f>
        <v>0.1</v>
      </c>
      <c r="AA200" s="120">
        <f t="shared" si="845"/>
        <v>0.1</v>
      </c>
      <c r="AB200" s="120">
        <f t="shared" si="842"/>
        <v>0.1</v>
      </c>
      <c r="AC200" s="120">
        <f t="shared" si="842"/>
        <v>0.1</v>
      </c>
      <c r="AD200" s="120">
        <f t="shared" si="842"/>
        <v>0.1</v>
      </c>
      <c r="AE200" s="120">
        <f t="shared" si="842"/>
        <v>0.1</v>
      </c>
      <c r="AF200" s="120">
        <f t="shared" si="842"/>
        <v>0.1</v>
      </c>
      <c r="AG200" s="120">
        <f t="shared" ref="AG200:AI200" si="846">IF(AG192&lt;0, AG192/2, IF(AND(AG192&gt;=0, AG192&lt;=75%), AG192, IF(AG192&gt;75%, 1/(4*AG192+1))))</f>
        <v>0.1</v>
      </c>
      <c r="AH200" s="120">
        <f t="shared" si="846"/>
        <v>0.1</v>
      </c>
      <c r="AI200" s="120">
        <f t="shared" si="846"/>
        <v>0.1</v>
      </c>
      <c r="AJ200" s="120">
        <f t="shared" si="842"/>
        <v>0.1</v>
      </c>
      <c r="AK200" s="120">
        <f t="shared" si="842"/>
        <v>0.1</v>
      </c>
      <c r="AL200" s="120">
        <f t="shared" si="842"/>
        <v>0.1</v>
      </c>
      <c r="AM200" s="120">
        <f t="shared" si="842"/>
        <v>0.1</v>
      </c>
      <c r="AN200" s="120">
        <f t="shared" si="842"/>
        <v>0.1</v>
      </c>
      <c r="AO200" s="120">
        <f t="shared" si="842"/>
        <v>0.1</v>
      </c>
      <c r="AP200" s="120">
        <f t="shared" si="842"/>
        <v>0.1</v>
      </c>
      <c r="AQ200" s="120">
        <f t="shared" si="842"/>
        <v>0.1</v>
      </c>
      <c r="AR200" s="120">
        <f t="shared" si="842"/>
        <v>0.1</v>
      </c>
      <c r="AS200" s="120">
        <f t="shared" si="842"/>
        <v>0.1</v>
      </c>
      <c r="AT200" s="120">
        <f t="shared" si="842"/>
        <v>0.1</v>
      </c>
      <c r="AU200" s="120">
        <f t="shared" si="842"/>
        <v>0.1</v>
      </c>
      <c r="AV200" s="120">
        <f t="shared" si="842"/>
        <v>0.1</v>
      </c>
      <c r="AW200" s="120">
        <f t="shared" si="842"/>
        <v>0.1</v>
      </c>
      <c r="AX200" s="120">
        <f t="shared" si="842"/>
        <v>0.1</v>
      </c>
      <c r="AY200" s="120">
        <f t="shared" si="842"/>
        <v>0.1</v>
      </c>
      <c r="AZ200" s="120">
        <f t="shared" si="842"/>
        <v>0.1</v>
      </c>
      <c r="BA200" s="120">
        <f t="shared" ref="BA200:BC200" si="847">IF(BA192&lt;0, BA192/2, IF(AND(BA192&gt;=0, BA192&lt;=75%), BA192, IF(BA192&gt;75%, 1/(4*BA192+1))))</f>
        <v>0.1</v>
      </c>
      <c r="BB200" s="120">
        <f t="shared" ref="BB200" si="848">IF(BB192&lt;0, BB192/2, IF(AND(BB192&gt;=0, BB192&lt;=75%), BB192, IF(BB192&gt;75%, 1/(4*BB192+1))))</f>
        <v>0.1</v>
      </c>
      <c r="BC200" s="120">
        <f t="shared" si="847"/>
        <v>0.1</v>
      </c>
      <c r="BD200" s="120">
        <f t="shared" ref="BD200:BE200" si="849">IF(BD192&lt;0, BD192/2, IF(AND(BD192&gt;=0, BD192&lt;=75%), BD192, IF(BD192&gt;75%, 1/(4*BD192+1))))</f>
        <v>0.1</v>
      </c>
      <c r="BE200" s="120">
        <f t="shared" si="849"/>
        <v>0.1</v>
      </c>
      <c r="BF200" s="120">
        <f t="shared" ref="BF200:BG200" si="850">IF(BF192&lt;0, BF192/2, IF(AND(BF192&gt;=0, BF192&lt;=75%), BF192, IF(BF192&gt;75%, 1/(4*BF192+1))))</f>
        <v>0.1</v>
      </c>
      <c r="BG200" s="120">
        <f t="shared" si="850"/>
        <v>0.1</v>
      </c>
      <c r="BH200" s="120">
        <f t="shared" ref="BH200" si="851">IF(BH192&lt;0, BH192/2, IF(AND(BH192&gt;=0, BH192&lt;=75%), BH192, IF(BH192&gt;75%, 1/(4*BH192+1))))</f>
        <v>0.1</v>
      </c>
      <c r="BI200" s="120"/>
      <c r="BJ200" s="120"/>
      <c r="BK200" s="120"/>
      <c r="BL200" s="120"/>
      <c r="BM200" s="120"/>
      <c r="BN200" s="120"/>
      <c r="BO200" s="120"/>
      <c r="BP200" s="120"/>
      <c r="BQ200" s="120"/>
      <c r="BR200" s="120"/>
      <c r="BS200" s="120"/>
      <c r="BT200" s="120"/>
      <c r="BU200" s="120"/>
      <c r="BV200" s="120"/>
      <c r="BW200" s="120"/>
      <c r="BX200" s="120"/>
      <c r="BY200" s="120"/>
      <c r="BZ200" s="120"/>
      <c r="CA200" s="120"/>
      <c r="CB200" s="120"/>
      <c r="CC200" s="120"/>
      <c r="CD200" s="120"/>
      <c r="CE200" s="120"/>
      <c r="CF200" s="120"/>
      <c r="CG200" s="120"/>
      <c r="CH200" s="120"/>
      <c r="CI200" s="120"/>
      <c r="CJ200" s="120"/>
      <c r="CK200" s="120"/>
      <c r="CL200" s="120"/>
      <c r="CM200" s="120"/>
      <c r="CN200" s="120"/>
      <c r="CO200" s="120"/>
      <c r="CP200" s="120"/>
      <c r="CQ200" s="120"/>
      <c r="CR200" s="120"/>
      <c r="CS200" s="120"/>
      <c r="CT200" s="120"/>
      <c r="CU200" s="120"/>
      <c r="CV200" s="120"/>
      <c r="CW200" s="120"/>
      <c r="CX200" s="120"/>
      <c r="CY200" s="120"/>
      <c r="CZ200" s="120"/>
      <c r="DA200" s="120"/>
      <c r="DB200" s="120"/>
      <c r="DC200" s="120"/>
    </row>
    <row r="201" spans="1:107" s="121" customFormat="1" hidden="1" outlineLevel="1" x14ac:dyDescent="0.25">
      <c r="A201" s="110" t="s">
        <v>656</v>
      </c>
      <c r="B201" s="120">
        <f t="shared" si="806"/>
        <v>0.1</v>
      </c>
      <c r="C201" s="120">
        <f t="shared" si="806"/>
        <v>0.1</v>
      </c>
      <c r="D201" s="120">
        <f t="shared" si="806"/>
        <v>0.1</v>
      </c>
      <c r="E201" s="120">
        <f t="shared" ref="E201" si="852">IF(E193&lt;0, E193/2, IF(AND(E193&gt;=0, E193&lt;=75%), E193, IF(E193&gt;75%, 1/(4*E193+1))))</f>
        <v>0.1</v>
      </c>
      <c r="F201" s="120">
        <f t="shared" si="806"/>
        <v>0.1</v>
      </c>
      <c r="G201" s="120">
        <f t="shared" si="808"/>
        <v>0.1</v>
      </c>
      <c r="H201" s="120">
        <f t="shared" si="809"/>
        <v>0.1</v>
      </c>
      <c r="I201" s="120">
        <f t="shared" ref="I201:K201" si="853">IF(I193&lt;0, I193/2, IF(AND(I193&gt;=0, I193&lt;=75%), I193, IF(I193&gt;75%, 1/(4*I193+1))))</f>
        <v>0.1</v>
      </c>
      <c r="J201" s="120">
        <f t="shared" si="853"/>
        <v>0.1</v>
      </c>
      <c r="K201" s="120">
        <f t="shared" si="853"/>
        <v>0.1</v>
      </c>
      <c r="L201" s="120">
        <f t="shared" ref="L201" si="854">IF(L193&lt;0, L193/2, IF(AND(L193&gt;=0, L193&lt;=75%), L193, IF(L193&gt;75%, 1/(4*L193+1))))</f>
        <v>0.1</v>
      </c>
      <c r="M201" s="120">
        <f t="shared" ref="M201" si="855">IF(M193&lt;0, M193/2, IF(AND(M193&gt;=0, M193&lt;=75%), M193, IF(M193&gt;75%, 1/(4*M193+1))))</f>
        <v>0.1</v>
      </c>
      <c r="N201" s="120">
        <f t="shared" si="813"/>
        <v>0.1</v>
      </c>
      <c r="O201" s="120">
        <f t="shared" si="813"/>
        <v>0.1</v>
      </c>
      <c r="P201" s="120">
        <f t="shared" si="813"/>
        <v>0.1</v>
      </c>
      <c r="Q201" s="120">
        <f t="shared" si="813"/>
        <v>0.1</v>
      </c>
      <c r="R201" s="120">
        <f t="shared" ref="R201:AZ201" si="856">IF(R193&lt;0, R193/2, IF(AND(R193&gt;=0, R193&lt;=75%), R193, IF(R193&gt;75%, 1/(4*R193+1))))</f>
        <v>0.1</v>
      </c>
      <c r="S201" s="120">
        <f t="shared" si="856"/>
        <v>0.1</v>
      </c>
      <c r="T201" s="120">
        <f t="shared" si="856"/>
        <v>0.1</v>
      </c>
      <c r="U201" s="120">
        <f t="shared" si="856"/>
        <v>0.1</v>
      </c>
      <c r="V201" s="120">
        <f t="shared" ref="V201:W201" si="857">IF(V193&lt;0, V193/2, IF(AND(V193&gt;=0, V193&lt;=75%), V193, IF(V193&gt;75%, 1/(4*V193+1))))</f>
        <v>0.1</v>
      </c>
      <c r="W201" s="120">
        <f t="shared" si="857"/>
        <v>0.1</v>
      </c>
      <c r="X201" s="120">
        <f t="shared" ref="X201:Y201" si="858">IF(X193&lt;0, X193/2, IF(AND(X193&gt;=0, X193&lt;=75%), X193, IF(X193&gt;75%, 1/(4*X193+1))))</f>
        <v>0.1</v>
      </c>
      <c r="Y201" s="120">
        <f t="shared" si="858"/>
        <v>0.1</v>
      </c>
      <c r="Z201" s="120">
        <f t="shared" ref="Z201:AA201" si="859">IF(Z193&lt;0, Z193/2, IF(AND(Z193&gt;=0, Z193&lt;=75%), Z193, IF(Z193&gt;75%, 1/(4*Z193+1))))</f>
        <v>0.1</v>
      </c>
      <c r="AA201" s="120">
        <f t="shared" si="859"/>
        <v>0.1</v>
      </c>
      <c r="AB201" s="120">
        <f t="shared" si="856"/>
        <v>0.1</v>
      </c>
      <c r="AC201" s="120">
        <f t="shared" si="856"/>
        <v>0.1</v>
      </c>
      <c r="AD201" s="120">
        <f t="shared" si="856"/>
        <v>0.1</v>
      </c>
      <c r="AE201" s="120">
        <f t="shared" si="856"/>
        <v>0.1</v>
      </c>
      <c r="AF201" s="120">
        <f t="shared" si="856"/>
        <v>0.1</v>
      </c>
      <c r="AG201" s="120">
        <f t="shared" ref="AG201:AI201" si="860">IF(AG193&lt;0, AG193/2, IF(AND(AG193&gt;=0, AG193&lt;=75%), AG193, IF(AG193&gt;75%, 1/(4*AG193+1))))</f>
        <v>0.1</v>
      </c>
      <c r="AH201" s="120">
        <f t="shared" si="860"/>
        <v>0.1</v>
      </c>
      <c r="AI201" s="120">
        <f t="shared" si="860"/>
        <v>0.1</v>
      </c>
      <c r="AJ201" s="120">
        <f t="shared" si="856"/>
        <v>0.1</v>
      </c>
      <c r="AK201" s="120">
        <f t="shared" si="856"/>
        <v>0.1</v>
      </c>
      <c r="AL201" s="120">
        <f t="shared" si="856"/>
        <v>0.1</v>
      </c>
      <c r="AM201" s="120">
        <f t="shared" si="856"/>
        <v>0.1</v>
      </c>
      <c r="AN201" s="120">
        <f t="shared" si="856"/>
        <v>0.1</v>
      </c>
      <c r="AO201" s="120">
        <f t="shared" si="856"/>
        <v>0.1</v>
      </c>
      <c r="AP201" s="120">
        <f t="shared" si="856"/>
        <v>0.1</v>
      </c>
      <c r="AQ201" s="120">
        <f t="shared" si="856"/>
        <v>0.1</v>
      </c>
      <c r="AR201" s="120">
        <f t="shared" si="856"/>
        <v>0.1</v>
      </c>
      <c r="AS201" s="120">
        <f t="shared" si="856"/>
        <v>0.1</v>
      </c>
      <c r="AT201" s="120">
        <f t="shared" si="856"/>
        <v>0.1</v>
      </c>
      <c r="AU201" s="120">
        <f t="shared" si="856"/>
        <v>0.1</v>
      </c>
      <c r="AV201" s="120">
        <f t="shared" si="856"/>
        <v>0.1</v>
      </c>
      <c r="AW201" s="120">
        <f t="shared" si="856"/>
        <v>0.1</v>
      </c>
      <c r="AX201" s="120">
        <f t="shared" si="856"/>
        <v>0.1</v>
      </c>
      <c r="AY201" s="120">
        <f t="shared" si="856"/>
        <v>0.1</v>
      </c>
      <c r="AZ201" s="120">
        <f t="shared" si="856"/>
        <v>0.1</v>
      </c>
      <c r="BA201" s="120">
        <f t="shared" ref="BA201:BC201" si="861">IF(BA193&lt;0, BA193/2, IF(AND(BA193&gt;=0, BA193&lt;=75%), BA193, IF(BA193&gt;75%, 1/(4*BA193+1))))</f>
        <v>0.1</v>
      </c>
      <c r="BB201" s="120">
        <f t="shared" ref="BB201" si="862">IF(BB193&lt;0, BB193/2, IF(AND(BB193&gt;=0, BB193&lt;=75%), BB193, IF(BB193&gt;75%, 1/(4*BB193+1))))</f>
        <v>0.1</v>
      </c>
      <c r="BC201" s="120">
        <f t="shared" si="861"/>
        <v>0.1</v>
      </c>
      <c r="BD201" s="120">
        <f t="shared" ref="BD201:BE201" si="863">IF(BD193&lt;0, BD193/2, IF(AND(BD193&gt;=0, BD193&lt;=75%), BD193, IF(BD193&gt;75%, 1/(4*BD193+1))))</f>
        <v>0.1</v>
      </c>
      <c r="BE201" s="120">
        <f t="shared" si="863"/>
        <v>0.1</v>
      </c>
      <c r="BF201" s="120">
        <f t="shared" ref="BF201:BG201" si="864">IF(BF193&lt;0, BF193/2, IF(AND(BF193&gt;=0, BF193&lt;=75%), BF193, IF(BF193&gt;75%, 1/(4*BF193+1))))</f>
        <v>0.1</v>
      </c>
      <c r="BG201" s="120">
        <f t="shared" si="864"/>
        <v>0.1</v>
      </c>
      <c r="BH201" s="120">
        <f t="shared" ref="BH201" si="865">IF(BH193&lt;0, BH193/2, IF(AND(BH193&gt;=0, BH193&lt;=75%), BH193, IF(BH193&gt;75%, 1/(4*BH193+1))))</f>
        <v>0.1</v>
      </c>
      <c r="BI201" s="120"/>
      <c r="BJ201" s="120"/>
      <c r="BK201" s="120"/>
      <c r="BL201" s="120"/>
      <c r="BM201" s="120"/>
      <c r="BN201" s="120"/>
      <c r="BO201" s="120"/>
      <c r="BP201" s="120"/>
      <c r="BQ201" s="120"/>
      <c r="BR201" s="120"/>
      <c r="BS201" s="120"/>
      <c r="BT201" s="120"/>
      <c r="BU201" s="120"/>
      <c r="BV201" s="120"/>
      <c r="BW201" s="120"/>
      <c r="BX201" s="120"/>
      <c r="BY201" s="120"/>
      <c r="BZ201" s="120"/>
      <c r="CA201" s="120"/>
      <c r="CB201" s="120"/>
      <c r="CC201" s="120"/>
      <c r="CD201" s="120"/>
      <c r="CE201" s="120"/>
      <c r="CF201" s="120"/>
      <c r="CG201" s="120"/>
      <c r="CH201" s="120"/>
      <c r="CI201" s="120"/>
      <c r="CJ201" s="120"/>
      <c r="CK201" s="120"/>
      <c r="CL201" s="120"/>
      <c r="CM201" s="120"/>
      <c r="CN201" s="120"/>
      <c r="CO201" s="120"/>
      <c r="CP201" s="120"/>
      <c r="CQ201" s="120"/>
      <c r="CR201" s="120"/>
      <c r="CS201" s="120"/>
      <c r="CT201" s="120"/>
      <c r="CU201" s="120"/>
      <c r="CV201" s="120"/>
      <c r="CW201" s="120"/>
      <c r="CX201" s="120"/>
      <c r="CY201" s="120"/>
      <c r="CZ201" s="120"/>
      <c r="DA201" s="120"/>
      <c r="DB201" s="120"/>
      <c r="DC201" s="120"/>
    </row>
    <row r="202" spans="1:107" s="121" customFormat="1" hidden="1" outlineLevel="1" x14ac:dyDescent="0.25">
      <c r="A202" s="110" t="s">
        <v>657</v>
      </c>
      <c r="B202" s="120">
        <f t="shared" si="806"/>
        <v>0.1</v>
      </c>
      <c r="C202" s="120">
        <f t="shared" si="806"/>
        <v>0.1</v>
      </c>
      <c r="D202" s="120">
        <f t="shared" si="806"/>
        <v>0.1</v>
      </c>
      <c r="E202" s="120">
        <f t="shared" ref="E202" si="866">IF(E194&lt;0, E194/2, IF(AND(E194&gt;=0, E194&lt;=75%), E194, IF(E194&gt;75%, 1/(4*E194+1))))</f>
        <v>0.1</v>
      </c>
      <c r="F202" s="120">
        <f t="shared" si="806"/>
        <v>0.1</v>
      </c>
      <c r="G202" s="120">
        <f t="shared" si="808"/>
        <v>0.1</v>
      </c>
      <c r="H202" s="120">
        <f t="shared" si="809"/>
        <v>0.1</v>
      </c>
      <c r="I202" s="120">
        <f t="shared" ref="I202:K202" si="867">IF(I194&lt;0, I194/2, IF(AND(I194&gt;=0, I194&lt;=75%), I194, IF(I194&gt;75%, 1/(4*I194+1))))</f>
        <v>0.1</v>
      </c>
      <c r="J202" s="120">
        <f t="shared" si="867"/>
        <v>0.1</v>
      </c>
      <c r="K202" s="120">
        <f t="shared" si="867"/>
        <v>0.1</v>
      </c>
      <c r="L202" s="120">
        <f t="shared" ref="L202" si="868">IF(L194&lt;0, L194/2, IF(AND(L194&gt;=0, L194&lt;=75%), L194, IF(L194&gt;75%, 1/(4*L194+1))))</f>
        <v>0.1</v>
      </c>
      <c r="M202" s="120">
        <f t="shared" ref="M202" si="869">IF(M194&lt;0, M194/2, IF(AND(M194&gt;=0, M194&lt;=75%), M194, IF(M194&gt;75%, 1/(4*M194+1))))</f>
        <v>0.1</v>
      </c>
      <c r="N202" s="120">
        <f t="shared" si="813"/>
        <v>0.1</v>
      </c>
      <c r="O202" s="120">
        <f t="shared" si="813"/>
        <v>0.1</v>
      </c>
      <c r="P202" s="120">
        <f t="shared" si="813"/>
        <v>0.1</v>
      </c>
      <c r="Q202" s="120">
        <f t="shared" si="813"/>
        <v>0.1</v>
      </c>
      <c r="R202" s="120">
        <f t="shared" ref="R202:AZ202" si="870">IF(R194&lt;0, R194/2, IF(AND(R194&gt;=0, R194&lt;=75%), R194, IF(R194&gt;75%, 1/(4*R194+1))))</f>
        <v>0.1</v>
      </c>
      <c r="S202" s="120">
        <f t="shared" si="870"/>
        <v>0.1</v>
      </c>
      <c r="T202" s="120">
        <f t="shared" si="870"/>
        <v>0.1</v>
      </c>
      <c r="U202" s="120">
        <f t="shared" si="870"/>
        <v>0.1</v>
      </c>
      <c r="V202" s="120">
        <f t="shared" ref="V202:W202" si="871">IF(V194&lt;0, V194/2, IF(AND(V194&gt;=0, V194&lt;=75%), V194, IF(V194&gt;75%, 1/(4*V194+1))))</f>
        <v>0.1</v>
      </c>
      <c r="W202" s="120">
        <f t="shared" si="871"/>
        <v>0.1</v>
      </c>
      <c r="X202" s="120">
        <f t="shared" ref="X202:Y202" si="872">IF(X194&lt;0, X194/2, IF(AND(X194&gt;=0, X194&lt;=75%), X194, IF(X194&gt;75%, 1/(4*X194+1))))</f>
        <v>0.1</v>
      </c>
      <c r="Y202" s="120">
        <f t="shared" si="872"/>
        <v>0.1</v>
      </c>
      <c r="Z202" s="120">
        <f t="shared" ref="Z202:AA202" si="873">IF(Z194&lt;0, Z194/2, IF(AND(Z194&gt;=0, Z194&lt;=75%), Z194, IF(Z194&gt;75%, 1/(4*Z194+1))))</f>
        <v>0.1</v>
      </c>
      <c r="AA202" s="120">
        <f t="shared" si="873"/>
        <v>0.1</v>
      </c>
      <c r="AB202" s="120">
        <f t="shared" si="870"/>
        <v>0.1</v>
      </c>
      <c r="AC202" s="120">
        <f t="shared" si="870"/>
        <v>0.1</v>
      </c>
      <c r="AD202" s="120">
        <f t="shared" si="870"/>
        <v>0.1</v>
      </c>
      <c r="AE202" s="120">
        <f t="shared" si="870"/>
        <v>0.1</v>
      </c>
      <c r="AF202" s="120">
        <f t="shared" si="870"/>
        <v>0.1</v>
      </c>
      <c r="AG202" s="120">
        <f t="shared" ref="AG202:AI202" si="874">IF(AG194&lt;0, AG194/2, IF(AND(AG194&gt;=0, AG194&lt;=75%), AG194, IF(AG194&gt;75%, 1/(4*AG194+1))))</f>
        <v>0.1</v>
      </c>
      <c r="AH202" s="120">
        <f t="shared" si="874"/>
        <v>0.1</v>
      </c>
      <c r="AI202" s="120">
        <f t="shared" si="874"/>
        <v>0.1</v>
      </c>
      <c r="AJ202" s="120">
        <f t="shared" si="870"/>
        <v>0.1</v>
      </c>
      <c r="AK202" s="120">
        <f t="shared" si="870"/>
        <v>0.1</v>
      </c>
      <c r="AL202" s="120">
        <f t="shared" si="870"/>
        <v>0.1</v>
      </c>
      <c r="AM202" s="120">
        <f t="shared" si="870"/>
        <v>0.1</v>
      </c>
      <c r="AN202" s="120">
        <f t="shared" si="870"/>
        <v>0.1</v>
      </c>
      <c r="AO202" s="120">
        <f t="shared" si="870"/>
        <v>0.1</v>
      </c>
      <c r="AP202" s="120">
        <f t="shared" si="870"/>
        <v>0.1</v>
      </c>
      <c r="AQ202" s="120">
        <f t="shared" si="870"/>
        <v>0.1</v>
      </c>
      <c r="AR202" s="120">
        <f t="shared" si="870"/>
        <v>0.1</v>
      </c>
      <c r="AS202" s="120">
        <f t="shared" si="870"/>
        <v>0.1</v>
      </c>
      <c r="AT202" s="120">
        <f t="shared" si="870"/>
        <v>0.1</v>
      </c>
      <c r="AU202" s="120">
        <f t="shared" si="870"/>
        <v>0.1</v>
      </c>
      <c r="AV202" s="120">
        <f t="shared" si="870"/>
        <v>0.1</v>
      </c>
      <c r="AW202" s="120">
        <f t="shared" si="870"/>
        <v>0.1</v>
      </c>
      <c r="AX202" s="120">
        <f t="shared" si="870"/>
        <v>0.1</v>
      </c>
      <c r="AY202" s="120">
        <f t="shared" si="870"/>
        <v>0.1</v>
      </c>
      <c r="AZ202" s="120">
        <f t="shared" si="870"/>
        <v>0.1</v>
      </c>
      <c r="BA202" s="120">
        <f t="shared" ref="BA202:BC202" si="875">IF(BA194&lt;0, BA194/2, IF(AND(BA194&gt;=0, BA194&lt;=75%), BA194, IF(BA194&gt;75%, 1/(4*BA194+1))))</f>
        <v>0.1</v>
      </c>
      <c r="BB202" s="120">
        <f t="shared" ref="BB202" si="876">IF(BB194&lt;0, BB194/2, IF(AND(BB194&gt;=0, BB194&lt;=75%), BB194, IF(BB194&gt;75%, 1/(4*BB194+1))))</f>
        <v>0.1</v>
      </c>
      <c r="BC202" s="120">
        <f t="shared" si="875"/>
        <v>0.1</v>
      </c>
      <c r="BD202" s="120">
        <f t="shared" ref="BD202:BE202" si="877">IF(BD194&lt;0, BD194/2, IF(AND(BD194&gt;=0, BD194&lt;=75%), BD194, IF(BD194&gt;75%, 1/(4*BD194+1))))</f>
        <v>0.1</v>
      </c>
      <c r="BE202" s="120">
        <f t="shared" si="877"/>
        <v>0.1</v>
      </c>
      <c r="BF202" s="120">
        <f t="shared" ref="BF202:BG202" si="878">IF(BF194&lt;0, BF194/2, IF(AND(BF194&gt;=0, BF194&lt;=75%), BF194, IF(BF194&gt;75%, 1/(4*BF194+1))))</f>
        <v>0.1</v>
      </c>
      <c r="BG202" s="120">
        <f t="shared" si="878"/>
        <v>0.1</v>
      </c>
      <c r="BH202" s="120">
        <f t="shared" ref="BH202" si="879">IF(BH194&lt;0, BH194/2, IF(AND(BH194&gt;=0, BH194&lt;=75%), BH194, IF(BH194&gt;75%, 1/(4*BH194+1))))</f>
        <v>0.1</v>
      </c>
      <c r="BI202" s="120"/>
      <c r="BJ202" s="120"/>
      <c r="BK202" s="120"/>
      <c r="BL202" s="120"/>
      <c r="BM202" s="120"/>
      <c r="BN202" s="120"/>
      <c r="BO202" s="120"/>
      <c r="BP202" s="120"/>
      <c r="BQ202" s="120"/>
      <c r="BR202" s="120"/>
      <c r="BS202" s="120"/>
      <c r="BT202" s="120"/>
      <c r="BU202" s="120"/>
      <c r="BV202" s="120"/>
      <c r="BW202" s="120"/>
      <c r="BX202" s="120"/>
      <c r="BY202" s="120"/>
      <c r="BZ202" s="120"/>
      <c r="CA202" s="120"/>
      <c r="CB202" s="120"/>
      <c r="CC202" s="120"/>
      <c r="CD202" s="120"/>
      <c r="CE202" s="120"/>
      <c r="CF202" s="120"/>
      <c r="CG202" s="120"/>
      <c r="CH202" s="120"/>
      <c r="CI202" s="120"/>
      <c r="CJ202" s="120"/>
      <c r="CK202" s="120"/>
      <c r="CL202" s="120"/>
      <c r="CM202" s="120"/>
      <c r="CN202" s="120"/>
      <c r="CO202" s="120"/>
      <c r="CP202" s="120"/>
      <c r="CQ202" s="120"/>
      <c r="CR202" s="120"/>
      <c r="CS202" s="120"/>
      <c r="CT202" s="120"/>
      <c r="CU202" s="120"/>
      <c r="CV202" s="120"/>
      <c r="CW202" s="120"/>
      <c r="CX202" s="120"/>
      <c r="CY202" s="120"/>
      <c r="CZ202" s="120"/>
      <c r="DA202" s="120"/>
      <c r="DB202" s="120"/>
      <c r="DC202" s="120"/>
    </row>
    <row r="203" spans="1:107" s="121" customFormat="1" hidden="1" outlineLevel="1" x14ac:dyDescent="0.25">
      <c r="A203" s="110" t="s">
        <v>658</v>
      </c>
      <c r="B203" s="120">
        <f t="shared" si="806"/>
        <v>0.1</v>
      </c>
      <c r="C203" s="120">
        <f t="shared" si="806"/>
        <v>0.1</v>
      </c>
      <c r="D203" s="120">
        <f t="shared" si="806"/>
        <v>0.1</v>
      </c>
      <c r="E203" s="120">
        <f t="shared" ref="E203" si="880">IF(E195&lt;0, E195/2, IF(AND(E195&gt;=0, E195&lt;=75%), E195, IF(E195&gt;75%, 1/(4*E195+1))))</f>
        <v>-0.15000000000000002</v>
      </c>
      <c r="F203" s="120">
        <f t="shared" si="806"/>
        <v>-0.15000000000000002</v>
      </c>
      <c r="G203" s="120">
        <f t="shared" si="808"/>
        <v>-0.15000000000000002</v>
      </c>
      <c r="H203" s="120">
        <f t="shared" si="809"/>
        <v>-0.15000000000000002</v>
      </c>
      <c r="I203" s="120">
        <f t="shared" ref="I203:K203" si="881">IF(I195&lt;0, I195/2, IF(AND(I195&gt;=0, I195&lt;=75%), I195, IF(I195&gt;75%, 1/(4*I195+1))))</f>
        <v>-0.15000000000000002</v>
      </c>
      <c r="J203" s="120">
        <f t="shared" si="881"/>
        <v>-0.22000000000000003</v>
      </c>
      <c r="K203" s="120">
        <f t="shared" si="881"/>
        <v>-0.22000000000000003</v>
      </c>
      <c r="L203" s="120">
        <f t="shared" ref="L203" si="882">IF(L195&lt;0, L195/2, IF(AND(L195&gt;=0, L195&lt;=75%), L195, IF(L195&gt;75%, 1/(4*L195+1))))</f>
        <v>-0.22000000000000003</v>
      </c>
      <c r="M203" s="120">
        <f t="shared" ref="M203" si="883">IF(M195&lt;0, M195/2, IF(AND(M195&gt;=0, M195&lt;=75%), M195, IF(M195&gt;75%, 1/(4*M195+1))))</f>
        <v>-0.22000000000000003</v>
      </c>
      <c r="N203" s="120">
        <f t="shared" si="813"/>
        <v>-0.15000000000000002</v>
      </c>
      <c r="O203" s="120">
        <f t="shared" si="813"/>
        <v>-0.22000000000000003</v>
      </c>
      <c r="P203" s="120">
        <f t="shared" si="813"/>
        <v>-0.22000000000000003</v>
      </c>
      <c r="Q203" s="120">
        <f t="shared" si="813"/>
        <v>-0.22000000000000003</v>
      </c>
      <c r="R203" s="120">
        <f t="shared" ref="R203:AZ203" si="884">IF(R195&lt;0, R195/2, IF(AND(R195&gt;=0, R195&lt;=75%), R195, IF(R195&gt;75%, 1/(4*R195+1))))</f>
        <v>0.1</v>
      </c>
      <c r="S203" s="120">
        <f t="shared" si="884"/>
        <v>-0.22000000000000003</v>
      </c>
      <c r="T203" s="120">
        <f t="shared" si="884"/>
        <v>0.1</v>
      </c>
      <c r="U203" s="120">
        <f t="shared" si="884"/>
        <v>-0.22000000000000003</v>
      </c>
      <c r="V203" s="120">
        <f t="shared" ref="V203:W203" si="885">IF(V195&lt;0, V195/2, IF(AND(V195&gt;=0, V195&lt;=75%), V195, IF(V195&gt;75%, 1/(4*V195+1))))</f>
        <v>-0.22000000000000003</v>
      </c>
      <c r="W203" s="120">
        <f t="shared" si="885"/>
        <v>-0.22000000000000003</v>
      </c>
      <c r="X203" s="120">
        <f t="shared" ref="X203:Y203" si="886">IF(X195&lt;0, X195/2, IF(AND(X195&gt;=0, X195&lt;=75%), X195, IF(X195&gt;75%, 1/(4*X195+1))))</f>
        <v>-0.22000000000000003</v>
      </c>
      <c r="Y203" s="120">
        <f t="shared" si="886"/>
        <v>-0.22000000000000003</v>
      </c>
      <c r="Z203" s="120">
        <f t="shared" ref="Z203:AA203" si="887">IF(Z195&lt;0, Z195/2, IF(AND(Z195&gt;=0, Z195&lt;=75%), Z195, IF(Z195&gt;75%, 1/(4*Z195+1))))</f>
        <v>-0.15000000000000002</v>
      </c>
      <c r="AA203" s="120">
        <f t="shared" si="887"/>
        <v>-0.15000000000000002</v>
      </c>
      <c r="AB203" s="120">
        <f t="shared" si="884"/>
        <v>0.1</v>
      </c>
      <c r="AC203" s="120">
        <f t="shared" si="884"/>
        <v>0.1</v>
      </c>
      <c r="AD203" s="120">
        <f t="shared" si="884"/>
        <v>-0.22000000000000003</v>
      </c>
      <c r="AE203" s="120">
        <f t="shared" si="884"/>
        <v>-0.22000000000000003</v>
      </c>
      <c r="AF203" s="120">
        <f t="shared" si="884"/>
        <v>-0.15000000000000002</v>
      </c>
      <c r="AG203" s="120">
        <f t="shared" ref="AG203:AI203" si="888">IF(AG195&lt;0, AG195/2, IF(AND(AG195&gt;=0, AG195&lt;=75%), AG195, IF(AG195&gt;75%, 1/(4*AG195+1))))</f>
        <v>-0.15000000000000002</v>
      </c>
      <c r="AH203" s="120">
        <f t="shared" si="888"/>
        <v>-0.15000000000000002</v>
      </c>
      <c r="AI203" s="120">
        <f t="shared" si="888"/>
        <v>-0.15000000000000002</v>
      </c>
      <c r="AJ203" s="120">
        <f t="shared" si="884"/>
        <v>0.1</v>
      </c>
      <c r="AK203" s="120">
        <f t="shared" si="884"/>
        <v>0.1</v>
      </c>
      <c r="AL203" s="120">
        <f t="shared" si="884"/>
        <v>0.1</v>
      </c>
      <c r="AM203" s="120">
        <f t="shared" si="884"/>
        <v>0.1</v>
      </c>
      <c r="AN203" s="120">
        <f t="shared" si="884"/>
        <v>0.1</v>
      </c>
      <c r="AO203" s="120">
        <f t="shared" si="884"/>
        <v>0.1</v>
      </c>
      <c r="AP203" s="120">
        <f t="shared" si="884"/>
        <v>0.1</v>
      </c>
      <c r="AQ203" s="120">
        <f t="shared" si="884"/>
        <v>0.1</v>
      </c>
      <c r="AR203" s="120">
        <f t="shared" si="884"/>
        <v>0.1</v>
      </c>
      <c r="AS203" s="120">
        <f t="shared" si="884"/>
        <v>0.1</v>
      </c>
      <c r="AT203" s="120">
        <f t="shared" si="884"/>
        <v>0.1</v>
      </c>
      <c r="AU203" s="120">
        <f t="shared" si="884"/>
        <v>0.1</v>
      </c>
      <c r="AV203" s="120">
        <f t="shared" si="884"/>
        <v>0.1</v>
      </c>
      <c r="AW203" s="120">
        <f t="shared" si="884"/>
        <v>0.1</v>
      </c>
      <c r="AX203" s="120">
        <f t="shared" si="884"/>
        <v>0.1</v>
      </c>
      <c r="AY203" s="120">
        <f t="shared" si="884"/>
        <v>0.1</v>
      </c>
      <c r="AZ203" s="120">
        <f t="shared" si="884"/>
        <v>0.1</v>
      </c>
      <c r="BA203" s="120">
        <f t="shared" ref="BA203:BC203" si="889">IF(BA195&lt;0, BA195/2, IF(AND(BA195&gt;=0, BA195&lt;=75%), BA195, IF(BA195&gt;75%, 1/(4*BA195+1))))</f>
        <v>0.1</v>
      </c>
      <c r="BB203" s="120">
        <f t="shared" ref="BB203" si="890">IF(BB195&lt;0, BB195/2, IF(AND(BB195&gt;=0, BB195&lt;=75%), BB195, IF(BB195&gt;75%, 1/(4*BB195+1))))</f>
        <v>0.1</v>
      </c>
      <c r="BC203" s="120">
        <f t="shared" si="889"/>
        <v>0.1</v>
      </c>
      <c r="BD203" s="120">
        <f t="shared" ref="BD203:BE203" si="891">IF(BD195&lt;0, BD195/2, IF(AND(BD195&gt;=0, BD195&lt;=75%), BD195, IF(BD195&gt;75%, 1/(4*BD195+1))))</f>
        <v>0.1</v>
      </c>
      <c r="BE203" s="120">
        <f t="shared" si="891"/>
        <v>0.1</v>
      </c>
      <c r="BF203" s="120">
        <f t="shared" ref="BF203:BG203" si="892">IF(BF195&lt;0, BF195/2, IF(AND(BF195&gt;=0, BF195&lt;=75%), BF195, IF(BF195&gt;75%, 1/(4*BF195+1))))</f>
        <v>0.1</v>
      </c>
      <c r="BG203" s="120">
        <f t="shared" si="892"/>
        <v>0.1</v>
      </c>
      <c r="BH203" s="120">
        <f t="shared" ref="BH203" si="893">IF(BH195&lt;0, BH195/2, IF(AND(BH195&gt;=0, BH195&lt;=75%), BH195, IF(BH195&gt;75%, 1/(4*BH195+1))))</f>
        <v>0.1</v>
      </c>
      <c r="BI203" s="120"/>
      <c r="BJ203" s="120"/>
      <c r="BK203" s="120"/>
      <c r="BL203" s="120"/>
      <c r="BM203" s="120"/>
      <c r="BN203" s="120"/>
      <c r="BO203" s="120"/>
      <c r="BP203" s="120"/>
      <c r="BQ203" s="120"/>
      <c r="BR203" s="120"/>
      <c r="BS203" s="120"/>
      <c r="BT203" s="120"/>
      <c r="BU203" s="120"/>
      <c r="BV203" s="120"/>
      <c r="BW203" s="120"/>
      <c r="BX203" s="120"/>
      <c r="BY203" s="120"/>
      <c r="BZ203" s="120"/>
      <c r="CA203" s="120"/>
      <c r="CB203" s="120"/>
      <c r="CC203" s="120"/>
      <c r="CD203" s="120"/>
      <c r="CE203" s="120"/>
      <c r="CF203" s="120"/>
      <c r="CG203" s="120"/>
      <c r="CH203" s="120"/>
      <c r="CI203" s="120"/>
      <c r="CJ203" s="120"/>
      <c r="CK203" s="120"/>
      <c r="CL203" s="120"/>
      <c r="CM203" s="120"/>
      <c r="CN203" s="120"/>
      <c r="CO203" s="120"/>
      <c r="CP203" s="120"/>
      <c r="CQ203" s="120"/>
      <c r="CR203" s="120"/>
      <c r="CS203" s="120"/>
      <c r="CT203" s="120"/>
      <c r="CU203" s="120"/>
      <c r="CV203" s="120"/>
      <c r="CW203" s="120"/>
      <c r="CX203" s="120"/>
      <c r="CY203" s="120"/>
      <c r="CZ203" s="120"/>
      <c r="DA203" s="120"/>
      <c r="DB203" s="120"/>
      <c r="DC203" s="120"/>
    </row>
    <row r="204" spans="1:107" s="121" customFormat="1" hidden="1" outlineLevel="1" x14ac:dyDescent="0.25">
      <c r="A204" s="110" t="s">
        <v>659</v>
      </c>
      <c r="B204" s="120">
        <f t="shared" si="806"/>
        <v>0.1</v>
      </c>
      <c r="C204" s="120">
        <f t="shared" si="806"/>
        <v>0.1</v>
      </c>
      <c r="D204" s="120">
        <f t="shared" si="806"/>
        <v>0.1</v>
      </c>
      <c r="E204" s="120">
        <f t="shared" ref="E204" si="894">IF(E196&lt;0, E196/2, IF(AND(E196&gt;=0, E196&lt;=75%), E196, IF(E196&gt;75%, 1/(4*E196+1))))</f>
        <v>0.1</v>
      </c>
      <c r="F204" s="120">
        <f t="shared" si="806"/>
        <v>0.1</v>
      </c>
      <c r="G204" s="120">
        <f t="shared" si="808"/>
        <v>0.1</v>
      </c>
      <c r="H204" s="120">
        <f t="shared" si="809"/>
        <v>0.1</v>
      </c>
      <c r="I204" s="120">
        <f t="shared" ref="I204:K204" si="895">IF(I196&lt;0, I196/2, IF(AND(I196&gt;=0, I196&lt;=75%), I196, IF(I196&gt;75%, 1/(4*I196+1))))</f>
        <v>0.1</v>
      </c>
      <c r="J204" s="120">
        <f t="shared" si="895"/>
        <v>0.1</v>
      </c>
      <c r="K204" s="120">
        <f t="shared" si="895"/>
        <v>0.1</v>
      </c>
      <c r="L204" s="120">
        <f t="shared" ref="L204" si="896">IF(L196&lt;0, L196/2, IF(AND(L196&gt;=0, L196&lt;=75%), L196, IF(L196&gt;75%, 1/(4*L196+1))))</f>
        <v>0.1</v>
      </c>
      <c r="M204" s="120">
        <f t="shared" ref="M204" si="897">IF(M196&lt;0, M196/2, IF(AND(M196&gt;=0, M196&lt;=75%), M196, IF(M196&gt;75%, 1/(4*M196+1))))</f>
        <v>0.1</v>
      </c>
      <c r="N204" s="120">
        <f t="shared" si="813"/>
        <v>0.1</v>
      </c>
      <c r="O204" s="120">
        <f t="shared" si="813"/>
        <v>0.1</v>
      </c>
      <c r="P204" s="120">
        <f t="shared" si="813"/>
        <v>0.1</v>
      </c>
      <c r="Q204" s="120">
        <f t="shared" si="813"/>
        <v>0.1</v>
      </c>
      <c r="R204" s="120">
        <f t="shared" ref="R204:AZ204" si="898">IF(R196&lt;0, R196/2, IF(AND(R196&gt;=0, R196&lt;=75%), R196, IF(R196&gt;75%, 1/(4*R196+1))))</f>
        <v>0.1</v>
      </c>
      <c r="S204" s="120">
        <f t="shared" si="898"/>
        <v>0.1</v>
      </c>
      <c r="T204" s="120">
        <f t="shared" si="898"/>
        <v>0.1</v>
      </c>
      <c r="U204" s="120">
        <f t="shared" si="898"/>
        <v>0.1</v>
      </c>
      <c r="V204" s="120">
        <f t="shared" ref="V204:W204" si="899">IF(V196&lt;0, V196/2, IF(AND(V196&gt;=0, V196&lt;=75%), V196, IF(V196&gt;75%, 1/(4*V196+1))))</f>
        <v>0.1</v>
      </c>
      <c r="W204" s="120">
        <f t="shared" si="899"/>
        <v>0.1</v>
      </c>
      <c r="X204" s="120">
        <f t="shared" ref="X204:Y204" si="900">IF(X196&lt;0, X196/2, IF(AND(X196&gt;=0, X196&lt;=75%), X196, IF(X196&gt;75%, 1/(4*X196+1))))</f>
        <v>0.1</v>
      </c>
      <c r="Y204" s="120">
        <f t="shared" si="900"/>
        <v>0.1</v>
      </c>
      <c r="Z204" s="120">
        <f t="shared" ref="Z204:AA204" si="901">IF(Z196&lt;0, Z196/2, IF(AND(Z196&gt;=0, Z196&lt;=75%), Z196, IF(Z196&gt;75%, 1/(4*Z196+1))))</f>
        <v>0.1</v>
      </c>
      <c r="AA204" s="120">
        <f t="shared" si="901"/>
        <v>0.1</v>
      </c>
      <c r="AB204" s="120">
        <f t="shared" si="898"/>
        <v>0.1</v>
      </c>
      <c r="AC204" s="120">
        <f t="shared" si="898"/>
        <v>0.1</v>
      </c>
      <c r="AD204" s="120">
        <f t="shared" si="898"/>
        <v>0.1</v>
      </c>
      <c r="AE204" s="120">
        <f t="shared" si="898"/>
        <v>0.1</v>
      </c>
      <c r="AF204" s="120">
        <f t="shared" si="898"/>
        <v>0.1</v>
      </c>
      <c r="AG204" s="120">
        <f t="shared" ref="AG204:AI204" si="902">IF(AG196&lt;0, AG196/2, IF(AND(AG196&gt;=0, AG196&lt;=75%), AG196, IF(AG196&gt;75%, 1/(4*AG196+1))))</f>
        <v>0.1</v>
      </c>
      <c r="AH204" s="120">
        <f t="shared" si="902"/>
        <v>0.1</v>
      </c>
      <c r="AI204" s="120">
        <f t="shared" si="902"/>
        <v>0.1</v>
      </c>
      <c r="AJ204" s="120">
        <f t="shared" si="898"/>
        <v>0.1</v>
      </c>
      <c r="AK204" s="120">
        <f t="shared" si="898"/>
        <v>0.1</v>
      </c>
      <c r="AL204" s="120">
        <f t="shared" si="898"/>
        <v>0.1</v>
      </c>
      <c r="AM204" s="120">
        <f t="shared" si="898"/>
        <v>0.1</v>
      </c>
      <c r="AN204" s="120">
        <f t="shared" si="898"/>
        <v>0.1</v>
      </c>
      <c r="AO204" s="120">
        <f t="shared" si="898"/>
        <v>0.1</v>
      </c>
      <c r="AP204" s="120">
        <f t="shared" si="898"/>
        <v>0.1</v>
      </c>
      <c r="AQ204" s="120">
        <f t="shared" si="898"/>
        <v>0.1</v>
      </c>
      <c r="AR204" s="120">
        <f t="shared" si="898"/>
        <v>0.1</v>
      </c>
      <c r="AS204" s="120">
        <f t="shared" si="898"/>
        <v>0.1</v>
      </c>
      <c r="AT204" s="120">
        <f t="shared" si="898"/>
        <v>0.1</v>
      </c>
      <c r="AU204" s="120">
        <f t="shared" si="898"/>
        <v>0.1</v>
      </c>
      <c r="AV204" s="120">
        <f t="shared" si="898"/>
        <v>0.1</v>
      </c>
      <c r="AW204" s="120">
        <f t="shared" si="898"/>
        <v>0.1</v>
      </c>
      <c r="AX204" s="120">
        <f t="shared" si="898"/>
        <v>0.1</v>
      </c>
      <c r="AY204" s="120">
        <f t="shared" si="898"/>
        <v>0.1</v>
      </c>
      <c r="AZ204" s="120">
        <f t="shared" si="898"/>
        <v>0.1</v>
      </c>
      <c r="BA204" s="120">
        <f t="shared" ref="BA204:BC204" si="903">IF(BA196&lt;0, BA196/2, IF(AND(BA196&gt;=0, BA196&lt;=75%), BA196, IF(BA196&gt;75%, 1/(4*BA196+1))))</f>
        <v>0.1</v>
      </c>
      <c r="BB204" s="120">
        <f t="shared" ref="BB204" si="904">IF(BB196&lt;0, BB196/2, IF(AND(BB196&gt;=0, BB196&lt;=75%), BB196, IF(BB196&gt;75%, 1/(4*BB196+1))))</f>
        <v>0.1</v>
      </c>
      <c r="BC204" s="120">
        <f t="shared" si="903"/>
        <v>0.1</v>
      </c>
      <c r="BD204" s="120">
        <f t="shared" ref="BD204:BE204" si="905">IF(BD196&lt;0, BD196/2, IF(AND(BD196&gt;=0, BD196&lt;=75%), BD196, IF(BD196&gt;75%, 1/(4*BD196+1))))</f>
        <v>0.1</v>
      </c>
      <c r="BE204" s="120">
        <f t="shared" si="905"/>
        <v>0.1</v>
      </c>
      <c r="BF204" s="120">
        <f t="shared" ref="BF204:BG204" si="906">IF(BF196&lt;0, BF196/2, IF(AND(BF196&gt;=0, BF196&lt;=75%), BF196, IF(BF196&gt;75%, 1/(4*BF196+1))))</f>
        <v>0.1</v>
      </c>
      <c r="BG204" s="120">
        <f t="shared" si="906"/>
        <v>0.1</v>
      </c>
      <c r="BH204" s="120">
        <f t="shared" ref="BH204" si="907">IF(BH196&lt;0, BH196/2, IF(AND(BH196&gt;=0, BH196&lt;=75%), BH196, IF(BH196&gt;75%, 1/(4*BH196+1))))</f>
        <v>0.1</v>
      </c>
      <c r="BI204" s="120"/>
      <c r="BJ204" s="120"/>
      <c r="BK204" s="120"/>
      <c r="BL204" s="120"/>
      <c r="BM204" s="120"/>
      <c r="BN204" s="120"/>
      <c r="BO204" s="120"/>
      <c r="BP204" s="120"/>
      <c r="BQ204" s="120"/>
      <c r="BR204" s="120"/>
      <c r="BS204" s="120"/>
      <c r="BT204" s="120"/>
      <c r="BU204" s="120"/>
      <c r="BV204" s="120"/>
      <c r="BW204" s="120"/>
      <c r="BX204" s="120"/>
      <c r="BY204" s="120"/>
      <c r="BZ204" s="120"/>
      <c r="CA204" s="120"/>
      <c r="CB204" s="120"/>
      <c r="CC204" s="120"/>
      <c r="CD204" s="120"/>
      <c r="CE204" s="120"/>
      <c r="CF204" s="120"/>
      <c r="CG204" s="120"/>
      <c r="CH204" s="120"/>
      <c r="CI204" s="120"/>
      <c r="CJ204" s="120"/>
      <c r="CK204" s="120"/>
      <c r="CL204" s="120"/>
      <c r="CM204" s="120"/>
      <c r="CN204" s="120"/>
      <c r="CO204" s="120"/>
      <c r="CP204" s="120"/>
      <c r="CQ204" s="120"/>
      <c r="CR204" s="120"/>
      <c r="CS204" s="120"/>
      <c r="CT204" s="120"/>
      <c r="CU204" s="120"/>
      <c r="CV204" s="120"/>
      <c r="CW204" s="120"/>
      <c r="CX204" s="120"/>
      <c r="CY204" s="120"/>
      <c r="CZ204" s="120"/>
      <c r="DA204" s="120"/>
      <c r="DB204" s="120"/>
      <c r="DC204" s="120"/>
    </row>
    <row r="205" spans="1:107" s="119" customFormat="1" collapsed="1" x14ac:dyDescent="0.25">
      <c r="A205" s="112" t="s">
        <v>685</v>
      </c>
    </row>
    <row r="206" spans="1:107" hidden="1" outlineLevel="1" x14ac:dyDescent="0.25">
      <c r="A206" s="110" t="s">
        <v>643</v>
      </c>
      <c r="B206" s="7">
        <f>VLOOKUP(B$32, 'Data Val'!$I$43:$J$46, 2, 0)</f>
        <v>725.3599999999999</v>
      </c>
      <c r="C206" s="7">
        <f>VLOOKUP(C$32, 'Data Val'!$I$43:$J$46, 2, 0)</f>
        <v>725.3599999999999</v>
      </c>
      <c r="D206" s="7">
        <f>VLOOKUP(D$32, 'Data Val'!$I$43:$J$46, 2, 0)</f>
        <v>725.3599999999999</v>
      </c>
      <c r="E206" s="7">
        <f>VLOOKUP(E$32, 'Data Val'!$I$43:$J$46, 2, 0)</f>
        <v>725.3599999999999</v>
      </c>
      <c r="F206" s="7">
        <f>VLOOKUP(F$32, 'Data Val'!$I$43:$J$46, 2, 0)</f>
        <v>725.3599999999999</v>
      </c>
      <c r="G206" s="7">
        <f>VLOOKUP(G$32, 'Data Val'!$I$43:$J$46, 2, 0)</f>
        <v>725.3599999999999</v>
      </c>
      <c r="H206" s="7">
        <f>VLOOKUP(H$32, 'Data Val'!$I$43:$J$46, 2, 0)</f>
        <v>725.3599999999999</v>
      </c>
      <c r="I206" s="7">
        <f>VLOOKUP(I$32, 'Data Val'!$I$43:$J$46, 2, 0)</f>
        <v>725.3599999999999</v>
      </c>
      <c r="J206" s="7">
        <f>VLOOKUP(J$32, 'Data Val'!$I$43:$J$46, 2, 0)</f>
        <v>725.3599999999999</v>
      </c>
      <c r="K206" s="7">
        <f>VLOOKUP(K$32, 'Data Val'!$I$43:$J$46, 2, 0)</f>
        <v>725.3599999999999</v>
      </c>
      <c r="L206" s="7">
        <f>VLOOKUP(L$32, 'Data Val'!$I$43:$J$46, 2, 0)</f>
        <v>725.3599999999999</v>
      </c>
      <c r="M206" s="7">
        <f>VLOOKUP(M$32, 'Data Val'!$I$43:$J$46, 2, 0)</f>
        <v>725.3599999999999</v>
      </c>
      <c r="N206" s="7">
        <f>VLOOKUP(N$32, 'Data Val'!$I$43:$J$46, 2, 0)</f>
        <v>725.3599999999999</v>
      </c>
      <c r="O206" s="7">
        <f>VLOOKUP(O$32, 'Data Val'!$I$43:$J$46, 2, 0)</f>
        <v>725.3599999999999</v>
      </c>
      <c r="P206" s="7">
        <f>VLOOKUP(P$32, 'Data Val'!$I$43:$J$46, 2, 0)</f>
        <v>725.3599999999999</v>
      </c>
      <c r="Q206" s="7">
        <f>VLOOKUP(Q$32, 'Data Val'!$I$43:$J$46, 2, 0)</f>
        <v>725.3599999999999</v>
      </c>
      <c r="R206" s="7">
        <f>VLOOKUP(R$32, 'Data Val'!$I$43:$J$46, 2, 0)</f>
        <v>725.3599999999999</v>
      </c>
      <c r="S206" s="7">
        <f>VLOOKUP(S$32, 'Data Val'!$I$43:$J$46, 2, 0)</f>
        <v>725.3599999999999</v>
      </c>
      <c r="T206" s="7">
        <f>VLOOKUP(T$32, 'Data Val'!$I$43:$J$46, 2, 0)</f>
        <v>725.3599999999999</v>
      </c>
      <c r="U206" s="7">
        <f>VLOOKUP(U$32, 'Data Val'!$I$43:$J$46, 2, 0)</f>
        <v>725.3599999999999</v>
      </c>
      <c r="V206" s="7">
        <f>VLOOKUP(V$32, 'Data Val'!$I$43:$J$46, 2, 0)</f>
        <v>725.3599999999999</v>
      </c>
      <c r="W206" s="7">
        <f>VLOOKUP(W$32, 'Data Val'!$I$43:$J$46, 2, 0)</f>
        <v>725.3599999999999</v>
      </c>
      <c r="X206" s="7">
        <f>VLOOKUP(X$32, 'Data Val'!$I$43:$J$46, 2, 0)</f>
        <v>725.3599999999999</v>
      </c>
      <c r="Y206" s="7">
        <f>VLOOKUP(Y$32, 'Data Val'!$I$43:$J$46, 2, 0)</f>
        <v>725.3599999999999</v>
      </c>
      <c r="Z206" s="7">
        <f>VLOOKUP(Z$32, 'Data Val'!$I$43:$J$46, 2, 0)</f>
        <v>725.3599999999999</v>
      </c>
      <c r="AA206" s="7">
        <f>VLOOKUP(AA$32, 'Data Val'!$I$43:$J$46, 2, 0)</f>
        <v>725.3599999999999</v>
      </c>
      <c r="AB206" s="7">
        <f>VLOOKUP(AB$32, 'Data Val'!$I$43:$J$46, 2, 0)</f>
        <v>725.3599999999999</v>
      </c>
      <c r="AC206" s="7">
        <f>VLOOKUP(AC$32, 'Data Val'!$I$43:$J$46, 2, 0)</f>
        <v>725.3599999999999</v>
      </c>
      <c r="AD206" s="7">
        <f>VLOOKUP(AD$32, 'Data Val'!$I$43:$J$46, 2, 0)</f>
        <v>725.3599999999999</v>
      </c>
      <c r="AE206" s="7">
        <f>VLOOKUP(AE$32, 'Data Val'!$I$43:$J$46, 2, 0)</f>
        <v>725.3599999999999</v>
      </c>
      <c r="AF206" s="7">
        <f>VLOOKUP(AF$32, 'Data Val'!$I$43:$J$46, 2, 0)</f>
        <v>725.3599999999999</v>
      </c>
      <c r="AG206" s="7">
        <f>VLOOKUP(AG$32, 'Data Val'!$I$43:$J$46, 2, 0)</f>
        <v>725.3599999999999</v>
      </c>
      <c r="AH206" s="7">
        <f>VLOOKUP(AH$32, 'Data Val'!$I$43:$J$46, 2, 0)</f>
        <v>725.3599999999999</v>
      </c>
      <c r="AI206" s="7">
        <f>VLOOKUP(AI$32, 'Data Val'!$I$43:$J$46, 2, 0)</f>
        <v>725.3599999999999</v>
      </c>
      <c r="AJ206" s="7" t="e">
        <f>VLOOKUP(AJ$32, 'Data Val'!$I$43:$J$46, 2, 0)</f>
        <v>#N/A</v>
      </c>
      <c r="AK206" s="7" t="e">
        <f>VLOOKUP(AK$32, 'Data Val'!$I$43:$J$46, 2, 0)</f>
        <v>#N/A</v>
      </c>
      <c r="AL206" s="7" t="e">
        <f>VLOOKUP(AL$32, 'Data Val'!$I$43:$J$46, 2, 0)</f>
        <v>#N/A</v>
      </c>
      <c r="AM206" s="7" t="e">
        <f>VLOOKUP(AM$32, 'Data Val'!$I$43:$J$46, 2, 0)</f>
        <v>#N/A</v>
      </c>
      <c r="AN206" s="7" t="e">
        <f>VLOOKUP(AN$32, 'Data Val'!$I$43:$J$46, 2, 0)</f>
        <v>#N/A</v>
      </c>
      <c r="AO206" s="7" t="e">
        <f>VLOOKUP(AO$32, 'Data Val'!$I$43:$J$46, 2, 0)</f>
        <v>#N/A</v>
      </c>
      <c r="AP206" s="7" t="e">
        <f>VLOOKUP(AP$32, 'Data Val'!$I$43:$J$46, 2, 0)</f>
        <v>#N/A</v>
      </c>
      <c r="AQ206" s="7" t="e">
        <f>VLOOKUP(AQ$32, 'Data Val'!$I$43:$J$46, 2, 0)</f>
        <v>#N/A</v>
      </c>
      <c r="AR206" s="7" t="e">
        <f>VLOOKUP(AR$32, 'Data Val'!$I$43:$J$46, 2, 0)</f>
        <v>#N/A</v>
      </c>
      <c r="AS206" s="7" t="e">
        <f>VLOOKUP(AS$32, 'Data Val'!$I$43:$J$46, 2, 0)</f>
        <v>#N/A</v>
      </c>
      <c r="AT206" s="7" t="e">
        <f>VLOOKUP(AT$32, 'Data Val'!$I$43:$J$46, 2, 0)</f>
        <v>#N/A</v>
      </c>
      <c r="AU206" s="7" t="e">
        <f>VLOOKUP(AU$32, 'Data Val'!$I$43:$J$46, 2, 0)</f>
        <v>#N/A</v>
      </c>
      <c r="AV206" s="7" t="e">
        <f>VLOOKUP(AV$32, 'Data Val'!$I$43:$J$46, 2, 0)</f>
        <v>#N/A</v>
      </c>
      <c r="AW206" s="7" t="e">
        <f>VLOOKUP(AW$32, 'Data Val'!$I$43:$J$46, 2, 0)</f>
        <v>#N/A</v>
      </c>
      <c r="AX206" s="7" t="e">
        <f>VLOOKUP(AX$32, 'Data Val'!$I$43:$J$46, 2, 0)</f>
        <v>#N/A</v>
      </c>
      <c r="AY206" s="7" t="e">
        <f>VLOOKUP(AY$32, 'Data Val'!$I$43:$J$46, 2, 0)</f>
        <v>#N/A</v>
      </c>
      <c r="AZ206" s="7" t="e">
        <f>VLOOKUP(AZ$32, 'Data Val'!$I$43:$J$46, 2, 0)</f>
        <v>#N/A</v>
      </c>
      <c r="BA206" s="7" t="e">
        <f>VLOOKUP(BA$32, 'Data Val'!$I$43:$J$46, 2, 0)</f>
        <v>#N/A</v>
      </c>
      <c r="BB206" s="7" t="e">
        <f>VLOOKUP(BB$32, 'Data Val'!$I$43:$J$46, 2, 0)</f>
        <v>#N/A</v>
      </c>
      <c r="BC206" s="7" t="e">
        <f>VLOOKUP(BC$32, 'Data Val'!$I$43:$J$46, 2, 0)</f>
        <v>#N/A</v>
      </c>
      <c r="BD206" s="7" t="e">
        <f>VLOOKUP(BD$32, 'Data Val'!$I$43:$J$46, 2, 0)</f>
        <v>#N/A</v>
      </c>
      <c r="BE206" s="7" t="e">
        <f>VLOOKUP(BE$32, 'Data Val'!$I$43:$J$46, 2, 0)</f>
        <v>#N/A</v>
      </c>
      <c r="BF206" s="7" t="e">
        <f>VLOOKUP(BF$32, 'Data Val'!$I$43:$J$46, 2, 0)</f>
        <v>#N/A</v>
      </c>
      <c r="BG206" s="7" t="e">
        <f>VLOOKUP(BG$32, 'Data Val'!$I$43:$J$46, 2, 0)</f>
        <v>#N/A</v>
      </c>
      <c r="BH206" s="7" t="e">
        <f>VLOOKUP(BH$32, 'Data Val'!$I$43:$J$46, 2, 0)</f>
        <v>#N/A</v>
      </c>
    </row>
    <row r="207" spans="1:107" hidden="1" outlineLevel="1" x14ac:dyDescent="0.25">
      <c r="A207" s="110" t="s">
        <v>386</v>
      </c>
      <c r="B207" s="7">
        <f t="shared" ref="B207:G207" si="908">IFERROR(4*(1+(16*B147)/(2000+B147)+(IFERROR(B168+1, 1)-1))*B206*(1-B201),"")</f>
        <v>3423.2963407660168</v>
      </c>
      <c r="C207" s="7">
        <f t="shared" si="908"/>
        <v>3423.2963407660168</v>
      </c>
      <c r="D207" s="7">
        <f t="shared" si="908"/>
        <v>13211.447504940443</v>
      </c>
      <c r="E207" s="7">
        <f t="shared" ref="E207" si="909">IFERROR(4*(1+(16*E147)/(2000+E147)+(IFERROR(E168+1, 1)-1))*E206*(1-E201),"")</f>
        <v>13211.447504940443</v>
      </c>
      <c r="F207" s="7">
        <f t="shared" si="908"/>
        <v>13211.447504940443</v>
      </c>
      <c r="G207" s="7">
        <f t="shared" si="908"/>
        <v>13211.447504940443</v>
      </c>
      <c r="H207" s="7">
        <f>IFERROR(4*(1+(16*H147)/(2000+H147)+(IFERROR(H168+1, 1)-1))*H206*(1-H201),"")</f>
        <v>3423.2963407660168</v>
      </c>
      <c r="I207" s="7">
        <f t="shared" ref="I207:K207" si="910">IFERROR(4*(1+(16*I147)/(2000+I147)+(IFERROR(I168+1, 1)-1))*I206*(1-I201),"")</f>
        <v>13211.447504940443</v>
      </c>
      <c r="J207" s="7">
        <f t="shared" si="910"/>
        <v>13211.447504940443</v>
      </c>
      <c r="K207" s="7">
        <f t="shared" si="910"/>
        <v>13211.447504940443</v>
      </c>
      <c r="L207" s="7">
        <f t="shared" ref="L207" si="911">IFERROR(4*(1+(16*L147)/(2000+L147)+(IFERROR(L168+1, 1)-1))*L206*(1-L201),"")</f>
        <v>13211.447504940443</v>
      </c>
      <c r="M207" s="7">
        <f t="shared" ref="M207" si="912">IFERROR(4*(1+(16*M147)/(2000+M147)+(IFERROR(M168+1, 1)-1))*M206*(1-M201),"")</f>
        <v>13211.447504940443</v>
      </c>
      <c r="N207" s="7">
        <f>IFERROR(4*(1+(16*N147)/(2000+N147)+(IFERROR(N168+1, 1)-1))*N206*(1-N201),"")</f>
        <v>13211.447504940443</v>
      </c>
      <c r="O207" s="7">
        <f>IFERROR(4*(1+(16*O147)/(2000+O147)+(IFERROR(O168+1, 1)-1))*O206*(1-O201),"")</f>
        <v>3423.2963407660168</v>
      </c>
      <c r="P207" s="7">
        <f>IFERROR(4*(1+(16*P147)/(2000+P147)+(IFERROR(P168+1, 1)-1))*P206*(1-P201),"")</f>
        <v>3423.2963407660168</v>
      </c>
      <c r="Q207" s="7">
        <f>IFERROR(4*(1+(16*Q147)/(2000+Q147)+(IFERROR(Q168+1, 1)-1))*Q206*(1-Q201),"")</f>
        <v>3423.2963407660168</v>
      </c>
      <c r="R207" s="7">
        <f t="shared" ref="R207:AZ207" si="913">IFERROR(4*(1+(16*R147)/(2000+R147)+(IFERROR(R168+1, 1)-1))*R206*(1-R201),"")</f>
        <v>3423.2963407660168</v>
      </c>
      <c r="S207" s="7">
        <f t="shared" si="913"/>
        <v>3423.2963407660168</v>
      </c>
      <c r="T207" s="7">
        <f t="shared" si="913"/>
        <v>3423.2963407660168</v>
      </c>
      <c r="U207" s="7">
        <f t="shared" si="913"/>
        <v>3423.2963407660168</v>
      </c>
      <c r="V207" s="7">
        <f t="shared" ref="V207:W207" si="914">IFERROR(4*(1+(16*V147)/(2000+V147)+(IFERROR(V168+1, 1)-1))*V206*(1-V201),"")</f>
        <v>3423.2963407660168</v>
      </c>
      <c r="W207" s="7">
        <f t="shared" si="914"/>
        <v>3423.2963407660168</v>
      </c>
      <c r="X207" s="7">
        <f t="shared" ref="X207:Y207" si="915">IFERROR(4*(1+(16*X147)/(2000+X147)+(IFERROR(X168+1, 1)-1))*X206*(1-X201),"")</f>
        <v>3423.2963407660168</v>
      </c>
      <c r="Y207" s="7">
        <f t="shared" si="915"/>
        <v>3423.2963407660168</v>
      </c>
      <c r="Z207" s="7">
        <f t="shared" ref="Z207:AA207" si="916">IFERROR(4*(1+(16*Z147)/(2000+Z147)+(IFERROR(Z168+1, 1)-1))*Z206*(1-Z201),"")</f>
        <v>3423.2963407660168</v>
      </c>
      <c r="AA207" s="7">
        <f t="shared" si="916"/>
        <v>3423.2963407660168</v>
      </c>
      <c r="AB207" s="7">
        <f t="shared" si="913"/>
        <v>3423.2963407660168</v>
      </c>
      <c r="AC207" s="7">
        <f t="shared" si="913"/>
        <v>13211.447504940443</v>
      </c>
      <c r="AD207" s="7">
        <f t="shared" si="913"/>
        <v>13211.447504940443</v>
      </c>
      <c r="AE207" s="7">
        <f t="shared" si="913"/>
        <v>3423.2963407660168</v>
      </c>
      <c r="AF207" s="7">
        <f t="shared" si="913"/>
        <v>3423.2963407660168</v>
      </c>
      <c r="AG207" s="7">
        <f t="shared" ref="AG207:AI207" si="917">IFERROR(4*(1+(16*AG147)/(2000+AG147)+(IFERROR(AG168+1, 1)-1))*AG206*(1-AG201),"")</f>
        <v>3423.2963407660168</v>
      </c>
      <c r="AH207" s="7">
        <f t="shared" si="917"/>
        <v>3423.2963407660168</v>
      </c>
      <c r="AI207" s="7">
        <f t="shared" si="917"/>
        <v>3423.2963407660168</v>
      </c>
      <c r="AJ207" s="7" t="str">
        <f t="shared" si="913"/>
        <v/>
      </c>
      <c r="AK207" s="7" t="str">
        <f t="shared" si="913"/>
        <v/>
      </c>
      <c r="AL207" s="7" t="str">
        <f t="shared" si="913"/>
        <v/>
      </c>
      <c r="AM207" s="7" t="str">
        <f t="shared" si="913"/>
        <v/>
      </c>
      <c r="AN207" s="7" t="str">
        <f t="shared" si="913"/>
        <v/>
      </c>
      <c r="AO207" s="7" t="str">
        <f t="shared" si="913"/>
        <v/>
      </c>
      <c r="AP207" s="7" t="str">
        <f t="shared" si="913"/>
        <v/>
      </c>
      <c r="AQ207" s="7" t="str">
        <f t="shared" si="913"/>
        <v/>
      </c>
      <c r="AR207" s="7" t="str">
        <f t="shared" si="913"/>
        <v/>
      </c>
      <c r="AS207" s="7" t="str">
        <f t="shared" si="913"/>
        <v/>
      </c>
      <c r="AT207" s="7" t="str">
        <f t="shared" si="913"/>
        <v/>
      </c>
      <c r="AU207" s="7" t="str">
        <f t="shared" si="913"/>
        <v/>
      </c>
      <c r="AV207" s="7" t="str">
        <f t="shared" si="913"/>
        <v/>
      </c>
      <c r="AW207" s="7" t="str">
        <f t="shared" si="913"/>
        <v/>
      </c>
      <c r="AX207" s="7" t="str">
        <f t="shared" si="913"/>
        <v/>
      </c>
      <c r="AY207" s="7" t="str">
        <f t="shared" si="913"/>
        <v/>
      </c>
      <c r="AZ207" s="7" t="str">
        <f t="shared" si="913"/>
        <v/>
      </c>
      <c r="BA207" s="7" t="str">
        <f t="shared" ref="BA207:BC207" si="918">IFERROR(4*(1+(16*BA147)/(2000+BA147)+(IFERROR(BA168+1, 1)-1))*BA206*(1-BA201),"")</f>
        <v/>
      </c>
      <c r="BB207" s="7" t="str">
        <f t="shared" ref="BB207" si="919">IFERROR(4*(1+(16*BB147)/(2000+BB147)+(IFERROR(BB168+1, 1)-1))*BB206*(1-BB201),"")</f>
        <v/>
      </c>
      <c r="BC207" s="7" t="str">
        <f t="shared" si="918"/>
        <v/>
      </c>
      <c r="BD207" s="7" t="str">
        <f t="shared" ref="BD207:BE207" si="920">IFERROR(4*(1+(16*BD147)/(2000+BD147)+(IFERROR(BD168+1, 1)-1))*BD206*(1-BD201),"")</f>
        <v/>
      </c>
      <c r="BE207" s="7" t="str">
        <f t="shared" si="920"/>
        <v/>
      </c>
      <c r="BF207" s="7" t="str">
        <f t="shared" ref="BF207:BG207" si="921">IFERROR(4*(1+(16*BF147)/(2000+BF147)+(IFERROR(BF168+1, 1)-1))*BF206*(1-BF201),"")</f>
        <v/>
      </c>
      <c r="BG207" s="7" t="str">
        <f t="shared" si="921"/>
        <v/>
      </c>
      <c r="BH207" s="7" t="str">
        <f t="shared" ref="BH207" si="922">IFERROR(4*(1+(16*BH147)/(2000+BH147)+(IFERROR(BH168+1, 1)-1))*BH206*(1-BH201),"")</f>
        <v/>
      </c>
    </row>
    <row r="208" spans="1:107" hidden="1" outlineLevel="1" x14ac:dyDescent="0.25">
      <c r="A208" s="110" t="s">
        <v>389</v>
      </c>
      <c r="B208" s="7">
        <f t="shared" ref="B208:G208" si="923">IFERROR(2.4*(1+(16*B147)/(2000+B147)+(IFERROR(B168+1, 1)-1))*B206*(1-B204),"")</f>
        <v>2053.9778044596101</v>
      </c>
      <c r="C208" s="7">
        <f t="shared" si="923"/>
        <v>2053.9778044596101</v>
      </c>
      <c r="D208" s="7">
        <f t="shared" si="923"/>
        <v>7926.8685029642647</v>
      </c>
      <c r="E208" s="7">
        <f t="shared" ref="E208" si="924">IFERROR(2.4*(1+(16*E147)/(2000+E147)+(IFERROR(E168+1, 1)-1))*E206*(1-E204),"")</f>
        <v>7926.8685029642647</v>
      </c>
      <c r="F208" s="7">
        <f t="shared" si="923"/>
        <v>7926.8685029642647</v>
      </c>
      <c r="G208" s="7">
        <f t="shared" si="923"/>
        <v>7926.8685029642647</v>
      </c>
      <c r="H208" s="7">
        <f>IFERROR(2.4*(1+(16*H147)/(2000+H147)+(IFERROR(H168+1, 1)-1))*H206*(1-H204),"")</f>
        <v>2053.9778044596101</v>
      </c>
      <c r="I208" s="7">
        <f t="shared" ref="I208:K208" si="925">IFERROR(2.4*(1+(16*I147)/(2000+I147)+(IFERROR(I168+1, 1)-1))*I206*(1-I204),"")</f>
        <v>7926.8685029642647</v>
      </c>
      <c r="J208" s="7">
        <f t="shared" si="925"/>
        <v>7926.8685029642647</v>
      </c>
      <c r="K208" s="7">
        <f t="shared" si="925"/>
        <v>7926.8685029642647</v>
      </c>
      <c r="L208" s="7">
        <f t="shared" ref="L208" si="926">IFERROR(2.4*(1+(16*L147)/(2000+L147)+(IFERROR(L168+1, 1)-1))*L206*(1-L204),"")</f>
        <v>7926.8685029642647</v>
      </c>
      <c r="M208" s="7">
        <f t="shared" ref="M208" si="927">IFERROR(2.4*(1+(16*M147)/(2000+M147)+(IFERROR(M168+1, 1)-1))*M206*(1-M204),"")</f>
        <v>7926.8685029642647</v>
      </c>
      <c r="N208" s="7">
        <f>IFERROR(2.4*(1+(16*N147)/(2000+N147)+(IFERROR(N168+1, 1)-1))*N206*(1-N204),"")</f>
        <v>7926.8685029642647</v>
      </c>
      <c r="O208" s="7">
        <f>IFERROR(2.4*(1+(16*O147)/(2000+O147)+(IFERROR(O168+1, 1)-1))*O206*(1-O204),"")</f>
        <v>2053.9778044596101</v>
      </c>
      <c r="P208" s="7">
        <f>IFERROR(2.4*(1+(16*P147)/(2000+P147)+(IFERROR(P168+1, 1)-1))*P206*(1-P204),"")</f>
        <v>2053.9778044596101</v>
      </c>
      <c r="Q208" s="7">
        <f>IFERROR(2.4*(1+(16*Q147)/(2000+Q147)+(IFERROR(Q168+1, 1)-1))*Q206*(1-Q204),"")</f>
        <v>2053.9778044596101</v>
      </c>
      <c r="R208" s="7">
        <f t="shared" ref="R208:AZ208" si="928">IFERROR(2.4*(1+(16*R147)/(2000+R147)+(IFERROR(R168+1, 1)-1))*R206*(1-R204),"")</f>
        <v>2053.9778044596101</v>
      </c>
      <c r="S208" s="7">
        <f t="shared" si="928"/>
        <v>2053.9778044596101</v>
      </c>
      <c r="T208" s="7">
        <f t="shared" si="928"/>
        <v>2053.9778044596101</v>
      </c>
      <c r="U208" s="7">
        <f t="shared" si="928"/>
        <v>2053.9778044596101</v>
      </c>
      <c r="V208" s="7">
        <f t="shared" ref="V208:W208" si="929">IFERROR(2.4*(1+(16*V147)/(2000+V147)+(IFERROR(V168+1, 1)-1))*V206*(1-V204),"")</f>
        <v>2053.9778044596101</v>
      </c>
      <c r="W208" s="7">
        <f t="shared" si="929"/>
        <v>2053.9778044596101</v>
      </c>
      <c r="X208" s="7">
        <f t="shared" ref="X208:Y208" si="930">IFERROR(2.4*(1+(16*X147)/(2000+X147)+(IFERROR(X168+1, 1)-1))*X206*(1-X204),"")</f>
        <v>2053.9778044596101</v>
      </c>
      <c r="Y208" s="7">
        <f t="shared" si="930"/>
        <v>2053.9778044596101</v>
      </c>
      <c r="Z208" s="7">
        <f t="shared" ref="Z208:AA208" si="931">IFERROR(2.4*(1+(16*Z147)/(2000+Z147)+(IFERROR(Z168+1, 1)-1))*Z206*(1-Z204),"")</f>
        <v>2053.9778044596101</v>
      </c>
      <c r="AA208" s="7">
        <f t="shared" si="931"/>
        <v>2053.9778044596101</v>
      </c>
      <c r="AB208" s="7">
        <f t="shared" si="928"/>
        <v>2053.9778044596101</v>
      </c>
      <c r="AC208" s="7">
        <f t="shared" si="928"/>
        <v>7926.8685029642647</v>
      </c>
      <c r="AD208" s="7">
        <f t="shared" si="928"/>
        <v>7926.8685029642647</v>
      </c>
      <c r="AE208" s="7">
        <f t="shared" si="928"/>
        <v>2053.9778044596101</v>
      </c>
      <c r="AF208" s="7">
        <f t="shared" si="928"/>
        <v>2053.9778044596101</v>
      </c>
      <c r="AG208" s="7">
        <f t="shared" ref="AG208:AI208" si="932">IFERROR(2.4*(1+(16*AG147)/(2000+AG147)+(IFERROR(AG168+1, 1)-1))*AG206*(1-AG204),"")</f>
        <v>2053.9778044596101</v>
      </c>
      <c r="AH208" s="7">
        <f t="shared" si="932"/>
        <v>2053.9778044596101</v>
      </c>
      <c r="AI208" s="7">
        <f t="shared" si="932"/>
        <v>2053.9778044596101</v>
      </c>
      <c r="AJ208" s="7" t="str">
        <f t="shared" si="928"/>
        <v/>
      </c>
      <c r="AK208" s="7" t="str">
        <f t="shared" si="928"/>
        <v/>
      </c>
      <c r="AL208" s="7" t="str">
        <f t="shared" si="928"/>
        <v/>
      </c>
      <c r="AM208" s="7" t="str">
        <f t="shared" si="928"/>
        <v/>
      </c>
      <c r="AN208" s="7" t="str">
        <f t="shared" si="928"/>
        <v/>
      </c>
      <c r="AO208" s="7" t="str">
        <f t="shared" si="928"/>
        <v/>
      </c>
      <c r="AP208" s="7" t="str">
        <f t="shared" si="928"/>
        <v/>
      </c>
      <c r="AQ208" s="7" t="str">
        <f t="shared" si="928"/>
        <v/>
      </c>
      <c r="AR208" s="7" t="str">
        <f t="shared" si="928"/>
        <v/>
      </c>
      <c r="AS208" s="7" t="str">
        <f t="shared" si="928"/>
        <v/>
      </c>
      <c r="AT208" s="7" t="str">
        <f t="shared" si="928"/>
        <v/>
      </c>
      <c r="AU208" s="7" t="str">
        <f t="shared" si="928"/>
        <v/>
      </c>
      <c r="AV208" s="7" t="str">
        <f t="shared" si="928"/>
        <v/>
      </c>
      <c r="AW208" s="7" t="str">
        <f t="shared" si="928"/>
        <v/>
      </c>
      <c r="AX208" s="7" t="str">
        <f t="shared" si="928"/>
        <v/>
      </c>
      <c r="AY208" s="7" t="str">
        <f t="shared" si="928"/>
        <v/>
      </c>
      <c r="AZ208" s="7" t="str">
        <f t="shared" si="928"/>
        <v/>
      </c>
      <c r="BA208" s="7" t="str">
        <f t="shared" ref="BA208:BC208" si="933">IFERROR(2.4*(1+(16*BA147)/(2000+BA147)+(IFERROR(BA168+1, 1)-1))*BA206*(1-BA204),"")</f>
        <v/>
      </c>
      <c r="BB208" s="7" t="str">
        <f t="shared" ref="BB208" si="934">IFERROR(2.4*(1+(16*BB147)/(2000+BB147)+(IFERROR(BB168+1, 1)-1))*BB206*(1-BB204),"")</f>
        <v/>
      </c>
      <c r="BC208" s="7" t="str">
        <f t="shared" si="933"/>
        <v/>
      </c>
      <c r="BD208" s="7" t="str">
        <f t="shared" ref="BD208:BE208" si="935">IFERROR(2.4*(1+(16*BD147)/(2000+BD147)+(IFERROR(BD168+1, 1)-1))*BD206*(1-BD204),"")</f>
        <v/>
      </c>
      <c r="BE208" s="7" t="str">
        <f t="shared" si="935"/>
        <v/>
      </c>
      <c r="BF208" s="7" t="str">
        <f t="shared" ref="BF208:BG208" si="936">IFERROR(2.4*(1+(16*BF147)/(2000+BF147)+(IFERROR(BF168+1, 1)-1))*BF206*(1-BF204),"")</f>
        <v/>
      </c>
      <c r="BG208" s="7" t="str">
        <f t="shared" si="936"/>
        <v/>
      </c>
      <c r="BH208" s="7" t="str">
        <f t="shared" ref="BH208" si="937">IFERROR(2.4*(1+(16*BH147)/(2000+BH147)+(IFERROR(BH168+1, 1)-1))*BH206*(1-BH204),"")</f>
        <v/>
      </c>
    </row>
    <row r="209" spans="1:107" hidden="1" outlineLevel="1" x14ac:dyDescent="0.25">
      <c r="A209" s="110" t="s">
        <v>388</v>
      </c>
      <c r="B209" s="7">
        <f t="shared" ref="B209:G209" si="938">IFERROR(3*(1+(16*B147)/(2000+B147)+(IFERROR(B172+1, 1)-1))*B206*(1-B198),"")</f>
        <v>2567.4722555745125</v>
      </c>
      <c r="C209" s="7">
        <f t="shared" si="938"/>
        <v>2567.4722555745125</v>
      </c>
      <c r="D209" s="7">
        <f t="shared" si="938"/>
        <v>9908.5856287053321</v>
      </c>
      <c r="E209" s="7">
        <f t="shared" ref="E209" si="939">IFERROR(3*(1+(16*E147)/(2000+E147)+(IFERROR(E172+1, 1)-1))*E206*(1-E198),"")</f>
        <v>9908.5856287053321</v>
      </c>
      <c r="F209" s="7">
        <f t="shared" si="938"/>
        <v>9908.5856287053321</v>
      </c>
      <c r="G209" s="7">
        <f t="shared" si="938"/>
        <v>9908.5856287053321</v>
      </c>
      <c r="H209" s="7">
        <f>IFERROR(3*(1+(16*H147)/(2000+H147)+(IFERROR(H172+1, 1)-1))*H206*(1-H198),"")</f>
        <v>2567.4722555745125</v>
      </c>
      <c r="I209" s="7">
        <f t="shared" ref="I209:K209" si="940">IFERROR(3*(1+(16*I147)/(2000+I147)+(IFERROR(I172+1, 1)-1))*I206*(1-I198),"")</f>
        <v>9908.5856287053321</v>
      </c>
      <c r="J209" s="7">
        <f t="shared" si="940"/>
        <v>9908.5856287053321</v>
      </c>
      <c r="K209" s="7">
        <f t="shared" si="940"/>
        <v>9908.5856287053321</v>
      </c>
      <c r="L209" s="7">
        <f t="shared" ref="L209" si="941">IFERROR(3*(1+(16*L147)/(2000+L147)+(IFERROR(L172+1, 1)-1))*L206*(1-L198),"")</f>
        <v>9908.5856287053321</v>
      </c>
      <c r="M209" s="7">
        <f t="shared" ref="M209" si="942">IFERROR(3*(1+(16*M147)/(2000+M147)+(IFERROR(M172+1, 1)-1))*M206*(1-M198),"")</f>
        <v>9908.5856287053321</v>
      </c>
      <c r="N209" s="7">
        <f>IFERROR(3*(1+(16*N147)/(2000+N147)+(IFERROR(N172+1, 1)-1))*N206*(1-N198),"")</f>
        <v>9908.5856287053321</v>
      </c>
      <c r="O209" s="7">
        <f>IFERROR(3*(1+(16*O147)/(2000+O147)+(IFERROR(O172+1, 1)-1))*O206*(1-O198),"")</f>
        <v>2567.4722555745125</v>
      </c>
      <c r="P209" s="7">
        <f>IFERROR(3*(1+(16*P147)/(2000+P147)+(IFERROR(P172+1, 1)-1))*P206*(1-P198),"")</f>
        <v>2567.4722555745125</v>
      </c>
      <c r="Q209" s="7">
        <f>IFERROR(3*(1+(16*Q147)/(2000+Q147)+(IFERROR(Q172+1, 1)-1))*Q206*(1-Q198),"")</f>
        <v>2567.4722555745125</v>
      </c>
      <c r="R209" s="7">
        <f t="shared" ref="R209:AZ209" si="943">IFERROR(3*(1+(16*R147)/(2000+R147)+(IFERROR(R172+1, 1)-1))*R206*(1-R198),"")</f>
        <v>2567.4722555745125</v>
      </c>
      <c r="S209" s="7">
        <f t="shared" si="943"/>
        <v>2567.4722555745125</v>
      </c>
      <c r="T209" s="7">
        <f t="shared" si="943"/>
        <v>2567.4722555745125</v>
      </c>
      <c r="U209" s="7">
        <f t="shared" si="943"/>
        <v>2567.4722555745125</v>
      </c>
      <c r="V209" s="7">
        <f t="shared" ref="V209:W209" si="944">IFERROR(3*(1+(16*V147)/(2000+V147)+(IFERROR(V172+1, 1)-1))*V206*(1-V198),"")</f>
        <v>2567.4722555745125</v>
      </c>
      <c r="W209" s="7">
        <f t="shared" si="944"/>
        <v>2567.4722555745125</v>
      </c>
      <c r="X209" s="7">
        <f t="shared" ref="X209:Y209" si="945">IFERROR(3*(1+(16*X147)/(2000+X147)+(IFERROR(X172+1, 1)-1))*X206*(1-X198),"")</f>
        <v>2567.4722555745125</v>
      </c>
      <c r="Y209" s="7">
        <f t="shared" si="945"/>
        <v>2567.4722555745125</v>
      </c>
      <c r="Z209" s="7">
        <f t="shared" ref="Z209:AA209" si="946">IFERROR(3*(1+(16*Z147)/(2000+Z147)+(IFERROR(Z172+1, 1)-1))*Z206*(1-Z198),"")</f>
        <v>2567.4722555745125</v>
      </c>
      <c r="AA209" s="7">
        <f t="shared" si="946"/>
        <v>2567.4722555745125</v>
      </c>
      <c r="AB209" s="7">
        <f t="shared" si="943"/>
        <v>2567.4722555745125</v>
      </c>
      <c r="AC209" s="7">
        <f t="shared" si="943"/>
        <v>9908.5856287053321</v>
      </c>
      <c r="AD209" s="7">
        <f t="shared" si="943"/>
        <v>9908.5856287053321</v>
      </c>
      <c r="AE209" s="7">
        <f t="shared" si="943"/>
        <v>2567.4722555745125</v>
      </c>
      <c r="AF209" s="7">
        <f t="shared" si="943"/>
        <v>2567.4722555745125</v>
      </c>
      <c r="AG209" s="7">
        <f t="shared" ref="AG209:AI209" si="947">IFERROR(3*(1+(16*AG147)/(2000+AG147)+(IFERROR(AG172+1, 1)-1))*AG206*(1-AG198),"")</f>
        <v>2567.4722555745125</v>
      </c>
      <c r="AH209" s="7">
        <f t="shared" si="947"/>
        <v>2567.4722555745125</v>
      </c>
      <c r="AI209" s="7">
        <f t="shared" si="947"/>
        <v>2567.4722555745125</v>
      </c>
      <c r="AJ209" s="7" t="str">
        <f t="shared" si="943"/>
        <v/>
      </c>
      <c r="AK209" s="7" t="str">
        <f t="shared" si="943"/>
        <v/>
      </c>
      <c r="AL209" s="7" t="str">
        <f t="shared" si="943"/>
        <v/>
      </c>
      <c r="AM209" s="7" t="str">
        <f t="shared" si="943"/>
        <v/>
      </c>
      <c r="AN209" s="7" t="str">
        <f t="shared" si="943"/>
        <v/>
      </c>
      <c r="AO209" s="7" t="str">
        <f t="shared" si="943"/>
        <v/>
      </c>
      <c r="AP209" s="7" t="str">
        <f t="shared" si="943"/>
        <v/>
      </c>
      <c r="AQ209" s="7" t="str">
        <f t="shared" si="943"/>
        <v/>
      </c>
      <c r="AR209" s="7" t="str">
        <f t="shared" si="943"/>
        <v/>
      </c>
      <c r="AS209" s="7" t="str">
        <f t="shared" si="943"/>
        <v/>
      </c>
      <c r="AT209" s="7" t="str">
        <f t="shared" si="943"/>
        <v/>
      </c>
      <c r="AU209" s="7" t="str">
        <f t="shared" si="943"/>
        <v/>
      </c>
      <c r="AV209" s="7" t="str">
        <f t="shared" si="943"/>
        <v/>
      </c>
      <c r="AW209" s="7" t="str">
        <f t="shared" si="943"/>
        <v/>
      </c>
      <c r="AX209" s="7" t="str">
        <f t="shared" si="943"/>
        <v/>
      </c>
      <c r="AY209" s="7" t="str">
        <f t="shared" si="943"/>
        <v/>
      </c>
      <c r="AZ209" s="7" t="str">
        <f t="shared" si="943"/>
        <v/>
      </c>
      <c r="BA209" s="7" t="str">
        <f t="shared" ref="BA209:BC209" si="948">IFERROR(3*(1+(16*BA147)/(2000+BA147)+(IFERROR(BA172+1, 1)-1))*BA206*(1-BA198),"")</f>
        <v/>
      </c>
      <c r="BB209" s="7" t="str">
        <f t="shared" ref="BB209" si="949">IFERROR(3*(1+(16*BB147)/(2000+BB147)+(IFERROR(BB172+1, 1)-1))*BB206*(1-BB198),"")</f>
        <v/>
      </c>
      <c r="BC209" s="7" t="str">
        <f t="shared" si="948"/>
        <v/>
      </c>
      <c r="BD209" s="7" t="str">
        <f t="shared" ref="BD209:BE209" si="950">IFERROR(3*(1+(16*BD147)/(2000+BD147)+(IFERROR(BD172+1, 1)-1))*BD206*(1-BD198),"")</f>
        <v/>
      </c>
      <c r="BE209" s="7" t="str">
        <f t="shared" si="950"/>
        <v/>
      </c>
      <c r="BF209" s="7" t="str">
        <f t="shared" ref="BF209:BG209" si="951">IFERROR(3*(1+(16*BF147)/(2000+BF147)+(IFERROR(BF172+1, 1)-1))*BF206*(1-BF198),"")</f>
        <v/>
      </c>
      <c r="BG209" s="7" t="str">
        <f t="shared" si="951"/>
        <v/>
      </c>
      <c r="BH209" s="7" t="str">
        <f t="shared" ref="BH209" si="952">IFERROR(3*(1+(16*BH147)/(2000+BH147)+(IFERROR(BH172+1, 1)-1))*BH206*(1-BH198),"")</f>
        <v/>
      </c>
    </row>
    <row r="210" spans="1:107" hidden="1" outlineLevel="1" x14ac:dyDescent="0.25">
      <c r="A210" s="110" t="s">
        <v>385</v>
      </c>
      <c r="B210" s="7">
        <f t="shared" ref="B210:G210" si="953">IFERROR(1*(1+(16*B147)/(2000+B147)+(IFERROR(B171+1, 1)-1))*B206*(1-B203),"")</f>
        <v>855.8240851915042</v>
      </c>
      <c r="C210" s="7">
        <f t="shared" si="953"/>
        <v>855.8240851915042</v>
      </c>
      <c r="D210" s="7">
        <f t="shared" si="953"/>
        <v>3302.8618762351107</v>
      </c>
      <c r="E210" s="7">
        <f t="shared" ref="E210" si="954">IFERROR(1*(1+(16*E147)/(2000+E147)+(IFERROR(E171+1, 1)-1))*E206*(1-E203),"")</f>
        <v>4220.3235085226406</v>
      </c>
      <c r="F210" s="7">
        <f t="shared" si="953"/>
        <v>4220.3235085226406</v>
      </c>
      <c r="G210" s="7">
        <f t="shared" si="953"/>
        <v>4220.3235085226406</v>
      </c>
      <c r="H210" s="7">
        <f>IFERROR(1*(1+(16*H147)/(2000+H147)+(IFERROR(H171+1, 1)-1))*H206*(1-H203),"")</f>
        <v>1093.5529977446997</v>
      </c>
      <c r="I210" s="7">
        <f t="shared" ref="I210:K210" si="955">IFERROR(1*(1+(16*I147)/(2000+I147)+(IFERROR(I171+1, 1)-1))*I206*(1-I203),"")</f>
        <v>4220.3235085226406</v>
      </c>
      <c r="J210" s="7">
        <f t="shared" si="955"/>
        <v>4477.2127655631502</v>
      </c>
      <c r="K210" s="7">
        <f t="shared" si="955"/>
        <v>4477.2127655631502</v>
      </c>
      <c r="L210" s="7">
        <f t="shared" ref="L210" si="956">IFERROR(1*(1+(16*L147)/(2000+L147)+(IFERROR(L171+1, 1)-1))*L206*(1-L203),"")</f>
        <v>4477.2127655631502</v>
      </c>
      <c r="M210" s="7">
        <f t="shared" ref="M210" si="957">IFERROR(1*(1+(16*M147)/(2000+M147)+(IFERROR(M171+1, 1)-1))*M206*(1-M203),"")</f>
        <v>4477.2127655631502</v>
      </c>
      <c r="N210" s="7">
        <f>IFERROR(1*(1+(16*N147)/(2000+N147)+(IFERROR(N171+1, 1)-1))*N206*(1-N203),"")</f>
        <v>4220.3235085226406</v>
      </c>
      <c r="O210" s="7">
        <f>IFERROR(1*(1+(16*O147)/(2000+O147)+(IFERROR(O171+1, 1)-1))*O206*(1-O203),"")</f>
        <v>1160.1170932595946</v>
      </c>
      <c r="P210" s="7">
        <f>IFERROR(1*(1+(16*P147)/(2000+P147)+(IFERROR(P171+1, 1)-1))*P206*(1-P203),"")</f>
        <v>1160.1170932595946</v>
      </c>
      <c r="Q210" s="7">
        <f>IFERROR(1*(1+(16*Q147)/(2000+Q147)+(IFERROR(Q171+1, 1)-1))*Q206*(1-Q203),"")</f>
        <v>1160.1170932595946</v>
      </c>
      <c r="R210" s="7">
        <f t="shared" ref="R210:AZ210" si="958">IFERROR(1*(1+(16*R147)/(2000+R147)+(IFERROR(R171+1, 1)-1))*R206*(1-R203),"")</f>
        <v>855.8240851915042</v>
      </c>
      <c r="S210" s="7">
        <f t="shared" si="958"/>
        <v>1160.1170932595946</v>
      </c>
      <c r="T210" s="7">
        <f t="shared" si="958"/>
        <v>855.8240851915042</v>
      </c>
      <c r="U210" s="7">
        <f t="shared" si="958"/>
        <v>1160.1170932595946</v>
      </c>
      <c r="V210" s="7">
        <f t="shared" ref="V210:W210" si="959">IFERROR(1*(1+(16*V147)/(2000+V147)+(IFERROR(V171+1, 1)-1))*V206*(1-V203),"")</f>
        <v>1160.1170932595946</v>
      </c>
      <c r="W210" s="7">
        <f t="shared" si="959"/>
        <v>1160.1170932595946</v>
      </c>
      <c r="X210" s="7">
        <f t="shared" ref="X210:Y210" si="960">IFERROR(1*(1+(16*X147)/(2000+X147)+(IFERROR(X171+1, 1)-1))*X206*(1-X203),"")</f>
        <v>1160.1170932595946</v>
      </c>
      <c r="Y210" s="7">
        <f t="shared" si="960"/>
        <v>1160.1170932595946</v>
      </c>
      <c r="Z210" s="7">
        <f t="shared" ref="Z210:AA210" si="961">IFERROR(1*(1+(16*Z147)/(2000+Z147)+(IFERROR(Z171+1, 1)-1))*Z206*(1-Z203),"")</f>
        <v>1093.5529977446997</v>
      </c>
      <c r="AA210" s="7">
        <f t="shared" si="961"/>
        <v>1093.5529977446997</v>
      </c>
      <c r="AB210" s="7">
        <f t="shared" si="958"/>
        <v>855.8240851915042</v>
      </c>
      <c r="AC210" s="7">
        <f t="shared" si="958"/>
        <v>3302.8618762351107</v>
      </c>
      <c r="AD210" s="7">
        <f t="shared" si="958"/>
        <v>4477.2127655631502</v>
      </c>
      <c r="AE210" s="7">
        <f t="shared" si="958"/>
        <v>1160.1170932595946</v>
      </c>
      <c r="AF210" s="7">
        <f t="shared" si="958"/>
        <v>1093.5529977446997</v>
      </c>
      <c r="AG210" s="7">
        <f t="shared" ref="AG210:AI210" si="962">IFERROR(1*(1+(16*AG147)/(2000+AG147)+(IFERROR(AG171+1, 1)-1))*AG206*(1-AG203),"")</f>
        <v>1093.5529977446997</v>
      </c>
      <c r="AH210" s="7">
        <f t="shared" si="962"/>
        <v>1093.5529977446997</v>
      </c>
      <c r="AI210" s="7">
        <f t="shared" si="962"/>
        <v>1093.5529977446997</v>
      </c>
      <c r="AJ210" s="7" t="str">
        <f t="shared" si="958"/>
        <v/>
      </c>
      <c r="AK210" s="7" t="str">
        <f t="shared" si="958"/>
        <v/>
      </c>
      <c r="AL210" s="7" t="str">
        <f t="shared" si="958"/>
        <v/>
      </c>
      <c r="AM210" s="7" t="str">
        <f t="shared" si="958"/>
        <v/>
      </c>
      <c r="AN210" s="7" t="str">
        <f t="shared" si="958"/>
        <v/>
      </c>
      <c r="AO210" s="7" t="str">
        <f t="shared" si="958"/>
        <v/>
      </c>
      <c r="AP210" s="7" t="str">
        <f t="shared" si="958"/>
        <v/>
      </c>
      <c r="AQ210" s="7" t="str">
        <f t="shared" si="958"/>
        <v/>
      </c>
      <c r="AR210" s="7" t="str">
        <f t="shared" si="958"/>
        <v/>
      </c>
      <c r="AS210" s="7" t="str">
        <f t="shared" si="958"/>
        <v/>
      </c>
      <c r="AT210" s="7" t="str">
        <f t="shared" si="958"/>
        <v/>
      </c>
      <c r="AU210" s="7" t="str">
        <f t="shared" si="958"/>
        <v/>
      </c>
      <c r="AV210" s="7" t="str">
        <f t="shared" si="958"/>
        <v/>
      </c>
      <c r="AW210" s="7" t="str">
        <f t="shared" si="958"/>
        <v/>
      </c>
      <c r="AX210" s="7" t="str">
        <f t="shared" si="958"/>
        <v/>
      </c>
      <c r="AY210" s="7" t="str">
        <f t="shared" si="958"/>
        <v/>
      </c>
      <c r="AZ210" s="7" t="str">
        <f t="shared" si="958"/>
        <v/>
      </c>
      <c r="BA210" s="7" t="str">
        <f t="shared" ref="BA210:BC210" si="963">IFERROR(1*(1+(16*BA147)/(2000+BA147)+(IFERROR(BA171+1, 1)-1))*BA206*(1-BA203),"")</f>
        <v/>
      </c>
      <c r="BB210" s="7" t="str">
        <f t="shared" ref="BB210" si="964">IFERROR(1*(1+(16*BB147)/(2000+BB147)+(IFERROR(BB171+1, 1)-1))*BB206*(1-BB203),"")</f>
        <v/>
      </c>
      <c r="BC210" s="7" t="str">
        <f t="shared" si="963"/>
        <v/>
      </c>
      <c r="BD210" s="7" t="str">
        <f t="shared" ref="BD210:BE210" si="965">IFERROR(1*(1+(16*BD147)/(2000+BD147)+(IFERROR(BD171+1, 1)-1))*BD206*(1-BD203),"")</f>
        <v/>
      </c>
      <c r="BE210" s="7" t="str">
        <f t="shared" si="965"/>
        <v/>
      </c>
      <c r="BF210" s="7" t="str">
        <f t="shared" ref="BF210:BG210" si="966">IFERROR(1*(1+(16*BF147)/(2000+BF147)+(IFERROR(BF171+1, 1)-1))*BF206*(1-BF203),"")</f>
        <v/>
      </c>
      <c r="BG210" s="7" t="str">
        <f t="shared" si="966"/>
        <v/>
      </c>
      <c r="BH210" s="7" t="str">
        <f t="shared" ref="BH210" si="967">IFERROR(1*(1+(16*BH147)/(2000+BH147)+(IFERROR(BH171+1, 1)-1))*BH206*(1-BH203),"")</f>
        <v/>
      </c>
    </row>
    <row r="211" spans="1:107" hidden="1" outlineLevel="1" x14ac:dyDescent="0.25">
      <c r="A211" s="110" t="s">
        <v>387</v>
      </c>
      <c r="B211" s="7">
        <f t="shared" ref="B211:G211" si="968">IFERROR(1.2*(1+(16*B147)/(2000+B147)+(IFERROR(B167+1, 1)-1))*B206*(1-B201),"")</f>
        <v>1026.988902229805</v>
      </c>
      <c r="C211" s="7">
        <f t="shared" si="968"/>
        <v>1026.988902229805</v>
      </c>
      <c r="D211" s="7">
        <f t="shared" si="968"/>
        <v>4433.4675314821325</v>
      </c>
      <c r="E211" s="7">
        <f t="shared" ref="E211" si="969">IFERROR(1.2*(1+(16*E147)/(2000+E147)+(IFERROR(E167+1, 1)-1))*E206*(1-E201),"")</f>
        <v>4433.4675314821325</v>
      </c>
      <c r="F211" s="7">
        <f t="shared" si="968"/>
        <v>4433.4675314821325</v>
      </c>
      <c r="G211" s="7">
        <f t="shared" si="968"/>
        <v>4433.4675314821325</v>
      </c>
      <c r="H211" s="7">
        <f>IFERROR(1.2*(1+(16*H147)/(2000+H147)+(IFERROR(H167+1, 1)-1))*H206*(1-H201),"")</f>
        <v>1026.988902229805</v>
      </c>
      <c r="I211" s="7">
        <f t="shared" ref="I211:K211" si="970">IFERROR(1.2*(1+(16*I147)/(2000+I147)+(IFERROR(I167+1, 1)-1))*I206*(1-I201),"")</f>
        <v>4433.4675314821325</v>
      </c>
      <c r="J211" s="7">
        <f t="shared" si="970"/>
        <v>4433.4675314821325</v>
      </c>
      <c r="K211" s="7">
        <f t="shared" si="970"/>
        <v>4433.4675314821325</v>
      </c>
      <c r="L211" s="7">
        <f t="shared" ref="L211" si="971">IFERROR(1.2*(1+(16*L147)/(2000+L147)+(IFERROR(L167+1, 1)-1))*L206*(1-L201),"")</f>
        <v>4433.4675314821325</v>
      </c>
      <c r="M211" s="7">
        <f t="shared" ref="M211" si="972">IFERROR(1.2*(1+(16*M147)/(2000+M147)+(IFERROR(M167+1, 1)-1))*M206*(1-M201),"")</f>
        <v>4433.4675314821325</v>
      </c>
      <c r="N211" s="7">
        <f>IFERROR(1.2*(1+(16*N147)/(2000+N147)+(IFERROR(N167+1, 1)-1))*N206*(1-N201),"")</f>
        <v>4433.4675314821325</v>
      </c>
      <c r="O211" s="7">
        <f>IFERROR(1.2*(1+(16*O147)/(2000+O147)+(IFERROR(O167+1, 1)-1))*O206*(1-O201),"")</f>
        <v>1026.988902229805</v>
      </c>
      <c r="P211" s="7">
        <f>IFERROR(1.2*(1+(16*P147)/(2000+P147)+(IFERROR(P167+1, 1)-1))*P206*(1-P201),"")</f>
        <v>1026.988902229805</v>
      </c>
      <c r="Q211" s="7">
        <f>IFERROR(1.2*(1+(16*Q147)/(2000+Q147)+(IFERROR(Q167+1, 1)-1))*Q206*(1-Q201),"")</f>
        <v>1026.988902229805</v>
      </c>
      <c r="R211" s="7">
        <f t="shared" ref="R211:AZ211" si="973">IFERROR(1.2*(1+(16*R147)/(2000+R147)+(IFERROR(R167+1, 1)-1))*R206*(1-R201),"")</f>
        <v>1026.988902229805</v>
      </c>
      <c r="S211" s="7">
        <f t="shared" si="973"/>
        <v>1026.988902229805</v>
      </c>
      <c r="T211" s="7">
        <f t="shared" si="973"/>
        <v>1026.988902229805</v>
      </c>
      <c r="U211" s="7">
        <f t="shared" si="973"/>
        <v>1026.988902229805</v>
      </c>
      <c r="V211" s="7">
        <f t="shared" ref="V211:W211" si="974">IFERROR(1.2*(1+(16*V147)/(2000+V147)+(IFERROR(V167+1, 1)-1))*V206*(1-V201),"")</f>
        <v>1026.988902229805</v>
      </c>
      <c r="W211" s="7">
        <f t="shared" si="974"/>
        <v>1026.988902229805</v>
      </c>
      <c r="X211" s="7">
        <f t="shared" ref="X211:Y211" si="975">IFERROR(1.2*(1+(16*X147)/(2000+X147)+(IFERROR(X167+1, 1)-1))*X206*(1-X201),"")</f>
        <v>1026.988902229805</v>
      </c>
      <c r="Y211" s="7">
        <f t="shared" si="975"/>
        <v>1026.988902229805</v>
      </c>
      <c r="Z211" s="7">
        <f t="shared" ref="Z211:AA211" si="976">IFERROR(1.2*(1+(16*Z147)/(2000+Z147)+(IFERROR(Z167+1, 1)-1))*Z206*(1-Z201),"")</f>
        <v>1026.988902229805</v>
      </c>
      <c r="AA211" s="7">
        <f t="shared" si="976"/>
        <v>1026.988902229805</v>
      </c>
      <c r="AB211" s="7">
        <f t="shared" si="973"/>
        <v>1026.988902229805</v>
      </c>
      <c r="AC211" s="7">
        <f t="shared" si="973"/>
        <v>4433.4675314821325</v>
      </c>
      <c r="AD211" s="7">
        <f t="shared" si="973"/>
        <v>4433.4675314821325</v>
      </c>
      <c r="AE211" s="7">
        <f t="shared" si="973"/>
        <v>1026.988902229805</v>
      </c>
      <c r="AF211" s="7">
        <f t="shared" si="973"/>
        <v>1026.988902229805</v>
      </c>
      <c r="AG211" s="7">
        <f t="shared" ref="AG211:AI211" si="977">IFERROR(1.2*(1+(16*AG147)/(2000+AG147)+(IFERROR(AG167+1, 1)-1))*AG206*(1-AG201),"")</f>
        <v>1026.988902229805</v>
      </c>
      <c r="AH211" s="7">
        <f t="shared" si="977"/>
        <v>1026.988902229805</v>
      </c>
      <c r="AI211" s="7">
        <f t="shared" si="977"/>
        <v>1026.988902229805</v>
      </c>
      <c r="AJ211" s="7" t="str">
        <f t="shared" si="973"/>
        <v/>
      </c>
      <c r="AK211" s="7" t="str">
        <f t="shared" si="973"/>
        <v/>
      </c>
      <c r="AL211" s="7" t="str">
        <f t="shared" si="973"/>
        <v/>
      </c>
      <c r="AM211" s="7" t="str">
        <f t="shared" si="973"/>
        <v/>
      </c>
      <c r="AN211" s="7" t="str">
        <f t="shared" si="973"/>
        <v/>
      </c>
      <c r="AO211" s="7" t="str">
        <f t="shared" si="973"/>
        <v/>
      </c>
      <c r="AP211" s="7" t="str">
        <f t="shared" si="973"/>
        <v/>
      </c>
      <c r="AQ211" s="7" t="str">
        <f t="shared" si="973"/>
        <v/>
      </c>
      <c r="AR211" s="7" t="str">
        <f t="shared" si="973"/>
        <v/>
      </c>
      <c r="AS211" s="7" t="str">
        <f t="shared" si="973"/>
        <v/>
      </c>
      <c r="AT211" s="7" t="str">
        <f t="shared" si="973"/>
        <v/>
      </c>
      <c r="AU211" s="7" t="str">
        <f t="shared" si="973"/>
        <v/>
      </c>
      <c r="AV211" s="7" t="str">
        <f t="shared" si="973"/>
        <v/>
      </c>
      <c r="AW211" s="7" t="str">
        <f t="shared" si="973"/>
        <v/>
      </c>
      <c r="AX211" s="7" t="str">
        <f t="shared" si="973"/>
        <v/>
      </c>
      <c r="AY211" s="7" t="str">
        <f t="shared" si="973"/>
        <v/>
      </c>
      <c r="AZ211" s="7" t="str">
        <f t="shared" si="973"/>
        <v/>
      </c>
      <c r="BA211" s="7" t="str">
        <f t="shared" ref="BA211:BC211" si="978">IFERROR(1.2*(1+(16*BA147)/(2000+BA147)+(IFERROR(BA167+1, 1)-1))*BA206*(1-BA201),"")</f>
        <v/>
      </c>
      <c r="BB211" s="7" t="str">
        <f t="shared" ref="BB211" si="979">IFERROR(1.2*(1+(16*BB147)/(2000+BB147)+(IFERROR(BB167+1, 1)-1))*BB206*(1-BB201),"")</f>
        <v/>
      </c>
      <c r="BC211" s="7" t="str">
        <f t="shared" si="978"/>
        <v/>
      </c>
      <c r="BD211" s="7" t="str">
        <f t="shared" ref="BD211:BE211" si="980">IFERROR(1.2*(1+(16*BD147)/(2000+BD147)+(IFERROR(BD167+1, 1)-1))*BD206*(1-BD201),"")</f>
        <v/>
      </c>
      <c r="BE211" s="7" t="str">
        <f t="shared" si="980"/>
        <v/>
      </c>
      <c r="BF211" s="7" t="str">
        <f t="shared" ref="BF211:BG211" si="981">IFERROR(1.2*(1+(16*BF147)/(2000+BF147)+(IFERROR(BF167+1, 1)-1))*BF206*(1-BF201),"")</f>
        <v/>
      </c>
      <c r="BG211" s="7" t="str">
        <f t="shared" si="981"/>
        <v/>
      </c>
      <c r="BH211" s="7" t="str">
        <f t="shared" ref="BH211" si="982">IFERROR(1.2*(1+(16*BH147)/(2000+BH147)+(IFERROR(BH167+1, 1)-1))*BH206*(1-BH201),"")</f>
        <v/>
      </c>
    </row>
    <row r="212" spans="1:107" hidden="1" outlineLevel="1" x14ac:dyDescent="0.25">
      <c r="A212" s="110" t="s">
        <v>391</v>
      </c>
      <c r="B212" s="7">
        <f t="shared" ref="B212:G212" si="983">IFERROR(1.2*(1+(16*B147)/(2000+B147)+(IFERROR(B167+1, 1)-1))*B206*(1-B202),"")</f>
        <v>1026.988902229805</v>
      </c>
      <c r="C212" s="7">
        <f t="shared" si="983"/>
        <v>1026.988902229805</v>
      </c>
      <c r="D212" s="7">
        <f t="shared" si="983"/>
        <v>4433.4675314821325</v>
      </c>
      <c r="E212" s="7">
        <f t="shared" ref="E212" si="984">IFERROR(1.2*(1+(16*E147)/(2000+E147)+(IFERROR(E167+1, 1)-1))*E206*(1-E202),"")</f>
        <v>4433.4675314821325</v>
      </c>
      <c r="F212" s="7">
        <f t="shared" si="983"/>
        <v>4433.4675314821325</v>
      </c>
      <c r="G212" s="7">
        <f t="shared" si="983"/>
        <v>4433.4675314821325</v>
      </c>
      <c r="H212" s="7">
        <f>IFERROR(1.2*(1+(16*H147)/(2000+H147)+(IFERROR(H167+1, 1)-1))*H206*(1-H202),"")</f>
        <v>1026.988902229805</v>
      </c>
      <c r="I212" s="7">
        <f t="shared" ref="I212:K212" si="985">IFERROR(1.2*(1+(16*I147)/(2000+I147)+(IFERROR(I167+1, 1)-1))*I206*(1-I202),"")</f>
        <v>4433.4675314821325</v>
      </c>
      <c r="J212" s="7">
        <f t="shared" si="985"/>
        <v>4433.4675314821325</v>
      </c>
      <c r="K212" s="7">
        <f t="shared" si="985"/>
        <v>4433.4675314821325</v>
      </c>
      <c r="L212" s="7">
        <f t="shared" ref="L212" si="986">IFERROR(1.2*(1+(16*L147)/(2000+L147)+(IFERROR(L167+1, 1)-1))*L206*(1-L202),"")</f>
        <v>4433.4675314821325</v>
      </c>
      <c r="M212" s="7">
        <f t="shared" ref="M212" si="987">IFERROR(1.2*(1+(16*M147)/(2000+M147)+(IFERROR(M167+1, 1)-1))*M206*(1-M202),"")</f>
        <v>4433.4675314821325</v>
      </c>
      <c r="N212" s="7">
        <f>IFERROR(1.2*(1+(16*N147)/(2000+N147)+(IFERROR(N167+1, 1)-1))*N206*(1-N202),"")</f>
        <v>4433.4675314821325</v>
      </c>
      <c r="O212" s="7">
        <f>IFERROR(1.2*(1+(16*O147)/(2000+O147)+(IFERROR(O167+1, 1)-1))*O206*(1-O202),"")</f>
        <v>1026.988902229805</v>
      </c>
      <c r="P212" s="7">
        <f>IFERROR(1.2*(1+(16*P147)/(2000+P147)+(IFERROR(P167+1, 1)-1))*P206*(1-P202),"")</f>
        <v>1026.988902229805</v>
      </c>
      <c r="Q212" s="7">
        <f>IFERROR(1.2*(1+(16*Q147)/(2000+Q147)+(IFERROR(Q167+1, 1)-1))*Q206*(1-Q202),"")</f>
        <v>1026.988902229805</v>
      </c>
      <c r="R212" s="7">
        <f t="shared" ref="R212:AZ212" si="988">IFERROR(1.2*(1+(16*R147)/(2000+R147)+(IFERROR(R167+1, 1)-1))*R206*(1-R202),"")</f>
        <v>1026.988902229805</v>
      </c>
      <c r="S212" s="7">
        <f t="shared" si="988"/>
        <v>1026.988902229805</v>
      </c>
      <c r="T212" s="7">
        <f t="shared" si="988"/>
        <v>1026.988902229805</v>
      </c>
      <c r="U212" s="7">
        <f t="shared" si="988"/>
        <v>1026.988902229805</v>
      </c>
      <c r="V212" s="7">
        <f t="shared" ref="V212:W212" si="989">IFERROR(1.2*(1+(16*V147)/(2000+V147)+(IFERROR(V167+1, 1)-1))*V206*(1-V202),"")</f>
        <v>1026.988902229805</v>
      </c>
      <c r="W212" s="7">
        <f t="shared" si="989"/>
        <v>1026.988902229805</v>
      </c>
      <c r="X212" s="7">
        <f t="shared" ref="X212:Y212" si="990">IFERROR(1.2*(1+(16*X147)/(2000+X147)+(IFERROR(X167+1, 1)-1))*X206*(1-X202),"")</f>
        <v>1026.988902229805</v>
      </c>
      <c r="Y212" s="7">
        <f t="shared" si="990"/>
        <v>1026.988902229805</v>
      </c>
      <c r="Z212" s="7">
        <f t="shared" ref="Z212:AA212" si="991">IFERROR(1.2*(1+(16*Z147)/(2000+Z147)+(IFERROR(Z167+1, 1)-1))*Z206*(1-Z202),"")</f>
        <v>1026.988902229805</v>
      </c>
      <c r="AA212" s="7">
        <f t="shared" si="991"/>
        <v>1026.988902229805</v>
      </c>
      <c r="AB212" s="7">
        <f t="shared" si="988"/>
        <v>1026.988902229805</v>
      </c>
      <c r="AC212" s="7">
        <f t="shared" si="988"/>
        <v>4433.4675314821325</v>
      </c>
      <c r="AD212" s="7">
        <f t="shared" si="988"/>
        <v>4433.4675314821325</v>
      </c>
      <c r="AE212" s="7">
        <f t="shared" si="988"/>
        <v>1026.988902229805</v>
      </c>
      <c r="AF212" s="7">
        <f t="shared" si="988"/>
        <v>1026.988902229805</v>
      </c>
      <c r="AG212" s="7">
        <f t="shared" ref="AG212:AI212" si="992">IFERROR(1.2*(1+(16*AG147)/(2000+AG147)+(IFERROR(AG167+1, 1)-1))*AG206*(1-AG202),"")</f>
        <v>1026.988902229805</v>
      </c>
      <c r="AH212" s="7">
        <f t="shared" si="992"/>
        <v>1026.988902229805</v>
      </c>
      <c r="AI212" s="7">
        <f t="shared" si="992"/>
        <v>1026.988902229805</v>
      </c>
      <c r="AJ212" s="7" t="str">
        <f t="shared" si="988"/>
        <v/>
      </c>
      <c r="AK212" s="7" t="str">
        <f t="shared" si="988"/>
        <v/>
      </c>
      <c r="AL212" s="7" t="str">
        <f t="shared" si="988"/>
        <v/>
      </c>
      <c r="AM212" s="7" t="str">
        <f t="shared" si="988"/>
        <v/>
      </c>
      <c r="AN212" s="7" t="str">
        <f t="shared" si="988"/>
        <v/>
      </c>
      <c r="AO212" s="7" t="str">
        <f t="shared" si="988"/>
        <v/>
      </c>
      <c r="AP212" s="7" t="str">
        <f t="shared" si="988"/>
        <v/>
      </c>
      <c r="AQ212" s="7" t="str">
        <f t="shared" si="988"/>
        <v/>
      </c>
      <c r="AR212" s="7" t="str">
        <f t="shared" si="988"/>
        <v/>
      </c>
      <c r="AS212" s="7" t="str">
        <f t="shared" si="988"/>
        <v/>
      </c>
      <c r="AT212" s="7" t="str">
        <f t="shared" si="988"/>
        <v/>
      </c>
      <c r="AU212" s="7" t="str">
        <f t="shared" si="988"/>
        <v/>
      </c>
      <c r="AV212" s="7" t="str">
        <f t="shared" si="988"/>
        <v/>
      </c>
      <c r="AW212" s="7" t="str">
        <f t="shared" si="988"/>
        <v/>
      </c>
      <c r="AX212" s="7" t="str">
        <f t="shared" si="988"/>
        <v/>
      </c>
      <c r="AY212" s="7" t="str">
        <f t="shared" si="988"/>
        <v/>
      </c>
      <c r="AZ212" s="7" t="str">
        <f t="shared" si="988"/>
        <v/>
      </c>
      <c r="BA212" s="7" t="str">
        <f t="shared" ref="BA212:BC212" si="993">IFERROR(1.2*(1+(16*BA147)/(2000+BA147)+(IFERROR(BA167+1, 1)-1))*BA206*(1-BA202),"")</f>
        <v/>
      </c>
      <c r="BB212" s="7" t="str">
        <f t="shared" ref="BB212" si="994">IFERROR(1.2*(1+(16*BB147)/(2000+BB147)+(IFERROR(BB167+1, 1)-1))*BB206*(1-BB202),"")</f>
        <v/>
      </c>
      <c r="BC212" s="7" t="str">
        <f t="shared" si="993"/>
        <v/>
      </c>
      <c r="BD212" s="7" t="str">
        <f t="shared" ref="BD212:BE212" si="995">IFERROR(1.2*(1+(16*BD147)/(2000+BD147)+(IFERROR(BD167+1, 1)-1))*BD206*(1-BD202),"")</f>
        <v/>
      </c>
      <c r="BE212" s="7" t="str">
        <f t="shared" si="995"/>
        <v/>
      </c>
      <c r="BF212" s="7" t="str">
        <f t="shared" ref="BF212:BG212" si="996">IFERROR(1.2*(1+(16*BF147)/(2000+BF147)+(IFERROR(BF167+1, 1)-1))*BF206*(1-BF202),"")</f>
        <v/>
      </c>
      <c r="BG212" s="7" t="str">
        <f t="shared" si="996"/>
        <v/>
      </c>
      <c r="BH212" s="7" t="str">
        <f t="shared" ref="BH212" si="997">IFERROR(1.2*(1+(16*BH147)/(2000+BH147)+(IFERROR(BH167+1, 1)-1))*BH206*(1-BH202),"")</f>
        <v/>
      </c>
    </row>
    <row r="213" spans="1:107" hidden="1" outlineLevel="1" x14ac:dyDescent="0.25">
      <c r="A213" s="110" t="s">
        <v>390</v>
      </c>
      <c r="B213" s="7">
        <f t="shared" ref="B213:G213" si="998">IFERROR(1.2*(1+(16*B147)/(2000+B147)+(IFERROR(B167+1, 1)-1))*B206*(1-B203),"")</f>
        <v>1026.988902229805</v>
      </c>
      <c r="C213" s="7">
        <f t="shared" si="998"/>
        <v>1026.988902229805</v>
      </c>
      <c r="D213" s="7">
        <f t="shared" si="998"/>
        <v>4433.4675314821325</v>
      </c>
      <c r="E213" s="7">
        <f t="shared" ref="E213" si="999">IFERROR(1.2*(1+(16*E147)/(2000+E147)+(IFERROR(E167+1, 1)-1))*E206*(1-E203),"")</f>
        <v>5664.9862902271689</v>
      </c>
      <c r="F213" s="7">
        <f t="shared" si="998"/>
        <v>5664.9862902271689</v>
      </c>
      <c r="G213" s="7">
        <f t="shared" si="998"/>
        <v>5664.9862902271689</v>
      </c>
      <c r="H213" s="7">
        <f>IFERROR(1.2*(1+(16*H147)/(2000+H147)+(IFERROR(H167+1, 1)-1))*H206*(1-H203),"")</f>
        <v>1312.2635972936396</v>
      </c>
      <c r="I213" s="7">
        <f t="shared" ref="I213:K213" si="1000">IFERROR(1.2*(1+(16*I147)/(2000+I147)+(IFERROR(I167+1, 1)-1))*I206*(1-I203),"")</f>
        <v>5664.9862902271689</v>
      </c>
      <c r="J213" s="7">
        <f t="shared" si="1000"/>
        <v>6009.8115426757795</v>
      </c>
      <c r="K213" s="7">
        <f t="shared" si="1000"/>
        <v>6009.8115426757795</v>
      </c>
      <c r="L213" s="7">
        <f t="shared" ref="L213" si="1001">IFERROR(1.2*(1+(16*L147)/(2000+L147)+(IFERROR(L167+1, 1)-1))*L206*(1-L203),"")</f>
        <v>6009.8115426757795</v>
      </c>
      <c r="M213" s="7">
        <f t="shared" ref="M213" si="1002">IFERROR(1.2*(1+(16*M147)/(2000+M147)+(IFERROR(M167+1, 1)-1))*M206*(1-M203),"")</f>
        <v>6009.8115426757795</v>
      </c>
      <c r="N213" s="7">
        <f>IFERROR(1.2*(1+(16*N147)/(2000+N147)+(IFERROR(N167+1, 1)-1))*N206*(1-N203),"")</f>
        <v>5664.9862902271689</v>
      </c>
      <c r="O213" s="7">
        <f>IFERROR(1.2*(1+(16*O147)/(2000+O147)+(IFERROR(O167+1, 1)-1))*O206*(1-O203),"")</f>
        <v>1392.1405119115134</v>
      </c>
      <c r="P213" s="7">
        <f>IFERROR(1.2*(1+(16*P147)/(2000+P147)+(IFERROR(P167+1, 1)-1))*P206*(1-P203),"")</f>
        <v>1392.1405119115134</v>
      </c>
      <c r="Q213" s="7">
        <f>IFERROR(1.2*(1+(16*Q147)/(2000+Q147)+(IFERROR(Q167+1, 1)-1))*Q206*(1-Q203),"")</f>
        <v>1392.1405119115134</v>
      </c>
      <c r="R213" s="7">
        <f t="shared" ref="R213:AZ213" si="1003">IFERROR(1.2*(1+(16*R147)/(2000+R147)+(IFERROR(R167+1, 1)-1))*R206*(1-R203),"")</f>
        <v>1026.988902229805</v>
      </c>
      <c r="S213" s="7">
        <f t="shared" si="1003"/>
        <v>1392.1405119115134</v>
      </c>
      <c r="T213" s="7">
        <f t="shared" si="1003"/>
        <v>1026.988902229805</v>
      </c>
      <c r="U213" s="7">
        <f t="shared" si="1003"/>
        <v>1392.1405119115134</v>
      </c>
      <c r="V213" s="7">
        <f t="shared" ref="V213:W213" si="1004">IFERROR(1.2*(1+(16*V147)/(2000+V147)+(IFERROR(V167+1, 1)-1))*V206*(1-V203),"")</f>
        <v>1392.1405119115134</v>
      </c>
      <c r="W213" s="7">
        <f t="shared" si="1004"/>
        <v>1392.1405119115134</v>
      </c>
      <c r="X213" s="7">
        <f t="shared" ref="X213:Y213" si="1005">IFERROR(1.2*(1+(16*X147)/(2000+X147)+(IFERROR(X167+1, 1)-1))*X206*(1-X203),"")</f>
        <v>1392.1405119115134</v>
      </c>
      <c r="Y213" s="7">
        <f t="shared" si="1005"/>
        <v>1392.1405119115134</v>
      </c>
      <c r="Z213" s="7">
        <f t="shared" ref="Z213:AA213" si="1006">IFERROR(1.2*(1+(16*Z147)/(2000+Z147)+(IFERROR(Z167+1, 1)-1))*Z206*(1-Z203),"")</f>
        <v>1312.2635972936396</v>
      </c>
      <c r="AA213" s="7">
        <f t="shared" si="1006"/>
        <v>1312.2635972936396</v>
      </c>
      <c r="AB213" s="7">
        <f t="shared" si="1003"/>
        <v>1026.988902229805</v>
      </c>
      <c r="AC213" s="7">
        <f t="shared" si="1003"/>
        <v>4433.4675314821325</v>
      </c>
      <c r="AD213" s="7">
        <f t="shared" si="1003"/>
        <v>6009.8115426757795</v>
      </c>
      <c r="AE213" s="7">
        <f t="shared" si="1003"/>
        <v>1392.1405119115134</v>
      </c>
      <c r="AF213" s="7">
        <f t="shared" si="1003"/>
        <v>1312.2635972936396</v>
      </c>
      <c r="AG213" s="7">
        <f t="shared" ref="AG213:AI213" si="1007">IFERROR(1.2*(1+(16*AG147)/(2000+AG147)+(IFERROR(AG167+1, 1)-1))*AG206*(1-AG203),"")</f>
        <v>1312.2635972936396</v>
      </c>
      <c r="AH213" s="7">
        <f t="shared" si="1007"/>
        <v>1312.2635972936396</v>
      </c>
      <c r="AI213" s="7">
        <f t="shared" si="1007"/>
        <v>1312.2635972936396</v>
      </c>
      <c r="AJ213" s="7" t="str">
        <f t="shared" si="1003"/>
        <v/>
      </c>
      <c r="AK213" s="7" t="str">
        <f t="shared" si="1003"/>
        <v/>
      </c>
      <c r="AL213" s="7" t="str">
        <f t="shared" si="1003"/>
        <v/>
      </c>
      <c r="AM213" s="7" t="str">
        <f t="shared" si="1003"/>
        <v/>
      </c>
      <c r="AN213" s="7" t="str">
        <f t="shared" si="1003"/>
        <v/>
      </c>
      <c r="AO213" s="7" t="str">
        <f t="shared" si="1003"/>
        <v/>
      </c>
      <c r="AP213" s="7" t="str">
        <f t="shared" si="1003"/>
        <v/>
      </c>
      <c r="AQ213" s="7" t="str">
        <f t="shared" si="1003"/>
        <v/>
      </c>
      <c r="AR213" s="7" t="str">
        <f t="shared" si="1003"/>
        <v/>
      </c>
      <c r="AS213" s="7" t="str">
        <f t="shared" si="1003"/>
        <v/>
      </c>
      <c r="AT213" s="7" t="str">
        <f t="shared" si="1003"/>
        <v/>
      </c>
      <c r="AU213" s="7" t="str">
        <f t="shared" si="1003"/>
        <v/>
      </c>
      <c r="AV213" s="7" t="str">
        <f t="shared" si="1003"/>
        <v/>
      </c>
      <c r="AW213" s="7" t="str">
        <f t="shared" si="1003"/>
        <v/>
      </c>
      <c r="AX213" s="7" t="str">
        <f t="shared" si="1003"/>
        <v/>
      </c>
      <c r="AY213" s="7" t="str">
        <f t="shared" si="1003"/>
        <v/>
      </c>
      <c r="AZ213" s="7" t="str">
        <f t="shared" si="1003"/>
        <v/>
      </c>
      <c r="BA213" s="7" t="str">
        <f t="shared" ref="BA213:BC213" si="1008">IFERROR(1.2*(1+(16*BA147)/(2000+BA147)+(IFERROR(BA167+1, 1)-1))*BA206*(1-BA203),"")</f>
        <v/>
      </c>
      <c r="BB213" s="7" t="str">
        <f t="shared" ref="BB213" si="1009">IFERROR(1.2*(1+(16*BB147)/(2000+BB147)+(IFERROR(BB167+1, 1)-1))*BB206*(1-BB203),"")</f>
        <v/>
      </c>
      <c r="BC213" s="7" t="str">
        <f t="shared" si="1008"/>
        <v/>
      </c>
      <c r="BD213" s="7" t="str">
        <f t="shared" ref="BD213:BE213" si="1010">IFERROR(1.2*(1+(16*BD147)/(2000+BD147)+(IFERROR(BD167+1, 1)-1))*BD206*(1-BD203),"")</f>
        <v/>
      </c>
      <c r="BE213" s="7" t="str">
        <f t="shared" si="1010"/>
        <v/>
      </c>
      <c r="BF213" s="7" t="str">
        <f t="shared" ref="BF213:BG213" si="1011">IFERROR(1.2*(1+(16*BF147)/(2000+BF147)+(IFERROR(BF167+1, 1)-1))*BF206*(1-BF203),"")</f>
        <v/>
      </c>
      <c r="BG213" s="7" t="str">
        <f t="shared" si="1011"/>
        <v/>
      </c>
      <c r="BH213" s="7" t="str">
        <f t="shared" ref="BH213" si="1012">IFERROR(1.2*(1+(16*BH147)/(2000+BH147)+(IFERROR(BH167+1, 1)-1))*BH206*(1-BH203),"")</f>
        <v/>
      </c>
    </row>
    <row r="214" spans="1:107" hidden="1" outlineLevel="1" x14ac:dyDescent="0.25">
      <c r="A214" s="110" t="s">
        <v>393</v>
      </c>
      <c r="B214" s="7">
        <f t="shared" ref="B214:G214" si="1013">IFERROR(1.2*(1+(16*B147)/(2000+B147)+(IFERROR(B167+1, 1)-1))*B206*(1-B204),"")</f>
        <v>1026.988902229805</v>
      </c>
      <c r="C214" s="7">
        <f t="shared" si="1013"/>
        <v>1026.988902229805</v>
      </c>
      <c r="D214" s="7">
        <f t="shared" si="1013"/>
        <v>4433.4675314821325</v>
      </c>
      <c r="E214" s="7">
        <f t="shared" ref="E214" si="1014">IFERROR(1.2*(1+(16*E147)/(2000+E147)+(IFERROR(E167+1, 1)-1))*E206*(1-E204),"")</f>
        <v>4433.4675314821325</v>
      </c>
      <c r="F214" s="7">
        <f t="shared" si="1013"/>
        <v>4433.4675314821325</v>
      </c>
      <c r="G214" s="7">
        <f t="shared" si="1013"/>
        <v>4433.4675314821325</v>
      </c>
      <c r="H214" s="7">
        <f>IFERROR(1.2*(1+(16*H147)/(2000+H147)+(IFERROR(H167+1, 1)-1))*H206*(1-H204),"")</f>
        <v>1026.988902229805</v>
      </c>
      <c r="I214" s="7">
        <f t="shared" ref="I214:K214" si="1015">IFERROR(1.2*(1+(16*I147)/(2000+I147)+(IFERROR(I167+1, 1)-1))*I206*(1-I204),"")</f>
        <v>4433.4675314821325</v>
      </c>
      <c r="J214" s="7">
        <f t="shared" si="1015"/>
        <v>4433.4675314821325</v>
      </c>
      <c r="K214" s="7">
        <f t="shared" si="1015"/>
        <v>4433.4675314821325</v>
      </c>
      <c r="L214" s="7">
        <f t="shared" ref="L214" si="1016">IFERROR(1.2*(1+(16*L147)/(2000+L147)+(IFERROR(L167+1, 1)-1))*L206*(1-L204),"")</f>
        <v>4433.4675314821325</v>
      </c>
      <c r="M214" s="7">
        <f t="shared" ref="M214" si="1017">IFERROR(1.2*(1+(16*M147)/(2000+M147)+(IFERROR(M167+1, 1)-1))*M206*(1-M204),"")</f>
        <v>4433.4675314821325</v>
      </c>
      <c r="N214" s="7">
        <f>IFERROR(1.2*(1+(16*N147)/(2000+N147)+(IFERROR(N167+1, 1)-1))*N206*(1-N204),"")</f>
        <v>4433.4675314821325</v>
      </c>
      <c r="O214" s="7">
        <f>IFERROR(1.2*(1+(16*O147)/(2000+O147)+(IFERROR(O167+1, 1)-1))*O206*(1-O204),"")</f>
        <v>1026.988902229805</v>
      </c>
      <c r="P214" s="7">
        <f>IFERROR(1.2*(1+(16*P147)/(2000+P147)+(IFERROR(P167+1, 1)-1))*P206*(1-P204),"")</f>
        <v>1026.988902229805</v>
      </c>
      <c r="Q214" s="7">
        <f>IFERROR(1.2*(1+(16*Q147)/(2000+Q147)+(IFERROR(Q167+1, 1)-1))*Q206*(1-Q204),"")</f>
        <v>1026.988902229805</v>
      </c>
      <c r="R214" s="7">
        <f t="shared" ref="R214:AZ214" si="1018">IFERROR(1.2*(1+(16*R147)/(2000+R147)+(IFERROR(R167+1, 1)-1))*R206*(1-R204),"")</f>
        <v>1026.988902229805</v>
      </c>
      <c r="S214" s="7">
        <f t="shared" si="1018"/>
        <v>1026.988902229805</v>
      </c>
      <c r="T214" s="7">
        <f t="shared" si="1018"/>
        <v>1026.988902229805</v>
      </c>
      <c r="U214" s="7">
        <f t="shared" si="1018"/>
        <v>1026.988902229805</v>
      </c>
      <c r="V214" s="7">
        <f t="shared" ref="V214:W214" si="1019">IFERROR(1.2*(1+(16*V147)/(2000+V147)+(IFERROR(V167+1, 1)-1))*V206*(1-V204),"")</f>
        <v>1026.988902229805</v>
      </c>
      <c r="W214" s="7">
        <f t="shared" si="1019"/>
        <v>1026.988902229805</v>
      </c>
      <c r="X214" s="7">
        <f t="shared" ref="X214:Y214" si="1020">IFERROR(1.2*(1+(16*X147)/(2000+X147)+(IFERROR(X167+1, 1)-1))*X206*(1-X204),"")</f>
        <v>1026.988902229805</v>
      </c>
      <c r="Y214" s="7">
        <f t="shared" si="1020"/>
        <v>1026.988902229805</v>
      </c>
      <c r="Z214" s="7">
        <f t="shared" ref="Z214:AA214" si="1021">IFERROR(1.2*(1+(16*Z147)/(2000+Z147)+(IFERROR(Z167+1, 1)-1))*Z206*(1-Z204),"")</f>
        <v>1026.988902229805</v>
      </c>
      <c r="AA214" s="7">
        <f t="shared" si="1021"/>
        <v>1026.988902229805</v>
      </c>
      <c r="AB214" s="7">
        <f t="shared" si="1018"/>
        <v>1026.988902229805</v>
      </c>
      <c r="AC214" s="7">
        <f t="shared" si="1018"/>
        <v>4433.4675314821325</v>
      </c>
      <c r="AD214" s="7">
        <f t="shared" si="1018"/>
        <v>4433.4675314821325</v>
      </c>
      <c r="AE214" s="7">
        <f t="shared" si="1018"/>
        <v>1026.988902229805</v>
      </c>
      <c r="AF214" s="7">
        <f t="shared" si="1018"/>
        <v>1026.988902229805</v>
      </c>
      <c r="AG214" s="7">
        <f t="shared" ref="AG214:AI214" si="1022">IFERROR(1.2*(1+(16*AG147)/(2000+AG147)+(IFERROR(AG167+1, 1)-1))*AG206*(1-AG204),"")</f>
        <v>1026.988902229805</v>
      </c>
      <c r="AH214" s="7">
        <f t="shared" si="1022"/>
        <v>1026.988902229805</v>
      </c>
      <c r="AI214" s="7">
        <f t="shared" si="1022"/>
        <v>1026.988902229805</v>
      </c>
      <c r="AJ214" s="7" t="str">
        <f t="shared" si="1018"/>
        <v/>
      </c>
      <c r="AK214" s="7" t="str">
        <f t="shared" si="1018"/>
        <v/>
      </c>
      <c r="AL214" s="7" t="str">
        <f t="shared" si="1018"/>
        <v/>
      </c>
      <c r="AM214" s="7" t="str">
        <f t="shared" si="1018"/>
        <v/>
      </c>
      <c r="AN214" s="7" t="str">
        <f t="shared" si="1018"/>
        <v/>
      </c>
      <c r="AO214" s="7" t="str">
        <f t="shared" si="1018"/>
        <v/>
      </c>
      <c r="AP214" s="7" t="str">
        <f t="shared" si="1018"/>
        <v/>
      </c>
      <c r="AQ214" s="7" t="str">
        <f t="shared" si="1018"/>
        <v/>
      </c>
      <c r="AR214" s="7" t="str">
        <f t="shared" si="1018"/>
        <v/>
      </c>
      <c r="AS214" s="7" t="str">
        <f t="shared" si="1018"/>
        <v/>
      </c>
      <c r="AT214" s="7" t="str">
        <f t="shared" si="1018"/>
        <v/>
      </c>
      <c r="AU214" s="7" t="str">
        <f t="shared" si="1018"/>
        <v/>
      </c>
      <c r="AV214" s="7" t="str">
        <f t="shared" si="1018"/>
        <v/>
      </c>
      <c r="AW214" s="7" t="str">
        <f t="shared" si="1018"/>
        <v/>
      </c>
      <c r="AX214" s="7" t="str">
        <f t="shared" si="1018"/>
        <v/>
      </c>
      <c r="AY214" s="7" t="str">
        <f t="shared" si="1018"/>
        <v/>
      </c>
      <c r="AZ214" s="7" t="str">
        <f t="shared" si="1018"/>
        <v/>
      </c>
      <c r="BA214" s="7" t="str">
        <f t="shared" ref="BA214:BC214" si="1023">IFERROR(1.2*(1+(16*BA147)/(2000+BA147)+(IFERROR(BA167+1, 1)-1))*BA206*(1-BA204),"")</f>
        <v/>
      </c>
      <c r="BB214" s="7" t="str">
        <f t="shared" ref="BB214" si="1024">IFERROR(1.2*(1+(16*BB147)/(2000+BB147)+(IFERROR(BB167+1, 1)-1))*BB206*(1-BB204),"")</f>
        <v/>
      </c>
      <c r="BC214" s="7" t="str">
        <f t="shared" si="1023"/>
        <v/>
      </c>
      <c r="BD214" s="7" t="str">
        <f t="shared" ref="BD214:BE214" si="1025">IFERROR(1.2*(1+(16*BD147)/(2000+BD147)+(IFERROR(BD167+1, 1)-1))*BD206*(1-BD204),"")</f>
        <v/>
      </c>
      <c r="BE214" s="7" t="str">
        <f t="shared" si="1025"/>
        <v/>
      </c>
      <c r="BF214" s="7" t="str">
        <f t="shared" ref="BF214:BG214" si="1026">IFERROR(1.2*(1+(16*BF147)/(2000+BF147)+(IFERROR(BF167+1, 1)-1))*BF206*(1-BF204),"")</f>
        <v/>
      </c>
      <c r="BG214" s="7" t="str">
        <f t="shared" si="1026"/>
        <v/>
      </c>
      <c r="BH214" s="7" t="str">
        <f t="shared" ref="BH214" si="1027">IFERROR(1.2*(1+(16*BH147)/(2000+BH147)+(IFERROR(BH167+1, 1)-1))*BH206*(1-BH204),"")</f>
        <v/>
      </c>
    </row>
    <row r="215" spans="1:107" s="119" customFormat="1" hidden="1" outlineLevel="1" x14ac:dyDescent="0.25">
      <c r="A215" s="112" t="s">
        <v>663</v>
      </c>
    </row>
    <row r="216" spans="1:107" hidden="1" outlineLevel="1" x14ac:dyDescent="0.25">
      <c r="A216" s="110" t="s">
        <v>6</v>
      </c>
      <c r="B216" s="7" t="str">
        <f>INDEX('Data Val'!$O$1:$V$5, MATCH('Rotation Assembler'!B$32, 'Data Val'!$O$1:$O$5, 0), MATCH('Rotation Assembler'!$A216, 'Data Val'!$O$1:$V$1, 0))</f>
        <v>Cryo</v>
      </c>
      <c r="C216" s="7" t="str">
        <f>INDEX('Data Val'!$O$1:$V$5, MATCH('Rotation Assembler'!C$32, 'Data Val'!$O$1:$O$5, 0), MATCH('Rotation Assembler'!$A216, 'Data Val'!$O$1:$V$1, 0))</f>
        <v>Hydro</v>
      </c>
      <c r="D216" s="7" t="str">
        <f>INDEX('Data Val'!$O$1:$V$5, MATCH('Rotation Assembler'!D$32, 'Data Val'!$O$1:$O$5, 0), MATCH('Rotation Assembler'!$A216, 'Data Val'!$O$1:$V$1, 0))</f>
        <v>Phys</v>
      </c>
      <c r="E216" s="7" t="str">
        <f>INDEX('Data Val'!$O$1:$V$5, MATCH('Rotation Assembler'!E$32, 'Data Val'!$O$1:$O$5, 0), MATCH('Rotation Assembler'!$A216, 'Data Val'!$O$1:$V$1, 0))</f>
        <v>Phys</v>
      </c>
      <c r="F216" s="7" t="str">
        <f>INDEX('Data Val'!$O$1:$V$5, MATCH('Rotation Assembler'!F$32, 'Data Val'!$O$1:$O$5, 0), MATCH('Rotation Assembler'!$A216, 'Data Val'!$O$1:$V$1, 0))</f>
        <v>Phys</v>
      </c>
      <c r="G216" s="7" t="str">
        <f>INDEX('Data Val'!$O$1:$V$5, MATCH('Rotation Assembler'!G$32, 'Data Val'!$O$1:$O$5, 0), MATCH('Rotation Assembler'!$A216, 'Data Val'!$O$1:$V$1, 0))</f>
        <v>Phys</v>
      </c>
      <c r="H216" s="7" t="str">
        <f>INDEX('Data Val'!$O$1:$V$5, MATCH('Rotation Assembler'!H$32, 'Data Val'!$O$1:$O$5, 0), MATCH('Rotation Assembler'!$A216, 'Data Val'!$O$1:$V$1, 0))</f>
        <v>Cryo</v>
      </c>
      <c r="I216" s="7" t="str">
        <f>INDEX('Data Val'!$O$1:$V$5, MATCH('Rotation Assembler'!I$32, 'Data Val'!$O$1:$O$5, 0), MATCH('Rotation Assembler'!$A216, 'Data Val'!$O$1:$V$1, 0))</f>
        <v>Phys</v>
      </c>
      <c r="J216" s="7" t="str">
        <f>INDEX('Data Val'!$O$1:$V$5, MATCH('Rotation Assembler'!J$32, 'Data Val'!$O$1:$O$5, 0), MATCH('Rotation Assembler'!$A216, 'Data Val'!$O$1:$V$1, 0))</f>
        <v>Phys</v>
      </c>
      <c r="K216" s="7" t="str">
        <f>INDEX('Data Val'!$O$1:$V$5, MATCH('Rotation Assembler'!K$32, 'Data Val'!$O$1:$O$5, 0), MATCH('Rotation Assembler'!$A216, 'Data Val'!$O$1:$V$1, 0))</f>
        <v>Phys</v>
      </c>
      <c r="L216" s="7" t="str">
        <f>INDEX('Data Val'!$O$1:$V$5, MATCH('Rotation Assembler'!L$32, 'Data Val'!$O$1:$O$5, 0), MATCH('Rotation Assembler'!$A216, 'Data Val'!$O$1:$V$1, 0))</f>
        <v>Phys</v>
      </c>
      <c r="M216" s="7" t="str">
        <f>INDEX('Data Val'!$O$1:$V$5, MATCH('Rotation Assembler'!M$32, 'Data Val'!$O$1:$O$5, 0), MATCH('Rotation Assembler'!$A216, 'Data Val'!$O$1:$V$1, 0))</f>
        <v>Phys</v>
      </c>
      <c r="N216" s="7" t="str">
        <f>INDEX('Data Val'!$O$1:$V$5, MATCH('Rotation Assembler'!N$32, 'Data Val'!$O$1:$O$5, 0), MATCH('Rotation Assembler'!$A216, 'Data Val'!$O$1:$V$1, 0))</f>
        <v>Phys</v>
      </c>
      <c r="O216" s="7" t="str">
        <f>INDEX('Data Val'!$O$1:$V$5, MATCH('Rotation Assembler'!O$32, 'Data Val'!$O$1:$O$5, 0), MATCH('Rotation Assembler'!$A216, 'Data Val'!$O$1:$V$1, 0))</f>
        <v>Cryo</v>
      </c>
      <c r="P216" s="7" t="str">
        <f>INDEX('Data Val'!$O$1:$V$5, MATCH('Rotation Assembler'!P$32, 'Data Val'!$O$1:$O$5, 0), MATCH('Rotation Assembler'!$A216, 'Data Val'!$O$1:$V$1, 0))</f>
        <v>Cryo</v>
      </c>
      <c r="Q216" s="7" t="str">
        <f>INDEX('Data Val'!$O$1:$V$5, MATCH('Rotation Assembler'!Q$32, 'Data Val'!$O$1:$O$5, 0), MATCH('Rotation Assembler'!$A216, 'Data Val'!$O$1:$V$1, 0))</f>
        <v>Cryo</v>
      </c>
      <c r="R216" s="7" t="str">
        <f>INDEX('Data Val'!$O$1:$V$5, MATCH('Rotation Assembler'!R$32, 'Data Val'!$O$1:$O$5, 0), MATCH('Rotation Assembler'!$A216, 'Data Val'!$O$1:$V$1, 0))</f>
        <v>Cryo</v>
      </c>
      <c r="S216" s="7" t="str">
        <f>INDEX('Data Val'!$O$1:$V$5, MATCH('Rotation Assembler'!S$32, 'Data Val'!$O$1:$O$5, 0), MATCH('Rotation Assembler'!$A216, 'Data Val'!$O$1:$V$1, 0))</f>
        <v>Cryo</v>
      </c>
      <c r="T216" s="7" t="str">
        <f>INDEX('Data Val'!$O$1:$V$5, MATCH('Rotation Assembler'!T$32, 'Data Val'!$O$1:$O$5, 0), MATCH('Rotation Assembler'!$A216, 'Data Val'!$O$1:$V$1, 0))</f>
        <v>Hydro</v>
      </c>
      <c r="U216" s="7" t="str">
        <f>INDEX('Data Val'!$O$1:$V$5, MATCH('Rotation Assembler'!U$32, 'Data Val'!$O$1:$O$5, 0), MATCH('Rotation Assembler'!$A216, 'Data Val'!$O$1:$V$1, 0))</f>
        <v>Cryo</v>
      </c>
      <c r="V216" s="7" t="str">
        <f>INDEX('Data Val'!$O$1:$V$5, MATCH('Rotation Assembler'!V$32, 'Data Val'!$O$1:$O$5, 0), MATCH('Rotation Assembler'!$A216, 'Data Val'!$O$1:$V$1, 0))</f>
        <v>Cryo</v>
      </c>
      <c r="W216" s="7" t="str">
        <f>INDEX('Data Val'!$O$1:$V$5, MATCH('Rotation Assembler'!W$32, 'Data Val'!$O$1:$O$5, 0), MATCH('Rotation Assembler'!$A216, 'Data Val'!$O$1:$V$1, 0))</f>
        <v>Cryo</v>
      </c>
      <c r="X216" s="7" t="str">
        <f>INDEX('Data Val'!$O$1:$V$5, MATCH('Rotation Assembler'!X$32, 'Data Val'!$O$1:$O$5, 0), MATCH('Rotation Assembler'!$A216, 'Data Val'!$O$1:$V$1, 0))</f>
        <v>Cryo</v>
      </c>
      <c r="Y216" s="7" t="str">
        <f>INDEX('Data Val'!$O$1:$V$5, MATCH('Rotation Assembler'!Y$32, 'Data Val'!$O$1:$O$5, 0), MATCH('Rotation Assembler'!$A216, 'Data Val'!$O$1:$V$1, 0))</f>
        <v>Cryo</v>
      </c>
      <c r="Z216" s="7" t="str">
        <f>INDEX('Data Val'!$O$1:$V$5, MATCH('Rotation Assembler'!Z$32, 'Data Val'!$O$1:$O$5, 0), MATCH('Rotation Assembler'!$A216, 'Data Val'!$O$1:$V$1, 0))</f>
        <v>Cryo</v>
      </c>
      <c r="AA216" s="7" t="str">
        <f>INDEX('Data Val'!$O$1:$V$5, MATCH('Rotation Assembler'!AA$32, 'Data Val'!$O$1:$O$5, 0), MATCH('Rotation Assembler'!$A216, 'Data Val'!$O$1:$V$1, 0))</f>
        <v>Cryo</v>
      </c>
      <c r="AB216" s="7" t="str">
        <f>INDEX('Data Val'!$O$1:$V$5, MATCH('Rotation Assembler'!AB$32, 'Data Val'!$O$1:$O$5, 0), MATCH('Rotation Assembler'!$A216, 'Data Val'!$O$1:$V$1, 0))</f>
        <v>Hydro</v>
      </c>
      <c r="AC216" s="7" t="str">
        <f>INDEX('Data Val'!$O$1:$V$5, MATCH('Rotation Assembler'!AC$32, 'Data Val'!$O$1:$O$5, 0), MATCH('Rotation Assembler'!$A216, 'Data Val'!$O$1:$V$1, 0))</f>
        <v>Phys</v>
      </c>
      <c r="AD216" s="7" t="str">
        <f>INDEX('Data Val'!$O$1:$V$5, MATCH('Rotation Assembler'!AD$32, 'Data Val'!$O$1:$O$5, 0), MATCH('Rotation Assembler'!$A216, 'Data Val'!$O$1:$V$1, 0))</f>
        <v>Phys</v>
      </c>
      <c r="AE216" s="7" t="str">
        <f>INDEX('Data Val'!$O$1:$V$5, MATCH('Rotation Assembler'!AE$32, 'Data Val'!$O$1:$O$5, 0), MATCH('Rotation Assembler'!$A216, 'Data Val'!$O$1:$V$1, 0))</f>
        <v>Cryo</v>
      </c>
      <c r="AF216" s="7" t="str">
        <f>INDEX('Data Val'!$O$1:$V$5, MATCH('Rotation Assembler'!AF$32, 'Data Val'!$O$1:$O$5, 0), MATCH('Rotation Assembler'!$A216, 'Data Val'!$O$1:$V$1, 0))</f>
        <v>Cryo</v>
      </c>
      <c r="AG216" s="7" t="str">
        <f>INDEX('Data Val'!$O$1:$V$5, MATCH('Rotation Assembler'!AG$32, 'Data Val'!$O$1:$O$5, 0), MATCH('Rotation Assembler'!$A216, 'Data Val'!$O$1:$V$1, 0))</f>
        <v>Cryo</v>
      </c>
      <c r="AH216" s="7" t="str">
        <f>INDEX('Data Val'!$O$1:$V$5, MATCH('Rotation Assembler'!AH$32, 'Data Val'!$O$1:$O$5, 0), MATCH('Rotation Assembler'!$A216, 'Data Val'!$O$1:$V$1, 0))</f>
        <v>Cryo</v>
      </c>
      <c r="AI216" s="7" t="str">
        <f>INDEX('Data Val'!$O$1:$V$5, MATCH('Rotation Assembler'!AI$32, 'Data Val'!$O$1:$O$5, 0), MATCH('Rotation Assembler'!$A216, 'Data Val'!$O$1:$V$1, 0))</f>
        <v>Cryo</v>
      </c>
      <c r="AJ216" s="7" t="e">
        <f>INDEX('Data Val'!$O$1:$V$5, MATCH('Rotation Assembler'!AJ$32, 'Data Val'!$O$1:$O$5, 0), MATCH('Rotation Assembler'!$A216, 'Data Val'!$O$1:$V$1, 0))</f>
        <v>#N/A</v>
      </c>
      <c r="AK216" s="7" t="e">
        <f>INDEX('Data Val'!$O$1:$V$5, MATCH('Rotation Assembler'!AK$32, 'Data Val'!$O$1:$O$5, 0), MATCH('Rotation Assembler'!$A216, 'Data Val'!$O$1:$V$1, 0))</f>
        <v>#N/A</v>
      </c>
      <c r="AL216" s="7" t="e">
        <f>INDEX('Data Val'!$O$1:$V$5, MATCH('Rotation Assembler'!AL$32, 'Data Val'!$O$1:$O$5, 0), MATCH('Rotation Assembler'!$A216, 'Data Val'!$O$1:$V$1, 0))</f>
        <v>#N/A</v>
      </c>
      <c r="AM216" s="7" t="e">
        <f>INDEX('Data Val'!$O$1:$V$5, MATCH('Rotation Assembler'!AM$32, 'Data Val'!$O$1:$O$5, 0), MATCH('Rotation Assembler'!$A216, 'Data Val'!$O$1:$V$1, 0))</f>
        <v>#N/A</v>
      </c>
      <c r="AN216" s="7" t="e">
        <f>INDEX('Data Val'!$O$1:$V$5, MATCH('Rotation Assembler'!AN$32, 'Data Val'!$O$1:$O$5, 0), MATCH('Rotation Assembler'!$A216, 'Data Val'!$O$1:$V$1, 0))</f>
        <v>#N/A</v>
      </c>
      <c r="AO216" s="7" t="e">
        <f>INDEX('Data Val'!$O$1:$V$5, MATCH('Rotation Assembler'!AO$32, 'Data Val'!$O$1:$O$5, 0), MATCH('Rotation Assembler'!$A216, 'Data Val'!$O$1:$V$1, 0))</f>
        <v>#N/A</v>
      </c>
      <c r="AP216" s="7" t="e">
        <f>INDEX('Data Val'!$O$1:$V$5, MATCH('Rotation Assembler'!AP$32, 'Data Val'!$O$1:$O$5, 0), MATCH('Rotation Assembler'!$A216, 'Data Val'!$O$1:$V$1, 0))</f>
        <v>#N/A</v>
      </c>
      <c r="AQ216" s="7" t="e">
        <f>INDEX('Data Val'!$O$1:$V$5, MATCH('Rotation Assembler'!AQ$32, 'Data Val'!$O$1:$O$5, 0), MATCH('Rotation Assembler'!$A216, 'Data Val'!$O$1:$V$1, 0))</f>
        <v>#N/A</v>
      </c>
      <c r="AR216" s="7" t="e">
        <f>INDEX('Data Val'!$O$1:$V$5, MATCH('Rotation Assembler'!AR$32, 'Data Val'!$O$1:$O$5, 0), MATCH('Rotation Assembler'!$A216, 'Data Val'!$O$1:$V$1, 0))</f>
        <v>#N/A</v>
      </c>
      <c r="AS216" s="7" t="e">
        <f>INDEX('Data Val'!$O$1:$V$5, MATCH('Rotation Assembler'!AS$32, 'Data Val'!$O$1:$O$5, 0), MATCH('Rotation Assembler'!$A216, 'Data Val'!$O$1:$V$1, 0))</f>
        <v>#N/A</v>
      </c>
      <c r="AT216" s="7" t="e">
        <f>INDEX('Data Val'!$O$1:$V$5, MATCH('Rotation Assembler'!AT$32, 'Data Val'!$O$1:$O$5, 0), MATCH('Rotation Assembler'!$A216, 'Data Val'!$O$1:$V$1, 0))</f>
        <v>#N/A</v>
      </c>
      <c r="AU216" s="7" t="e">
        <f>INDEX('Data Val'!$O$1:$V$5, MATCH('Rotation Assembler'!AU$32, 'Data Val'!$O$1:$O$5, 0), MATCH('Rotation Assembler'!$A216, 'Data Val'!$O$1:$V$1, 0))</f>
        <v>#N/A</v>
      </c>
      <c r="AV216" s="7" t="e">
        <f>INDEX('Data Val'!$O$1:$V$5, MATCH('Rotation Assembler'!AV$32, 'Data Val'!$O$1:$O$5, 0), MATCH('Rotation Assembler'!$A216, 'Data Val'!$O$1:$V$1, 0))</f>
        <v>#N/A</v>
      </c>
      <c r="AW216" s="7" t="e">
        <f>INDEX('Data Val'!$O$1:$V$5, MATCH('Rotation Assembler'!AW$32, 'Data Val'!$O$1:$O$5, 0), MATCH('Rotation Assembler'!$A216, 'Data Val'!$O$1:$V$1, 0))</f>
        <v>#N/A</v>
      </c>
      <c r="AX216" s="7" t="e">
        <f>INDEX('Data Val'!$O$1:$V$5, MATCH('Rotation Assembler'!AX$32, 'Data Val'!$O$1:$O$5, 0), MATCH('Rotation Assembler'!$A216, 'Data Val'!$O$1:$V$1, 0))</f>
        <v>#N/A</v>
      </c>
      <c r="AY216" s="7" t="e">
        <f>INDEX('Data Val'!$O$1:$V$5, MATCH('Rotation Assembler'!AY$32, 'Data Val'!$O$1:$O$5, 0), MATCH('Rotation Assembler'!$A216, 'Data Val'!$O$1:$V$1, 0))</f>
        <v>#N/A</v>
      </c>
      <c r="AZ216" s="7" t="e">
        <f>INDEX('Data Val'!$O$1:$V$5, MATCH('Rotation Assembler'!AZ$32, 'Data Val'!$O$1:$O$5, 0), MATCH('Rotation Assembler'!$A216, 'Data Val'!$O$1:$V$1, 0))</f>
        <v>#N/A</v>
      </c>
      <c r="BA216" s="7" t="e">
        <f>INDEX('Data Val'!$O$1:$V$5, MATCH('Rotation Assembler'!BA$32, 'Data Val'!$O$1:$O$5, 0), MATCH('Rotation Assembler'!$A216, 'Data Val'!$O$1:$V$1, 0))</f>
        <v>#N/A</v>
      </c>
      <c r="BB216" s="7" t="e">
        <f>INDEX('Data Val'!$O$1:$V$5, MATCH('Rotation Assembler'!BB$32, 'Data Val'!$O$1:$O$5, 0), MATCH('Rotation Assembler'!$A216, 'Data Val'!$O$1:$V$1, 0))</f>
        <v>#N/A</v>
      </c>
      <c r="BC216" s="7" t="e">
        <f>INDEX('Data Val'!$O$1:$V$5, MATCH('Rotation Assembler'!BC$32, 'Data Val'!$O$1:$O$5, 0), MATCH('Rotation Assembler'!$A216, 'Data Val'!$O$1:$V$1, 0))</f>
        <v>#N/A</v>
      </c>
      <c r="BD216" s="7" t="e">
        <f>INDEX('Data Val'!$O$1:$V$5, MATCH('Rotation Assembler'!BD$32, 'Data Val'!$O$1:$O$5, 0), MATCH('Rotation Assembler'!$A216, 'Data Val'!$O$1:$V$1, 0))</f>
        <v>#N/A</v>
      </c>
      <c r="BE216" s="7" t="e">
        <f>INDEX('Data Val'!$O$1:$V$5, MATCH('Rotation Assembler'!BE$32, 'Data Val'!$O$1:$O$5, 0), MATCH('Rotation Assembler'!$A216, 'Data Val'!$O$1:$V$1, 0))</f>
        <v>#N/A</v>
      </c>
      <c r="BF216" s="7" t="e">
        <f>INDEX('Data Val'!$O$1:$V$5, MATCH('Rotation Assembler'!BF$32, 'Data Val'!$O$1:$O$5, 0), MATCH('Rotation Assembler'!$A216, 'Data Val'!$O$1:$V$1, 0))</f>
        <v>#N/A</v>
      </c>
      <c r="BG216" s="7" t="e">
        <f>INDEX('Data Val'!$O$1:$V$5, MATCH('Rotation Assembler'!BG$32, 'Data Val'!$O$1:$O$5, 0), MATCH('Rotation Assembler'!$A216, 'Data Val'!$O$1:$V$1, 0))</f>
        <v>#N/A</v>
      </c>
      <c r="BH216" s="7" t="e">
        <f>INDEX('Data Val'!$O$1:$V$5, MATCH('Rotation Assembler'!BH$32, 'Data Val'!$O$1:$O$5, 0), MATCH('Rotation Assembler'!$A216, 'Data Val'!$O$1:$V$1, 0))</f>
        <v>#N/A</v>
      </c>
    </row>
    <row r="217" spans="1:107" hidden="1" outlineLevel="1" x14ac:dyDescent="0.25">
      <c r="A217" s="110" t="s">
        <v>5</v>
      </c>
      <c r="B217" s="7" t="str">
        <f>INDEX('Data Val'!$O$1:$V$5, MATCH('Rotation Assembler'!B$32, 'Data Val'!$O$1:$O$5, 0), MATCH('Rotation Assembler'!$A217, 'Data Val'!$O$1:$V$1, 0))</f>
        <v>Cryo</v>
      </c>
      <c r="C217" s="7" t="str">
        <f>INDEX('Data Val'!$O$1:$V$5, MATCH('Rotation Assembler'!C$32, 'Data Val'!$O$1:$O$5, 0), MATCH('Rotation Assembler'!$A217, 'Data Val'!$O$1:$V$1, 0))</f>
        <v>Hydro</v>
      </c>
      <c r="D217" s="7" t="str">
        <f>INDEX('Data Val'!$O$1:$V$5, MATCH('Rotation Assembler'!D$32, 'Data Val'!$O$1:$O$5, 0), MATCH('Rotation Assembler'!$A217, 'Data Val'!$O$1:$V$1, 0))</f>
        <v>Phys</v>
      </c>
      <c r="E217" s="7" t="str">
        <f>INDEX('Data Val'!$O$1:$V$5, MATCH('Rotation Assembler'!E$32, 'Data Val'!$O$1:$O$5, 0), MATCH('Rotation Assembler'!$A217, 'Data Val'!$O$1:$V$1, 0))</f>
        <v>Phys</v>
      </c>
      <c r="F217" s="7" t="str">
        <f>INDEX('Data Val'!$O$1:$V$5, MATCH('Rotation Assembler'!F$32, 'Data Val'!$O$1:$O$5, 0), MATCH('Rotation Assembler'!$A217, 'Data Val'!$O$1:$V$1, 0))</f>
        <v>Phys</v>
      </c>
      <c r="G217" s="7" t="str">
        <f>INDEX('Data Val'!$O$1:$V$5, MATCH('Rotation Assembler'!G$32, 'Data Val'!$O$1:$O$5, 0), MATCH('Rotation Assembler'!$A217, 'Data Val'!$O$1:$V$1, 0))</f>
        <v>Phys</v>
      </c>
      <c r="H217" s="7" t="str">
        <f>INDEX('Data Val'!$O$1:$V$5, MATCH('Rotation Assembler'!H$32, 'Data Val'!$O$1:$O$5, 0), MATCH('Rotation Assembler'!$A217, 'Data Val'!$O$1:$V$1, 0))</f>
        <v>Cryo</v>
      </c>
      <c r="I217" s="7" t="str">
        <f>INDEX('Data Val'!$O$1:$V$5, MATCH('Rotation Assembler'!I$32, 'Data Val'!$O$1:$O$5, 0), MATCH('Rotation Assembler'!$A217, 'Data Val'!$O$1:$V$1, 0))</f>
        <v>Phys</v>
      </c>
      <c r="J217" s="7" t="str">
        <f>INDEX('Data Val'!$O$1:$V$5, MATCH('Rotation Assembler'!J$32, 'Data Val'!$O$1:$O$5, 0), MATCH('Rotation Assembler'!$A217, 'Data Val'!$O$1:$V$1, 0))</f>
        <v>Phys</v>
      </c>
      <c r="K217" s="7" t="str">
        <f>INDEX('Data Val'!$O$1:$V$5, MATCH('Rotation Assembler'!K$32, 'Data Val'!$O$1:$O$5, 0), MATCH('Rotation Assembler'!$A217, 'Data Val'!$O$1:$V$1, 0))</f>
        <v>Phys</v>
      </c>
      <c r="L217" s="7" t="str">
        <f>INDEX('Data Val'!$O$1:$V$5, MATCH('Rotation Assembler'!L$32, 'Data Val'!$O$1:$O$5, 0), MATCH('Rotation Assembler'!$A217, 'Data Val'!$O$1:$V$1, 0))</f>
        <v>Phys</v>
      </c>
      <c r="M217" s="7" t="str">
        <f>INDEX('Data Val'!$O$1:$V$5, MATCH('Rotation Assembler'!M$32, 'Data Val'!$O$1:$O$5, 0), MATCH('Rotation Assembler'!$A217, 'Data Val'!$O$1:$V$1, 0))</f>
        <v>Phys</v>
      </c>
      <c r="N217" s="7" t="str">
        <f>INDEX('Data Val'!$O$1:$V$5, MATCH('Rotation Assembler'!N$32, 'Data Val'!$O$1:$O$5, 0), MATCH('Rotation Assembler'!$A217, 'Data Val'!$O$1:$V$1, 0))</f>
        <v>Phys</v>
      </c>
      <c r="O217" s="7" t="str">
        <f>INDEX('Data Val'!$O$1:$V$5, MATCH('Rotation Assembler'!O$32, 'Data Val'!$O$1:$O$5, 0), MATCH('Rotation Assembler'!$A217, 'Data Val'!$O$1:$V$1, 0))</f>
        <v>Cryo</v>
      </c>
      <c r="P217" s="7" t="str">
        <f>INDEX('Data Val'!$O$1:$V$5, MATCH('Rotation Assembler'!P$32, 'Data Val'!$O$1:$O$5, 0), MATCH('Rotation Assembler'!$A217, 'Data Val'!$O$1:$V$1, 0))</f>
        <v>Cryo</v>
      </c>
      <c r="Q217" s="7" t="str">
        <f>INDEX('Data Val'!$O$1:$V$5, MATCH('Rotation Assembler'!Q$32, 'Data Val'!$O$1:$O$5, 0), MATCH('Rotation Assembler'!$A217, 'Data Val'!$O$1:$V$1, 0))</f>
        <v>Cryo</v>
      </c>
      <c r="R217" s="7" t="str">
        <f>INDEX('Data Val'!$O$1:$V$5, MATCH('Rotation Assembler'!R$32, 'Data Val'!$O$1:$O$5, 0), MATCH('Rotation Assembler'!$A217, 'Data Val'!$O$1:$V$1, 0))</f>
        <v>Cryo</v>
      </c>
      <c r="S217" s="7" t="str">
        <f>INDEX('Data Val'!$O$1:$V$5, MATCH('Rotation Assembler'!S$32, 'Data Val'!$O$1:$O$5, 0), MATCH('Rotation Assembler'!$A217, 'Data Val'!$O$1:$V$1, 0))</f>
        <v>Cryo</v>
      </c>
      <c r="T217" s="7" t="str">
        <f>INDEX('Data Val'!$O$1:$V$5, MATCH('Rotation Assembler'!T$32, 'Data Val'!$O$1:$O$5, 0), MATCH('Rotation Assembler'!$A217, 'Data Val'!$O$1:$V$1, 0))</f>
        <v>Hydro</v>
      </c>
      <c r="U217" s="7" t="str">
        <f>INDEX('Data Val'!$O$1:$V$5, MATCH('Rotation Assembler'!U$32, 'Data Val'!$O$1:$O$5, 0), MATCH('Rotation Assembler'!$A217, 'Data Val'!$O$1:$V$1, 0))</f>
        <v>Cryo</v>
      </c>
      <c r="V217" s="7" t="str">
        <f>INDEX('Data Val'!$O$1:$V$5, MATCH('Rotation Assembler'!V$32, 'Data Val'!$O$1:$O$5, 0), MATCH('Rotation Assembler'!$A217, 'Data Val'!$O$1:$V$1, 0))</f>
        <v>Cryo</v>
      </c>
      <c r="W217" s="7" t="str">
        <f>INDEX('Data Val'!$O$1:$V$5, MATCH('Rotation Assembler'!W$32, 'Data Val'!$O$1:$O$5, 0), MATCH('Rotation Assembler'!$A217, 'Data Val'!$O$1:$V$1, 0))</f>
        <v>Cryo</v>
      </c>
      <c r="X217" s="7" t="str">
        <f>INDEX('Data Val'!$O$1:$V$5, MATCH('Rotation Assembler'!X$32, 'Data Val'!$O$1:$O$5, 0), MATCH('Rotation Assembler'!$A217, 'Data Val'!$O$1:$V$1, 0))</f>
        <v>Cryo</v>
      </c>
      <c r="Y217" s="7" t="str">
        <f>INDEX('Data Val'!$O$1:$V$5, MATCH('Rotation Assembler'!Y$32, 'Data Val'!$O$1:$O$5, 0), MATCH('Rotation Assembler'!$A217, 'Data Val'!$O$1:$V$1, 0))</f>
        <v>Cryo</v>
      </c>
      <c r="Z217" s="7" t="str">
        <f>INDEX('Data Val'!$O$1:$V$5, MATCH('Rotation Assembler'!Z$32, 'Data Val'!$O$1:$O$5, 0), MATCH('Rotation Assembler'!$A217, 'Data Val'!$O$1:$V$1, 0))</f>
        <v>Cryo</v>
      </c>
      <c r="AA217" s="7" t="str">
        <f>INDEX('Data Val'!$O$1:$V$5, MATCH('Rotation Assembler'!AA$32, 'Data Val'!$O$1:$O$5, 0), MATCH('Rotation Assembler'!$A217, 'Data Val'!$O$1:$V$1, 0))</f>
        <v>Cryo</v>
      </c>
      <c r="AB217" s="7" t="str">
        <f>INDEX('Data Val'!$O$1:$V$5, MATCH('Rotation Assembler'!AB$32, 'Data Val'!$O$1:$O$5, 0), MATCH('Rotation Assembler'!$A217, 'Data Val'!$O$1:$V$1, 0))</f>
        <v>Hydro</v>
      </c>
      <c r="AC217" s="7" t="str">
        <f>INDEX('Data Val'!$O$1:$V$5, MATCH('Rotation Assembler'!AC$32, 'Data Val'!$O$1:$O$5, 0), MATCH('Rotation Assembler'!$A217, 'Data Val'!$O$1:$V$1, 0))</f>
        <v>Phys</v>
      </c>
      <c r="AD217" s="7" t="str">
        <f>INDEX('Data Val'!$O$1:$V$5, MATCH('Rotation Assembler'!AD$32, 'Data Val'!$O$1:$O$5, 0), MATCH('Rotation Assembler'!$A217, 'Data Val'!$O$1:$V$1, 0))</f>
        <v>Phys</v>
      </c>
      <c r="AE217" s="7" t="str">
        <f>INDEX('Data Val'!$O$1:$V$5, MATCH('Rotation Assembler'!AE$32, 'Data Val'!$O$1:$O$5, 0), MATCH('Rotation Assembler'!$A217, 'Data Val'!$O$1:$V$1, 0))</f>
        <v>Cryo</v>
      </c>
      <c r="AF217" s="7" t="str">
        <f>INDEX('Data Val'!$O$1:$V$5, MATCH('Rotation Assembler'!AF$32, 'Data Val'!$O$1:$O$5, 0), MATCH('Rotation Assembler'!$A217, 'Data Val'!$O$1:$V$1, 0))</f>
        <v>Cryo</v>
      </c>
      <c r="AG217" s="7" t="str">
        <f>INDEX('Data Val'!$O$1:$V$5, MATCH('Rotation Assembler'!AG$32, 'Data Val'!$O$1:$O$5, 0), MATCH('Rotation Assembler'!$A217, 'Data Val'!$O$1:$V$1, 0))</f>
        <v>Cryo</v>
      </c>
      <c r="AH217" s="7" t="str">
        <f>INDEX('Data Val'!$O$1:$V$5, MATCH('Rotation Assembler'!AH$32, 'Data Val'!$O$1:$O$5, 0), MATCH('Rotation Assembler'!$A217, 'Data Val'!$O$1:$V$1, 0))</f>
        <v>Cryo</v>
      </c>
      <c r="AI217" s="7" t="str">
        <f>INDEX('Data Val'!$O$1:$V$5, MATCH('Rotation Assembler'!AI$32, 'Data Val'!$O$1:$O$5, 0), MATCH('Rotation Assembler'!$A217, 'Data Val'!$O$1:$V$1, 0))</f>
        <v>Cryo</v>
      </c>
      <c r="AJ217" s="7" t="e">
        <f>INDEX('Data Val'!$O$1:$V$5, MATCH('Rotation Assembler'!AJ$32, 'Data Val'!$O$1:$O$5, 0), MATCH('Rotation Assembler'!$A217, 'Data Val'!$O$1:$V$1, 0))</f>
        <v>#N/A</v>
      </c>
      <c r="AK217" s="7" t="e">
        <f>INDEX('Data Val'!$O$1:$V$5, MATCH('Rotation Assembler'!AK$32, 'Data Val'!$O$1:$O$5, 0), MATCH('Rotation Assembler'!$A217, 'Data Val'!$O$1:$V$1, 0))</f>
        <v>#N/A</v>
      </c>
      <c r="AL217" s="7" t="e">
        <f>INDEX('Data Val'!$O$1:$V$5, MATCH('Rotation Assembler'!AL$32, 'Data Val'!$O$1:$O$5, 0), MATCH('Rotation Assembler'!$A217, 'Data Val'!$O$1:$V$1, 0))</f>
        <v>#N/A</v>
      </c>
      <c r="AM217" s="7" t="e">
        <f>INDEX('Data Val'!$O$1:$V$5, MATCH('Rotation Assembler'!AM$32, 'Data Val'!$O$1:$O$5, 0), MATCH('Rotation Assembler'!$A217, 'Data Val'!$O$1:$V$1, 0))</f>
        <v>#N/A</v>
      </c>
      <c r="AN217" s="7" t="e">
        <f>INDEX('Data Val'!$O$1:$V$5, MATCH('Rotation Assembler'!AN$32, 'Data Val'!$O$1:$O$5, 0), MATCH('Rotation Assembler'!$A217, 'Data Val'!$O$1:$V$1, 0))</f>
        <v>#N/A</v>
      </c>
      <c r="AO217" s="7" t="e">
        <f>INDEX('Data Val'!$O$1:$V$5, MATCH('Rotation Assembler'!AO$32, 'Data Val'!$O$1:$O$5, 0), MATCH('Rotation Assembler'!$A217, 'Data Val'!$O$1:$V$1, 0))</f>
        <v>#N/A</v>
      </c>
      <c r="AP217" s="7" t="e">
        <f>INDEX('Data Val'!$O$1:$V$5, MATCH('Rotation Assembler'!AP$32, 'Data Val'!$O$1:$O$5, 0), MATCH('Rotation Assembler'!$A217, 'Data Val'!$O$1:$V$1, 0))</f>
        <v>#N/A</v>
      </c>
      <c r="AQ217" s="7" t="e">
        <f>INDEX('Data Val'!$O$1:$V$5, MATCH('Rotation Assembler'!AQ$32, 'Data Val'!$O$1:$O$5, 0), MATCH('Rotation Assembler'!$A217, 'Data Val'!$O$1:$V$1, 0))</f>
        <v>#N/A</v>
      </c>
      <c r="AR217" s="7" t="e">
        <f>INDEX('Data Val'!$O$1:$V$5, MATCH('Rotation Assembler'!AR$32, 'Data Val'!$O$1:$O$5, 0), MATCH('Rotation Assembler'!$A217, 'Data Val'!$O$1:$V$1, 0))</f>
        <v>#N/A</v>
      </c>
      <c r="AS217" s="7" t="e">
        <f>INDEX('Data Val'!$O$1:$V$5, MATCH('Rotation Assembler'!AS$32, 'Data Val'!$O$1:$O$5, 0), MATCH('Rotation Assembler'!$A217, 'Data Val'!$O$1:$V$1, 0))</f>
        <v>#N/A</v>
      </c>
      <c r="AT217" s="7" t="e">
        <f>INDEX('Data Val'!$O$1:$V$5, MATCH('Rotation Assembler'!AT$32, 'Data Val'!$O$1:$O$5, 0), MATCH('Rotation Assembler'!$A217, 'Data Val'!$O$1:$V$1, 0))</f>
        <v>#N/A</v>
      </c>
      <c r="AU217" s="7" t="e">
        <f>INDEX('Data Val'!$O$1:$V$5, MATCH('Rotation Assembler'!AU$32, 'Data Val'!$O$1:$O$5, 0), MATCH('Rotation Assembler'!$A217, 'Data Val'!$O$1:$V$1, 0))</f>
        <v>#N/A</v>
      </c>
      <c r="AV217" s="7" t="e">
        <f>INDEX('Data Val'!$O$1:$V$5, MATCH('Rotation Assembler'!AV$32, 'Data Val'!$O$1:$O$5, 0), MATCH('Rotation Assembler'!$A217, 'Data Val'!$O$1:$V$1, 0))</f>
        <v>#N/A</v>
      </c>
      <c r="AW217" s="7" t="e">
        <f>INDEX('Data Val'!$O$1:$V$5, MATCH('Rotation Assembler'!AW$32, 'Data Val'!$O$1:$O$5, 0), MATCH('Rotation Assembler'!$A217, 'Data Val'!$O$1:$V$1, 0))</f>
        <v>#N/A</v>
      </c>
      <c r="AX217" s="7" t="e">
        <f>INDEX('Data Val'!$O$1:$V$5, MATCH('Rotation Assembler'!AX$32, 'Data Val'!$O$1:$O$5, 0), MATCH('Rotation Assembler'!$A217, 'Data Val'!$O$1:$V$1, 0))</f>
        <v>#N/A</v>
      </c>
      <c r="AY217" s="7" t="e">
        <f>INDEX('Data Val'!$O$1:$V$5, MATCH('Rotation Assembler'!AY$32, 'Data Val'!$O$1:$O$5, 0), MATCH('Rotation Assembler'!$A217, 'Data Val'!$O$1:$V$1, 0))</f>
        <v>#N/A</v>
      </c>
      <c r="AZ217" s="7" t="e">
        <f>INDEX('Data Val'!$O$1:$V$5, MATCH('Rotation Assembler'!AZ$32, 'Data Val'!$O$1:$O$5, 0), MATCH('Rotation Assembler'!$A217, 'Data Val'!$O$1:$V$1, 0))</f>
        <v>#N/A</v>
      </c>
      <c r="BA217" s="7" t="e">
        <f>INDEX('Data Val'!$O$1:$V$5, MATCH('Rotation Assembler'!BA$32, 'Data Val'!$O$1:$O$5, 0), MATCH('Rotation Assembler'!$A217, 'Data Val'!$O$1:$V$1, 0))</f>
        <v>#N/A</v>
      </c>
      <c r="BB217" s="7" t="e">
        <f>INDEX('Data Val'!$O$1:$V$5, MATCH('Rotation Assembler'!BB$32, 'Data Val'!$O$1:$O$5, 0), MATCH('Rotation Assembler'!$A217, 'Data Val'!$O$1:$V$1, 0))</f>
        <v>#N/A</v>
      </c>
      <c r="BC217" s="7" t="e">
        <f>INDEX('Data Val'!$O$1:$V$5, MATCH('Rotation Assembler'!BC$32, 'Data Val'!$O$1:$O$5, 0), MATCH('Rotation Assembler'!$A217, 'Data Val'!$O$1:$V$1, 0))</f>
        <v>#N/A</v>
      </c>
      <c r="BD217" s="7" t="e">
        <f>INDEX('Data Val'!$O$1:$V$5, MATCH('Rotation Assembler'!BD$32, 'Data Val'!$O$1:$O$5, 0), MATCH('Rotation Assembler'!$A217, 'Data Val'!$O$1:$V$1, 0))</f>
        <v>#N/A</v>
      </c>
      <c r="BE217" s="7" t="e">
        <f>INDEX('Data Val'!$O$1:$V$5, MATCH('Rotation Assembler'!BE$32, 'Data Val'!$O$1:$O$5, 0), MATCH('Rotation Assembler'!$A217, 'Data Val'!$O$1:$V$1, 0))</f>
        <v>#N/A</v>
      </c>
      <c r="BF217" s="7" t="e">
        <f>INDEX('Data Val'!$O$1:$V$5, MATCH('Rotation Assembler'!BF$32, 'Data Val'!$O$1:$O$5, 0), MATCH('Rotation Assembler'!$A217, 'Data Val'!$O$1:$V$1, 0))</f>
        <v>#N/A</v>
      </c>
      <c r="BG217" s="7" t="e">
        <f>INDEX('Data Val'!$O$1:$V$5, MATCH('Rotation Assembler'!BG$32, 'Data Val'!$O$1:$O$5, 0), MATCH('Rotation Assembler'!$A217, 'Data Val'!$O$1:$V$1, 0))</f>
        <v>#N/A</v>
      </c>
      <c r="BH217" s="7" t="e">
        <f>INDEX('Data Val'!$O$1:$V$5, MATCH('Rotation Assembler'!BH$32, 'Data Val'!$O$1:$O$5, 0), MATCH('Rotation Assembler'!$A217, 'Data Val'!$O$1:$V$1, 0))</f>
        <v>#N/A</v>
      </c>
    </row>
    <row r="218" spans="1:107" hidden="1" outlineLevel="1" x14ac:dyDescent="0.25">
      <c r="A218" s="110" t="s">
        <v>3</v>
      </c>
      <c r="B218" s="7" t="str">
        <f>INDEX('Data Val'!$O$1:$V$5, MATCH('Rotation Assembler'!B$32, 'Data Val'!$O$1:$O$5, 0), MATCH('Rotation Assembler'!$A218, 'Data Val'!$O$1:$V$1, 0))</f>
        <v>Cryo</v>
      </c>
      <c r="C218" s="7" t="str">
        <f>INDEX('Data Val'!$O$1:$V$5, MATCH('Rotation Assembler'!C$32, 'Data Val'!$O$1:$O$5, 0), MATCH('Rotation Assembler'!$A218, 'Data Val'!$O$1:$V$1, 0))</f>
        <v>Hydro</v>
      </c>
      <c r="D218" s="7" t="str">
        <f>INDEX('Data Val'!$O$1:$V$5, MATCH('Rotation Assembler'!D$32, 'Data Val'!$O$1:$O$5, 0), MATCH('Rotation Assembler'!$A218, 'Data Val'!$O$1:$V$1, 0))</f>
        <v>Anemo</v>
      </c>
      <c r="E218" s="7" t="str">
        <f>INDEX('Data Val'!$O$1:$V$5, MATCH('Rotation Assembler'!E$32, 'Data Val'!$O$1:$O$5, 0), MATCH('Rotation Assembler'!$A218, 'Data Val'!$O$1:$V$1, 0))</f>
        <v>Anemo</v>
      </c>
      <c r="F218" s="7" t="str">
        <f>INDEX('Data Val'!$O$1:$V$5, MATCH('Rotation Assembler'!F$32, 'Data Val'!$O$1:$O$5, 0), MATCH('Rotation Assembler'!$A218, 'Data Val'!$O$1:$V$1, 0))</f>
        <v>Anemo</v>
      </c>
      <c r="G218" s="7" t="str">
        <f>INDEX('Data Val'!$O$1:$V$5, MATCH('Rotation Assembler'!G$32, 'Data Val'!$O$1:$O$5, 0), MATCH('Rotation Assembler'!$A218, 'Data Val'!$O$1:$V$1, 0))</f>
        <v>Anemo</v>
      </c>
      <c r="H218" s="7" t="str">
        <f>INDEX('Data Val'!$O$1:$V$5, MATCH('Rotation Assembler'!H$32, 'Data Val'!$O$1:$O$5, 0), MATCH('Rotation Assembler'!$A218, 'Data Val'!$O$1:$V$1, 0))</f>
        <v>Cryo</v>
      </c>
      <c r="I218" s="7" t="str">
        <f>INDEX('Data Val'!$O$1:$V$5, MATCH('Rotation Assembler'!I$32, 'Data Val'!$O$1:$O$5, 0), MATCH('Rotation Assembler'!$A218, 'Data Val'!$O$1:$V$1, 0))</f>
        <v>Anemo</v>
      </c>
      <c r="J218" s="7" t="str">
        <f>INDEX('Data Val'!$O$1:$V$5, MATCH('Rotation Assembler'!J$32, 'Data Val'!$O$1:$O$5, 0), MATCH('Rotation Assembler'!$A218, 'Data Val'!$O$1:$V$1, 0))</f>
        <v>Anemo</v>
      </c>
      <c r="K218" s="7" t="str">
        <f>INDEX('Data Val'!$O$1:$V$5, MATCH('Rotation Assembler'!K$32, 'Data Val'!$O$1:$O$5, 0), MATCH('Rotation Assembler'!$A218, 'Data Val'!$O$1:$V$1, 0))</f>
        <v>Anemo</v>
      </c>
      <c r="L218" s="7" t="str">
        <f>INDEX('Data Val'!$O$1:$V$5, MATCH('Rotation Assembler'!L$32, 'Data Val'!$O$1:$O$5, 0), MATCH('Rotation Assembler'!$A218, 'Data Val'!$O$1:$V$1, 0))</f>
        <v>Anemo</v>
      </c>
      <c r="M218" s="7" t="str">
        <f>INDEX('Data Val'!$O$1:$V$5, MATCH('Rotation Assembler'!M$32, 'Data Val'!$O$1:$O$5, 0), MATCH('Rotation Assembler'!$A218, 'Data Val'!$O$1:$V$1, 0))</f>
        <v>Anemo</v>
      </c>
      <c r="N218" s="7" t="str">
        <f>INDEX('Data Val'!$O$1:$V$5, MATCH('Rotation Assembler'!N$32, 'Data Val'!$O$1:$O$5, 0), MATCH('Rotation Assembler'!$A218, 'Data Val'!$O$1:$V$1, 0))</f>
        <v>Anemo</v>
      </c>
      <c r="O218" s="7" t="str">
        <f>INDEX('Data Val'!$O$1:$V$5, MATCH('Rotation Assembler'!O$32, 'Data Val'!$O$1:$O$5, 0), MATCH('Rotation Assembler'!$A218, 'Data Val'!$O$1:$V$1, 0))</f>
        <v>Cryo</v>
      </c>
      <c r="P218" s="7" t="str">
        <f>INDEX('Data Val'!$O$1:$V$5, MATCH('Rotation Assembler'!P$32, 'Data Val'!$O$1:$O$5, 0), MATCH('Rotation Assembler'!$A218, 'Data Val'!$O$1:$V$1, 0))</f>
        <v>Cryo</v>
      </c>
      <c r="Q218" s="7" t="str">
        <f>INDEX('Data Val'!$O$1:$V$5, MATCH('Rotation Assembler'!Q$32, 'Data Val'!$O$1:$O$5, 0), MATCH('Rotation Assembler'!$A218, 'Data Val'!$O$1:$V$1, 0))</f>
        <v>Cryo</v>
      </c>
      <c r="R218" s="7" t="str">
        <f>INDEX('Data Val'!$O$1:$V$5, MATCH('Rotation Assembler'!R$32, 'Data Val'!$O$1:$O$5, 0), MATCH('Rotation Assembler'!$A218, 'Data Val'!$O$1:$V$1, 0))</f>
        <v>Cryo</v>
      </c>
      <c r="S218" s="7" t="str">
        <f>INDEX('Data Val'!$O$1:$V$5, MATCH('Rotation Assembler'!S$32, 'Data Val'!$O$1:$O$5, 0), MATCH('Rotation Assembler'!$A218, 'Data Val'!$O$1:$V$1, 0))</f>
        <v>Cryo</v>
      </c>
      <c r="T218" s="7" t="str">
        <f>INDEX('Data Val'!$O$1:$V$5, MATCH('Rotation Assembler'!T$32, 'Data Val'!$O$1:$O$5, 0), MATCH('Rotation Assembler'!$A218, 'Data Val'!$O$1:$V$1, 0))</f>
        <v>Hydro</v>
      </c>
      <c r="U218" s="7" t="str">
        <f>INDEX('Data Val'!$O$1:$V$5, MATCH('Rotation Assembler'!U$32, 'Data Val'!$O$1:$O$5, 0), MATCH('Rotation Assembler'!$A218, 'Data Val'!$O$1:$V$1, 0))</f>
        <v>Cryo</v>
      </c>
      <c r="V218" s="7" t="str">
        <f>INDEX('Data Val'!$O$1:$V$5, MATCH('Rotation Assembler'!V$32, 'Data Val'!$O$1:$O$5, 0), MATCH('Rotation Assembler'!$A218, 'Data Val'!$O$1:$V$1, 0))</f>
        <v>Cryo</v>
      </c>
      <c r="W218" s="7" t="str">
        <f>INDEX('Data Val'!$O$1:$V$5, MATCH('Rotation Assembler'!W$32, 'Data Val'!$O$1:$O$5, 0), MATCH('Rotation Assembler'!$A218, 'Data Val'!$O$1:$V$1, 0))</f>
        <v>Cryo</v>
      </c>
      <c r="X218" s="7" t="str">
        <f>INDEX('Data Val'!$O$1:$V$5, MATCH('Rotation Assembler'!X$32, 'Data Val'!$O$1:$O$5, 0), MATCH('Rotation Assembler'!$A218, 'Data Val'!$O$1:$V$1, 0))</f>
        <v>Cryo</v>
      </c>
      <c r="Y218" s="7" t="str">
        <f>INDEX('Data Val'!$O$1:$V$5, MATCH('Rotation Assembler'!Y$32, 'Data Val'!$O$1:$O$5, 0), MATCH('Rotation Assembler'!$A218, 'Data Val'!$O$1:$V$1, 0))</f>
        <v>Cryo</v>
      </c>
      <c r="Z218" s="7" t="str">
        <f>INDEX('Data Val'!$O$1:$V$5, MATCH('Rotation Assembler'!Z$32, 'Data Val'!$O$1:$O$5, 0), MATCH('Rotation Assembler'!$A218, 'Data Val'!$O$1:$V$1, 0))</f>
        <v>Cryo</v>
      </c>
      <c r="AA218" s="7" t="str">
        <f>INDEX('Data Val'!$O$1:$V$5, MATCH('Rotation Assembler'!AA$32, 'Data Val'!$O$1:$O$5, 0), MATCH('Rotation Assembler'!$A218, 'Data Val'!$O$1:$V$1, 0))</f>
        <v>Cryo</v>
      </c>
      <c r="AB218" s="7" t="str">
        <f>INDEX('Data Val'!$O$1:$V$5, MATCH('Rotation Assembler'!AB$32, 'Data Val'!$O$1:$O$5, 0), MATCH('Rotation Assembler'!$A218, 'Data Val'!$O$1:$V$1, 0))</f>
        <v>Hydro</v>
      </c>
      <c r="AC218" s="7" t="str">
        <f>INDEX('Data Val'!$O$1:$V$5, MATCH('Rotation Assembler'!AC$32, 'Data Val'!$O$1:$O$5, 0), MATCH('Rotation Assembler'!$A218, 'Data Val'!$O$1:$V$1, 0))</f>
        <v>Anemo</v>
      </c>
      <c r="AD218" s="7" t="str">
        <f>INDEX('Data Val'!$O$1:$V$5, MATCH('Rotation Assembler'!AD$32, 'Data Val'!$O$1:$O$5, 0), MATCH('Rotation Assembler'!$A218, 'Data Val'!$O$1:$V$1, 0))</f>
        <v>Anemo</v>
      </c>
      <c r="AE218" s="7" t="str">
        <f>INDEX('Data Val'!$O$1:$V$5, MATCH('Rotation Assembler'!AE$32, 'Data Val'!$O$1:$O$5, 0), MATCH('Rotation Assembler'!$A218, 'Data Val'!$O$1:$V$1, 0))</f>
        <v>Cryo</v>
      </c>
      <c r="AF218" s="7" t="str">
        <f>INDEX('Data Val'!$O$1:$V$5, MATCH('Rotation Assembler'!AF$32, 'Data Val'!$O$1:$O$5, 0), MATCH('Rotation Assembler'!$A218, 'Data Val'!$O$1:$V$1, 0))</f>
        <v>Cryo</v>
      </c>
      <c r="AG218" s="7" t="str">
        <f>INDEX('Data Val'!$O$1:$V$5, MATCH('Rotation Assembler'!AG$32, 'Data Val'!$O$1:$O$5, 0), MATCH('Rotation Assembler'!$A218, 'Data Val'!$O$1:$V$1, 0))</f>
        <v>Cryo</v>
      </c>
      <c r="AH218" s="7" t="str">
        <f>INDEX('Data Val'!$O$1:$V$5, MATCH('Rotation Assembler'!AH$32, 'Data Val'!$O$1:$O$5, 0), MATCH('Rotation Assembler'!$A218, 'Data Val'!$O$1:$V$1, 0))</f>
        <v>Cryo</v>
      </c>
      <c r="AI218" s="7" t="str">
        <f>INDEX('Data Val'!$O$1:$V$5, MATCH('Rotation Assembler'!AI$32, 'Data Val'!$O$1:$O$5, 0), MATCH('Rotation Assembler'!$A218, 'Data Val'!$O$1:$V$1, 0))</f>
        <v>Cryo</v>
      </c>
      <c r="AJ218" s="7" t="e">
        <f>INDEX('Data Val'!$O$1:$V$5, MATCH('Rotation Assembler'!AJ$32, 'Data Val'!$O$1:$O$5, 0), MATCH('Rotation Assembler'!$A218, 'Data Val'!$O$1:$V$1, 0))</f>
        <v>#N/A</v>
      </c>
      <c r="AK218" s="7" t="e">
        <f>INDEX('Data Val'!$O$1:$V$5, MATCH('Rotation Assembler'!AK$32, 'Data Val'!$O$1:$O$5, 0), MATCH('Rotation Assembler'!$A218, 'Data Val'!$O$1:$V$1, 0))</f>
        <v>#N/A</v>
      </c>
      <c r="AL218" s="7" t="e">
        <f>INDEX('Data Val'!$O$1:$V$5, MATCH('Rotation Assembler'!AL$32, 'Data Val'!$O$1:$O$5, 0), MATCH('Rotation Assembler'!$A218, 'Data Val'!$O$1:$V$1, 0))</f>
        <v>#N/A</v>
      </c>
      <c r="AM218" s="7" t="e">
        <f>INDEX('Data Val'!$O$1:$V$5, MATCH('Rotation Assembler'!AM$32, 'Data Val'!$O$1:$O$5, 0), MATCH('Rotation Assembler'!$A218, 'Data Val'!$O$1:$V$1, 0))</f>
        <v>#N/A</v>
      </c>
      <c r="AN218" s="7" t="e">
        <f>INDEX('Data Val'!$O$1:$V$5, MATCH('Rotation Assembler'!AN$32, 'Data Val'!$O$1:$O$5, 0), MATCH('Rotation Assembler'!$A218, 'Data Val'!$O$1:$V$1, 0))</f>
        <v>#N/A</v>
      </c>
      <c r="AO218" s="7" t="e">
        <f>INDEX('Data Val'!$O$1:$V$5, MATCH('Rotation Assembler'!AO$32, 'Data Val'!$O$1:$O$5, 0), MATCH('Rotation Assembler'!$A218, 'Data Val'!$O$1:$V$1, 0))</f>
        <v>#N/A</v>
      </c>
      <c r="AP218" s="7" t="e">
        <f>INDEX('Data Val'!$O$1:$V$5, MATCH('Rotation Assembler'!AP$32, 'Data Val'!$O$1:$O$5, 0), MATCH('Rotation Assembler'!$A218, 'Data Val'!$O$1:$V$1, 0))</f>
        <v>#N/A</v>
      </c>
      <c r="AQ218" s="7" t="e">
        <f>INDEX('Data Val'!$O$1:$V$5, MATCH('Rotation Assembler'!AQ$32, 'Data Val'!$O$1:$O$5, 0), MATCH('Rotation Assembler'!$A218, 'Data Val'!$O$1:$V$1, 0))</f>
        <v>#N/A</v>
      </c>
      <c r="AR218" s="7" t="e">
        <f>INDEX('Data Val'!$O$1:$V$5, MATCH('Rotation Assembler'!AR$32, 'Data Val'!$O$1:$O$5, 0), MATCH('Rotation Assembler'!$A218, 'Data Val'!$O$1:$V$1, 0))</f>
        <v>#N/A</v>
      </c>
      <c r="AS218" s="7" t="e">
        <f>INDEX('Data Val'!$O$1:$V$5, MATCH('Rotation Assembler'!AS$32, 'Data Val'!$O$1:$O$5, 0), MATCH('Rotation Assembler'!$A218, 'Data Val'!$O$1:$V$1, 0))</f>
        <v>#N/A</v>
      </c>
      <c r="AT218" s="7" t="e">
        <f>INDEX('Data Val'!$O$1:$V$5, MATCH('Rotation Assembler'!AT$32, 'Data Val'!$O$1:$O$5, 0), MATCH('Rotation Assembler'!$A218, 'Data Val'!$O$1:$V$1, 0))</f>
        <v>#N/A</v>
      </c>
      <c r="AU218" s="7" t="e">
        <f>INDEX('Data Val'!$O$1:$V$5, MATCH('Rotation Assembler'!AU$32, 'Data Val'!$O$1:$O$5, 0), MATCH('Rotation Assembler'!$A218, 'Data Val'!$O$1:$V$1, 0))</f>
        <v>#N/A</v>
      </c>
      <c r="AV218" s="7" t="e">
        <f>INDEX('Data Val'!$O$1:$V$5, MATCH('Rotation Assembler'!AV$32, 'Data Val'!$O$1:$O$5, 0), MATCH('Rotation Assembler'!$A218, 'Data Val'!$O$1:$V$1, 0))</f>
        <v>#N/A</v>
      </c>
      <c r="AW218" s="7" t="e">
        <f>INDEX('Data Val'!$O$1:$V$5, MATCH('Rotation Assembler'!AW$32, 'Data Val'!$O$1:$O$5, 0), MATCH('Rotation Assembler'!$A218, 'Data Val'!$O$1:$V$1, 0))</f>
        <v>#N/A</v>
      </c>
      <c r="AX218" s="7" t="e">
        <f>INDEX('Data Val'!$O$1:$V$5, MATCH('Rotation Assembler'!AX$32, 'Data Val'!$O$1:$O$5, 0), MATCH('Rotation Assembler'!$A218, 'Data Val'!$O$1:$V$1, 0))</f>
        <v>#N/A</v>
      </c>
      <c r="AY218" s="7" t="e">
        <f>INDEX('Data Val'!$O$1:$V$5, MATCH('Rotation Assembler'!AY$32, 'Data Val'!$O$1:$O$5, 0), MATCH('Rotation Assembler'!$A218, 'Data Val'!$O$1:$V$1, 0))</f>
        <v>#N/A</v>
      </c>
      <c r="AZ218" s="7" t="e">
        <f>INDEX('Data Val'!$O$1:$V$5, MATCH('Rotation Assembler'!AZ$32, 'Data Val'!$O$1:$O$5, 0), MATCH('Rotation Assembler'!$A218, 'Data Val'!$O$1:$V$1, 0))</f>
        <v>#N/A</v>
      </c>
      <c r="BA218" s="7" t="e">
        <f>INDEX('Data Val'!$O$1:$V$5, MATCH('Rotation Assembler'!BA$32, 'Data Val'!$O$1:$O$5, 0), MATCH('Rotation Assembler'!$A218, 'Data Val'!$O$1:$V$1, 0))</f>
        <v>#N/A</v>
      </c>
      <c r="BB218" s="7" t="e">
        <f>INDEX('Data Val'!$O$1:$V$5, MATCH('Rotation Assembler'!BB$32, 'Data Val'!$O$1:$O$5, 0), MATCH('Rotation Assembler'!$A218, 'Data Val'!$O$1:$V$1, 0))</f>
        <v>#N/A</v>
      </c>
      <c r="BC218" s="7" t="e">
        <f>INDEX('Data Val'!$O$1:$V$5, MATCH('Rotation Assembler'!BC$32, 'Data Val'!$O$1:$O$5, 0), MATCH('Rotation Assembler'!$A218, 'Data Val'!$O$1:$V$1, 0))</f>
        <v>#N/A</v>
      </c>
      <c r="BD218" s="7" t="e">
        <f>INDEX('Data Val'!$O$1:$V$5, MATCH('Rotation Assembler'!BD$32, 'Data Val'!$O$1:$O$5, 0), MATCH('Rotation Assembler'!$A218, 'Data Val'!$O$1:$V$1, 0))</f>
        <v>#N/A</v>
      </c>
      <c r="BE218" s="7" t="e">
        <f>INDEX('Data Val'!$O$1:$V$5, MATCH('Rotation Assembler'!BE$32, 'Data Val'!$O$1:$O$5, 0), MATCH('Rotation Assembler'!$A218, 'Data Val'!$O$1:$V$1, 0))</f>
        <v>#N/A</v>
      </c>
      <c r="BF218" s="7" t="e">
        <f>INDEX('Data Val'!$O$1:$V$5, MATCH('Rotation Assembler'!BF$32, 'Data Val'!$O$1:$O$5, 0), MATCH('Rotation Assembler'!$A218, 'Data Val'!$O$1:$V$1, 0))</f>
        <v>#N/A</v>
      </c>
      <c r="BG218" s="7" t="e">
        <f>INDEX('Data Val'!$O$1:$V$5, MATCH('Rotation Assembler'!BG$32, 'Data Val'!$O$1:$O$5, 0), MATCH('Rotation Assembler'!$A218, 'Data Val'!$O$1:$V$1, 0))</f>
        <v>#N/A</v>
      </c>
      <c r="BH218" s="7" t="e">
        <f>INDEX('Data Val'!$O$1:$V$5, MATCH('Rotation Assembler'!BH$32, 'Data Val'!$O$1:$O$5, 0), MATCH('Rotation Assembler'!$A218, 'Data Val'!$O$1:$V$1, 0))</f>
        <v>#N/A</v>
      </c>
    </row>
    <row r="219" spans="1:107" hidden="1" outlineLevel="1" x14ac:dyDescent="0.25">
      <c r="A219" s="110" t="s">
        <v>19</v>
      </c>
      <c r="B219" s="7" t="str">
        <f>INDEX('Data Val'!$O$1:$V$5, MATCH('Rotation Assembler'!B$32, 'Data Val'!$O$1:$O$5, 0), MATCH('Rotation Assembler'!$A219, 'Data Val'!$O$1:$V$1, 0))</f>
        <v>Cryo</v>
      </c>
      <c r="C219" s="7" t="str">
        <f>INDEX('Data Val'!$O$1:$V$5, MATCH('Rotation Assembler'!C$32, 'Data Val'!$O$1:$O$5, 0), MATCH('Rotation Assembler'!$A219, 'Data Val'!$O$1:$V$1, 0))</f>
        <v>Hydro</v>
      </c>
      <c r="D219" s="7" t="str">
        <f>INDEX('Data Val'!$O$1:$V$5, MATCH('Rotation Assembler'!D$32, 'Data Val'!$O$1:$O$5, 0), MATCH('Rotation Assembler'!$A219, 'Data Val'!$O$1:$V$1, 0))</f>
        <v>Anemo</v>
      </c>
      <c r="E219" s="7" t="str">
        <f>INDEX('Data Val'!$O$1:$V$5, MATCH('Rotation Assembler'!E$32, 'Data Val'!$O$1:$O$5, 0), MATCH('Rotation Assembler'!$A219, 'Data Val'!$O$1:$V$1, 0))</f>
        <v>Anemo</v>
      </c>
      <c r="F219" s="7" t="str">
        <f>INDEX('Data Val'!$O$1:$V$5, MATCH('Rotation Assembler'!F$32, 'Data Val'!$O$1:$O$5, 0), MATCH('Rotation Assembler'!$A219, 'Data Val'!$O$1:$V$1, 0))</f>
        <v>Anemo</v>
      </c>
      <c r="G219" s="7" t="str">
        <f>INDEX('Data Val'!$O$1:$V$5, MATCH('Rotation Assembler'!G$32, 'Data Val'!$O$1:$O$5, 0), MATCH('Rotation Assembler'!$A219, 'Data Val'!$O$1:$V$1, 0))</f>
        <v>Anemo</v>
      </c>
      <c r="H219" s="7" t="str">
        <f>INDEX('Data Val'!$O$1:$V$5, MATCH('Rotation Assembler'!H$32, 'Data Val'!$O$1:$O$5, 0), MATCH('Rotation Assembler'!$A219, 'Data Val'!$O$1:$V$1, 0))</f>
        <v>Cryo</v>
      </c>
      <c r="I219" s="7" t="str">
        <f>INDEX('Data Val'!$O$1:$V$5, MATCH('Rotation Assembler'!I$32, 'Data Val'!$O$1:$O$5, 0), MATCH('Rotation Assembler'!$A219, 'Data Val'!$O$1:$V$1, 0))</f>
        <v>Anemo</v>
      </c>
      <c r="J219" s="7" t="str">
        <f>INDEX('Data Val'!$O$1:$V$5, MATCH('Rotation Assembler'!J$32, 'Data Val'!$O$1:$O$5, 0), MATCH('Rotation Assembler'!$A219, 'Data Val'!$O$1:$V$1, 0))</f>
        <v>Anemo</v>
      </c>
      <c r="K219" s="7" t="str">
        <f>INDEX('Data Val'!$O$1:$V$5, MATCH('Rotation Assembler'!K$32, 'Data Val'!$O$1:$O$5, 0), MATCH('Rotation Assembler'!$A219, 'Data Val'!$O$1:$V$1, 0))</f>
        <v>Anemo</v>
      </c>
      <c r="L219" s="7" t="str">
        <f>INDEX('Data Val'!$O$1:$V$5, MATCH('Rotation Assembler'!L$32, 'Data Val'!$O$1:$O$5, 0), MATCH('Rotation Assembler'!$A219, 'Data Val'!$O$1:$V$1, 0))</f>
        <v>Anemo</v>
      </c>
      <c r="M219" s="7" t="str">
        <f>INDEX('Data Val'!$O$1:$V$5, MATCH('Rotation Assembler'!M$32, 'Data Val'!$O$1:$O$5, 0), MATCH('Rotation Assembler'!$A219, 'Data Val'!$O$1:$V$1, 0))</f>
        <v>Anemo</v>
      </c>
      <c r="N219" s="7" t="str">
        <f>INDEX('Data Val'!$O$1:$V$5, MATCH('Rotation Assembler'!N$32, 'Data Val'!$O$1:$O$5, 0), MATCH('Rotation Assembler'!$A219, 'Data Val'!$O$1:$V$1, 0))</f>
        <v>Anemo</v>
      </c>
      <c r="O219" s="7" t="str">
        <f>INDEX('Data Val'!$O$1:$V$5, MATCH('Rotation Assembler'!O$32, 'Data Val'!$O$1:$O$5, 0), MATCH('Rotation Assembler'!$A219, 'Data Val'!$O$1:$V$1, 0))</f>
        <v>Cryo</v>
      </c>
      <c r="P219" s="7" t="str">
        <f>INDEX('Data Val'!$O$1:$V$5, MATCH('Rotation Assembler'!P$32, 'Data Val'!$O$1:$O$5, 0), MATCH('Rotation Assembler'!$A219, 'Data Val'!$O$1:$V$1, 0))</f>
        <v>Cryo</v>
      </c>
      <c r="Q219" s="7" t="str">
        <f>INDEX('Data Val'!$O$1:$V$5, MATCH('Rotation Assembler'!Q$32, 'Data Val'!$O$1:$O$5, 0), MATCH('Rotation Assembler'!$A219, 'Data Val'!$O$1:$V$1, 0))</f>
        <v>Cryo</v>
      </c>
      <c r="R219" s="7" t="str">
        <f>INDEX('Data Val'!$O$1:$V$5, MATCH('Rotation Assembler'!R$32, 'Data Val'!$O$1:$O$5, 0), MATCH('Rotation Assembler'!$A219, 'Data Val'!$O$1:$V$1, 0))</f>
        <v>Cryo</v>
      </c>
      <c r="S219" s="7" t="str">
        <f>INDEX('Data Val'!$O$1:$V$5, MATCH('Rotation Assembler'!S$32, 'Data Val'!$O$1:$O$5, 0), MATCH('Rotation Assembler'!$A219, 'Data Val'!$O$1:$V$1, 0))</f>
        <v>Cryo</v>
      </c>
      <c r="T219" s="7" t="str">
        <f>INDEX('Data Val'!$O$1:$V$5, MATCH('Rotation Assembler'!T$32, 'Data Val'!$O$1:$O$5, 0), MATCH('Rotation Assembler'!$A219, 'Data Val'!$O$1:$V$1, 0))</f>
        <v>Hydro</v>
      </c>
      <c r="U219" s="7" t="str">
        <f>INDEX('Data Val'!$O$1:$V$5, MATCH('Rotation Assembler'!U$32, 'Data Val'!$O$1:$O$5, 0), MATCH('Rotation Assembler'!$A219, 'Data Val'!$O$1:$V$1, 0))</f>
        <v>Cryo</v>
      </c>
      <c r="V219" s="7" t="str">
        <f>INDEX('Data Val'!$O$1:$V$5, MATCH('Rotation Assembler'!V$32, 'Data Val'!$O$1:$O$5, 0), MATCH('Rotation Assembler'!$A219, 'Data Val'!$O$1:$V$1, 0))</f>
        <v>Cryo</v>
      </c>
      <c r="W219" s="7" t="str">
        <f>INDEX('Data Val'!$O$1:$V$5, MATCH('Rotation Assembler'!W$32, 'Data Val'!$O$1:$O$5, 0), MATCH('Rotation Assembler'!$A219, 'Data Val'!$O$1:$V$1, 0))</f>
        <v>Cryo</v>
      </c>
      <c r="X219" s="7" t="str">
        <f>INDEX('Data Val'!$O$1:$V$5, MATCH('Rotation Assembler'!X$32, 'Data Val'!$O$1:$O$5, 0), MATCH('Rotation Assembler'!$A219, 'Data Val'!$O$1:$V$1, 0))</f>
        <v>Cryo</v>
      </c>
      <c r="Y219" s="7" t="str">
        <f>INDEX('Data Val'!$O$1:$V$5, MATCH('Rotation Assembler'!Y$32, 'Data Val'!$O$1:$O$5, 0), MATCH('Rotation Assembler'!$A219, 'Data Val'!$O$1:$V$1, 0))</f>
        <v>Cryo</v>
      </c>
      <c r="Z219" s="7" t="str">
        <f>INDEX('Data Val'!$O$1:$V$5, MATCH('Rotation Assembler'!Z$32, 'Data Val'!$O$1:$O$5, 0), MATCH('Rotation Assembler'!$A219, 'Data Val'!$O$1:$V$1, 0))</f>
        <v>Cryo</v>
      </c>
      <c r="AA219" s="7" t="str">
        <f>INDEX('Data Val'!$O$1:$V$5, MATCH('Rotation Assembler'!AA$32, 'Data Val'!$O$1:$O$5, 0), MATCH('Rotation Assembler'!$A219, 'Data Val'!$O$1:$V$1, 0))</f>
        <v>Cryo</v>
      </c>
      <c r="AB219" s="7" t="str">
        <f>INDEX('Data Val'!$O$1:$V$5, MATCH('Rotation Assembler'!AB$32, 'Data Val'!$O$1:$O$5, 0), MATCH('Rotation Assembler'!$A219, 'Data Val'!$O$1:$V$1, 0))</f>
        <v>Hydro</v>
      </c>
      <c r="AC219" s="7" t="str">
        <f>INDEX('Data Val'!$O$1:$V$5, MATCH('Rotation Assembler'!AC$32, 'Data Val'!$O$1:$O$5, 0), MATCH('Rotation Assembler'!$A219, 'Data Val'!$O$1:$V$1, 0))</f>
        <v>Anemo</v>
      </c>
      <c r="AD219" s="7" t="str">
        <f>INDEX('Data Val'!$O$1:$V$5, MATCH('Rotation Assembler'!AD$32, 'Data Val'!$O$1:$O$5, 0), MATCH('Rotation Assembler'!$A219, 'Data Val'!$O$1:$V$1, 0))</f>
        <v>Anemo</v>
      </c>
      <c r="AE219" s="7" t="str">
        <f>INDEX('Data Val'!$O$1:$V$5, MATCH('Rotation Assembler'!AE$32, 'Data Val'!$O$1:$O$5, 0), MATCH('Rotation Assembler'!$A219, 'Data Val'!$O$1:$V$1, 0))</f>
        <v>Cryo</v>
      </c>
      <c r="AF219" s="7" t="str">
        <f>INDEX('Data Val'!$O$1:$V$5, MATCH('Rotation Assembler'!AF$32, 'Data Val'!$O$1:$O$5, 0), MATCH('Rotation Assembler'!$A219, 'Data Val'!$O$1:$V$1, 0))</f>
        <v>Cryo</v>
      </c>
      <c r="AG219" s="7" t="str">
        <f>INDEX('Data Val'!$O$1:$V$5, MATCH('Rotation Assembler'!AG$32, 'Data Val'!$O$1:$O$5, 0), MATCH('Rotation Assembler'!$A219, 'Data Val'!$O$1:$V$1, 0))</f>
        <v>Cryo</v>
      </c>
      <c r="AH219" s="7" t="str">
        <f>INDEX('Data Val'!$O$1:$V$5, MATCH('Rotation Assembler'!AH$32, 'Data Val'!$O$1:$O$5, 0), MATCH('Rotation Assembler'!$A219, 'Data Val'!$O$1:$V$1, 0))</f>
        <v>Cryo</v>
      </c>
      <c r="AI219" s="7" t="str">
        <f>INDEX('Data Val'!$O$1:$V$5, MATCH('Rotation Assembler'!AI$32, 'Data Val'!$O$1:$O$5, 0), MATCH('Rotation Assembler'!$A219, 'Data Val'!$O$1:$V$1, 0))</f>
        <v>Cryo</v>
      </c>
      <c r="AJ219" s="7" t="e">
        <f>INDEX('Data Val'!$O$1:$V$5, MATCH('Rotation Assembler'!AJ$32, 'Data Val'!$O$1:$O$5, 0), MATCH('Rotation Assembler'!$A219, 'Data Val'!$O$1:$V$1, 0))</f>
        <v>#N/A</v>
      </c>
      <c r="AK219" s="7" t="e">
        <f>INDEX('Data Val'!$O$1:$V$5, MATCH('Rotation Assembler'!AK$32, 'Data Val'!$O$1:$O$5, 0), MATCH('Rotation Assembler'!$A219, 'Data Val'!$O$1:$V$1, 0))</f>
        <v>#N/A</v>
      </c>
      <c r="AL219" s="7" t="e">
        <f>INDEX('Data Val'!$O$1:$V$5, MATCH('Rotation Assembler'!AL$32, 'Data Val'!$O$1:$O$5, 0), MATCH('Rotation Assembler'!$A219, 'Data Val'!$O$1:$V$1, 0))</f>
        <v>#N/A</v>
      </c>
      <c r="AM219" s="7" t="e">
        <f>INDEX('Data Val'!$O$1:$V$5, MATCH('Rotation Assembler'!AM$32, 'Data Val'!$O$1:$O$5, 0), MATCH('Rotation Assembler'!$A219, 'Data Val'!$O$1:$V$1, 0))</f>
        <v>#N/A</v>
      </c>
      <c r="AN219" s="7" t="e">
        <f>INDEX('Data Val'!$O$1:$V$5, MATCH('Rotation Assembler'!AN$32, 'Data Val'!$O$1:$O$5, 0), MATCH('Rotation Assembler'!$A219, 'Data Val'!$O$1:$V$1, 0))</f>
        <v>#N/A</v>
      </c>
      <c r="AO219" s="7" t="e">
        <f>INDEX('Data Val'!$O$1:$V$5, MATCH('Rotation Assembler'!AO$32, 'Data Val'!$O$1:$O$5, 0), MATCH('Rotation Assembler'!$A219, 'Data Val'!$O$1:$V$1, 0))</f>
        <v>#N/A</v>
      </c>
      <c r="AP219" s="7" t="e">
        <f>INDEX('Data Val'!$O$1:$V$5, MATCH('Rotation Assembler'!AP$32, 'Data Val'!$O$1:$O$5, 0), MATCH('Rotation Assembler'!$A219, 'Data Val'!$O$1:$V$1, 0))</f>
        <v>#N/A</v>
      </c>
      <c r="AQ219" s="7" t="e">
        <f>INDEX('Data Val'!$O$1:$V$5, MATCH('Rotation Assembler'!AQ$32, 'Data Val'!$O$1:$O$5, 0), MATCH('Rotation Assembler'!$A219, 'Data Val'!$O$1:$V$1, 0))</f>
        <v>#N/A</v>
      </c>
      <c r="AR219" s="7" t="e">
        <f>INDEX('Data Val'!$O$1:$V$5, MATCH('Rotation Assembler'!AR$32, 'Data Val'!$O$1:$O$5, 0), MATCH('Rotation Assembler'!$A219, 'Data Val'!$O$1:$V$1, 0))</f>
        <v>#N/A</v>
      </c>
      <c r="AS219" s="7" t="e">
        <f>INDEX('Data Val'!$O$1:$V$5, MATCH('Rotation Assembler'!AS$32, 'Data Val'!$O$1:$O$5, 0), MATCH('Rotation Assembler'!$A219, 'Data Val'!$O$1:$V$1, 0))</f>
        <v>#N/A</v>
      </c>
      <c r="AT219" s="7" t="e">
        <f>INDEX('Data Val'!$O$1:$V$5, MATCH('Rotation Assembler'!AT$32, 'Data Val'!$O$1:$O$5, 0), MATCH('Rotation Assembler'!$A219, 'Data Val'!$O$1:$V$1, 0))</f>
        <v>#N/A</v>
      </c>
      <c r="AU219" s="7" t="e">
        <f>INDEX('Data Val'!$O$1:$V$5, MATCH('Rotation Assembler'!AU$32, 'Data Val'!$O$1:$O$5, 0), MATCH('Rotation Assembler'!$A219, 'Data Val'!$O$1:$V$1, 0))</f>
        <v>#N/A</v>
      </c>
      <c r="AV219" s="7" t="e">
        <f>INDEX('Data Val'!$O$1:$V$5, MATCH('Rotation Assembler'!AV$32, 'Data Val'!$O$1:$O$5, 0), MATCH('Rotation Assembler'!$A219, 'Data Val'!$O$1:$V$1, 0))</f>
        <v>#N/A</v>
      </c>
      <c r="AW219" s="7" t="e">
        <f>INDEX('Data Val'!$O$1:$V$5, MATCH('Rotation Assembler'!AW$32, 'Data Val'!$O$1:$O$5, 0), MATCH('Rotation Assembler'!$A219, 'Data Val'!$O$1:$V$1, 0))</f>
        <v>#N/A</v>
      </c>
      <c r="AX219" s="7" t="e">
        <f>INDEX('Data Val'!$O$1:$V$5, MATCH('Rotation Assembler'!AX$32, 'Data Val'!$O$1:$O$5, 0), MATCH('Rotation Assembler'!$A219, 'Data Val'!$O$1:$V$1, 0))</f>
        <v>#N/A</v>
      </c>
      <c r="AY219" s="7" t="e">
        <f>INDEX('Data Val'!$O$1:$V$5, MATCH('Rotation Assembler'!AY$32, 'Data Val'!$O$1:$O$5, 0), MATCH('Rotation Assembler'!$A219, 'Data Val'!$O$1:$V$1, 0))</f>
        <v>#N/A</v>
      </c>
      <c r="AZ219" s="7" t="e">
        <f>INDEX('Data Val'!$O$1:$V$5, MATCH('Rotation Assembler'!AZ$32, 'Data Val'!$O$1:$O$5, 0), MATCH('Rotation Assembler'!$A219, 'Data Val'!$O$1:$V$1, 0))</f>
        <v>#N/A</v>
      </c>
      <c r="BA219" s="7" t="e">
        <f>INDEX('Data Val'!$O$1:$V$5, MATCH('Rotation Assembler'!BA$32, 'Data Val'!$O$1:$O$5, 0), MATCH('Rotation Assembler'!$A219, 'Data Val'!$O$1:$V$1, 0))</f>
        <v>#N/A</v>
      </c>
      <c r="BB219" s="7" t="e">
        <f>INDEX('Data Val'!$O$1:$V$5, MATCH('Rotation Assembler'!BB$32, 'Data Val'!$O$1:$O$5, 0), MATCH('Rotation Assembler'!$A219, 'Data Val'!$O$1:$V$1, 0))</f>
        <v>#N/A</v>
      </c>
      <c r="BC219" s="7" t="e">
        <f>INDEX('Data Val'!$O$1:$V$5, MATCH('Rotation Assembler'!BC$32, 'Data Val'!$O$1:$O$5, 0), MATCH('Rotation Assembler'!$A219, 'Data Val'!$O$1:$V$1, 0))</f>
        <v>#N/A</v>
      </c>
      <c r="BD219" s="7" t="e">
        <f>INDEX('Data Val'!$O$1:$V$5, MATCH('Rotation Assembler'!BD$32, 'Data Val'!$O$1:$O$5, 0), MATCH('Rotation Assembler'!$A219, 'Data Val'!$O$1:$V$1, 0))</f>
        <v>#N/A</v>
      </c>
      <c r="BE219" s="7" t="e">
        <f>INDEX('Data Val'!$O$1:$V$5, MATCH('Rotation Assembler'!BE$32, 'Data Val'!$O$1:$O$5, 0), MATCH('Rotation Assembler'!$A219, 'Data Val'!$O$1:$V$1, 0))</f>
        <v>#N/A</v>
      </c>
      <c r="BF219" s="7" t="e">
        <f>INDEX('Data Val'!$O$1:$V$5, MATCH('Rotation Assembler'!BF$32, 'Data Val'!$O$1:$O$5, 0), MATCH('Rotation Assembler'!$A219, 'Data Val'!$O$1:$V$1, 0))</f>
        <v>#N/A</v>
      </c>
      <c r="BG219" s="7" t="e">
        <f>INDEX('Data Val'!$O$1:$V$5, MATCH('Rotation Assembler'!BG$32, 'Data Val'!$O$1:$O$5, 0), MATCH('Rotation Assembler'!$A219, 'Data Val'!$O$1:$V$1, 0))</f>
        <v>#N/A</v>
      </c>
      <c r="BH219" s="7" t="e">
        <f>INDEX('Data Val'!$O$1:$V$5, MATCH('Rotation Assembler'!BH$32, 'Data Val'!$O$1:$O$5, 0), MATCH('Rotation Assembler'!$A219, 'Data Val'!$O$1:$V$1, 0))</f>
        <v>#N/A</v>
      </c>
    </row>
    <row r="220" spans="1:107" hidden="1" outlineLevel="1" x14ac:dyDescent="0.25">
      <c r="A220" s="110" t="s">
        <v>23</v>
      </c>
      <c r="B220" s="7" t="str">
        <f>INDEX('Data Val'!$O$1:$V$5, MATCH('Rotation Assembler'!B$32, 'Data Val'!$O$1:$O$5, 0), MATCH('Rotation Assembler'!$A220, 'Data Val'!$O$1:$V$1, 0))</f>
        <v>Cryo</v>
      </c>
      <c r="C220" s="7" t="str">
        <f>INDEX('Data Val'!$O$1:$V$5, MATCH('Rotation Assembler'!C$32, 'Data Val'!$O$1:$O$5, 0), MATCH('Rotation Assembler'!$A220, 'Data Val'!$O$1:$V$1, 0))</f>
        <v>Hydro</v>
      </c>
      <c r="D220" s="7" t="str">
        <f>INDEX('Data Val'!$O$1:$V$5, MATCH('Rotation Assembler'!D$32, 'Data Val'!$O$1:$O$5, 0), MATCH('Rotation Assembler'!$A220, 'Data Val'!$O$1:$V$1, 0))</f>
        <v>Cryo</v>
      </c>
      <c r="E220" s="7" t="str">
        <f>INDEX('Data Val'!$O$1:$V$5, MATCH('Rotation Assembler'!E$32, 'Data Val'!$O$1:$O$5, 0), MATCH('Rotation Assembler'!$A220, 'Data Val'!$O$1:$V$1, 0))</f>
        <v>Cryo</v>
      </c>
      <c r="F220" s="7" t="str">
        <f>INDEX('Data Val'!$O$1:$V$5, MATCH('Rotation Assembler'!F$32, 'Data Val'!$O$1:$O$5, 0), MATCH('Rotation Assembler'!$A220, 'Data Val'!$O$1:$V$1, 0))</f>
        <v>Cryo</v>
      </c>
      <c r="G220" s="7" t="str">
        <f>INDEX('Data Val'!$O$1:$V$5, MATCH('Rotation Assembler'!G$32, 'Data Val'!$O$1:$O$5, 0), MATCH('Rotation Assembler'!$A220, 'Data Val'!$O$1:$V$1, 0))</f>
        <v>Cryo</v>
      </c>
      <c r="H220" s="7" t="str">
        <f>INDEX('Data Val'!$O$1:$V$5, MATCH('Rotation Assembler'!H$32, 'Data Val'!$O$1:$O$5, 0), MATCH('Rotation Assembler'!$A220, 'Data Val'!$O$1:$V$1, 0))</f>
        <v>Cryo</v>
      </c>
      <c r="I220" s="7" t="str">
        <f>INDEX('Data Val'!$O$1:$V$5, MATCH('Rotation Assembler'!I$32, 'Data Val'!$O$1:$O$5, 0), MATCH('Rotation Assembler'!$A220, 'Data Val'!$O$1:$V$1, 0))</f>
        <v>Cryo</v>
      </c>
      <c r="J220" s="7" t="str">
        <f>INDEX('Data Val'!$O$1:$V$5, MATCH('Rotation Assembler'!J$32, 'Data Val'!$O$1:$O$5, 0), MATCH('Rotation Assembler'!$A220, 'Data Val'!$O$1:$V$1, 0))</f>
        <v>Cryo</v>
      </c>
      <c r="K220" s="7" t="str">
        <f>INDEX('Data Val'!$O$1:$V$5, MATCH('Rotation Assembler'!K$32, 'Data Val'!$O$1:$O$5, 0), MATCH('Rotation Assembler'!$A220, 'Data Val'!$O$1:$V$1, 0))</f>
        <v>Cryo</v>
      </c>
      <c r="L220" s="7" t="str">
        <f>INDEX('Data Val'!$O$1:$V$5, MATCH('Rotation Assembler'!L$32, 'Data Val'!$O$1:$O$5, 0), MATCH('Rotation Assembler'!$A220, 'Data Val'!$O$1:$V$1, 0))</f>
        <v>Cryo</v>
      </c>
      <c r="M220" s="7" t="str">
        <f>INDEX('Data Val'!$O$1:$V$5, MATCH('Rotation Assembler'!M$32, 'Data Val'!$O$1:$O$5, 0), MATCH('Rotation Assembler'!$A220, 'Data Val'!$O$1:$V$1, 0))</f>
        <v>Cryo</v>
      </c>
      <c r="N220" s="7" t="str">
        <f>INDEX('Data Val'!$O$1:$V$5, MATCH('Rotation Assembler'!N$32, 'Data Val'!$O$1:$O$5, 0), MATCH('Rotation Assembler'!$A220, 'Data Val'!$O$1:$V$1, 0))</f>
        <v>Cryo</v>
      </c>
      <c r="O220" s="7" t="str">
        <f>INDEX('Data Val'!$O$1:$V$5, MATCH('Rotation Assembler'!O$32, 'Data Val'!$O$1:$O$5, 0), MATCH('Rotation Assembler'!$A220, 'Data Val'!$O$1:$V$1, 0))</f>
        <v>Cryo</v>
      </c>
      <c r="P220" s="7" t="str">
        <f>INDEX('Data Val'!$O$1:$V$5, MATCH('Rotation Assembler'!P$32, 'Data Val'!$O$1:$O$5, 0), MATCH('Rotation Assembler'!$A220, 'Data Val'!$O$1:$V$1, 0))</f>
        <v>Cryo</v>
      </c>
      <c r="Q220" s="7" t="str">
        <f>INDEX('Data Val'!$O$1:$V$5, MATCH('Rotation Assembler'!Q$32, 'Data Val'!$O$1:$O$5, 0), MATCH('Rotation Assembler'!$A220, 'Data Val'!$O$1:$V$1, 0))</f>
        <v>Cryo</v>
      </c>
      <c r="R220" s="7" t="str">
        <f>INDEX('Data Val'!$O$1:$V$5, MATCH('Rotation Assembler'!R$32, 'Data Val'!$O$1:$O$5, 0), MATCH('Rotation Assembler'!$A220, 'Data Val'!$O$1:$V$1, 0))</f>
        <v>Cryo</v>
      </c>
      <c r="S220" s="7" t="str">
        <f>INDEX('Data Val'!$O$1:$V$5, MATCH('Rotation Assembler'!S$32, 'Data Val'!$O$1:$O$5, 0), MATCH('Rotation Assembler'!$A220, 'Data Val'!$O$1:$V$1, 0))</f>
        <v>Cryo</v>
      </c>
      <c r="T220" s="7" t="str">
        <f>INDEX('Data Val'!$O$1:$V$5, MATCH('Rotation Assembler'!T$32, 'Data Val'!$O$1:$O$5, 0), MATCH('Rotation Assembler'!$A220, 'Data Val'!$O$1:$V$1, 0))</f>
        <v>Hydro</v>
      </c>
      <c r="U220" s="7" t="str">
        <f>INDEX('Data Val'!$O$1:$V$5, MATCH('Rotation Assembler'!U$32, 'Data Val'!$O$1:$O$5, 0), MATCH('Rotation Assembler'!$A220, 'Data Val'!$O$1:$V$1, 0))</f>
        <v>Cryo</v>
      </c>
      <c r="V220" s="7" t="str">
        <f>INDEX('Data Val'!$O$1:$V$5, MATCH('Rotation Assembler'!V$32, 'Data Val'!$O$1:$O$5, 0), MATCH('Rotation Assembler'!$A220, 'Data Val'!$O$1:$V$1, 0))</f>
        <v>Cryo</v>
      </c>
      <c r="W220" s="7" t="str">
        <f>INDEX('Data Val'!$O$1:$V$5, MATCH('Rotation Assembler'!W$32, 'Data Val'!$O$1:$O$5, 0), MATCH('Rotation Assembler'!$A220, 'Data Val'!$O$1:$V$1, 0))</f>
        <v>Cryo</v>
      </c>
      <c r="X220" s="7" t="str">
        <f>INDEX('Data Val'!$O$1:$V$5, MATCH('Rotation Assembler'!X$32, 'Data Val'!$O$1:$O$5, 0), MATCH('Rotation Assembler'!$A220, 'Data Val'!$O$1:$V$1, 0))</f>
        <v>Cryo</v>
      </c>
      <c r="Y220" s="7" t="str">
        <f>INDEX('Data Val'!$O$1:$V$5, MATCH('Rotation Assembler'!Y$32, 'Data Val'!$O$1:$O$5, 0), MATCH('Rotation Assembler'!$A220, 'Data Val'!$O$1:$V$1, 0))</f>
        <v>Cryo</v>
      </c>
      <c r="Z220" s="7" t="str">
        <f>INDEX('Data Val'!$O$1:$V$5, MATCH('Rotation Assembler'!Z$32, 'Data Val'!$O$1:$O$5, 0), MATCH('Rotation Assembler'!$A220, 'Data Val'!$O$1:$V$1, 0))</f>
        <v>Cryo</v>
      </c>
      <c r="AA220" s="7" t="str">
        <f>INDEX('Data Val'!$O$1:$V$5, MATCH('Rotation Assembler'!AA$32, 'Data Val'!$O$1:$O$5, 0), MATCH('Rotation Assembler'!$A220, 'Data Val'!$O$1:$V$1, 0))</f>
        <v>Cryo</v>
      </c>
      <c r="AB220" s="7" t="str">
        <f>INDEX('Data Val'!$O$1:$V$5, MATCH('Rotation Assembler'!AB$32, 'Data Val'!$O$1:$O$5, 0), MATCH('Rotation Assembler'!$A220, 'Data Val'!$O$1:$V$1, 0))</f>
        <v>Hydro</v>
      </c>
      <c r="AC220" s="7" t="str">
        <f>INDEX('Data Val'!$O$1:$V$5, MATCH('Rotation Assembler'!AC$32, 'Data Val'!$O$1:$O$5, 0), MATCH('Rotation Assembler'!$A220, 'Data Val'!$O$1:$V$1, 0))</f>
        <v>Cryo</v>
      </c>
      <c r="AD220" s="7" t="str">
        <f>INDEX('Data Val'!$O$1:$V$5, MATCH('Rotation Assembler'!AD$32, 'Data Val'!$O$1:$O$5, 0), MATCH('Rotation Assembler'!$A220, 'Data Val'!$O$1:$V$1, 0))</f>
        <v>Cryo</v>
      </c>
      <c r="AE220" s="7" t="str">
        <f>INDEX('Data Val'!$O$1:$V$5, MATCH('Rotation Assembler'!AE$32, 'Data Val'!$O$1:$O$5, 0), MATCH('Rotation Assembler'!$A220, 'Data Val'!$O$1:$V$1, 0))</f>
        <v>Cryo</v>
      </c>
      <c r="AF220" s="7" t="str">
        <f>INDEX('Data Val'!$O$1:$V$5, MATCH('Rotation Assembler'!AF$32, 'Data Val'!$O$1:$O$5, 0), MATCH('Rotation Assembler'!$A220, 'Data Val'!$O$1:$V$1, 0))</f>
        <v>Cryo</v>
      </c>
      <c r="AG220" s="7" t="str">
        <f>INDEX('Data Val'!$O$1:$V$5, MATCH('Rotation Assembler'!AG$32, 'Data Val'!$O$1:$O$5, 0), MATCH('Rotation Assembler'!$A220, 'Data Val'!$O$1:$V$1, 0))</f>
        <v>Cryo</v>
      </c>
      <c r="AH220" s="7" t="str">
        <f>INDEX('Data Val'!$O$1:$V$5, MATCH('Rotation Assembler'!AH$32, 'Data Val'!$O$1:$O$5, 0), MATCH('Rotation Assembler'!$A220, 'Data Val'!$O$1:$V$1, 0))</f>
        <v>Cryo</v>
      </c>
      <c r="AI220" s="7" t="str">
        <f>INDEX('Data Val'!$O$1:$V$5, MATCH('Rotation Assembler'!AI$32, 'Data Val'!$O$1:$O$5, 0), MATCH('Rotation Assembler'!$A220, 'Data Val'!$O$1:$V$1, 0))</f>
        <v>Cryo</v>
      </c>
      <c r="AJ220" s="7" t="e">
        <f>INDEX('Data Val'!$O$1:$V$5, MATCH('Rotation Assembler'!AJ$32, 'Data Val'!$O$1:$O$5, 0), MATCH('Rotation Assembler'!$A220, 'Data Val'!$O$1:$V$1, 0))</f>
        <v>#N/A</v>
      </c>
      <c r="AK220" s="7" t="e">
        <f>INDEX('Data Val'!$O$1:$V$5, MATCH('Rotation Assembler'!AK$32, 'Data Val'!$O$1:$O$5, 0), MATCH('Rotation Assembler'!$A220, 'Data Val'!$O$1:$V$1, 0))</f>
        <v>#N/A</v>
      </c>
      <c r="AL220" s="7" t="e">
        <f>INDEX('Data Val'!$O$1:$V$5, MATCH('Rotation Assembler'!AL$32, 'Data Val'!$O$1:$O$5, 0), MATCH('Rotation Assembler'!$A220, 'Data Val'!$O$1:$V$1, 0))</f>
        <v>#N/A</v>
      </c>
      <c r="AM220" s="7" t="e">
        <f>INDEX('Data Val'!$O$1:$V$5, MATCH('Rotation Assembler'!AM$32, 'Data Val'!$O$1:$O$5, 0), MATCH('Rotation Assembler'!$A220, 'Data Val'!$O$1:$V$1, 0))</f>
        <v>#N/A</v>
      </c>
      <c r="AN220" s="7" t="e">
        <f>INDEX('Data Val'!$O$1:$V$5, MATCH('Rotation Assembler'!AN$32, 'Data Val'!$O$1:$O$5, 0), MATCH('Rotation Assembler'!$A220, 'Data Val'!$O$1:$V$1, 0))</f>
        <v>#N/A</v>
      </c>
      <c r="AO220" s="7" t="e">
        <f>INDEX('Data Val'!$O$1:$V$5, MATCH('Rotation Assembler'!AO$32, 'Data Val'!$O$1:$O$5, 0), MATCH('Rotation Assembler'!$A220, 'Data Val'!$O$1:$V$1, 0))</f>
        <v>#N/A</v>
      </c>
      <c r="AP220" s="7" t="e">
        <f>INDEX('Data Val'!$O$1:$V$5, MATCH('Rotation Assembler'!AP$32, 'Data Val'!$O$1:$O$5, 0), MATCH('Rotation Assembler'!$A220, 'Data Val'!$O$1:$V$1, 0))</f>
        <v>#N/A</v>
      </c>
      <c r="AQ220" s="7" t="e">
        <f>INDEX('Data Val'!$O$1:$V$5, MATCH('Rotation Assembler'!AQ$32, 'Data Val'!$O$1:$O$5, 0), MATCH('Rotation Assembler'!$A220, 'Data Val'!$O$1:$V$1, 0))</f>
        <v>#N/A</v>
      </c>
      <c r="AR220" s="7" t="e">
        <f>INDEX('Data Val'!$O$1:$V$5, MATCH('Rotation Assembler'!AR$32, 'Data Val'!$O$1:$O$5, 0), MATCH('Rotation Assembler'!$A220, 'Data Val'!$O$1:$V$1, 0))</f>
        <v>#N/A</v>
      </c>
      <c r="AS220" s="7" t="e">
        <f>INDEX('Data Val'!$O$1:$V$5, MATCH('Rotation Assembler'!AS$32, 'Data Val'!$O$1:$O$5, 0), MATCH('Rotation Assembler'!$A220, 'Data Val'!$O$1:$V$1, 0))</f>
        <v>#N/A</v>
      </c>
      <c r="AT220" s="7" t="e">
        <f>INDEX('Data Val'!$O$1:$V$5, MATCH('Rotation Assembler'!AT$32, 'Data Val'!$O$1:$O$5, 0), MATCH('Rotation Assembler'!$A220, 'Data Val'!$O$1:$V$1, 0))</f>
        <v>#N/A</v>
      </c>
      <c r="AU220" s="7" t="e">
        <f>INDEX('Data Val'!$O$1:$V$5, MATCH('Rotation Assembler'!AU$32, 'Data Val'!$O$1:$O$5, 0), MATCH('Rotation Assembler'!$A220, 'Data Val'!$O$1:$V$1, 0))</f>
        <v>#N/A</v>
      </c>
      <c r="AV220" s="7" t="e">
        <f>INDEX('Data Val'!$O$1:$V$5, MATCH('Rotation Assembler'!AV$32, 'Data Val'!$O$1:$O$5, 0), MATCH('Rotation Assembler'!$A220, 'Data Val'!$O$1:$V$1, 0))</f>
        <v>#N/A</v>
      </c>
      <c r="AW220" s="7" t="e">
        <f>INDEX('Data Val'!$O$1:$V$5, MATCH('Rotation Assembler'!AW$32, 'Data Val'!$O$1:$O$5, 0), MATCH('Rotation Assembler'!$A220, 'Data Val'!$O$1:$V$1, 0))</f>
        <v>#N/A</v>
      </c>
      <c r="AX220" s="7" t="e">
        <f>INDEX('Data Val'!$O$1:$V$5, MATCH('Rotation Assembler'!AX$32, 'Data Val'!$O$1:$O$5, 0), MATCH('Rotation Assembler'!$A220, 'Data Val'!$O$1:$V$1, 0))</f>
        <v>#N/A</v>
      </c>
      <c r="AY220" s="7" t="e">
        <f>INDEX('Data Val'!$O$1:$V$5, MATCH('Rotation Assembler'!AY$32, 'Data Val'!$O$1:$O$5, 0), MATCH('Rotation Assembler'!$A220, 'Data Val'!$O$1:$V$1, 0))</f>
        <v>#N/A</v>
      </c>
      <c r="AZ220" s="7" t="e">
        <f>INDEX('Data Val'!$O$1:$V$5, MATCH('Rotation Assembler'!AZ$32, 'Data Val'!$O$1:$O$5, 0), MATCH('Rotation Assembler'!$A220, 'Data Val'!$O$1:$V$1, 0))</f>
        <v>#N/A</v>
      </c>
      <c r="BA220" s="7" t="e">
        <f>INDEX('Data Val'!$O$1:$V$5, MATCH('Rotation Assembler'!BA$32, 'Data Val'!$O$1:$O$5, 0), MATCH('Rotation Assembler'!$A220, 'Data Val'!$O$1:$V$1, 0))</f>
        <v>#N/A</v>
      </c>
      <c r="BB220" s="7" t="e">
        <f>INDEX('Data Val'!$O$1:$V$5, MATCH('Rotation Assembler'!BB$32, 'Data Val'!$O$1:$O$5, 0), MATCH('Rotation Assembler'!$A220, 'Data Val'!$O$1:$V$1, 0))</f>
        <v>#N/A</v>
      </c>
      <c r="BC220" s="7" t="e">
        <f>INDEX('Data Val'!$O$1:$V$5, MATCH('Rotation Assembler'!BC$32, 'Data Val'!$O$1:$O$5, 0), MATCH('Rotation Assembler'!$A220, 'Data Val'!$O$1:$V$1, 0))</f>
        <v>#N/A</v>
      </c>
      <c r="BD220" s="7" t="e">
        <f>INDEX('Data Val'!$O$1:$V$5, MATCH('Rotation Assembler'!BD$32, 'Data Val'!$O$1:$O$5, 0), MATCH('Rotation Assembler'!$A220, 'Data Val'!$O$1:$V$1, 0))</f>
        <v>#N/A</v>
      </c>
      <c r="BE220" s="7" t="e">
        <f>INDEX('Data Val'!$O$1:$V$5, MATCH('Rotation Assembler'!BE$32, 'Data Val'!$O$1:$O$5, 0), MATCH('Rotation Assembler'!$A220, 'Data Val'!$O$1:$V$1, 0))</f>
        <v>#N/A</v>
      </c>
      <c r="BF220" s="7" t="e">
        <f>INDEX('Data Val'!$O$1:$V$5, MATCH('Rotation Assembler'!BF$32, 'Data Val'!$O$1:$O$5, 0), MATCH('Rotation Assembler'!$A220, 'Data Val'!$O$1:$V$1, 0))</f>
        <v>#N/A</v>
      </c>
      <c r="BG220" s="7" t="e">
        <f>INDEX('Data Val'!$O$1:$V$5, MATCH('Rotation Assembler'!BG$32, 'Data Val'!$O$1:$O$5, 0), MATCH('Rotation Assembler'!$A220, 'Data Val'!$O$1:$V$1, 0))</f>
        <v>#N/A</v>
      </c>
      <c r="BH220" s="7" t="e">
        <f>INDEX('Data Val'!$O$1:$V$5, MATCH('Rotation Assembler'!BH$32, 'Data Val'!$O$1:$O$5, 0), MATCH('Rotation Assembler'!$A220, 'Data Val'!$O$1:$V$1, 0))</f>
        <v>#N/A</v>
      </c>
    </row>
    <row r="221" spans="1:107" hidden="1" outlineLevel="1" x14ac:dyDescent="0.25">
      <c r="A221" s="110" t="s">
        <v>0</v>
      </c>
      <c r="B221" s="7" t="str">
        <f>INDEX('Data Val'!$O$1:$V$5, MATCH('Rotation Assembler'!B$32, 'Data Val'!$O$1:$O$5, 0), MATCH('Rotation Assembler'!$A221, 'Data Val'!$O$1:$V$1, 0))</f>
        <v>Cryo</v>
      </c>
      <c r="C221" s="7" t="str">
        <f>INDEX('Data Val'!$O$1:$V$5, MATCH('Rotation Assembler'!C$32, 'Data Val'!$O$1:$O$5, 0), MATCH('Rotation Assembler'!$A221, 'Data Val'!$O$1:$V$1, 0))</f>
        <v>Hydro</v>
      </c>
      <c r="D221" s="7" t="str">
        <f>INDEX('Data Val'!$O$1:$V$5, MATCH('Rotation Assembler'!D$32, 'Data Val'!$O$1:$O$5, 0), MATCH('Rotation Assembler'!$A221, 'Data Val'!$O$1:$V$1, 0))</f>
        <v>Anemo</v>
      </c>
      <c r="E221" s="7" t="str">
        <f>INDEX('Data Val'!$O$1:$V$5, MATCH('Rotation Assembler'!E$32, 'Data Val'!$O$1:$O$5, 0), MATCH('Rotation Assembler'!$A221, 'Data Val'!$O$1:$V$1, 0))</f>
        <v>Anemo</v>
      </c>
      <c r="F221" s="7" t="str">
        <f>INDEX('Data Val'!$O$1:$V$5, MATCH('Rotation Assembler'!F$32, 'Data Val'!$O$1:$O$5, 0), MATCH('Rotation Assembler'!$A221, 'Data Val'!$O$1:$V$1, 0))</f>
        <v>Anemo</v>
      </c>
      <c r="G221" s="7" t="str">
        <f>INDEX('Data Val'!$O$1:$V$5, MATCH('Rotation Assembler'!G$32, 'Data Val'!$O$1:$O$5, 0), MATCH('Rotation Assembler'!$A221, 'Data Val'!$O$1:$V$1, 0))</f>
        <v>Anemo</v>
      </c>
      <c r="H221" s="7" t="str">
        <f>INDEX('Data Val'!$O$1:$V$5, MATCH('Rotation Assembler'!H$32, 'Data Val'!$O$1:$O$5, 0), MATCH('Rotation Assembler'!$A221, 'Data Val'!$O$1:$V$1, 0))</f>
        <v>Cryo</v>
      </c>
      <c r="I221" s="7" t="str">
        <f>INDEX('Data Val'!$O$1:$V$5, MATCH('Rotation Assembler'!I$32, 'Data Val'!$O$1:$O$5, 0), MATCH('Rotation Assembler'!$A221, 'Data Val'!$O$1:$V$1, 0))</f>
        <v>Anemo</v>
      </c>
      <c r="J221" s="7" t="str">
        <f>INDEX('Data Val'!$O$1:$V$5, MATCH('Rotation Assembler'!J$32, 'Data Val'!$O$1:$O$5, 0), MATCH('Rotation Assembler'!$A221, 'Data Val'!$O$1:$V$1, 0))</f>
        <v>Anemo</v>
      </c>
      <c r="K221" s="7" t="str">
        <f>INDEX('Data Val'!$O$1:$V$5, MATCH('Rotation Assembler'!K$32, 'Data Val'!$O$1:$O$5, 0), MATCH('Rotation Assembler'!$A221, 'Data Val'!$O$1:$V$1, 0))</f>
        <v>Anemo</v>
      </c>
      <c r="L221" s="7" t="str">
        <f>INDEX('Data Val'!$O$1:$V$5, MATCH('Rotation Assembler'!L$32, 'Data Val'!$O$1:$O$5, 0), MATCH('Rotation Assembler'!$A221, 'Data Val'!$O$1:$V$1, 0))</f>
        <v>Anemo</v>
      </c>
      <c r="M221" s="7" t="str">
        <f>INDEX('Data Val'!$O$1:$V$5, MATCH('Rotation Assembler'!M$32, 'Data Val'!$O$1:$O$5, 0), MATCH('Rotation Assembler'!$A221, 'Data Val'!$O$1:$V$1, 0))</f>
        <v>Anemo</v>
      </c>
      <c r="N221" s="7" t="str">
        <f>INDEX('Data Val'!$O$1:$V$5, MATCH('Rotation Assembler'!N$32, 'Data Val'!$O$1:$O$5, 0), MATCH('Rotation Assembler'!$A221, 'Data Val'!$O$1:$V$1, 0))</f>
        <v>Anemo</v>
      </c>
      <c r="O221" s="7" t="str">
        <f>INDEX('Data Val'!$O$1:$V$5, MATCH('Rotation Assembler'!O$32, 'Data Val'!$O$1:$O$5, 0), MATCH('Rotation Assembler'!$A221, 'Data Val'!$O$1:$V$1, 0))</f>
        <v>Cryo</v>
      </c>
      <c r="P221" s="7" t="str">
        <f>INDEX('Data Val'!$O$1:$V$5, MATCH('Rotation Assembler'!P$32, 'Data Val'!$O$1:$O$5, 0), MATCH('Rotation Assembler'!$A221, 'Data Val'!$O$1:$V$1, 0))</f>
        <v>Cryo</v>
      </c>
      <c r="Q221" s="7" t="str">
        <f>INDEX('Data Val'!$O$1:$V$5, MATCH('Rotation Assembler'!Q$32, 'Data Val'!$O$1:$O$5, 0), MATCH('Rotation Assembler'!$A221, 'Data Val'!$O$1:$V$1, 0))</f>
        <v>Cryo</v>
      </c>
      <c r="R221" s="7" t="str">
        <f>INDEX('Data Val'!$O$1:$V$5, MATCH('Rotation Assembler'!R$32, 'Data Val'!$O$1:$O$5, 0), MATCH('Rotation Assembler'!$A221, 'Data Val'!$O$1:$V$1, 0))</f>
        <v>Cryo</v>
      </c>
      <c r="S221" s="7" t="str">
        <f>INDEX('Data Val'!$O$1:$V$5, MATCH('Rotation Assembler'!S$32, 'Data Val'!$O$1:$O$5, 0), MATCH('Rotation Assembler'!$A221, 'Data Val'!$O$1:$V$1, 0))</f>
        <v>Cryo</v>
      </c>
      <c r="T221" s="7" t="str">
        <f>INDEX('Data Val'!$O$1:$V$5, MATCH('Rotation Assembler'!T$32, 'Data Val'!$O$1:$O$5, 0), MATCH('Rotation Assembler'!$A221, 'Data Val'!$O$1:$V$1, 0))</f>
        <v>Hydro</v>
      </c>
      <c r="U221" s="7" t="str">
        <f>INDEX('Data Val'!$O$1:$V$5, MATCH('Rotation Assembler'!U$32, 'Data Val'!$O$1:$O$5, 0), MATCH('Rotation Assembler'!$A221, 'Data Val'!$O$1:$V$1, 0))</f>
        <v>Cryo</v>
      </c>
      <c r="V221" s="7" t="str">
        <f>INDEX('Data Val'!$O$1:$V$5, MATCH('Rotation Assembler'!V$32, 'Data Val'!$O$1:$O$5, 0), MATCH('Rotation Assembler'!$A221, 'Data Val'!$O$1:$V$1, 0))</f>
        <v>Cryo</v>
      </c>
      <c r="W221" s="7" t="str">
        <f>INDEX('Data Val'!$O$1:$V$5, MATCH('Rotation Assembler'!W$32, 'Data Val'!$O$1:$O$5, 0), MATCH('Rotation Assembler'!$A221, 'Data Val'!$O$1:$V$1, 0))</f>
        <v>Cryo</v>
      </c>
      <c r="X221" s="7" t="str">
        <f>INDEX('Data Val'!$O$1:$V$5, MATCH('Rotation Assembler'!X$32, 'Data Val'!$O$1:$O$5, 0), MATCH('Rotation Assembler'!$A221, 'Data Val'!$O$1:$V$1, 0))</f>
        <v>Cryo</v>
      </c>
      <c r="Y221" s="7" t="str">
        <f>INDEX('Data Val'!$O$1:$V$5, MATCH('Rotation Assembler'!Y$32, 'Data Val'!$O$1:$O$5, 0), MATCH('Rotation Assembler'!$A221, 'Data Val'!$O$1:$V$1, 0))</f>
        <v>Cryo</v>
      </c>
      <c r="Z221" s="7" t="str">
        <f>INDEX('Data Val'!$O$1:$V$5, MATCH('Rotation Assembler'!Z$32, 'Data Val'!$O$1:$O$5, 0), MATCH('Rotation Assembler'!$A221, 'Data Val'!$O$1:$V$1, 0))</f>
        <v>Cryo</v>
      </c>
      <c r="AA221" s="7" t="str">
        <f>INDEX('Data Val'!$O$1:$V$5, MATCH('Rotation Assembler'!AA$32, 'Data Val'!$O$1:$O$5, 0), MATCH('Rotation Assembler'!$A221, 'Data Val'!$O$1:$V$1, 0))</f>
        <v>Cryo</v>
      </c>
      <c r="AB221" s="7" t="str">
        <f>INDEX('Data Val'!$O$1:$V$5, MATCH('Rotation Assembler'!AB$32, 'Data Val'!$O$1:$O$5, 0), MATCH('Rotation Assembler'!$A221, 'Data Val'!$O$1:$V$1, 0))</f>
        <v>Hydro</v>
      </c>
      <c r="AC221" s="7" t="str">
        <f>INDEX('Data Val'!$O$1:$V$5, MATCH('Rotation Assembler'!AC$32, 'Data Val'!$O$1:$O$5, 0), MATCH('Rotation Assembler'!$A221, 'Data Val'!$O$1:$V$1, 0))</f>
        <v>Anemo</v>
      </c>
      <c r="AD221" s="7" t="str">
        <f>INDEX('Data Val'!$O$1:$V$5, MATCH('Rotation Assembler'!AD$32, 'Data Val'!$O$1:$O$5, 0), MATCH('Rotation Assembler'!$A221, 'Data Val'!$O$1:$V$1, 0))</f>
        <v>Anemo</v>
      </c>
      <c r="AE221" s="7" t="str">
        <f>INDEX('Data Val'!$O$1:$V$5, MATCH('Rotation Assembler'!AE$32, 'Data Val'!$O$1:$O$5, 0), MATCH('Rotation Assembler'!$A221, 'Data Val'!$O$1:$V$1, 0))</f>
        <v>Cryo</v>
      </c>
      <c r="AF221" s="7" t="str">
        <f>INDEX('Data Val'!$O$1:$V$5, MATCH('Rotation Assembler'!AF$32, 'Data Val'!$O$1:$O$5, 0), MATCH('Rotation Assembler'!$A221, 'Data Val'!$O$1:$V$1, 0))</f>
        <v>Cryo</v>
      </c>
      <c r="AG221" s="7" t="str">
        <f>INDEX('Data Val'!$O$1:$V$5, MATCH('Rotation Assembler'!AG$32, 'Data Val'!$O$1:$O$5, 0), MATCH('Rotation Assembler'!$A221, 'Data Val'!$O$1:$V$1, 0))</f>
        <v>Cryo</v>
      </c>
      <c r="AH221" s="7" t="str">
        <f>INDEX('Data Val'!$O$1:$V$5, MATCH('Rotation Assembler'!AH$32, 'Data Val'!$O$1:$O$5, 0), MATCH('Rotation Assembler'!$A221, 'Data Val'!$O$1:$V$1, 0))</f>
        <v>Cryo</v>
      </c>
      <c r="AI221" s="7" t="str">
        <f>INDEX('Data Val'!$O$1:$V$5, MATCH('Rotation Assembler'!AI$32, 'Data Val'!$O$1:$O$5, 0), MATCH('Rotation Assembler'!$A221, 'Data Val'!$O$1:$V$1, 0))</f>
        <v>Cryo</v>
      </c>
      <c r="AJ221" s="7" t="e">
        <f>INDEX('Data Val'!$O$1:$V$5, MATCH('Rotation Assembler'!AJ$32, 'Data Val'!$O$1:$O$5, 0), MATCH('Rotation Assembler'!$A221, 'Data Val'!$O$1:$V$1, 0))</f>
        <v>#N/A</v>
      </c>
      <c r="AK221" s="7" t="e">
        <f>INDEX('Data Val'!$O$1:$V$5, MATCH('Rotation Assembler'!AK$32, 'Data Val'!$O$1:$O$5, 0), MATCH('Rotation Assembler'!$A221, 'Data Val'!$O$1:$V$1, 0))</f>
        <v>#N/A</v>
      </c>
      <c r="AL221" s="7" t="e">
        <f>INDEX('Data Val'!$O$1:$V$5, MATCH('Rotation Assembler'!AL$32, 'Data Val'!$O$1:$O$5, 0), MATCH('Rotation Assembler'!$A221, 'Data Val'!$O$1:$V$1, 0))</f>
        <v>#N/A</v>
      </c>
      <c r="AM221" s="7" t="e">
        <f>INDEX('Data Val'!$O$1:$V$5, MATCH('Rotation Assembler'!AM$32, 'Data Val'!$O$1:$O$5, 0), MATCH('Rotation Assembler'!$A221, 'Data Val'!$O$1:$V$1, 0))</f>
        <v>#N/A</v>
      </c>
      <c r="AN221" s="7" t="e">
        <f>INDEX('Data Val'!$O$1:$V$5, MATCH('Rotation Assembler'!AN$32, 'Data Val'!$O$1:$O$5, 0), MATCH('Rotation Assembler'!$A221, 'Data Val'!$O$1:$V$1, 0))</f>
        <v>#N/A</v>
      </c>
      <c r="AO221" s="7" t="e">
        <f>INDEX('Data Val'!$O$1:$V$5, MATCH('Rotation Assembler'!AO$32, 'Data Val'!$O$1:$O$5, 0), MATCH('Rotation Assembler'!$A221, 'Data Val'!$O$1:$V$1, 0))</f>
        <v>#N/A</v>
      </c>
      <c r="AP221" s="7" t="e">
        <f>INDEX('Data Val'!$O$1:$V$5, MATCH('Rotation Assembler'!AP$32, 'Data Val'!$O$1:$O$5, 0), MATCH('Rotation Assembler'!$A221, 'Data Val'!$O$1:$V$1, 0))</f>
        <v>#N/A</v>
      </c>
      <c r="AQ221" s="7" t="e">
        <f>INDEX('Data Val'!$O$1:$V$5, MATCH('Rotation Assembler'!AQ$32, 'Data Val'!$O$1:$O$5, 0), MATCH('Rotation Assembler'!$A221, 'Data Val'!$O$1:$V$1, 0))</f>
        <v>#N/A</v>
      </c>
      <c r="AR221" s="7" t="e">
        <f>INDEX('Data Val'!$O$1:$V$5, MATCH('Rotation Assembler'!AR$32, 'Data Val'!$O$1:$O$5, 0), MATCH('Rotation Assembler'!$A221, 'Data Val'!$O$1:$V$1, 0))</f>
        <v>#N/A</v>
      </c>
      <c r="AS221" s="7" t="e">
        <f>INDEX('Data Val'!$O$1:$V$5, MATCH('Rotation Assembler'!AS$32, 'Data Val'!$O$1:$O$5, 0), MATCH('Rotation Assembler'!$A221, 'Data Val'!$O$1:$V$1, 0))</f>
        <v>#N/A</v>
      </c>
      <c r="AT221" s="7" t="e">
        <f>INDEX('Data Val'!$O$1:$V$5, MATCH('Rotation Assembler'!AT$32, 'Data Val'!$O$1:$O$5, 0), MATCH('Rotation Assembler'!$A221, 'Data Val'!$O$1:$V$1, 0))</f>
        <v>#N/A</v>
      </c>
      <c r="AU221" s="7" t="e">
        <f>INDEX('Data Val'!$O$1:$V$5, MATCH('Rotation Assembler'!AU$32, 'Data Val'!$O$1:$O$5, 0), MATCH('Rotation Assembler'!$A221, 'Data Val'!$O$1:$V$1, 0))</f>
        <v>#N/A</v>
      </c>
      <c r="AV221" s="7" t="e">
        <f>INDEX('Data Val'!$O$1:$V$5, MATCH('Rotation Assembler'!AV$32, 'Data Val'!$O$1:$O$5, 0), MATCH('Rotation Assembler'!$A221, 'Data Val'!$O$1:$V$1, 0))</f>
        <v>#N/A</v>
      </c>
      <c r="AW221" s="7" t="e">
        <f>INDEX('Data Val'!$O$1:$V$5, MATCH('Rotation Assembler'!AW$32, 'Data Val'!$O$1:$O$5, 0), MATCH('Rotation Assembler'!$A221, 'Data Val'!$O$1:$V$1, 0))</f>
        <v>#N/A</v>
      </c>
      <c r="AX221" s="7" t="e">
        <f>INDEX('Data Val'!$O$1:$V$5, MATCH('Rotation Assembler'!AX$32, 'Data Val'!$O$1:$O$5, 0), MATCH('Rotation Assembler'!$A221, 'Data Val'!$O$1:$V$1, 0))</f>
        <v>#N/A</v>
      </c>
      <c r="AY221" s="7" t="e">
        <f>INDEX('Data Val'!$O$1:$V$5, MATCH('Rotation Assembler'!AY$32, 'Data Val'!$O$1:$O$5, 0), MATCH('Rotation Assembler'!$A221, 'Data Val'!$O$1:$V$1, 0))</f>
        <v>#N/A</v>
      </c>
      <c r="AZ221" s="7" t="e">
        <f>INDEX('Data Val'!$O$1:$V$5, MATCH('Rotation Assembler'!AZ$32, 'Data Val'!$O$1:$O$5, 0), MATCH('Rotation Assembler'!$A221, 'Data Val'!$O$1:$V$1, 0))</f>
        <v>#N/A</v>
      </c>
      <c r="BA221" s="7" t="e">
        <f>INDEX('Data Val'!$O$1:$V$5, MATCH('Rotation Assembler'!BA$32, 'Data Val'!$O$1:$O$5, 0), MATCH('Rotation Assembler'!$A221, 'Data Val'!$O$1:$V$1, 0))</f>
        <v>#N/A</v>
      </c>
      <c r="BB221" s="7" t="e">
        <f>INDEX('Data Val'!$O$1:$V$5, MATCH('Rotation Assembler'!BB$32, 'Data Val'!$O$1:$O$5, 0), MATCH('Rotation Assembler'!$A221, 'Data Val'!$O$1:$V$1, 0))</f>
        <v>#N/A</v>
      </c>
      <c r="BC221" s="7" t="e">
        <f>INDEX('Data Val'!$O$1:$V$5, MATCH('Rotation Assembler'!BC$32, 'Data Val'!$O$1:$O$5, 0), MATCH('Rotation Assembler'!$A221, 'Data Val'!$O$1:$V$1, 0))</f>
        <v>#N/A</v>
      </c>
      <c r="BD221" s="7" t="e">
        <f>INDEX('Data Val'!$O$1:$V$5, MATCH('Rotation Assembler'!BD$32, 'Data Val'!$O$1:$O$5, 0), MATCH('Rotation Assembler'!$A221, 'Data Val'!$O$1:$V$1, 0))</f>
        <v>#N/A</v>
      </c>
      <c r="BE221" s="7" t="e">
        <f>INDEX('Data Val'!$O$1:$V$5, MATCH('Rotation Assembler'!BE$32, 'Data Val'!$O$1:$O$5, 0), MATCH('Rotation Assembler'!$A221, 'Data Val'!$O$1:$V$1, 0))</f>
        <v>#N/A</v>
      </c>
      <c r="BF221" s="7" t="e">
        <f>INDEX('Data Val'!$O$1:$V$5, MATCH('Rotation Assembler'!BF$32, 'Data Val'!$O$1:$O$5, 0), MATCH('Rotation Assembler'!$A221, 'Data Val'!$O$1:$V$1, 0))</f>
        <v>#N/A</v>
      </c>
      <c r="BG221" s="7" t="e">
        <f>INDEX('Data Val'!$O$1:$V$5, MATCH('Rotation Assembler'!BG$32, 'Data Val'!$O$1:$O$5, 0), MATCH('Rotation Assembler'!$A221, 'Data Val'!$O$1:$V$1, 0))</f>
        <v>#N/A</v>
      </c>
      <c r="BH221" s="7" t="e">
        <f>INDEX('Data Val'!$O$1:$V$5, MATCH('Rotation Assembler'!BH$32, 'Data Val'!$O$1:$O$5, 0), MATCH('Rotation Assembler'!$A221, 'Data Val'!$O$1:$V$1, 0))</f>
        <v>#N/A</v>
      </c>
    </row>
    <row r="222" spans="1:107" ht="15" hidden="1" customHeight="1" outlineLevel="1" x14ac:dyDescent="0.25">
      <c r="A222" s="110" t="s">
        <v>24</v>
      </c>
      <c r="B222" s="7" t="str">
        <f>INDEX('Data Val'!$O$1:$V$5, MATCH('Rotation Assembler'!B$32, 'Data Val'!$O$1:$O$5, 0), MATCH('Rotation Assembler'!$A222, 'Data Val'!$O$1:$V$1, 0))</f>
        <v>Cryo</v>
      </c>
      <c r="C222" s="7" t="str">
        <f>INDEX('Data Val'!$O$1:$V$5, MATCH('Rotation Assembler'!C$32, 'Data Val'!$O$1:$O$5, 0), MATCH('Rotation Assembler'!$A222, 'Data Val'!$O$1:$V$1, 0))</f>
        <v>Hydro</v>
      </c>
      <c r="D222" s="7" t="str">
        <f>INDEX('Data Val'!$O$1:$V$5, MATCH('Rotation Assembler'!D$32, 'Data Val'!$O$1:$O$5, 0), MATCH('Rotation Assembler'!$A222, 'Data Val'!$O$1:$V$1, 0))</f>
        <v>Cryo</v>
      </c>
      <c r="E222" s="7" t="str">
        <f>INDEX('Data Val'!$O$1:$V$5, MATCH('Rotation Assembler'!E$32, 'Data Val'!$O$1:$O$5, 0), MATCH('Rotation Assembler'!$A222, 'Data Val'!$O$1:$V$1, 0))</f>
        <v>Cryo</v>
      </c>
      <c r="F222" s="7" t="str">
        <f>INDEX('Data Val'!$O$1:$V$5, MATCH('Rotation Assembler'!F$32, 'Data Val'!$O$1:$O$5, 0), MATCH('Rotation Assembler'!$A222, 'Data Val'!$O$1:$V$1, 0))</f>
        <v>Cryo</v>
      </c>
      <c r="G222" s="7" t="str">
        <f>INDEX('Data Val'!$O$1:$V$5, MATCH('Rotation Assembler'!G$32, 'Data Val'!$O$1:$O$5, 0), MATCH('Rotation Assembler'!$A222, 'Data Val'!$O$1:$V$1, 0))</f>
        <v>Cryo</v>
      </c>
      <c r="H222" s="7" t="str">
        <f>INDEX('Data Val'!$O$1:$V$5, MATCH('Rotation Assembler'!H$32, 'Data Val'!$O$1:$O$5, 0), MATCH('Rotation Assembler'!$A222, 'Data Val'!$O$1:$V$1, 0))</f>
        <v>Cryo</v>
      </c>
      <c r="I222" s="7" t="str">
        <f>INDEX('Data Val'!$O$1:$V$5, MATCH('Rotation Assembler'!I$32, 'Data Val'!$O$1:$O$5, 0), MATCH('Rotation Assembler'!$A222, 'Data Val'!$O$1:$V$1, 0))</f>
        <v>Cryo</v>
      </c>
      <c r="J222" s="7" t="str">
        <f>INDEX('Data Val'!$O$1:$V$5, MATCH('Rotation Assembler'!J$32, 'Data Val'!$O$1:$O$5, 0), MATCH('Rotation Assembler'!$A222, 'Data Val'!$O$1:$V$1, 0))</f>
        <v>Cryo</v>
      </c>
      <c r="K222" s="7" t="str">
        <f>INDEX('Data Val'!$O$1:$V$5, MATCH('Rotation Assembler'!K$32, 'Data Val'!$O$1:$O$5, 0), MATCH('Rotation Assembler'!$A222, 'Data Val'!$O$1:$V$1, 0))</f>
        <v>Cryo</v>
      </c>
      <c r="L222" s="7" t="str">
        <f>INDEX('Data Val'!$O$1:$V$5, MATCH('Rotation Assembler'!L$32, 'Data Val'!$O$1:$O$5, 0), MATCH('Rotation Assembler'!$A222, 'Data Val'!$O$1:$V$1, 0))</f>
        <v>Cryo</v>
      </c>
      <c r="M222" s="7" t="str">
        <f>INDEX('Data Val'!$O$1:$V$5, MATCH('Rotation Assembler'!M$32, 'Data Val'!$O$1:$O$5, 0), MATCH('Rotation Assembler'!$A222, 'Data Val'!$O$1:$V$1, 0))</f>
        <v>Cryo</v>
      </c>
      <c r="N222" s="7" t="str">
        <f>INDEX('Data Val'!$O$1:$V$5, MATCH('Rotation Assembler'!N$32, 'Data Val'!$O$1:$O$5, 0), MATCH('Rotation Assembler'!$A222, 'Data Val'!$O$1:$V$1, 0))</f>
        <v>Cryo</v>
      </c>
      <c r="O222" s="7" t="str">
        <f>INDEX('Data Val'!$O$1:$V$5, MATCH('Rotation Assembler'!O$32, 'Data Val'!$O$1:$O$5, 0), MATCH('Rotation Assembler'!$A222, 'Data Val'!$O$1:$V$1, 0))</f>
        <v>Cryo</v>
      </c>
      <c r="P222" s="7" t="str">
        <f>INDEX('Data Val'!$O$1:$V$5, MATCH('Rotation Assembler'!P$32, 'Data Val'!$O$1:$O$5, 0), MATCH('Rotation Assembler'!$A222, 'Data Val'!$O$1:$V$1, 0))</f>
        <v>Cryo</v>
      </c>
      <c r="Q222" s="7" t="str">
        <f>INDEX('Data Val'!$O$1:$V$5, MATCH('Rotation Assembler'!Q$32, 'Data Val'!$O$1:$O$5, 0), MATCH('Rotation Assembler'!$A222, 'Data Val'!$O$1:$V$1, 0))</f>
        <v>Cryo</v>
      </c>
      <c r="R222" s="7" t="str">
        <f>INDEX('Data Val'!$O$1:$V$5, MATCH('Rotation Assembler'!R$32, 'Data Val'!$O$1:$O$5, 0), MATCH('Rotation Assembler'!$A222, 'Data Val'!$O$1:$V$1, 0))</f>
        <v>Cryo</v>
      </c>
      <c r="S222" s="7" t="str">
        <f>INDEX('Data Val'!$O$1:$V$5, MATCH('Rotation Assembler'!S$32, 'Data Val'!$O$1:$O$5, 0), MATCH('Rotation Assembler'!$A222, 'Data Val'!$O$1:$V$1, 0))</f>
        <v>Cryo</v>
      </c>
      <c r="T222" s="7" t="str">
        <f>INDEX('Data Val'!$O$1:$V$5, MATCH('Rotation Assembler'!T$32, 'Data Val'!$O$1:$O$5, 0), MATCH('Rotation Assembler'!$A222, 'Data Val'!$O$1:$V$1, 0))</f>
        <v>Hydro</v>
      </c>
      <c r="U222" s="7" t="str">
        <f>INDEX('Data Val'!$O$1:$V$5, MATCH('Rotation Assembler'!U$32, 'Data Val'!$O$1:$O$5, 0), MATCH('Rotation Assembler'!$A222, 'Data Val'!$O$1:$V$1, 0))</f>
        <v>Cryo</v>
      </c>
      <c r="V222" s="7" t="str">
        <f>INDEX('Data Val'!$O$1:$V$5, MATCH('Rotation Assembler'!V$32, 'Data Val'!$O$1:$O$5, 0), MATCH('Rotation Assembler'!$A222, 'Data Val'!$O$1:$V$1, 0))</f>
        <v>Cryo</v>
      </c>
      <c r="W222" s="7" t="str">
        <f>INDEX('Data Val'!$O$1:$V$5, MATCH('Rotation Assembler'!W$32, 'Data Val'!$O$1:$O$5, 0), MATCH('Rotation Assembler'!$A222, 'Data Val'!$O$1:$V$1, 0))</f>
        <v>Cryo</v>
      </c>
      <c r="X222" s="7" t="str">
        <f>INDEX('Data Val'!$O$1:$V$5, MATCH('Rotation Assembler'!X$32, 'Data Val'!$O$1:$O$5, 0), MATCH('Rotation Assembler'!$A222, 'Data Val'!$O$1:$V$1, 0))</f>
        <v>Cryo</v>
      </c>
      <c r="Y222" s="7" t="str">
        <f>INDEX('Data Val'!$O$1:$V$5, MATCH('Rotation Assembler'!Y$32, 'Data Val'!$O$1:$O$5, 0), MATCH('Rotation Assembler'!$A222, 'Data Val'!$O$1:$V$1, 0))</f>
        <v>Cryo</v>
      </c>
      <c r="Z222" s="7" t="str">
        <f>INDEX('Data Val'!$O$1:$V$5, MATCH('Rotation Assembler'!Z$32, 'Data Val'!$O$1:$O$5, 0), MATCH('Rotation Assembler'!$A222, 'Data Val'!$O$1:$V$1, 0))</f>
        <v>Cryo</v>
      </c>
      <c r="AA222" s="7" t="str">
        <f>INDEX('Data Val'!$O$1:$V$5, MATCH('Rotation Assembler'!AA$32, 'Data Val'!$O$1:$O$5, 0), MATCH('Rotation Assembler'!$A222, 'Data Val'!$O$1:$V$1, 0))</f>
        <v>Cryo</v>
      </c>
      <c r="AB222" s="7" t="str">
        <f>INDEX('Data Val'!$O$1:$V$5, MATCH('Rotation Assembler'!AB$32, 'Data Val'!$O$1:$O$5, 0), MATCH('Rotation Assembler'!$A222, 'Data Val'!$O$1:$V$1, 0))</f>
        <v>Hydro</v>
      </c>
      <c r="AC222" s="7" t="str">
        <f>INDEX('Data Val'!$O$1:$V$5, MATCH('Rotation Assembler'!AC$32, 'Data Val'!$O$1:$O$5, 0), MATCH('Rotation Assembler'!$A222, 'Data Val'!$O$1:$V$1, 0))</f>
        <v>Cryo</v>
      </c>
      <c r="AD222" s="7" t="str">
        <f>INDEX('Data Val'!$O$1:$V$5, MATCH('Rotation Assembler'!AD$32, 'Data Val'!$O$1:$O$5, 0), MATCH('Rotation Assembler'!$A222, 'Data Val'!$O$1:$V$1, 0))</f>
        <v>Cryo</v>
      </c>
      <c r="AE222" s="7" t="str">
        <f>INDEX('Data Val'!$O$1:$V$5, MATCH('Rotation Assembler'!AE$32, 'Data Val'!$O$1:$O$5, 0), MATCH('Rotation Assembler'!$A222, 'Data Val'!$O$1:$V$1, 0))</f>
        <v>Cryo</v>
      </c>
      <c r="AF222" s="7" t="str">
        <f>INDEX('Data Val'!$O$1:$V$5, MATCH('Rotation Assembler'!AF$32, 'Data Val'!$O$1:$O$5, 0), MATCH('Rotation Assembler'!$A222, 'Data Val'!$O$1:$V$1, 0))</f>
        <v>Cryo</v>
      </c>
      <c r="AG222" s="7" t="str">
        <f>INDEX('Data Val'!$O$1:$V$5, MATCH('Rotation Assembler'!AG$32, 'Data Val'!$O$1:$O$5, 0), MATCH('Rotation Assembler'!$A222, 'Data Val'!$O$1:$V$1, 0))</f>
        <v>Cryo</v>
      </c>
      <c r="AH222" s="7" t="str">
        <f>INDEX('Data Val'!$O$1:$V$5, MATCH('Rotation Assembler'!AH$32, 'Data Val'!$O$1:$O$5, 0), MATCH('Rotation Assembler'!$A222, 'Data Val'!$O$1:$V$1, 0))</f>
        <v>Cryo</v>
      </c>
      <c r="AI222" s="7" t="str">
        <f>INDEX('Data Val'!$O$1:$V$5, MATCH('Rotation Assembler'!AI$32, 'Data Val'!$O$1:$O$5, 0), MATCH('Rotation Assembler'!$A222, 'Data Val'!$O$1:$V$1, 0))</f>
        <v>Cryo</v>
      </c>
      <c r="AJ222" s="7" t="e">
        <f>INDEX('Data Val'!$O$1:$V$5, MATCH('Rotation Assembler'!AJ$32, 'Data Val'!$O$1:$O$5, 0), MATCH('Rotation Assembler'!$A222, 'Data Val'!$O$1:$V$1, 0))</f>
        <v>#N/A</v>
      </c>
      <c r="AK222" s="7" t="e">
        <f>INDEX('Data Val'!$O$1:$V$5, MATCH('Rotation Assembler'!AK$32, 'Data Val'!$O$1:$O$5, 0), MATCH('Rotation Assembler'!$A222, 'Data Val'!$O$1:$V$1, 0))</f>
        <v>#N/A</v>
      </c>
      <c r="AL222" s="7" t="e">
        <f>INDEX('Data Val'!$O$1:$V$5, MATCH('Rotation Assembler'!AL$32, 'Data Val'!$O$1:$O$5, 0), MATCH('Rotation Assembler'!$A222, 'Data Val'!$O$1:$V$1, 0))</f>
        <v>#N/A</v>
      </c>
      <c r="AM222" s="7" t="e">
        <f>INDEX('Data Val'!$O$1:$V$5, MATCH('Rotation Assembler'!AM$32, 'Data Val'!$O$1:$O$5, 0), MATCH('Rotation Assembler'!$A222, 'Data Val'!$O$1:$V$1, 0))</f>
        <v>#N/A</v>
      </c>
      <c r="AN222" s="7" t="e">
        <f>INDEX('Data Val'!$O$1:$V$5, MATCH('Rotation Assembler'!AN$32, 'Data Val'!$O$1:$O$5, 0), MATCH('Rotation Assembler'!$A222, 'Data Val'!$O$1:$V$1, 0))</f>
        <v>#N/A</v>
      </c>
      <c r="AO222" s="7" t="e">
        <f>INDEX('Data Val'!$O$1:$V$5, MATCH('Rotation Assembler'!AO$32, 'Data Val'!$O$1:$O$5, 0), MATCH('Rotation Assembler'!$A222, 'Data Val'!$O$1:$V$1, 0))</f>
        <v>#N/A</v>
      </c>
      <c r="AP222" s="7" t="e">
        <f>INDEX('Data Val'!$O$1:$V$5, MATCH('Rotation Assembler'!AP$32, 'Data Val'!$O$1:$O$5, 0), MATCH('Rotation Assembler'!$A222, 'Data Val'!$O$1:$V$1, 0))</f>
        <v>#N/A</v>
      </c>
      <c r="AQ222" s="7" t="e">
        <f>INDEX('Data Val'!$O$1:$V$5, MATCH('Rotation Assembler'!AQ$32, 'Data Val'!$O$1:$O$5, 0), MATCH('Rotation Assembler'!$A222, 'Data Val'!$O$1:$V$1, 0))</f>
        <v>#N/A</v>
      </c>
      <c r="AR222" s="7" t="e">
        <f>INDEX('Data Val'!$O$1:$V$5, MATCH('Rotation Assembler'!AR$32, 'Data Val'!$O$1:$O$5, 0), MATCH('Rotation Assembler'!$A222, 'Data Val'!$O$1:$V$1, 0))</f>
        <v>#N/A</v>
      </c>
      <c r="AS222" s="7" t="e">
        <f>INDEX('Data Val'!$O$1:$V$5, MATCH('Rotation Assembler'!AS$32, 'Data Val'!$O$1:$O$5, 0), MATCH('Rotation Assembler'!$A222, 'Data Val'!$O$1:$V$1, 0))</f>
        <v>#N/A</v>
      </c>
      <c r="AT222" s="7" t="e">
        <f>INDEX('Data Val'!$O$1:$V$5, MATCH('Rotation Assembler'!AT$32, 'Data Val'!$O$1:$O$5, 0), MATCH('Rotation Assembler'!$A222, 'Data Val'!$O$1:$V$1, 0))</f>
        <v>#N/A</v>
      </c>
      <c r="AU222" s="7" t="e">
        <f>INDEX('Data Val'!$O$1:$V$5, MATCH('Rotation Assembler'!AU$32, 'Data Val'!$O$1:$O$5, 0), MATCH('Rotation Assembler'!$A222, 'Data Val'!$O$1:$V$1, 0))</f>
        <v>#N/A</v>
      </c>
      <c r="AV222" s="7" t="e">
        <f>INDEX('Data Val'!$O$1:$V$5, MATCH('Rotation Assembler'!AV$32, 'Data Val'!$O$1:$O$5, 0), MATCH('Rotation Assembler'!$A222, 'Data Val'!$O$1:$V$1, 0))</f>
        <v>#N/A</v>
      </c>
      <c r="AW222" s="7" t="e">
        <f>INDEX('Data Val'!$O$1:$V$5, MATCH('Rotation Assembler'!AW$32, 'Data Val'!$O$1:$O$5, 0), MATCH('Rotation Assembler'!$A222, 'Data Val'!$O$1:$V$1, 0))</f>
        <v>#N/A</v>
      </c>
      <c r="AX222" s="7" t="e">
        <f>INDEX('Data Val'!$O$1:$V$5, MATCH('Rotation Assembler'!AX$32, 'Data Val'!$O$1:$O$5, 0), MATCH('Rotation Assembler'!$A222, 'Data Val'!$O$1:$V$1, 0))</f>
        <v>#N/A</v>
      </c>
      <c r="AY222" s="7" t="e">
        <f>INDEX('Data Val'!$O$1:$V$5, MATCH('Rotation Assembler'!AY$32, 'Data Val'!$O$1:$O$5, 0), MATCH('Rotation Assembler'!$A222, 'Data Val'!$O$1:$V$1, 0))</f>
        <v>#N/A</v>
      </c>
      <c r="AZ222" s="7" t="e">
        <f>INDEX('Data Val'!$O$1:$V$5, MATCH('Rotation Assembler'!AZ$32, 'Data Val'!$O$1:$O$5, 0), MATCH('Rotation Assembler'!$A222, 'Data Val'!$O$1:$V$1, 0))</f>
        <v>#N/A</v>
      </c>
      <c r="BA222" s="7" t="e">
        <f>INDEX('Data Val'!$O$1:$V$5, MATCH('Rotation Assembler'!BA$32, 'Data Val'!$O$1:$O$5, 0), MATCH('Rotation Assembler'!$A222, 'Data Val'!$O$1:$V$1, 0))</f>
        <v>#N/A</v>
      </c>
      <c r="BB222" s="7" t="e">
        <f>INDEX('Data Val'!$O$1:$V$5, MATCH('Rotation Assembler'!BB$32, 'Data Val'!$O$1:$O$5, 0), MATCH('Rotation Assembler'!$A222, 'Data Val'!$O$1:$V$1, 0))</f>
        <v>#N/A</v>
      </c>
      <c r="BC222" s="7" t="e">
        <f>INDEX('Data Val'!$O$1:$V$5, MATCH('Rotation Assembler'!BC$32, 'Data Val'!$O$1:$O$5, 0), MATCH('Rotation Assembler'!$A222, 'Data Val'!$O$1:$V$1, 0))</f>
        <v>#N/A</v>
      </c>
      <c r="BD222" s="7" t="e">
        <f>INDEX('Data Val'!$O$1:$V$5, MATCH('Rotation Assembler'!BD$32, 'Data Val'!$O$1:$O$5, 0), MATCH('Rotation Assembler'!$A222, 'Data Val'!$O$1:$V$1, 0))</f>
        <v>#N/A</v>
      </c>
      <c r="BE222" s="7" t="e">
        <f>INDEX('Data Val'!$O$1:$V$5, MATCH('Rotation Assembler'!BE$32, 'Data Val'!$O$1:$O$5, 0), MATCH('Rotation Assembler'!$A222, 'Data Val'!$O$1:$V$1, 0))</f>
        <v>#N/A</v>
      </c>
      <c r="BF222" s="7" t="e">
        <f>INDEX('Data Val'!$O$1:$V$5, MATCH('Rotation Assembler'!BF$32, 'Data Val'!$O$1:$O$5, 0), MATCH('Rotation Assembler'!$A222, 'Data Val'!$O$1:$V$1, 0))</f>
        <v>#N/A</v>
      </c>
      <c r="BG222" s="7" t="e">
        <f>INDEX('Data Val'!$O$1:$V$5, MATCH('Rotation Assembler'!BG$32, 'Data Val'!$O$1:$O$5, 0), MATCH('Rotation Assembler'!$A222, 'Data Val'!$O$1:$V$1, 0))</f>
        <v>#N/A</v>
      </c>
      <c r="BH222" s="7" t="e">
        <f>INDEX('Data Val'!$O$1:$V$5, MATCH('Rotation Assembler'!BH$32, 'Data Val'!$O$1:$O$5, 0), MATCH('Rotation Assembler'!$A222, 'Data Val'!$O$1:$V$1, 0))</f>
        <v>#N/A</v>
      </c>
    </row>
    <row r="223" spans="1:107" s="119" customFormat="1" hidden="1" outlineLevel="1" x14ac:dyDescent="0.25">
      <c r="A223" s="112" t="s">
        <v>664</v>
      </c>
    </row>
    <row r="224" spans="1:107" ht="15" hidden="1" customHeight="1" outlineLevel="1" x14ac:dyDescent="0.25">
      <c r="A224" s="110" t="s">
        <v>6</v>
      </c>
      <c r="B224" s="103">
        <f t="shared" ref="B224:B230" si="1028">IFERROR(INDEX(B$198:B$204, MATCH("Effective "&amp;B216&amp;" Res", $A$198:$A$204, 0), 1),"")</f>
        <v>0.1</v>
      </c>
      <c r="C224" s="103">
        <f t="shared" ref="C224:F230" si="1029">IFERROR(INDEX(C$198:C$204, MATCH("Effective "&amp;C216&amp;" Res", $A$198:$A$204, 0), 1),"")</f>
        <v>0.1</v>
      </c>
      <c r="D224" s="103">
        <f t="shared" si="1029"/>
        <v>0.1</v>
      </c>
      <c r="E224" s="103">
        <f t="shared" ref="E224" si="1030">IFERROR(INDEX(E$198:E$204, MATCH("Effective "&amp;E216&amp;" Res", $A$198:$A$204, 0), 1),"")</f>
        <v>0.1</v>
      </c>
      <c r="F224" s="103">
        <f t="shared" si="1029"/>
        <v>0.1</v>
      </c>
      <c r="G224" s="103">
        <f t="shared" ref="G224:G230" si="1031">IFERROR(INDEX(G$198:G$204, MATCH("Effective "&amp;G216&amp;" Res", $A$198:$A$204, 0), 1),"")</f>
        <v>0.1</v>
      </c>
      <c r="H224" s="103">
        <f t="shared" ref="H224:H230" si="1032">IFERROR(INDEX(H$198:H$204, MATCH("Effective "&amp;H216&amp;" Res", $A$198:$A$204, 0), 1),"")</f>
        <v>-0.15000000000000002</v>
      </c>
      <c r="I224" s="103">
        <f t="shared" ref="I224:K224" si="1033">IFERROR(INDEX(I$198:I$204, MATCH("Effective "&amp;I216&amp;" Res", $A$198:$A$204, 0), 1),"")</f>
        <v>0.1</v>
      </c>
      <c r="J224" s="103">
        <f t="shared" si="1033"/>
        <v>0.1</v>
      </c>
      <c r="K224" s="103">
        <f t="shared" si="1033"/>
        <v>0.1</v>
      </c>
      <c r="L224" s="103">
        <f t="shared" ref="L224" si="1034">IFERROR(INDEX(L$198:L$204, MATCH("Effective "&amp;L216&amp;" Res", $A$198:$A$204, 0), 1),"")</f>
        <v>0.1</v>
      </c>
      <c r="M224" s="103">
        <f t="shared" ref="M224:Q230" si="1035">IFERROR(INDEX(M$198:M$204, MATCH("Effective "&amp;M216&amp;" Res", $A$198:$A$204, 0), 1),"")</f>
        <v>0.1</v>
      </c>
      <c r="N224" s="103">
        <f t="shared" si="1035"/>
        <v>0.1</v>
      </c>
      <c r="O224" s="103">
        <f t="shared" si="1035"/>
        <v>-0.22000000000000003</v>
      </c>
      <c r="P224" s="103">
        <f t="shared" si="1035"/>
        <v>-0.22000000000000003</v>
      </c>
      <c r="Q224" s="103">
        <f t="shared" si="1035"/>
        <v>-0.22000000000000003</v>
      </c>
      <c r="R224" s="103">
        <f t="shared" ref="R224:AZ224" si="1036">IFERROR(INDEX(R$198:R$204, MATCH("Effective "&amp;R216&amp;" Res", $A$198:$A$204, 0), 1),"")</f>
        <v>0.1</v>
      </c>
      <c r="S224" s="103">
        <f t="shared" si="1036"/>
        <v>-0.22000000000000003</v>
      </c>
      <c r="T224" s="103">
        <f t="shared" si="1036"/>
        <v>0.1</v>
      </c>
      <c r="U224" s="103">
        <f t="shared" si="1036"/>
        <v>-0.22000000000000003</v>
      </c>
      <c r="V224" s="103">
        <f t="shared" ref="V224:W224" si="1037">IFERROR(INDEX(V$198:V$204, MATCH("Effective "&amp;V216&amp;" Res", $A$198:$A$204, 0), 1),"")</f>
        <v>-0.22000000000000003</v>
      </c>
      <c r="W224" s="103">
        <f t="shared" si="1037"/>
        <v>-0.22000000000000003</v>
      </c>
      <c r="X224" s="103">
        <f t="shared" ref="X224:Y224" si="1038">IFERROR(INDEX(X$198:X$204, MATCH("Effective "&amp;X216&amp;" Res", $A$198:$A$204, 0), 1),"")</f>
        <v>-0.22000000000000003</v>
      </c>
      <c r="Y224" s="103">
        <f t="shared" si="1038"/>
        <v>-0.22000000000000003</v>
      </c>
      <c r="Z224" s="103">
        <f t="shared" ref="Z224:AA224" si="1039">IFERROR(INDEX(Z$198:Z$204, MATCH("Effective "&amp;Z216&amp;" Res", $A$198:$A$204, 0), 1),"")</f>
        <v>-0.15000000000000002</v>
      </c>
      <c r="AA224" s="103">
        <f t="shared" si="1039"/>
        <v>-0.15000000000000002</v>
      </c>
      <c r="AB224" s="103">
        <f t="shared" si="1036"/>
        <v>0.1</v>
      </c>
      <c r="AC224" s="103">
        <f t="shared" si="1036"/>
        <v>0.1</v>
      </c>
      <c r="AD224" s="103">
        <f t="shared" si="1036"/>
        <v>0.1</v>
      </c>
      <c r="AE224" s="103">
        <f t="shared" si="1036"/>
        <v>-0.22000000000000003</v>
      </c>
      <c r="AF224" s="103">
        <f t="shared" si="1036"/>
        <v>-0.15000000000000002</v>
      </c>
      <c r="AG224" s="103">
        <f t="shared" ref="AG224:AI224" si="1040">IFERROR(INDEX(AG$198:AG$204, MATCH("Effective "&amp;AG216&amp;" Res", $A$198:$A$204, 0), 1),"")</f>
        <v>-0.15000000000000002</v>
      </c>
      <c r="AH224" s="103">
        <f t="shared" si="1040"/>
        <v>-0.15000000000000002</v>
      </c>
      <c r="AI224" s="103">
        <f t="shared" si="1040"/>
        <v>-0.15000000000000002</v>
      </c>
      <c r="AJ224" s="103" t="str">
        <f t="shared" si="1036"/>
        <v/>
      </c>
      <c r="AK224" s="103" t="str">
        <f t="shared" si="1036"/>
        <v/>
      </c>
      <c r="AL224" s="103" t="str">
        <f t="shared" si="1036"/>
        <v/>
      </c>
      <c r="AM224" s="103" t="str">
        <f t="shared" si="1036"/>
        <v/>
      </c>
      <c r="AN224" s="103" t="str">
        <f t="shared" si="1036"/>
        <v/>
      </c>
      <c r="AO224" s="103" t="str">
        <f t="shared" si="1036"/>
        <v/>
      </c>
      <c r="AP224" s="103" t="str">
        <f t="shared" si="1036"/>
        <v/>
      </c>
      <c r="AQ224" s="103" t="str">
        <f t="shared" si="1036"/>
        <v/>
      </c>
      <c r="AR224" s="103" t="str">
        <f t="shared" si="1036"/>
        <v/>
      </c>
      <c r="AS224" s="103" t="str">
        <f t="shared" si="1036"/>
        <v/>
      </c>
      <c r="AT224" s="103" t="str">
        <f t="shared" si="1036"/>
        <v/>
      </c>
      <c r="AU224" s="103" t="str">
        <f t="shared" si="1036"/>
        <v/>
      </c>
      <c r="AV224" s="103" t="str">
        <f t="shared" si="1036"/>
        <v/>
      </c>
      <c r="AW224" s="103" t="str">
        <f t="shared" si="1036"/>
        <v/>
      </c>
      <c r="AX224" s="103" t="str">
        <f t="shared" si="1036"/>
        <v/>
      </c>
      <c r="AY224" s="103" t="str">
        <f t="shared" si="1036"/>
        <v/>
      </c>
      <c r="AZ224" s="103" t="str">
        <f t="shared" si="1036"/>
        <v/>
      </c>
      <c r="BA224" s="103" t="str">
        <f t="shared" ref="BA224:BC224" si="1041">IFERROR(INDEX(BA$198:BA$204, MATCH("Effective "&amp;BA216&amp;" Res", $A$198:$A$204, 0), 1),"")</f>
        <v/>
      </c>
      <c r="BB224" s="103" t="str">
        <f t="shared" ref="BB224" si="1042">IFERROR(INDEX(BB$198:BB$204, MATCH("Effective "&amp;BB216&amp;" Res", $A$198:$A$204, 0), 1),"")</f>
        <v/>
      </c>
      <c r="BC224" s="103" t="str">
        <f t="shared" si="1041"/>
        <v/>
      </c>
      <c r="BD224" s="103" t="str">
        <f t="shared" ref="BD224:BE224" si="1043">IFERROR(INDEX(BD$198:BD$204, MATCH("Effective "&amp;BD216&amp;" Res", $A$198:$A$204, 0), 1),"")</f>
        <v/>
      </c>
      <c r="BE224" s="103" t="str">
        <f t="shared" si="1043"/>
        <v/>
      </c>
      <c r="BF224" s="103" t="str">
        <f t="shared" ref="BF224:BG224" si="1044">IFERROR(INDEX(BF$198:BF$204, MATCH("Effective "&amp;BF216&amp;" Res", $A$198:$A$204, 0), 1),"")</f>
        <v/>
      </c>
      <c r="BG224" s="103" t="str">
        <f t="shared" si="1044"/>
        <v/>
      </c>
      <c r="BH224" s="103" t="str">
        <f t="shared" ref="BH224" si="1045">IFERROR(INDEX(BH$198:BH$204, MATCH("Effective "&amp;BH216&amp;" Res", $A$198:$A$204, 0), 1),"")</f>
        <v/>
      </c>
      <c r="BI224" s="103"/>
      <c r="BJ224" s="103"/>
      <c r="BK224" s="103"/>
      <c r="BL224" s="103"/>
      <c r="BM224" s="103"/>
      <c r="BN224" s="103"/>
      <c r="BO224" s="103"/>
      <c r="BP224" s="103"/>
      <c r="BQ224" s="103"/>
      <c r="BR224" s="103"/>
      <c r="BS224" s="103"/>
      <c r="BT224" s="103"/>
      <c r="BU224" s="103"/>
      <c r="BV224" s="103"/>
      <c r="BW224" s="103"/>
      <c r="BX224" s="103"/>
      <c r="BY224" s="103"/>
      <c r="BZ224" s="103"/>
      <c r="CA224" s="103"/>
      <c r="CB224" s="103"/>
      <c r="CC224" s="103"/>
      <c r="CD224" s="103"/>
      <c r="CE224" s="103"/>
      <c r="CF224" s="103"/>
      <c r="CG224" s="103"/>
      <c r="CH224" s="103"/>
      <c r="CI224" s="103"/>
      <c r="CJ224" s="103"/>
      <c r="CK224" s="103"/>
      <c r="CL224" s="103"/>
      <c r="CM224" s="103"/>
      <c r="CN224" s="103"/>
      <c r="CO224" s="103"/>
      <c r="CP224" s="103"/>
      <c r="CQ224" s="103"/>
      <c r="CR224" s="103"/>
      <c r="CS224" s="103"/>
      <c r="CT224" s="103"/>
      <c r="CU224" s="103"/>
      <c r="CV224" s="103"/>
      <c r="CW224" s="103"/>
      <c r="CX224" s="103"/>
      <c r="CY224" s="103"/>
      <c r="CZ224" s="103"/>
      <c r="DA224" s="103"/>
      <c r="DB224" s="103"/>
      <c r="DC224" s="103"/>
    </row>
    <row r="225" spans="1:107" ht="15" hidden="1" customHeight="1" outlineLevel="1" x14ac:dyDescent="0.25">
      <c r="A225" s="110" t="s">
        <v>5</v>
      </c>
      <c r="B225" s="103">
        <f t="shared" si="1028"/>
        <v>0.1</v>
      </c>
      <c r="C225" s="103">
        <f t="shared" si="1029"/>
        <v>0.1</v>
      </c>
      <c r="D225" s="103">
        <f t="shared" si="1029"/>
        <v>0.1</v>
      </c>
      <c r="E225" s="103">
        <f t="shared" ref="E225" si="1046">IFERROR(INDEX(E$198:E$204, MATCH("Effective "&amp;E217&amp;" Res", $A$198:$A$204, 0), 1),"")</f>
        <v>0.1</v>
      </c>
      <c r="F225" s="103">
        <f t="shared" si="1029"/>
        <v>0.1</v>
      </c>
      <c r="G225" s="103">
        <f t="shared" si="1031"/>
        <v>0.1</v>
      </c>
      <c r="H225" s="103">
        <f t="shared" si="1032"/>
        <v>-0.15000000000000002</v>
      </c>
      <c r="I225" s="103">
        <f t="shared" ref="I225:K225" si="1047">IFERROR(INDEX(I$198:I$204, MATCH("Effective "&amp;I217&amp;" Res", $A$198:$A$204, 0), 1),"")</f>
        <v>0.1</v>
      </c>
      <c r="J225" s="103">
        <f t="shared" si="1047"/>
        <v>0.1</v>
      </c>
      <c r="K225" s="103">
        <f t="shared" si="1047"/>
        <v>0.1</v>
      </c>
      <c r="L225" s="103">
        <f t="shared" ref="L225" si="1048">IFERROR(INDEX(L$198:L$204, MATCH("Effective "&amp;L217&amp;" Res", $A$198:$A$204, 0), 1),"")</f>
        <v>0.1</v>
      </c>
      <c r="M225" s="103">
        <f t="shared" si="1035"/>
        <v>0.1</v>
      </c>
      <c r="N225" s="103">
        <f t="shared" si="1035"/>
        <v>0.1</v>
      </c>
      <c r="O225" s="103">
        <f t="shared" si="1035"/>
        <v>-0.22000000000000003</v>
      </c>
      <c r="P225" s="103">
        <f t="shared" si="1035"/>
        <v>-0.22000000000000003</v>
      </c>
      <c r="Q225" s="103">
        <f t="shared" si="1035"/>
        <v>-0.22000000000000003</v>
      </c>
      <c r="R225" s="103">
        <f t="shared" ref="R225:AZ225" si="1049">IFERROR(INDEX(R$198:R$204, MATCH("Effective "&amp;R217&amp;" Res", $A$198:$A$204, 0), 1),"")</f>
        <v>0.1</v>
      </c>
      <c r="S225" s="103">
        <f t="shared" si="1049"/>
        <v>-0.22000000000000003</v>
      </c>
      <c r="T225" s="103">
        <f t="shared" si="1049"/>
        <v>0.1</v>
      </c>
      <c r="U225" s="103">
        <f t="shared" si="1049"/>
        <v>-0.22000000000000003</v>
      </c>
      <c r="V225" s="103">
        <f t="shared" ref="V225:W225" si="1050">IFERROR(INDEX(V$198:V$204, MATCH("Effective "&amp;V217&amp;" Res", $A$198:$A$204, 0), 1),"")</f>
        <v>-0.22000000000000003</v>
      </c>
      <c r="W225" s="103">
        <f t="shared" si="1050"/>
        <v>-0.22000000000000003</v>
      </c>
      <c r="X225" s="103">
        <f t="shared" ref="X225:Y225" si="1051">IFERROR(INDEX(X$198:X$204, MATCH("Effective "&amp;X217&amp;" Res", $A$198:$A$204, 0), 1),"")</f>
        <v>-0.22000000000000003</v>
      </c>
      <c r="Y225" s="103">
        <f t="shared" si="1051"/>
        <v>-0.22000000000000003</v>
      </c>
      <c r="Z225" s="103">
        <f t="shared" ref="Z225:AA225" si="1052">IFERROR(INDEX(Z$198:Z$204, MATCH("Effective "&amp;Z217&amp;" Res", $A$198:$A$204, 0), 1),"")</f>
        <v>-0.15000000000000002</v>
      </c>
      <c r="AA225" s="103">
        <f t="shared" si="1052"/>
        <v>-0.15000000000000002</v>
      </c>
      <c r="AB225" s="103">
        <f t="shared" si="1049"/>
        <v>0.1</v>
      </c>
      <c r="AC225" s="103">
        <f t="shared" si="1049"/>
        <v>0.1</v>
      </c>
      <c r="AD225" s="103">
        <f t="shared" si="1049"/>
        <v>0.1</v>
      </c>
      <c r="AE225" s="103">
        <f t="shared" si="1049"/>
        <v>-0.22000000000000003</v>
      </c>
      <c r="AF225" s="103">
        <f t="shared" si="1049"/>
        <v>-0.15000000000000002</v>
      </c>
      <c r="AG225" s="103">
        <f t="shared" ref="AG225:AI225" si="1053">IFERROR(INDEX(AG$198:AG$204, MATCH("Effective "&amp;AG217&amp;" Res", $A$198:$A$204, 0), 1),"")</f>
        <v>-0.15000000000000002</v>
      </c>
      <c r="AH225" s="103">
        <f t="shared" si="1053"/>
        <v>-0.15000000000000002</v>
      </c>
      <c r="AI225" s="103">
        <f t="shared" si="1053"/>
        <v>-0.15000000000000002</v>
      </c>
      <c r="AJ225" s="103" t="str">
        <f t="shared" si="1049"/>
        <v/>
      </c>
      <c r="AK225" s="103" t="str">
        <f t="shared" si="1049"/>
        <v/>
      </c>
      <c r="AL225" s="103" t="str">
        <f t="shared" si="1049"/>
        <v/>
      </c>
      <c r="AM225" s="103" t="str">
        <f t="shared" si="1049"/>
        <v/>
      </c>
      <c r="AN225" s="103" t="str">
        <f t="shared" si="1049"/>
        <v/>
      </c>
      <c r="AO225" s="103" t="str">
        <f t="shared" si="1049"/>
        <v/>
      </c>
      <c r="AP225" s="103" t="str">
        <f t="shared" si="1049"/>
        <v/>
      </c>
      <c r="AQ225" s="103" t="str">
        <f t="shared" si="1049"/>
        <v/>
      </c>
      <c r="AR225" s="103" t="str">
        <f t="shared" si="1049"/>
        <v/>
      </c>
      <c r="AS225" s="103" t="str">
        <f t="shared" si="1049"/>
        <v/>
      </c>
      <c r="AT225" s="103" t="str">
        <f t="shared" si="1049"/>
        <v/>
      </c>
      <c r="AU225" s="103" t="str">
        <f t="shared" si="1049"/>
        <v/>
      </c>
      <c r="AV225" s="103" t="str">
        <f t="shared" si="1049"/>
        <v/>
      </c>
      <c r="AW225" s="103" t="str">
        <f t="shared" si="1049"/>
        <v/>
      </c>
      <c r="AX225" s="103" t="str">
        <f t="shared" si="1049"/>
        <v/>
      </c>
      <c r="AY225" s="103" t="str">
        <f t="shared" si="1049"/>
        <v/>
      </c>
      <c r="AZ225" s="103" t="str">
        <f t="shared" si="1049"/>
        <v/>
      </c>
      <c r="BA225" s="103" t="str">
        <f t="shared" ref="BA225:BC225" si="1054">IFERROR(INDEX(BA$198:BA$204, MATCH("Effective "&amp;BA217&amp;" Res", $A$198:$A$204, 0), 1),"")</f>
        <v/>
      </c>
      <c r="BB225" s="103" t="str">
        <f t="shared" ref="BB225" si="1055">IFERROR(INDEX(BB$198:BB$204, MATCH("Effective "&amp;BB217&amp;" Res", $A$198:$A$204, 0), 1),"")</f>
        <v/>
      </c>
      <c r="BC225" s="103" t="str">
        <f t="shared" si="1054"/>
        <v/>
      </c>
      <c r="BD225" s="103" t="str">
        <f t="shared" ref="BD225:BE225" si="1056">IFERROR(INDEX(BD$198:BD$204, MATCH("Effective "&amp;BD217&amp;" Res", $A$198:$A$204, 0), 1),"")</f>
        <v/>
      </c>
      <c r="BE225" s="103" t="str">
        <f t="shared" si="1056"/>
        <v/>
      </c>
      <c r="BF225" s="103" t="str">
        <f t="shared" ref="BF225:BG225" si="1057">IFERROR(INDEX(BF$198:BF$204, MATCH("Effective "&amp;BF217&amp;" Res", $A$198:$A$204, 0), 1),"")</f>
        <v/>
      </c>
      <c r="BG225" s="103" t="str">
        <f t="shared" si="1057"/>
        <v/>
      </c>
      <c r="BH225" s="103" t="str">
        <f t="shared" ref="BH225" si="1058">IFERROR(INDEX(BH$198:BH$204, MATCH("Effective "&amp;BH217&amp;" Res", $A$198:$A$204, 0), 1),"")</f>
        <v/>
      </c>
      <c r="BI225" s="103"/>
      <c r="BJ225" s="103"/>
      <c r="BK225" s="103"/>
      <c r="BL225" s="103"/>
      <c r="BM225" s="103"/>
      <c r="BN225" s="103"/>
      <c r="BO225" s="103"/>
      <c r="BP225" s="103"/>
      <c r="BQ225" s="103"/>
      <c r="BR225" s="103"/>
      <c r="BS225" s="103"/>
      <c r="BT225" s="103"/>
      <c r="BU225" s="103"/>
      <c r="BV225" s="103"/>
      <c r="BW225" s="103"/>
      <c r="BX225" s="103"/>
      <c r="BY225" s="103"/>
      <c r="BZ225" s="103"/>
      <c r="CA225" s="103"/>
      <c r="CB225" s="103"/>
      <c r="CC225" s="103"/>
      <c r="CD225" s="103"/>
      <c r="CE225" s="103"/>
      <c r="CF225" s="103"/>
      <c r="CG225" s="103"/>
      <c r="CH225" s="103"/>
      <c r="CI225" s="103"/>
      <c r="CJ225" s="103"/>
      <c r="CK225" s="103"/>
      <c r="CL225" s="103"/>
      <c r="CM225" s="103"/>
      <c r="CN225" s="103"/>
      <c r="CO225" s="103"/>
      <c r="CP225" s="103"/>
      <c r="CQ225" s="103"/>
      <c r="CR225" s="103"/>
      <c r="CS225" s="103"/>
      <c r="CT225" s="103"/>
      <c r="CU225" s="103"/>
      <c r="CV225" s="103"/>
      <c r="CW225" s="103"/>
      <c r="CX225" s="103"/>
      <c r="CY225" s="103"/>
      <c r="CZ225" s="103"/>
      <c r="DA225" s="103"/>
      <c r="DB225" s="103"/>
      <c r="DC225" s="103"/>
    </row>
    <row r="226" spans="1:107" ht="15" hidden="1" customHeight="1" outlineLevel="1" x14ac:dyDescent="0.25">
      <c r="A226" s="110" t="s">
        <v>3</v>
      </c>
      <c r="B226" s="103">
        <f t="shared" si="1028"/>
        <v>0.1</v>
      </c>
      <c r="C226" s="103">
        <f t="shared" si="1029"/>
        <v>0.1</v>
      </c>
      <c r="D226" s="103">
        <f t="shared" si="1029"/>
        <v>0.1</v>
      </c>
      <c r="E226" s="103">
        <f t="shared" ref="E226" si="1059">IFERROR(INDEX(E$198:E$204, MATCH("Effective "&amp;E218&amp;" Res", $A$198:$A$204, 0), 1),"")</f>
        <v>0.1</v>
      </c>
      <c r="F226" s="103">
        <f t="shared" si="1029"/>
        <v>0.1</v>
      </c>
      <c r="G226" s="103">
        <f t="shared" si="1031"/>
        <v>0.1</v>
      </c>
      <c r="H226" s="103">
        <f t="shared" si="1032"/>
        <v>-0.15000000000000002</v>
      </c>
      <c r="I226" s="103">
        <f t="shared" ref="I226:K226" si="1060">IFERROR(INDEX(I$198:I$204, MATCH("Effective "&amp;I218&amp;" Res", $A$198:$A$204, 0), 1),"")</f>
        <v>0.1</v>
      </c>
      <c r="J226" s="103">
        <f t="shared" si="1060"/>
        <v>0.1</v>
      </c>
      <c r="K226" s="103">
        <f t="shared" si="1060"/>
        <v>0.1</v>
      </c>
      <c r="L226" s="103">
        <f t="shared" ref="L226" si="1061">IFERROR(INDEX(L$198:L$204, MATCH("Effective "&amp;L218&amp;" Res", $A$198:$A$204, 0), 1),"")</f>
        <v>0.1</v>
      </c>
      <c r="M226" s="103">
        <f t="shared" si="1035"/>
        <v>0.1</v>
      </c>
      <c r="N226" s="103">
        <f t="shared" si="1035"/>
        <v>0.1</v>
      </c>
      <c r="O226" s="103">
        <f t="shared" si="1035"/>
        <v>-0.22000000000000003</v>
      </c>
      <c r="P226" s="103">
        <f t="shared" si="1035"/>
        <v>-0.22000000000000003</v>
      </c>
      <c r="Q226" s="103">
        <f t="shared" si="1035"/>
        <v>-0.22000000000000003</v>
      </c>
      <c r="R226" s="103">
        <f t="shared" ref="R226:AZ226" si="1062">IFERROR(INDEX(R$198:R$204, MATCH("Effective "&amp;R218&amp;" Res", $A$198:$A$204, 0), 1),"")</f>
        <v>0.1</v>
      </c>
      <c r="S226" s="103">
        <f t="shared" si="1062"/>
        <v>-0.22000000000000003</v>
      </c>
      <c r="T226" s="103">
        <f t="shared" si="1062"/>
        <v>0.1</v>
      </c>
      <c r="U226" s="103">
        <f t="shared" si="1062"/>
        <v>-0.22000000000000003</v>
      </c>
      <c r="V226" s="103">
        <f t="shared" ref="V226:W226" si="1063">IFERROR(INDEX(V$198:V$204, MATCH("Effective "&amp;V218&amp;" Res", $A$198:$A$204, 0), 1),"")</f>
        <v>-0.22000000000000003</v>
      </c>
      <c r="W226" s="103">
        <f t="shared" si="1063"/>
        <v>-0.22000000000000003</v>
      </c>
      <c r="X226" s="103">
        <f t="shared" ref="X226:Y226" si="1064">IFERROR(INDEX(X$198:X$204, MATCH("Effective "&amp;X218&amp;" Res", $A$198:$A$204, 0), 1),"")</f>
        <v>-0.22000000000000003</v>
      </c>
      <c r="Y226" s="103">
        <f t="shared" si="1064"/>
        <v>-0.22000000000000003</v>
      </c>
      <c r="Z226" s="103">
        <f t="shared" ref="Z226:AA226" si="1065">IFERROR(INDEX(Z$198:Z$204, MATCH("Effective "&amp;Z218&amp;" Res", $A$198:$A$204, 0), 1),"")</f>
        <v>-0.15000000000000002</v>
      </c>
      <c r="AA226" s="103">
        <f t="shared" si="1065"/>
        <v>-0.15000000000000002</v>
      </c>
      <c r="AB226" s="103">
        <f t="shared" si="1062"/>
        <v>0.1</v>
      </c>
      <c r="AC226" s="103">
        <f t="shared" si="1062"/>
        <v>0.1</v>
      </c>
      <c r="AD226" s="103">
        <f t="shared" si="1062"/>
        <v>0.1</v>
      </c>
      <c r="AE226" s="103">
        <f t="shared" si="1062"/>
        <v>-0.22000000000000003</v>
      </c>
      <c r="AF226" s="103">
        <f t="shared" si="1062"/>
        <v>-0.15000000000000002</v>
      </c>
      <c r="AG226" s="103">
        <f t="shared" ref="AG226:AI226" si="1066">IFERROR(INDEX(AG$198:AG$204, MATCH("Effective "&amp;AG218&amp;" Res", $A$198:$A$204, 0), 1),"")</f>
        <v>-0.15000000000000002</v>
      </c>
      <c r="AH226" s="103">
        <f t="shared" si="1066"/>
        <v>-0.15000000000000002</v>
      </c>
      <c r="AI226" s="103">
        <f t="shared" si="1066"/>
        <v>-0.15000000000000002</v>
      </c>
      <c r="AJ226" s="103" t="str">
        <f t="shared" si="1062"/>
        <v/>
      </c>
      <c r="AK226" s="103" t="str">
        <f t="shared" si="1062"/>
        <v/>
      </c>
      <c r="AL226" s="103" t="str">
        <f t="shared" si="1062"/>
        <v/>
      </c>
      <c r="AM226" s="103" t="str">
        <f t="shared" si="1062"/>
        <v/>
      </c>
      <c r="AN226" s="103" t="str">
        <f t="shared" si="1062"/>
        <v/>
      </c>
      <c r="AO226" s="103" t="str">
        <f t="shared" si="1062"/>
        <v/>
      </c>
      <c r="AP226" s="103" t="str">
        <f t="shared" si="1062"/>
        <v/>
      </c>
      <c r="AQ226" s="103" t="str">
        <f t="shared" si="1062"/>
        <v/>
      </c>
      <c r="AR226" s="103" t="str">
        <f t="shared" si="1062"/>
        <v/>
      </c>
      <c r="AS226" s="103" t="str">
        <f t="shared" si="1062"/>
        <v/>
      </c>
      <c r="AT226" s="103" t="str">
        <f t="shared" si="1062"/>
        <v/>
      </c>
      <c r="AU226" s="103" t="str">
        <f t="shared" si="1062"/>
        <v/>
      </c>
      <c r="AV226" s="103" t="str">
        <f t="shared" si="1062"/>
        <v/>
      </c>
      <c r="AW226" s="103" t="str">
        <f t="shared" si="1062"/>
        <v/>
      </c>
      <c r="AX226" s="103" t="str">
        <f t="shared" si="1062"/>
        <v/>
      </c>
      <c r="AY226" s="103" t="str">
        <f t="shared" si="1062"/>
        <v/>
      </c>
      <c r="AZ226" s="103" t="str">
        <f t="shared" si="1062"/>
        <v/>
      </c>
      <c r="BA226" s="103" t="str">
        <f t="shared" ref="BA226:BC226" si="1067">IFERROR(INDEX(BA$198:BA$204, MATCH("Effective "&amp;BA218&amp;" Res", $A$198:$A$204, 0), 1),"")</f>
        <v/>
      </c>
      <c r="BB226" s="103" t="str">
        <f t="shared" ref="BB226" si="1068">IFERROR(INDEX(BB$198:BB$204, MATCH("Effective "&amp;BB218&amp;" Res", $A$198:$A$204, 0), 1),"")</f>
        <v/>
      </c>
      <c r="BC226" s="103" t="str">
        <f t="shared" si="1067"/>
        <v/>
      </c>
      <c r="BD226" s="103" t="str">
        <f t="shared" ref="BD226:BE226" si="1069">IFERROR(INDEX(BD$198:BD$204, MATCH("Effective "&amp;BD218&amp;" Res", $A$198:$A$204, 0), 1),"")</f>
        <v/>
      </c>
      <c r="BE226" s="103" t="str">
        <f t="shared" si="1069"/>
        <v/>
      </c>
      <c r="BF226" s="103" t="str">
        <f t="shared" ref="BF226:BG226" si="1070">IFERROR(INDEX(BF$198:BF$204, MATCH("Effective "&amp;BF218&amp;" Res", $A$198:$A$204, 0), 1),"")</f>
        <v/>
      </c>
      <c r="BG226" s="103" t="str">
        <f t="shared" si="1070"/>
        <v/>
      </c>
      <c r="BH226" s="103" t="str">
        <f t="shared" ref="BH226" si="1071">IFERROR(INDEX(BH$198:BH$204, MATCH("Effective "&amp;BH218&amp;" Res", $A$198:$A$204, 0), 1),"")</f>
        <v/>
      </c>
      <c r="BI226" s="103"/>
      <c r="BJ226" s="103"/>
      <c r="BK226" s="103"/>
      <c r="BL226" s="103"/>
      <c r="BM226" s="103"/>
      <c r="BN226" s="103"/>
      <c r="BO226" s="103"/>
      <c r="BP226" s="103"/>
      <c r="BQ226" s="103"/>
      <c r="BR226" s="103"/>
      <c r="BS226" s="103"/>
      <c r="BT226" s="103"/>
      <c r="BU226" s="103"/>
      <c r="BV226" s="103"/>
      <c r="BW226" s="103"/>
      <c r="BX226" s="103"/>
      <c r="BY226" s="103"/>
      <c r="BZ226" s="103"/>
      <c r="CA226" s="103"/>
      <c r="CB226" s="103"/>
      <c r="CC226" s="103"/>
      <c r="CD226" s="103"/>
      <c r="CE226" s="103"/>
      <c r="CF226" s="103"/>
      <c r="CG226" s="103"/>
      <c r="CH226" s="103"/>
      <c r="CI226" s="103"/>
      <c r="CJ226" s="103"/>
      <c r="CK226" s="103"/>
      <c r="CL226" s="103"/>
      <c r="CM226" s="103"/>
      <c r="CN226" s="103"/>
      <c r="CO226" s="103"/>
      <c r="CP226" s="103"/>
      <c r="CQ226" s="103"/>
      <c r="CR226" s="103"/>
      <c r="CS226" s="103"/>
      <c r="CT226" s="103"/>
      <c r="CU226" s="103"/>
      <c r="CV226" s="103"/>
      <c r="CW226" s="103"/>
      <c r="CX226" s="103"/>
      <c r="CY226" s="103"/>
      <c r="CZ226" s="103"/>
      <c r="DA226" s="103"/>
      <c r="DB226" s="103"/>
      <c r="DC226" s="103"/>
    </row>
    <row r="227" spans="1:107" hidden="1" outlineLevel="1" x14ac:dyDescent="0.25">
      <c r="A227" s="110" t="s">
        <v>19</v>
      </c>
      <c r="B227" s="103">
        <f t="shared" si="1028"/>
        <v>0.1</v>
      </c>
      <c r="C227" s="103">
        <f t="shared" si="1029"/>
        <v>0.1</v>
      </c>
      <c r="D227" s="103">
        <f t="shared" si="1029"/>
        <v>0.1</v>
      </c>
      <c r="E227" s="103">
        <f t="shared" ref="E227" si="1072">IFERROR(INDEX(E$198:E$204, MATCH("Effective "&amp;E219&amp;" Res", $A$198:$A$204, 0), 1),"")</f>
        <v>0.1</v>
      </c>
      <c r="F227" s="103">
        <f t="shared" si="1029"/>
        <v>0.1</v>
      </c>
      <c r="G227" s="103">
        <f t="shared" si="1031"/>
        <v>0.1</v>
      </c>
      <c r="H227" s="103">
        <f t="shared" si="1032"/>
        <v>-0.15000000000000002</v>
      </c>
      <c r="I227" s="103">
        <f t="shared" ref="I227:K227" si="1073">IFERROR(INDEX(I$198:I$204, MATCH("Effective "&amp;I219&amp;" Res", $A$198:$A$204, 0), 1),"")</f>
        <v>0.1</v>
      </c>
      <c r="J227" s="103">
        <f t="shared" si="1073"/>
        <v>0.1</v>
      </c>
      <c r="K227" s="103">
        <f t="shared" si="1073"/>
        <v>0.1</v>
      </c>
      <c r="L227" s="103">
        <f t="shared" ref="L227" si="1074">IFERROR(INDEX(L$198:L$204, MATCH("Effective "&amp;L219&amp;" Res", $A$198:$A$204, 0), 1),"")</f>
        <v>0.1</v>
      </c>
      <c r="M227" s="103">
        <f t="shared" si="1035"/>
        <v>0.1</v>
      </c>
      <c r="N227" s="103">
        <f t="shared" si="1035"/>
        <v>0.1</v>
      </c>
      <c r="O227" s="103">
        <f t="shared" si="1035"/>
        <v>-0.22000000000000003</v>
      </c>
      <c r="P227" s="103">
        <f t="shared" si="1035"/>
        <v>-0.22000000000000003</v>
      </c>
      <c r="Q227" s="103">
        <f t="shared" si="1035"/>
        <v>-0.22000000000000003</v>
      </c>
      <c r="R227" s="103">
        <f t="shared" ref="R227:AZ227" si="1075">IFERROR(INDEX(R$198:R$204, MATCH("Effective "&amp;R219&amp;" Res", $A$198:$A$204, 0), 1),"")</f>
        <v>0.1</v>
      </c>
      <c r="S227" s="103">
        <f t="shared" si="1075"/>
        <v>-0.22000000000000003</v>
      </c>
      <c r="T227" s="103">
        <f t="shared" si="1075"/>
        <v>0.1</v>
      </c>
      <c r="U227" s="103">
        <f t="shared" si="1075"/>
        <v>-0.22000000000000003</v>
      </c>
      <c r="V227" s="103">
        <f t="shared" ref="V227:W227" si="1076">IFERROR(INDEX(V$198:V$204, MATCH("Effective "&amp;V219&amp;" Res", $A$198:$A$204, 0), 1),"")</f>
        <v>-0.22000000000000003</v>
      </c>
      <c r="W227" s="103">
        <f t="shared" si="1076"/>
        <v>-0.22000000000000003</v>
      </c>
      <c r="X227" s="103">
        <f t="shared" ref="X227:Y227" si="1077">IFERROR(INDEX(X$198:X$204, MATCH("Effective "&amp;X219&amp;" Res", $A$198:$A$204, 0), 1),"")</f>
        <v>-0.22000000000000003</v>
      </c>
      <c r="Y227" s="103">
        <f t="shared" si="1077"/>
        <v>-0.22000000000000003</v>
      </c>
      <c r="Z227" s="103">
        <f t="shared" ref="Z227:AA227" si="1078">IFERROR(INDEX(Z$198:Z$204, MATCH("Effective "&amp;Z219&amp;" Res", $A$198:$A$204, 0), 1),"")</f>
        <v>-0.15000000000000002</v>
      </c>
      <c r="AA227" s="103">
        <f t="shared" si="1078"/>
        <v>-0.15000000000000002</v>
      </c>
      <c r="AB227" s="103">
        <f t="shared" si="1075"/>
        <v>0.1</v>
      </c>
      <c r="AC227" s="103">
        <f t="shared" si="1075"/>
        <v>0.1</v>
      </c>
      <c r="AD227" s="103">
        <f t="shared" si="1075"/>
        <v>0.1</v>
      </c>
      <c r="AE227" s="103">
        <f t="shared" si="1075"/>
        <v>-0.22000000000000003</v>
      </c>
      <c r="AF227" s="103">
        <f t="shared" si="1075"/>
        <v>-0.15000000000000002</v>
      </c>
      <c r="AG227" s="103">
        <f t="shared" ref="AG227:AI227" si="1079">IFERROR(INDEX(AG$198:AG$204, MATCH("Effective "&amp;AG219&amp;" Res", $A$198:$A$204, 0), 1),"")</f>
        <v>-0.15000000000000002</v>
      </c>
      <c r="AH227" s="103">
        <f t="shared" si="1079"/>
        <v>-0.15000000000000002</v>
      </c>
      <c r="AI227" s="103">
        <f t="shared" si="1079"/>
        <v>-0.15000000000000002</v>
      </c>
      <c r="AJ227" s="103" t="str">
        <f t="shared" si="1075"/>
        <v/>
      </c>
      <c r="AK227" s="103" t="str">
        <f t="shared" si="1075"/>
        <v/>
      </c>
      <c r="AL227" s="103" t="str">
        <f t="shared" si="1075"/>
        <v/>
      </c>
      <c r="AM227" s="103" t="str">
        <f t="shared" si="1075"/>
        <v/>
      </c>
      <c r="AN227" s="103" t="str">
        <f t="shared" si="1075"/>
        <v/>
      </c>
      <c r="AO227" s="103" t="str">
        <f t="shared" si="1075"/>
        <v/>
      </c>
      <c r="AP227" s="103" t="str">
        <f t="shared" si="1075"/>
        <v/>
      </c>
      <c r="AQ227" s="103" t="str">
        <f t="shared" si="1075"/>
        <v/>
      </c>
      <c r="AR227" s="103" t="str">
        <f t="shared" si="1075"/>
        <v/>
      </c>
      <c r="AS227" s="103" t="str">
        <f t="shared" si="1075"/>
        <v/>
      </c>
      <c r="AT227" s="103" t="str">
        <f t="shared" si="1075"/>
        <v/>
      </c>
      <c r="AU227" s="103" t="str">
        <f t="shared" si="1075"/>
        <v/>
      </c>
      <c r="AV227" s="103" t="str">
        <f t="shared" si="1075"/>
        <v/>
      </c>
      <c r="AW227" s="103" t="str">
        <f t="shared" si="1075"/>
        <v/>
      </c>
      <c r="AX227" s="103" t="str">
        <f t="shared" si="1075"/>
        <v/>
      </c>
      <c r="AY227" s="103" t="str">
        <f t="shared" si="1075"/>
        <v/>
      </c>
      <c r="AZ227" s="103" t="str">
        <f t="shared" si="1075"/>
        <v/>
      </c>
      <c r="BA227" s="103" t="str">
        <f t="shared" ref="BA227:BC227" si="1080">IFERROR(INDEX(BA$198:BA$204, MATCH("Effective "&amp;BA219&amp;" Res", $A$198:$A$204, 0), 1),"")</f>
        <v/>
      </c>
      <c r="BB227" s="103" t="str">
        <f t="shared" ref="BB227" si="1081">IFERROR(INDEX(BB$198:BB$204, MATCH("Effective "&amp;BB219&amp;" Res", $A$198:$A$204, 0), 1),"")</f>
        <v/>
      </c>
      <c r="BC227" s="103" t="str">
        <f t="shared" si="1080"/>
        <v/>
      </c>
      <c r="BD227" s="103" t="str">
        <f t="shared" ref="BD227:BE227" si="1082">IFERROR(INDEX(BD$198:BD$204, MATCH("Effective "&amp;BD219&amp;" Res", $A$198:$A$204, 0), 1),"")</f>
        <v/>
      </c>
      <c r="BE227" s="103" t="str">
        <f t="shared" si="1082"/>
        <v/>
      </c>
      <c r="BF227" s="103" t="str">
        <f t="shared" ref="BF227:BG227" si="1083">IFERROR(INDEX(BF$198:BF$204, MATCH("Effective "&amp;BF219&amp;" Res", $A$198:$A$204, 0), 1),"")</f>
        <v/>
      </c>
      <c r="BG227" s="103" t="str">
        <f t="shared" si="1083"/>
        <v/>
      </c>
      <c r="BH227" s="103" t="str">
        <f t="shared" ref="BH227" si="1084">IFERROR(INDEX(BH$198:BH$204, MATCH("Effective "&amp;BH219&amp;" Res", $A$198:$A$204, 0), 1),"")</f>
        <v/>
      </c>
      <c r="BI227" s="103"/>
      <c r="BJ227" s="103"/>
      <c r="BK227" s="103"/>
      <c r="BL227" s="103"/>
      <c r="BM227" s="103"/>
      <c r="BN227" s="103"/>
      <c r="BO227" s="103"/>
      <c r="BP227" s="103"/>
      <c r="BQ227" s="103"/>
      <c r="BR227" s="103"/>
      <c r="BS227" s="103"/>
      <c r="BT227" s="103"/>
      <c r="BU227" s="103"/>
      <c r="BV227" s="103"/>
      <c r="BW227" s="103"/>
      <c r="BX227" s="103"/>
      <c r="BY227" s="103"/>
      <c r="BZ227" s="103"/>
      <c r="CA227" s="103"/>
      <c r="CB227" s="103"/>
      <c r="CC227" s="103"/>
      <c r="CD227" s="103"/>
      <c r="CE227" s="103"/>
      <c r="CF227" s="103"/>
      <c r="CG227" s="103"/>
      <c r="CH227" s="103"/>
      <c r="CI227" s="103"/>
      <c r="CJ227" s="103"/>
      <c r="CK227" s="103"/>
      <c r="CL227" s="103"/>
      <c r="CM227" s="103"/>
      <c r="CN227" s="103"/>
      <c r="CO227" s="103"/>
      <c r="CP227" s="103"/>
      <c r="CQ227" s="103"/>
      <c r="CR227" s="103"/>
      <c r="CS227" s="103"/>
      <c r="CT227" s="103"/>
      <c r="CU227" s="103"/>
      <c r="CV227" s="103"/>
      <c r="CW227" s="103"/>
      <c r="CX227" s="103"/>
      <c r="CY227" s="103"/>
      <c r="CZ227" s="103"/>
      <c r="DA227" s="103"/>
      <c r="DB227" s="103"/>
      <c r="DC227" s="103"/>
    </row>
    <row r="228" spans="1:107" hidden="1" outlineLevel="1" x14ac:dyDescent="0.25">
      <c r="A228" s="110" t="s">
        <v>23</v>
      </c>
      <c r="B228" s="103">
        <f t="shared" si="1028"/>
        <v>0.1</v>
      </c>
      <c r="C228" s="103">
        <f t="shared" si="1029"/>
        <v>0.1</v>
      </c>
      <c r="D228" s="103">
        <f t="shared" si="1029"/>
        <v>0.1</v>
      </c>
      <c r="E228" s="103">
        <f t="shared" ref="E228" si="1085">IFERROR(INDEX(E$198:E$204, MATCH("Effective "&amp;E220&amp;" Res", $A$198:$A$204, 0), 1),"")</f>
        <v>-0.15000000000000002</v>
      </c>
      <c r="F228" s="103">
        <f t="shared" si="1029"/>
        <v>-0.15000000000000002</v>
      </c>
      <c r="G228" s="103">
        <f t="shared" si="1031"/>
        <v>-0.15000000000000002</v>
      </c>
      <c r="H228" s="103">
        <f t="shared" si="1032"/>
        <v>-0.15000000000000002</v>
      </c>
      <c r="I228" s="103">
        <f t="shared" ref="I228:K228" si="1086">IFERROR(INDEX(I$198:I$204, MATCH("Effective "&amp;I220&amp;" Res", $A$198:$A$204, 0), 1),"")</f>
        <v>-0.15000000000000002</v>
      </c>
      <c r="J228" s="103">
        <f t="shared" si="1086"/>
        <v>-0.22000000000000003</v>
      </c>
      <c r="K228" s="103">
        <f t="shared" si="1086"/>
        <v>-0.22000000000000003</v>
      </c>
      <c r="L228" s="103">
        <f t="shared" ref="L228" si="1087">IFERROR(INDEX(L$198:L$204, MATCH("Effective "&amp;L220&amp;" Res", $A$198:$A$204, 0), 1),"")</f>
        <v>-0.22000000000000003</v>
      </c>
      <c r="M228" s="103">
        <f t="shared" si="1035"/>
        <v>-0.22000000000000003</v>
      </c>
      <c r="N228" s="103">
        <f t="shared" si="1035"/>
        <v>-0.15000000000000002</v>
      </c>
      <c r="O228" s="103">
        <f t="shared" si="1035"/>
        <v>-0.22000000000000003</v>
      </c>
      <c r="P228" s="103">
        <f t="shared" si="1035"/>
        <v>-0.22000000000000003</v>
      </c>
      <c r="Q228" s="103">
        <f t="shared" si="1035"/>
        <v>-0.22000000000000003</v>
      </c>
      <c r="R228" s="103">
        <f t="shared" ref="R228:AZ228" si="1088">IFERROR(INDEX(R$198:R$204, MATCH("Effective "&amp;R220&amp;" Res", $A$198:$A$204, 0), 1),"")</f>
        <v>0.1</v>
      </c>
      <c r="S228" s="103">
        <f t="shared" si="1088"/>
        <v>-0.22000000000000003</v>
      </c>
      <c r="T228" s="103">
        <f t="shared" si="1088"/>
        <v>0.1</v>
      </c>
      <c r="U228" s="103">
        <f t="shared" si="1088"/>
        <v>-0.22000000000000003</v>
      </c>
      <c r="V228" s="103">
        <f t="shared" ref="V228:W228" si="1089">IFERROR(INDEX(V$198:V$204, MATCH("Effective "&amp;V220&amp;" Res", $A$198:$A$204, 0), 1),"")</f>
        <v>-0.22000000000000003</v>
      </c>
      <c r="W228" s="103">
        <f t="shared" si="1089"/>
        <v>-0.22000000000000003</v>
      </c>
      <c r="X228" s="103">
        <f t="shared" ref="X228:Y228" si="1090">IFERROR(INDEX(X$198:X$204, MATCH("Effective "&amp;X220&amp;" Res", $A$198:$A$204, 0), 1),"")</f>
        <v>-0.22000000000000003</v>
      </c>
      <c r="Y228" s="103">
        <f t="shared" si="1090"/>
        <v>-0.22000000000000003</v>
      </c>
      <c r="Z228" s="103">
        <f t="shared" ref="Z228:AA228" si="1091">IFERROR(INDEX(Z$198:Z$204, MATCH("Effective "&amp;Z220&amp;" Res", $A$198:$A$204, 0), 1),"")</f>
        <v>-0.15000000000000002</v>
      </c>
      <c r="AA228" s="103">
        <f t="shared" si="1091"/>
        <v>-0.15000000000000002</v>
      </c>
      <c r="AB228" s="103">
        <f t="shared" si="1088"/>
        <v>0.1</v>
      </c>
      <c r="AC228" s="103">
        <f t="shared" si="1088"/>
        <v>0.1</v>
      </c>
      <c r="AD228" s="103">
        <f t="shared" si="1088"/>
        <v>-0.22000000000000003</v>
      </c>
      <c r="AE228" s="103">
        <f t="shared" si="1088"/>
        <v>-0.22000000000000003</v>
      </c>
      <c r="AF228" s="103">
        <f t="shared" si="1088"/>
        <v>-0.15000000000000002</v>
      </c>
      <c r="AG228" s="103">
        <f t="shared" ref="AG228:AI228" si="1092">IFERROR(INDEX(AG$198:AG$204, MATCH("Effective "&amp;AG220&amp;" Res", $A$198:$A$204, 0), 1),"")</f>
        <v>-0.15000000000000002</v>
      </c>
      <c r="AH228" s="103">
        <f t="shared" si="1092"/>
        <v>-0.15000000000000002</v>
      </c>
      <c r="AI228" s="103">
        <f t="shared" si="1092"/>
        <v>-0.15000000000000002</v>
      </c>
      <c r="AJ228" s="103" t="str">
        <f t="shared" si="1088"/>
        <v/>
      </c>
      <c r="AK228" s="103" t="str">
        <f t="shared" si="1088"/>
        <v/>
      </c>
      <c r="AL228" s="103" t="str">
        <f t="shared" si="1088"/>
        <v/>
      </c>
      <c r="AM228" s="103" t="str">
        <f t="shared" si="1088"/>
        <v/>
      </c>
      <c r="AN228" s="103" t="str">
        <f t="shared" si="1088"/>
        <v/>
      </c>
      <c r="AO228" s="103" t="str">
        <f t="shared" si="1088"/>
        <v/>
      </c>
      <c r="AP228" s="103" t="str">
        <f t="shared" si="1088"/>
        <v/>
      </c>
      <c r="AQ228" s="103" t="str">
        <f t="shared" si="1088"/>
        <v/>
      </c>
      <c r="AR228" s="103" t="str">
        <f t="shared" si="1088"/>
        <v/>
      </c>
      <c r="AS228" s="103" t="str">
        <f t="shared" si="1088"/>
        <v/>
      </c>
      <c r="AT228" s="103" t="str">
        <f t="shared" si="1088"/>
        <v/>
      </c>
      <c r="AU228" s="103" t="str">
        <f t="shared" si="1088"/>
        <v/>
      </c>
      <c r="AV228" s="103" t="str">
        <f t="shared" si="1088"/>
        <v/>
      </c>
      <c r="AW228" s="103" t="str">
        <f t="shared" si="1088"/>
        <v/>
      </c>
      <c r="AX228" s="103" t="str">
        <f t="shared" si="1088"/>
        <v/>
      </c>
      <c r="AY228" s="103" t="str">
        <f t="shared" si="1088"/>
        <v/>
      </c>
      <c r="AZ228" s="103" t="str">
        <f t="shared" si="1088"/>
        <v/>
      </c>
      <c r="BA228" s="103" t="str">
        <f t="shared" ref="BA228:BC228" si="1093">IFERROR(INDEX(BA$198:BA$204, MATCH("Effective "&amp;BA220&amp;" Res", $A$198:$A$204, 0), 1),"")</f>
        <v/>
      </c>
      <c r="BB228" s="103" t="str">
        <f t="shared" ref="BB228" si="1094">IFERROR(INDEX(BB$198:BB$204, MATCH("Effective "&amp;BB220&amp;" Res", $A$198:$A$204, 0), 1),"")</f>
        <v/>
      </c>
      <c r="BC228" s="103" t="str">
        <f t="shared" si="1093"/>
        <v/>
      </c>
      <c r="BD228" s="103" t="str">
        <f t="shared" ref="BD228:BE228" si="1095">IFERROR(INDEX(BD$198:BD$204, MATCH("Effective "&amp;BD220&amp;" Res", $A$198:$A$204, 0), 1),"")</f>
        <v/>
      </c>
      <c r="BE228" s="103" t="str">
        <f t="shared" si="1095"/>
        <v/>
      </c>
      <c r="BF228" s="103" t="str">
        <f t="shared" ref="BF228:BG228" si="1096">IFERROR(INDEX(BF$198:BF$204, MATCH("Effective "&amp;BF220&amp;" Res", $A$198:$A$204, 0), 1),"")</f>
        <v/>
      </c>
      <c r="BG228" s="103" t="str">
        <f t="shared" si="1096"/>
        <v/>
      </c>
      <c r="BH228" s="103" t="str">
        <f t="shared" ref="BH228" si="1097">IFERROR(INDEX(BH$198:BH$204, MATCH("Effective "&amp;BH220&amp;" Res", $A$198:$A$204, 0), 1),"")</f>
        <v/>
      </c>
      <c r="BI228" s="103"/>
      <c r="BJ228" s="103"/>
      <c r="BK228" s="103"/>
      <c r="BL228" s="103"/>
      <c r="BM228" s="103"/>
      <c r="BN228" s="103"/>
      <c r="BO228" s="103"/>
      <c r="BP228" s="103"/>
      <c r="BQ228" s="103"/>
      <c r="BR228" s="103"/>
      <c r="BS228" s="103"/>
      <c r="BT228" s="103"/>
      <c r="BU228" s="103"/>
      <c r="BV228" s="103"/>
      <c r="BW228" s="103"/>
      <c r="BX228" s="103"/>
      <c r="BY228" s="103"/>
      <c r="BZ228" s="103"/>
      <c r="CA228" s="103"/>
      <c r="CB228" s="103"/>
      <c r="CC228" s="103"/>
      <c r="CD228" s="103"/>
      <c r="CE228" s="103"/>
      <c r="CF228" s="103"/>
      <c r="CG228" s="103"/>
      <c r="CH228" s="103"/>
      <c r="CI228" s="103"/>
      <c r="CJ228" s="103"/>
      <c r="CK228" s="103"/>
      <c r="CL228" s="103"/>
      <c r="CM228" s="103"/>
      <c r="CN228" s="103"/>
      <c r="CO228" s="103"/>
      <c r="CP228" s="103"/>
      <c r="CQ228" s="103"/>
      <c r="CR228" s="103"/>
      <c r="CS228" s="103"/>
      <c r="CT228" s="103"/>
      <c r="CU228" s="103"/>
      <c r="CV228" s="103"/>
      <c r="CW228" s="103"/>
      <c r="CX228" s="103"/>
      <c r="CY228" s="103"/>
      <c r="CZ228" s="103"/>
      <c r="DA228" s="103"/>
      <c r="DB228" s="103"/>
      <c r="DC228" s="103"/>
    </row>
    <row r="229" spans="1:107" hidden="1" outlineLevel="1" x14ac:dyDescent="0.25">
      <c r="A229" s="110" t="s">
        <v>0</v>
      </c>
      <c r="B229" s="103">
        <f t="shared" si="1028"/>
        <v>0.1</v>
      </c>
      <c r="C229" s="103">
        <f t="shared" si="1029"/>
        <v>0.1</v>
      </c>
      <c r="D229" s="103">
        <f t="shared" si="1029"/>
        <v>0.1</v>
      </c>
      <c r="E229" s="103">
        <f t="shared" ref="E229" si="1098">IFERROR(INDEX(E$198:E$204, MATCH("Effective "&amp;E221&amp;" Res", $A$198:$A$204, 0), 1),"")</f>
        <v>0.1</v>
      </c>
      <c r="F229" s="103">
        <f t="shared" si="1029"/>
        <v>0.1</v>
      </c>
      <c r="G229" s="103">
        <f t="shared" si="1031"/>
        <v>0.1</v>
      </c>
      <c r="H229" s="103">
        <f t="shared" si="1032"/>
        <v>-0.15000000000000002</v>
      </c>
      <c r="I229" s="103">
        <f t="shared" ref="I229:K229" si="1099">IFERROR(INDEX(I$198:I$204, MATCH("Effective "&amp;I221&amp;" Res", $A$198:$A$204, 0), 1),"")</f>
        <v>0.1</v>
      </c>
      <c r="J229" s="103">
        <f t="shared" si="1099"/>
        <v>0.1</v>
      </c>
      <c r="K229" s="103">
        <f t="shared" si="1099"/>
        <v>0.1</v>
      </c>
      <c r="L229" s="103">
        <f t="shared" ref="L229" si="1100">IFERROR(INDEX(L$198:L$204, MATCH("Effective "&amp;L221&amp;" Res", $A$198:$A$204, 0), 1),"")</f>
        <v>0.1</v>
      </c>
      <c r="M229" s="103">
        <f t="shared" si="1035"/>
        <v>0.1</v>
      </c>
      <c r="N229" s="103">
        <f t="shared" si="1035"/>
        <v>0.1</v>
      </c>
      <c r="O229" s="103">
        <f t="shared" si="1035"/>
        <v>-0.22000000000000003</v>
      </c>
      <c r="P229" s="103">
        <f t="shared" si="1035"/>
        <v>-0.22000000000000003</v>
      </c>
      <c r="Q229" s="103">
        <f t="shared" si="1035"/>
        <v>-0.22000000000000003</v>
      </c>
      <c r="R229" s="103">
        <f t="shared" ref="R229:AZ229" si="1101">IFERROR(INDEX(R$198:R$204, MATCH("Effective "&amp;R221&amp;" Res", $A$198:$A$204, 0), 1),"")</f>
        <v>0.1</v>
      </c>
      <c r="S229" s="103">
        <f t="shared" si="1101"/>
        <v>-0.22000000000000003</v>
      </c>
      <c r="T229" s="103">
        <f t="shared" si="1101"/>
        <v>0.1</v>
      </c>
      <c r="U229" s="103">
        <f t="shared" si="1101"/>
        <v>-0.22000000000000003</v>
      </c>
      <c r="V229" s="103">
        <f t="shared" ref="V229:W229" si="1102">IFERROR(INDEX(V$198:V$204, MATCH("Effective "&amp;V221&amp;" Res", $A$198:$A$204, 0), 1),"")</f>
        <v>-0.22000000000000003</v>
      </c>
      <c r="W229" s="103">
        <f t="shared" si="1102"/>
        <v>-0.22000000000000003</v>
      </c>
      <c r="X229" s="103">
        <f t="shared" ref="X229:Y229" si="1103">IFERROR(INDEX(X$198:X$204, MATCH("Effective "&amp;X221&amp;" Res", $A$198:$A$204, 0), 1),"")</f>
        <v>-0.22000000000000003</v>
      </c>
      <c r="Y229" s="103">
        <f t="shared" si="1103"/>
        <v>-0.22000000000000003</v>
      </c>
      <c r="Z229" s="103">
        <f t="shared" ref="Z229:AA229" si="1104">IFERROR(INDEX(Z$198:Z$204, MATCH("Effective "&amp;Z221&amp;" Res", $A$198:$A$204, 0), 1),"")</f>
        <v>-0.15000000000000002</v>
      </c>
      <c r="AA229" s="103">
        <f t="shared" si="1104"/>
        <v>-0.15000000000000002</v>
      </c>
      <c r="AB229" s="103">
        <f t="shared" si="1101"/>
        <v>0.1</v>
      </c>
      <c r="AC229" s="103">
        <f t="shared" si="1101"/>
        <v>0.1</v>
      </c>
      <c r="AD229" s="103">
        <f t="shared" si="1101"/>
        <v>0.1</v>
      </c>
      <c r="AE229" s="103">
        <f t="shared" si="1101"/>
        <v>-0.22000000000000003</v>
      </c>
      <c r="AF229" s="103">
        <f t="shared" si="1101"/>
        <v>-0.15000000000000002</v>
      </c>
      <c r="AG229" s="103">
        <f t="shared" ref="AG229:AI229" si="1105">IFERROR(INDEX(AG$198:AG$204, MATCH("Effective "&amp;AG221&amp;" Res", $A$198:$A$204, 0), 1),"")</f>
        <v>-0.15000000000000002</v>
      </c>
      <c r="AH229" s="103">
        <f t="shared" si="1105"/>
        <v>-0.15000000000000002</v>
      </c>
      <c r="AI229" s="103">
        <f t="shared" si="1105"/>
        <v>-0.15000000000000002</v>
      </c>
      <c r="AJ229" s="103" t="str">
        <f t="shared" si="1101"/>
        <v/>
      </c>
      <c r="AK229" s="103" t="str">
        <f t="shared" si="1101"/>
        <v/>
      </c>
      <c r="AL229" s="103" t="str">
        <f t="shared" si="1101"/>
        <v/>
      </c>
      <c r="AM229" s="103" t="str">
        <f t="shared" si="1101"/>
        <v/>
      </c>
      <c r="AN229" s="103" t="str">
        <f t="shared" si="1101"/>
        <v/>
      </c>
      <c r="AO229" s="103" t="str">
        <f t="shared" si="1101"/>
        <v/>
      </c>
      <c r="AP229" s="103" t="str">
        <f t="shared" si="1101"/>
        <v/>
      </c>
      <c r="AQ229" s="103" t="str">
        <f t="shared" si="1101"/>
        <v/>
      </c>
      <c r="AR229" s="103" t="str">
        <f t="shared" si="1101"/>
        <v/>
      </c>
      <c r="AS229" s="103" t="str">
        <f t="shared" si="1101"/>
        <v/>
      </c>
      <c r="AT229" s="103" t="str">
        <f t="shared" si="1101"/>
        <v/>
      </c>
      <c r="AU229" s="103" t="str">
        <f t="shared" si="1101"/>
        <v/>
      </c>
      <c r="AV229" s="103" t="str">
        <f t="shared" si="1101"/>
        <v/>
      </c>
      <c r="AW229" s="103" t="str">
        <f t="shared" si="1101"/>
        <v/>
      </c>
      <c r="AX229" s="103" t="str">
        <f t="shared" si="1101"/>
        <v/>
      </c>
      <c r="AY229" s="103" t="str">
        <f t="shared" si="1101"/>
        <v/>
      </c>
      <c r="AZ229" s="103" t="str">
        <f t="shared" si="1101"/>
        <v/>
      </c>
      <c r="BA229" s="103" t="str">
        <f t="shared" ref="BA229:BC229" si="1106">IFERROR(INDEX(BA$198:BA$204, MATCH("Effective "&amp;BA221&amp;" Res", $A$198:$A$204, 0), 1),"")</f>
        <v/>
      </c>
      <c r="BB229" s="103" t="str">
        <f t="shared" ref="BB229" si="1107">IFERROR(INDEX(BB$198:BB$204, MATCH("Effective "&amp;BB221&amp;" Res", $A$198:$A$204, 0), 1),"")</f>
        <v/>
      </c>
      <c r="BC229" s="103" t="str">
        <f t="shared" si="1106"/>
        <v/>
      </c>
      <c r="BD229" s="103" t="str">
        <f t="shared" ref="BD229:BE229" si="1108">IFERROR(INDEX(BD$198:BD$204, MATCH("Effective "&amp;BD221&amp;" Res", $A$198:$A$204, 0), 1),"")</f>
        <v/>
      </c>
      <c r="BE229" s="103" t="str">
        <f t="shared" si="1108"/>
        <v/>
      </c>
      <c r="BF229" s="103" t="str">
        <f t="shared" ref="BF229:BG229" si="1109">IFERROR(INDEX(BF$198:BF$204, MATCH("Effective "&amp;BF221&amp;" Res", $A$198:$A$204, 0), 1),"")</f>
        <v/>
      </c>
      <c r="BG229" s="103" t="str">
        <f t="shared" si="1109"/>
        <v/>
      </c>
      <c r="BH229" s="103" t="str">
        <f t="shared" ref="BH229" si="1110">IFERROR(INDEX(BH$198:BH$204, MATCH("Effective "&amp;BH221&amp;" Res", $A$198:$A$204, 0), 1),"")</f>
        <v/>
      </c>
      <c r="BI229" s="103"/>
      <c r="BJ229" s="103"/>
      <c r="BK229" s="103"/>
      <c r="BL229" s="103"/>
      <c r="BM229" s="103"/>
      <c r="BN229" s="103"/>
      <c r="BO229" s="103"/>
      <c r="BP229" s="103"/>
      <c r="BQ229" s="103"/>
      <c r="BR229" s="103"/>
      <c r="BS229" s="103"/>
      <c r="BT229" s="103"/>
      <c r="BU229" s="103"/>
      <c r="BV229" s="103"/>
      <c r="BW229" s="103"/>
      <c r="BX229" s="103"/>
      <c r="BY229" s="103"/>
      <c r="BZ229" s="103"/>
      <c r="CA229" s="103"/>
      <c r="CB229" s="103"/>
      <c r="CC229" s="103"/>
      <c r="CD229" s="103"/>
      <c r="CE229" s="103"/>
      <c r="CF229" s="103"/>
      <c r="CG229" s="103"/>
      <c r="CH229" s="103"/>
      <c r="CI229" s="103"/>
      <c r="CJ229" s="103"/>
      <c r="CK229" s="103"/>
      <c r="CL229" s="103"/>
      <c r="CM229" s="103"/>
      <c r="CN229" s="103"/>
      <c r="CO229" s="103"/>
      <c r="CP229" s="103"/>
      <c r="CQ229" s="103"/>
      <c r="CR229" s="103"/>
      <c r="CS229" s="103"/>
      <c r="CT229" s="103"/>
      <c r="CU229" s="103"/>
      <c r="CV229" s="103"/>
      <c r="CW229" s="103"/>
      <c r="CX229" s="103"/>
      <c r="CY229" s="103"/>
      <c r="CZ229" s="103"/>
      <c r="DA229" s="103"/>
      <c r="DB229" s="103"/>
      <c r="DC229" s="103"/>
    </row>
    <row r="230" spans="1:107" hidden="1" outlineLevel="1" x14ac:dyDescent="0.25">
      <c r="A230" s="110" t="s">
        <v>24</v>
      </c>
      <c r="B230" s="103">
        <f t="shared" si="1028"/>
        <v>0.1</v>
      </c>
      <c r="C230" s="103">
        <f t="shared" si="1029"/>
        <v>0.1</v>
      </c>
      <c r="D230" s="103">
        <f t="shared" si="1029"/>
        <v>0.1</v>
      </c>
      <c r="E230" s="103">
        <f t="shared" ref="E230" si="1111">IFERROR(INDEX(E$198:E$204, MATCH("Effective "&amp;E222&amp;" Res", $A$198:$A$204, 0), 1),"")</f>
        <v>-0.15000000000000002</v>
      </c>
      <c r="F230" s="103">
        <f t="shared" si="1029"/>
        <v>-0.15000000000000002</v>
      </c>
      <c r="G230" s="103">
        <f t="shared" si="1031"/>
        <v>-0.15000000000000002</v>
      </c>
      <c r="H230" s="103">
        <f t="shared" si="1032"/>
        <v>-0.15000000000000002</v>
      </c>
      <c r="I230" s="103">
        <f t="shared" ref="I230:K230" si="1112">IFERROR(INDEX(I$198:I$204, MATCH("Effective "&amp;I222&amp;" Res", $A$198:$A$204, 0), 1),"")</f>
        <v>-0.15000000000000002</v>
      </c>
      <c r="J230" s="103">
        <f t="shared" si="1112"/>
        <v>-0.22000000000000003</v>
      </c>
      <c r="K230" s="103">
        <f t="shared" si="1112"/>
        <v>-0.22000000000000003</v>
      </c>
      <c r="L230" s="103">
        <f t="shared" ref="L230" si="1113">IFERROR(INDEX(L$198:L$204, MATCH("Effective "&amp;L222&amp;" Res", $A$198:$A$204, 0), 1),"")</f>
        <v>-0.22000000000000003</v>
      </c>
      <c r="M230" s="103">
        <f t="shared" si="1035"/>
        <v>-0.22000000000000003</v>
      </c>
      <c r="N230" s="103">
        <f t="shared" si="1035"/>
        <v>-0.15000000000000002</v>
      </c>
      <c r="O230" s="103">
        <f t="shared" si="1035"/>
        <v>-0.22000000000000003</v>
      </c>
      <c r="P230" s="103">
        <f t="shared" si="1035"/>
        <v>-0.22000000000000003</v>
      </c>
      <c r="Q230" s="103">
        <f t="shared" si="1035"/>
        <v>-0.22000000000000003</v>
      </c>
      <c r="R230" s="103">
        <f t="shared" ref="R230:AZ230" si="1114">IFERROR(INDEX(R$198:R$204, MATCH("Effective "&amp;R222&amp;" Res", $A$198:$A$204, 0), 1),"")</f>
        <v>0.1</v>
      </c>
      <c r="S230" s="103">
        <f t="shared" si="1114"/>
        <v>-0.22000000000000003</v>
      </c>
      <c r="T230" s="103">
        <f t="shared" si="1114"/>
        <v>0.1</v>
      </c>
      <c r="U230" s="103">
        <f t="shared" si="1114"/>
        <v>-0.22000000000000003</v>
      </c>
      <c r="V230" s="103">
        <f t="shared" ref="V230:W230" si="1115">IFERROR(INDEX(V$198:V$204, MATCH("Effective "&amp;V222&amp;" Res", $A$198:$A$204, 0), 1),"")</f>
        <v>-0.22000000000000003</v>
      </c>
      <c r="W230" s="103">
        <f t="shared" si="1115"/>
        <v>-0.22000000000000003</v>
      </c>
      <c r="X230" s="103">
        <f t="shared" ref="X230:Y230" si="1116">IFERROR(INDEX(X$198:X$204, MATCH("Effective "&amp;X222&amp;" Res", $A$198:$A$204, 0), 1),"")</f>
        <v>-0.22000000000000003</v>
      </c>
      <c r="Y230" s="103">
        <f t="shared" si="1116"/>
        <v>-0.22000000000000003</v>
      </c>
      <c r="Z230" s="103">
        <f t="shared" ref="Z230:AA230" si="1117">IFERROR(INDEX(Z$198:Z$204, MATCH("Effective "&amp;Z222&amp;" Res", $A$198:$A$204, 0), 1),"")</f>
        <v>-0.15000000000000002</v>
      </c>
      <c r="AA230" s="103">
        <f t="shared" si="1117"/>
        <v>-0.15000000000000002</v>
      </c>
      <c r="AB230" s="103">
        <f t="shared" si="1114"/>
        <v>0.1</v>
      </c>
      <c r="AC230" s="103">
        <f t="shared" si="1114"/>
        <v>0.1</v>
      </c>
      <c r="AD230" s="103">
        <f t="shared" si="1114"/>
        <v>-0.22000000000000003</v>
      </c>
      <c r="AE230" s="103">
        <f t="shared" si="1114"/>
        <v>-0.22000000000000003</v>
      </c>
      <c r="AF230" s="103">
        <f t="shared" si="1114"/>
        <v>-0.15000000000000002</v>
      </c>
      <c r="AG230" s="103">
        <f t="shared" ref="AG230:AI230" si="1118">IFERROR(INDEX(AG$198:AG$204, MATCH("Effective "&amp;AG222&amp;" Res", $A$198:$A$204, 0), 1),"")</f>
        <v>-0.15000000000000002</v>
      </c>
      <c r="AH230" s="103">
        <f t="shared" si="1118"/>
        <v>-0.15000000000000002</v>
      </c>
      <c r="AI230" s="103">
        <f t="shared" si="1118"/>
        <v>-0.15000000000000002</v>
      </c>
      <c r="AJ230" s="103" t="str">
        <f t="shared" si="1114"/>
        <v/>
      </c>
      <c r="AK230" s="103" t="str">
        <f t="shared" si="1114"/>
        <v/>
      </c>
      <c r="AL230" s="103" t="str">
        <f t="shared" si="1114"/>
        <v/>
      </c>
      <c r="AM230" s="103" t="str">
        <f t="shared" si="1114"/>
        <v/>
      </c>
      <c r="AN230" s="103" t="str">
        <f t="shared" si="1114"/>
        <v/>
      </c>
      <c r="AO230" s="103" t="str">
        <f t="shared" si="1114"/>
        <v/>
      </c>
      <c r="AP230" s="103" t="str">
        <f t="shared" si="1114"/>
        <v/>
      </c>
      <c r="AQ230" s="103" t="str">
        <f t="shared" si="1114"/>
        <v/>
      </c>
      <c r="AR230" s="103" t="str">
        <f t="shared" si="1114"/>
        <v/>
      </c>
      <c r="AS230" s="103" t="str">
        <f t="shared" si="1114"/>
        <v/>
      </c>
      <c r="AT230" s="103" t="str">
        <f t="shared" si="1114"/>
        <v/>
      </c>
      <c r="AU230" s="103" t="str">
        <f t="shared" si="1114"/>
        <v/>
      </c>
      <c r="AV230" s="103" t="str">
        <f t="shared" si="1114"/>
        <v/>
      </c>
      <c r="AW230" s="103" t="str">
        <f t="shared" si="1114"/>
        <v/>
      </c>
      <c r="AX230" s="103" t="str">
        <f t="shared" si="1114"/>
        <v/>
      </c>
      <c r="AY230" s="103" t="str">
        <f t="shared" si="1114"/>
        <v/>
      </c>
      <c r="AZ230" s="103" t="str">
        <f t="shared" si="1114"/>
        <v/>
      </c>
      <c r="BA230" s="103" t="str">
        <f t="shared" ref="BA230:BC230" si="1119">IFERROR(INDEX(BA$198:BA$204, MATCH("Effective "&amp;BA222&amp;" Res", $A$198:$A$204, 0), 1),"")</f>
        <v/>
      </c>
      <c r="BB230" s="103" t="str">
        <f t="shared" ref="BB230" si="1120">IFERROR(INDEX(BB$198:BB$204, MATCH("Effective "&amp;BB222&amp;" Res", $A$198:$A$204, 0), 1),"")</f>
        <v/>
      </c>
      <c r="BC230" s="103" t="str">
        <f t="shared" si="1119"/>
        <v/>
      </c>
      <c r="BD230" s="103" t="str">
        <f t="shared" ref="BD230:BE230" si="1121">IFERROR(INDEX(BD$198:BD$204, MATCH("Effective "&amp;BD222&amp;" Res", $A$198:$A$204, 0), 1),"")</f>
        <v/>
      </c>
      <c r="BE230" s="103" t="str">
        <f t="shared" si="1121"/>
        <v/>
      </c>
      <c r="BF230" s="103" t="str">
        <f t="shared" ref="BF230:BG230" si="1122">IFERROR(INDEX(BF$198:BF$204, MATCH("Effective "&amp;BF222&amp;" Res", $A$198:$A$204, 0), 1),"")</f>
        <v/>
      </c>
      <c r="BG230" s="103" t="str">
        <f t="shared" si="1122"/>
        <v/>
      </c>
      <c r="BH230" s="103" t="str">
        <f t="shared" ref="BH230" si="1123">IFERROR(INDEX(BH$198:BH$204, MATCH("Effective "&amp;BH222&amp;" Res", $A$198:$A$204, 0), 1),"")</f>
        <v/>
      </c>
      <c r="BI230" s="103"/>
      <c r="BJ230" s="103"/>
      <c r="BK230" s="103"/>
      <c r="BL230" s="103"/>
      <c r="BM230" s="103"/>
      <c r="BN230" s="103"/>
      <c r="BO230" s="103"/>
      <c r="BP230" s="103"/>
      <c r="BQ230" s="103"/>
      <c r="BR230" s="103"/>
      <c r="BS230" s="103"/>
      <c r="BT230" s="103"/>
      <c r="BU230" s="103"/>
      <c r="BV230" s="103"/>
      <c r="BW230" s="103"/>
      <c r="BX230" s="103"/>
      <c r="BY230" s="103"/>
      <c r="BZ230" s="103"/>
      <c r="CA230" s="103"/>
      <c r="CB230" s="103"/>
      <c r="CC230" s="103"/>
      <c r="CD230" s="103"/>
      <c r="CE230" s="103"/>
      <c r="CF230" s="103"/>
      <c r="CG230" s="103"/>
      <c r="CH230" s="103"/>
      <c r="CI230" s="103"/>
      <c r="CJ230" s="103"/>
      <c r="CK230" s="103"/>
      <c r="CL230" s="103"/>
      <c r="CM230" s="103"/>
      <c r="CN230" s="103"/>
      <c r="CO230" s="103"/>
      <c r="CP230" s="103"/>
      <c r="CQ230" s="103"/>
      <c r="CR230" s="103"/>
      <c r="CS230" s="103"/>
      <c r="CT230" s="103"/>
      <c r="CU230" s="103"/>
      <c r="CV230" s="103"/>
      <c r="CW230" s="103"/>
      <c r="CX230" s="103"/>
      <c r="CY230" s="103"/>
      <c r="CZ230" s="103"/>
      <c r="DA230" s="103"/>
      <c r="DB230" s="103"/>
      <c r="DC230" s="103"/>
    </row>
    <row r="231" spans="1:107" s="113" customFormat="1" hidden="1" outlineLevel="1" x14ac:dyDescent="0.25">
      <c r="A231" s="112" t="s">
        <v>665</v>
      </c>
    </row>
    <row r="232" spans="1:107" hidden="1" outlineLevel="1" x14ac:dyDescent="0.25">
      <c r="A232" s="110" t="s">
        <v>666</v>
      </c>
      <c r="B232" s="103">
        <f t="shared" ref="B232:G232" si="1124">IF(B154="", 0, B154)</f>
        <v>0</v>
      </c>
      <c r="C232" s="103">
        <f t="shared" si="1124"/>
        <v>0</v>
      </c>
      <c r="D232" s="103">
        <f t="shared" si="1124"/>
        <v>0</v>
      </c>
      <c r="E232" s="103">
        <f t="shared" ref="E232" si="1125">IF(E154="", 0, E154)</f>
        <v>0</v>
      </c>
      <c r="F232" s="103">
        <f t="shared" si="1124"/>
        <v>0</v>
      </c>
      <c r="G232" s="103">
        <f t="shared" si="1124"/>
        <v>0</v>
      </c>
      <c r="H232" s="103">
        <f>IF(H154="", 0, H154)</f>
        <v>0</v>
      </c>
      <c r="I232" s="103">
        <f t="shared" ref="I232:K232" si="1126">IF(I154="", 0, I154)</f>
        <v>0</v>
      </c>
      <c r="J232" s="103">
        <f t="shared" si="1126"/>
        <v>0</v>
      </c>
      <c r="K232" s="103">
        <f t="shared" si="1126"/>
        <v>0</v>
      </c>
      <c r="L232" s="103">
        <f t="shared" ref="L232" si="1127">IF(L154="", 0, L154)</f>
        <v>0.57999999999999996</v>
      </c>
      <c r="M232" s="103">
        <f t="shared" ref="M232" si="1128">IF(M154="", 0, M154)</f>
        <v>0</v>
      </c>
      <c r="N232" s="103">
        <f>IF(N154="", 0, N154)</f>
        <v>0</v>
      </c>
      <c r="O232" s="103">
        <f>IF(O154="", 0, O154)</f>
        <v>0</v>
      </c>
      <c r="P232" s="103">
        <f>IF(P154="", 0, P154)</f>
        <v>0</v>
      </c>
      <c r="Q232" s="103">
        <f>IF(Q154="", 0, Q154)</f>
        <v>0.57999999999999996</v>
      </c>
      <c r="R232" s="103">
        <f t="shared" ref="R232:AZ232" si="1129">IF(R154="", 0, R154)</f>
        <v>0</v>
      </c>
      <c r="S232" s="103">
        <f t="shared" si="1129"/>
        <v>0</v>
      </c>
      <c r="T232" s="103">
        <f t="shared" si="1129"/>
        <v>0</v>
      </c>
      <c r="U232" s="103">
        <f t="shared" si="1129"/>
        <v>0</v>
      </c>
      <c r="V232" s="103">
        <f t="shared" ref="V232:W232" si="1130">IF(V154="", 0, V154)</f>
        <v>0</v>
      </c>
      <c r="W232" s="103">
        <f t="shared" si="1130"/>
        <v>0.57999999999999996</v>
      </c>
      <c r="X232" s="103">
        <f t="shared" ref="X232:Y232" si="1131">IF(X154="", 0, X154)</f>
        <v>0.57999999999999996</v>
      </c>
      <c r="Y232" s="103">
        <f t="shared" si="1131"/>
        <v>0.57999999999999996</v>
      </c>
      <c r="Z232" s="103">
        <f t="shared" ref="Z232:AA232" si="1132">IF(Z154="", 0, Z154)</f>
        <v>0.57999999999999996</v>
      </c>
      <c r="AA232" s="103">
        <f t="shared" si="1132"/>
        <v>0</v>
      </c>
      <c r="AB232" s="103">
        <f t="shared" si="1129"/>
        <v>0.57999999999999996</v>
      </c>
      <c r="AC232" s="103">
        <f t="shared" si="1129"/>
        <v>0.57999999999999996</v>
      </c>
      <c r="AD232" s="103">
        <f t="shared" si="1129"/>
        <v>0</v>
      </c>
      <c r="AE232" s="103">
        <f t="shared" si="1129"/>
        <v>0.57999999999999996</v>
      </c>
      <c r="AF232" s="103">
        <f t="shared" si="1129"/>
        <v>0.57999999999999996</v>
      </c>
      <c r="AG232" s="103">
        <f t="shared" ref="AG232:AI232" si="1133">IF(AG154="", 0, AG154)</f>
        <v>0.57999999999999996</v>
      </c>
      <c r="AH232" s="103">
        <f t="shared" si="1133"/>
        <v>0</v>
      </c>
      <c r="AI232" s="103">
        <f t="shared" si="1133"/>
        <v>0</v>
      </c>
      <c r="AJ232" s="103" t="e">
        <f t="shared" si="1129"/>
        <v>#N/A</v>
      </c>
      <c r="AK232" s="103" t="e">
        <f t="shared" si="1129"/>
        <v>#N/A</v>
      </c>
      <c r="AL232" s="103" t="e">
        <f t="shared" si="1129"/>
        <v>#N/A</v>
      </c>
      <c r="AM232" s="103" t="e">
        <f t="shared" si="1129"/>
        <v>#N/A</v>
      </c>
      <c r="AN232" s="103" t="e">
        <f t="shared" si="1129"/>
        <v>#N/A</v>
      </c>
      <c r="AO232" s="103" t="e">
        <f t="shared" si="1129"/>
        <v>#N/A</v>
      </c>
      <c r="AP232" s="103" t="e">
        <f t="shared" si="1129"/>
        <v>#N/A</v>
      </c>
      <c r="AQ232" s="103" t="e">
        <f t="shared" si="1129"/>
        <v>#N/A</v>
      </c>
      <c r="AR232" s="103" t="e">
        <f t="shared" si="1129"/>
        <v>#N/A</v>
      </c>
      <c r="AS232" s="103" t="e">
        <f t="shared" si="1129"/>
        <v>#N/A</v>
      </c>
      <c r="AT232" s="103" t="e">
        <f t="shared" si="1129"/>
        <v>#N/A</v>
      </c>
      <c r="AU232" s="103" t="e">
        <f t="shared" si="1129"/>
        <v>#N/A</v>
      </c>
      <c r="AV232" s="103" t="e">
        <f t="shared" si="1129"/>
        <v>#N/A</v>
      </c>
      <c r="AW232" s="103" t="e">
        <f t="shared" si="1129"/>
        <v>#N/A</v>
      </c>
      <c r="AX232" s="103" t="e">
        <f t="shared" si="1129"/>
        <v>#N/A</v>
      </c>
      <c r="AY232" s="103" t="e">
        <f t="shared" si="1129"/>
        <v>#N/A</v>
      </c>
      <c r="AZ232" s="103" t="e">
        <f t="shared" si="1129"/>
        <v>#N/A</v>
      </c>
      <c r="BA232" s="103" t="e">
        <f t="shared" ref="BA232:BC232" si="1134">IF(BA154="", 0, BA154)</f>
        <v>#N/A</v>
      </c>
      <c r="BB232" s="103" t="e">
        <f t="shared" ref="BB232" si="1135">IF(BB154="", 0, BB154)</f>
        <v>#N/A</v>
      </c>
      <c r="BC232" s="103" t="e">
        <f t="shared" si="1134"/>
        <v>#N/A</v>
      </c>
      <c r="BD232" s="103" t="e">
        <f t="shared" ref="BD232:BE232" si="1136">IF(BD154="", 0, BD154)</f>
        <v>#N/A</v>
      </c>
      <c r="BE232" s="103" t="e">
        <f t="shared" si="1136"/>
        <v>#N/A</v>
      </c>
      <c r="BF232" s="103" t="e">
        <f t="shared" ref="BF232:BG232" si="1137">IF(BF154="", 0, BF154)</f>
        <v>#N/A</v>
      </c>
      <c r="BG232" s="103" t="e">
        <f t="shared" si="1137"/>
        <v>#N/A</v>
      </c>
      <c r="BH232" s="103" t="e">
        <f t="shared" ref="BH232" si="1138">IF(BH154="", 0, BH154)</f>
        <v>#N/A</v>
      </c>
      <c r="BI232" s="103"/>
      <c r="BJ232" s="103"/>
      <c r="BK232" s="103"/>
      <c r="BL232" s="103"/>
      <c r="BM232" s="103"/>
      <c r="BN232" s="103"/>
      <c r="BO232" s="103"/>
      <c r="BP232" s="103"/>
      <c r="BQ232" s="103"/>
      <c r="BR232" s="103"/>
      <c r="BS232" s="103"/>
      <c r="BT232" s="103"/>
      <c r="BU232" s="103"/>
      <c r="BV232" s="103"/>
      <c r="BW232" s="103"/>
      <c r="BX232" s="103"/>
      <c r="BY232" s="103"/>
      <c r="BZ232" s="103"/>
      <c r="CA232" s="103"/>
      <c r="CB232" s="103"/>
      <c r="CC232" s="103"/>
      <c r="CD232" s="103"/>
      <c r="CE232" s="103"/>
      <c r="CF232" s="103"/>
      <c r="CG232" s="103"/>
      <c r="CH232" s="103"/>
      <c r="CI232" s="103"/>
      <c r="CJ232" s="103"/>
      <c r="CK232" s="103"/>
      <c r="CL232" s="103"/>
      <c r="CM232" s="103"/>
      <c r="CN232" s="103"/>
      <c r="CO232" s="103"/>
      <c r="CP232" s="103"/>
      <c r="CQ232" s="103"/>
      <c r="CR232" s="103"/>
      <c r="CS232" s="103"/>
      <c r="CT232" s="103"/>
      <c r="CU232" s="103"/>
      <c r="CV232" s="103"/>
      <c r="CW232" s="103"/>
      <c r="CX232" s="103"/>
      <c r="CY232" s="103"/>
      <c r="CZ232" s="103"/>
      <c r="DA232" s="103"/>
      <c r="DB232" s="103"/>
      <c r="DC232" s="103"/>
    </row>
    <row r="233" spans="1:107" hidden="1" outlineLevel="1" x14ac:dyDescent="0.25">
      <c r="A233" s="110" t="s">
        <v>77</v>
      </c>
      <c r="B233" s="103">
        <f t="shared" ref="B233:F237" si="1139">IF(B162="", 0, B162)</f>
        <v>0</v>
      </c>
      <c r="C233" s="103">
        <f t="shared" si="1139"/>
        <v>0</v>
      </c>
      <c r="D233" s="103">
        <f t="shared" si="1139"/>
        <v>0</v>
      </c>
      <c r="E233" s="103">
        <f t="shared" ref="E233" si="1140">IF(E162="", 0, E162)</f>
        <v>0</v>
      </c>
      <c r="F233" s="103">
        <f t="shared" si="1139"/>
        <v>0</v>
      </c>
      <c r="G233" s="103">
        <f t="shared" ref="G233:G237" si="1141">IF(G162="", 0, G162)</f>
        <v>0</v>
      </c>
      <c r="H233" s="103">
        <f>IF(H162="", 0, H162)</f>
        <v>0</v>
      </c>
      <c r="I233" s="103">
        <f t="shared" ref="I233:K233" si="1142">IF(I162="", 0, I162)</f>
        <v>0</v>
      </c>
      <c r="J233" s="103">
        <f t="shared" si="1142"/>
        <v>0</v>
      </c>
      <c r="K233" s="103">
        <f t="shared" si="1142"/>
        <v>0</v>
      </c>
      <c r="L233" s="103">
        <f t="shared" ref="L233" si="1143">IF(L162="", 0, L162)</f>
        <v>0</v>
      </c>
      <c r="M233" s="103">
        <f t="shared" ref="M233" si="1144">IF(M162="", 0, M162)</f>
        <v>0</v>
      </c>
      <c r="N233" s="103">
        <f t="shared" ref="N233:Q237" si="1145">IF(N162="", 0, N162)</f>
        <v>0</v>
      </c>
      <c r="O233" s="103">
        <f t="shared" si="1145"/>
        <v>0</v>
      </c>
      <c r="P233" s="103">
        <f t="shared" si="1145"/>
        <v>0</v>
      </c>
      <c r="Q233" s="103">
        <f t="shared" si="1145"/>
        <v>0</v>
      </c>
      <c r="R233" s="103">
        <f t="shared" ref="R233:AZ233" si="1146">IF(R162="", 0, R162)</f>
        <v>0</v>
      </c>
      <c r="S233" s="103">
        <f t="shared" si="1146"/>
        <v>0</v>
      </c>
      <c r="T233" s="103">
        <f t="shared" si="1146"/>
        <v>0</v>
      </c>
      <c r="U233" s="103">
        <f t="shared" si="1146"/>
        <v>0</v>
      </c>
      <c r="V233" s="103">
        <f t="shared" ref="V233:W233" si="1147">IF(V162="", 0, V162)</f>
        <v>0</v>
      </c>
      <c r="W233" s="103">
        <f t="shared" si="1147"/>
        <v>0</v>
      </c>
      <c r="X233" s="103">
        <f t="shared" ref="X233:Y233" si="1148">IF(X162="", 0, X162)</f>
        <v>0</v>
      </c>
      <c r="Y233" s="103">
        <f t="shared" si="1148"/>
        <v>0</v>
      </c>
      <c r="Z233" s="103">
        <f t="shared" ref="Z233:AA233" si="1149">IF(Z162="", 0, Z162)</f>
        <v>0</v>
      </c>
      <c r="AA233" s="103">
        <f t="shared" si="1149"/>
        <v>0</v>
      </c>
      <c r="AB233" s="103">
        <f t="shared" si="1146"/>
        <v>0</v>
      </c>
      <c r="AC233" s="103">
        <f t="shared" si="1146"/>
        <v>0</v>
      </c>
      <c r="AD233" s="103">
        <f t="shared" si="1146"/>
        <v>0</v>
      </c>
      <c r="AE233" s="103">
        <f t="shared" si="1146"/>
        <v>0</v>
      </c>
      <c r="AF233" s="103">
        <f t="shared" si="1146"/>
        <v>0</v>
      </c>
      <c r="AG233" s="103">
        <f t="shared" ref="AG233:AI233" si="1150">IF(AG162="", 0, AG162)</f>
        <v>0</v>
      </c>
      <c r="AH233" s="103">
        <f t="shared" si="1150"/>
        <v>0</v>
      </c>
      <c r="AI233" s="103">
        <f t="shared" si="1150"/>
        <v>0</v>
      </c>
      <c r="AJ233" s="103" t="e">
        <f t="shared" si="1146"/>
        <v>#N/A</v>
      </c>
      <c r="AK233" s="103" t="e">
        <f t="shared" si="1146"/>
        <v>#N/A</v>
      </c>
      <c r="AL233" s="103" t="e">
        <f t="shared" si="1146"/>
        <v>#N/A</v>
      </c>
      <c r="AM233" s="103" t="e">
        <f t="shared" si="1146"/>
        <v>#N/A</v>
      </c>
      <c r="AN233" s="103" t="e">
        <f t="shared" si="1146"/>
        <v>#N/A</v>
      </c>
      <c r="AO233" s="103" t="e">
        <f t="shared" si="1146"/>
        <v>#N/A</v>
      </c>
      <c r="AP233" s="103" t="e">
        <f t="shared" si="1146"/>
        <v>#N/A</v>
      </c>
      <c r="AQ233" s="103" t="e">
        <f t="shared" si="1146"/>
        <v>#N/A</v>
      </c>
      <c r="AR233" s="103" t="e">
        <f t="shared" si="1146"/>
        <v>#N/A</v>
      </c>
      <c r="AS233" s="103" t="e">
        <f t="shared" si="1146"/>
        <v>#N/A</v>
      </c>
      <c r="AT233" s="103" t="e">
        <f t="shared" si="1146"/>
        <v>#N/A</v>
      </c>
      <c r="AU233" s="103" t="e">
        <f t="shared" si="1146"/>
        <v>#N/A</v>
      </c>
      <c r="AV233" s="103" t="e">
        <f t="shared" si="1146"/>
        <v>#N/A</v>
      </c>
      <c r="AW233" s="103" t="e">
        <f t="shared" si="1146"/>
        <v>#N/A</v>
      </c>
      <c r="AX233" s="103" t="e">
        <f t="shared" si="1146"/>
        <v>#N/A</v>
      </c>
      <c r="AY233" s="103" t="e">
        <f t="shared" si="1146"/>
        <v>#N/A</v>
      </c>
      <c r="AZ233" s="103" t="e">
        <f t="shared" si="1146"/>
        <v>#N/A</v>
      </c>
      <c r="BA233" s="103" t="e">
        <f t="shared" ref="BA233:BC233" si="1151">IF(BA162="", 0, BA162)</f>
        <v>#N/A</v>
      </c>
      <c r="BB233" s="103" t="e">
        <f t="shared" ref="BB233" si="1152">IF(BB162="", 0, BB162)</f>
        <v>#N/A</v>
      </c>
      <c r="BC233" s="103" t="e">
        <f t="shared" si="1151"/>
        <v>#N/A</v>
      </c>
      <c r="BD233" s="103" t="e">
        <f t="shared" ref="BD233:BE233" si="1153">IF(BD162="", 0, BD162)</f>
        <v>#N/A</v>
      </c>
      <c r="BE233" s="103" t="e">
        <f t="shared" si="1153"/>
        <v>#N/A</v>
      </c>
      <c r="BF233" s="103" t="e">
        <f t="shared" ref="BF233:BG233" si="1154">IF(BF162="", 0, BF162)</f>
        <v>#N/A</v>
      </c>
      <c r="BG233" s="103" t="e">
        <f t="shared" si="1154"/>
        <v>#N/A</v>
      </c>
      <c r="BH233" s="103" t="e">
        <f t="shared" ref="BH233" si="1155">IF(BH162="", 0, BH162)</f>
        <v>#N/A</v>
      </c>
      <c r="BI233" s="103"/>
      <c r="BJ233" s="103"/>
      <c r="BK233" s="103"/>
      <c r="BL233" s="103"/>
      <c r="BM233" s="103"/>
      <c r="BN233" s="103"/>
      <c r="BO233" s="103"/>
      <c r="BP233" s="103"/>
      <c r="BQ233" s="103"/>
      <c r="BR233" s="103"/>
      <c r="BS233" s="103"/>
      <c r="BT233" s="103"/>
      <c r="BU233" s="103"/>
      <c r="BV233" s="103"/>
      <c r="BW233" s="103"/>
      <c r="BX233" s="103"/>
      <c r="BY233" s="103"/>
      <c r="BZ233" s="103"/>
      <c r="CA233" s="103"/>
      <c r="CB233" s="103"/>
      <c r="CC233" s="103"/>
      <c r="CD233" s="103"/>
      <c r="CE233" s="103"/>
      <c r="CF233" s="103"/>
      <c r="CG233" s="103"/>
      <c r="CH233" s="103"/>
      <c r="CI233" s="103"/>
      <c r="CJ233" s="103"/>
      <c r="CK233" s="103"/>
      <c r="CL233" s="103"/>
      <c r="CM233" s="103"/>
      <c r="CN233" s="103"/>
      <c r="CO233" s="103"/>
      <c r="CP233" s="103"/>
      <c r="CQ233" s="103"/>
      <c r="CR233" s="103"/>
      <c r="CS233" s="103"/>
      <c r="CT233" s="103"/>
      <c r="CU233" s="103"/>
      <c r="CV233" s="103"/>
      <c r="CW233" s="103"/>
      <c r="CX233" s="103"/>
      <c r="CY233" s="103"/>
      <c r="CZ233" s="103"/>
      <c r="DA233" s="103"/>
      <c r="DB233" s="103"/>
      <c r="DC233" s="103"/>
    </row>
    <row r="234" spans="1:107" hidden="1" outlineLevel="1" x14ac:dyDescent="0.25">
      <c r="A234" s="110" t="s">
        <v>78</v>
      </c>
      <c r="B234" s="103">
        <f t="shared" si="1139"/>
        <v>0</v>
      </c>
      <c r="C234" s="103">
        <f t="shared" si="1139"/>
        <v>0</v>
      </c>
      <c r="D234" s="103">
        <f t="shared" si="1139"/>
        <v>0</v>
      </c>
      <c r="E234" s="103">
        <f t="shared" ref="E234" si="1156">IF(E163="", 0, E163)</f>
        <v>0</v>
      </c>
      <c r="F234" s="103">
        <f t="shared" si="1139"/>
        <v>0</v>
      </c>
      <c r="G234" s="103">
        <f t="shared" si="1141"/>
        <v>0</v>
      </c>
      <c r="H234" s="103">
        <f>IF(H163="", 0, H163)</f>
        <v>0</v>
      </c>
      <c r="I234" s="103">
        <f t="shared" ref="I234:K234" si="1157">IF(I163="", 0, I163)</f>
        <v>0</v>
      </c>
      <c r="J234" s="103">
        <f t="shared" si="1157"/>
        <v>0</v>
      </c>
      <c r="K234" s="103">
        <f t="shared" si="1157"/>
        <v>0</v>
      </c>
      <c r="L234" s="103">
        <f t="shared" ref="L234" si="1158">IF(L163="", 0, L163)</f>
        <v>0</v>
      </c>
      <c r="M234" s="103">
        <f t="shared" ref="M234" si="1159">IF(M163="", 0, M163)</f>
        <v>0</v>
      </c>
      <c r="N234" s="103">
        <f t="shared" si="1145"/>
        <v>0</v>
      </c>
      <c r="O234" s="103">
        <f t="shared" si="1145"/>
        <v>0</v>
      </c>
      <c r="P234" s="103">
        <f t="shared" si="1145"/>
        <v>0</v>
      </c>
      <c r="Q234" s="103">
        <f t="shared" si="1145"/>
        <v>0</v>
      </c>
      <c r="R234" s="103">
        <f t="shared" ref="R234:AZ234" si="1160">IF(R163="", 0, R163)</f>
        <v>0</v>
      </c>
      <c r="S234" s="103">
        <f t="shared" si="1160"/>
        <v>0</v>
      </c>
      <c r="T234" s="103">
        <f t="shared" si="1160"/>
        <v>0</v>
      </c>
      <c r="U234" s="103">
        <f t="shared" si="1160"/>
        <v>0</v>
      </c>
      <c r="V234" s="103">
        <f t="shared" ref="V234:W234" si="1161">IF(V163="", 0, V163)</f>
        <v>0</v>
      </c>
      <c r="W234" s="103">
        <f t="shared" si="1161"/>
        <v>0</v>
      </c>
      <c r="X234" s="103">
        <f t="shared" ref="X234:Y234" si="1162">IF(X163="", 0, X163)</f>
        <v>0</v>
      </c>
      <c r="Y234" s="103">
        <f t="shared" si="1162"/>
        <v>0</v>
      </c>
      <c r="Z234" s="103">
        <f t="shared" ref="Z234:AA234" si="1163">IF(Z163="", 0, Z163)</f>
        <v>0</v>
      </c>
      <c r="AA234" s="103">
        <f t="shared" si="1163"/>
        <v>0</v>
      </c>
      <c r="AB234" s="103">
        <f t="shared" si="1160"/>
        <v>0</v>
      </c>
      <c r="AC234" s="103">
        <f t="shared" si="1160"/>
        <v>0</v>
      </c>
      <c r="AD234" s="103">
        <f t="shared" si="1160"/>
        <v>0</v>
      </c>
      <c r="AE234" s="103">
        <f t="shared" si="1160"/>
        <v>0</v>
      </c>
      <c r="AF234" s="103">
        <f t="shared" si="1160"/>
        <v>0</v>
      </c>
      <c r="AG234" s="103">
        <f t="shared" ref="AG234:AI234" si="1164">IF(AG163="", 0, AG163)</f>
        <v>0</v>
      </c>
      <c r="AH234" s="103">
        <f t="shared" si="1164"/>
        <v>0</v>
      </c>
      <c r="AI234" s="103">
        <f t="shared" si="1164"/>
        <v>0</v>
      </c>
      <c r="AJ234" s="103" t="e">
        <f t="shared" si="1160"/>
        <v>#N/A</v>
      </c>
      <c r="AK234" s="103" t="e">
        <f t="shared" si="1160"/>
        <v>#N/A</v>
      </c>
      <c r="AL234" s="103" t="e">
        <f t="shared" si="1160"/>
        <v>#N/A</v>
      </c>
      <c r="AM234" s="103" t="e">
        <f t="shared" si="1160"/>
        <v>#N/A</v>
      </c>
      <c r="AN234" s="103" t="e">
        <f t="shared" si="1160"/>
        <v>#N/A</v>
      </c>
      <c r="AO234" s="103" t="e">
        <f t="shared" si="1160"/>
        <v>#N/A</v>
      </c>
      <c r="AP234" s="103" t="e">
        <f t="shared" si="1160"/>
        <v>#N/A</v>
      </c>
      <c r="AQ234" s="103" t="e">
        <f t="shared" si="1160"/>
        <v>#N/A</v>
      </c>
      <c r="AR234" s="103" t="e">
        <f t="shared" si="1160"/>
        <v>#N/A</v>
      </c>
      <c r="AS234" s="103" t="e">
        <f t="shared" si="1160"/>
        <v>#N/A</v>
      </c>
      <c r="AT234" s="103" t="e">
        <f t="shared" si="1160"/>
        <v>#N/A</v>
      </c>
      <c r="AU234" s="103" t="e">
        <f t="shared" si="1160"/>
        <v>#N/A</v>
      </c>
      <c r="AV234" s="103" t="e">
        <f t="shared" si="1160"/>
        <v>#N/A</v>
      </c>
      <c r="AW234" s="103" t="e">
        <f t="shared" si="1160"/>
        <v>#N/A</v>
      </c>
      <c r="AX234" s="103" t="e">
        <f t="shared" si="1160"/>
        <v>#N/A</v>
      </c>
      <c r="AY234" s="103" t="e">
        <f t="shared" si="1160"/>
        <v>#N/A</v>
      </c>
      <c r="AZ234" s="103" t="e">
        <f t="shared" si="1160"/>
        <v>#N/A</v>
      </c>
      <c r="BA234" s="103" t="e">
        <f t="shared" ref="BA234:BC234" si="1165">IF(BA163="", 0, BA163)</f>
        <v>#N/A</v>
      </c>
      <c r="BB234" s="103" t="e">
        <f t="shared" ref="BB234" si="1166">IF(BB163="", 0, BB163)</f>
        <v>#N/A</v>
      </c>
      <c r="BC234" s="103" t="e">
        <f t="shared" si="1165"/>
        <v>#N/A</v>
      </c>
      <c r="BD234" s="103" t="e">
        <f t="shared" ref="BD234:BE234" si="1167">IF(BD163="", 0, BD163)</f>
        <v>#N/A</v>
      </c>
      <c r="BE234" s="103" t="e">
        <f t="shared" si="1167"/>
        <v>#N/A</v>
      </c>
      <c r="BF234" s="103" t="e">
        <f t="shared" ref="BF234:BG234" si="1168">IF(BF163="", 0, BF163)</f>
        <v>#N/A</v>
      </c>
      <c r="BG234" s="103" t="e">
        <f t="shared" si="1168"/>
        <v>#N/A</v>
      </c>
      <c r="BH234" s="103" t="e">
        <f t="shared" ref="BH234" si="1169">IF(BH163="", 0, BH163)</f>
        <v>#N/A</v>
      </c>
      <c r="BI234" s="103"/>
      <c r="BJ234" s="103"/>
      <c r="BK234" s="103"/>
      <c r="BL234" s="103"/>
      <c r="BM234" s="103"/>
      <c r="BN234" s="103"/>
      <c r="BO234" s="103"/>
      <c r="BP234" s="103"/>
      <c r="BQ234" s="103"/>
      <c r="BR234" s="103"/>
      <c r="BS234" s="103"/>
      <c r="BT234" s="103"/>
      <c r="BU234" s="103"/>
      <c r="BV234" s="103"/>
      <c r="BW234" s="103"/>
      <c r="BX234" s="103"/>
      <c r="BY234" s="103"/>
      <c r="BZ234" s="103"/>
      <c r="CA234" s="103"/>
      <c r="CB234" s="103"/>
      <c r="CC234" s="103"/>
      <c r="CD234" s="103"/>
      <c r="CE234" s="103"/>
      <c r="CF234" s="103"/>
      <c r="CG234" s="103"/>
      <c r="CH234" s="103"/>
      <c r="CI234" s="103"/>
      <c r="CJ234" s="103"/>
      <c r="CK234" s="103"/>
      <c r="CL234" s="103"/>
      <c r="CM234" s="103"/>
      <c r="CN234" s="103"/>
      <c r="CO234" s="103"/>
      <c r="CP234" s="103"/>
      <c r="CQ234" s="103"/>
      <c r="CR234" s="103"/>
      <c r="CS234" s="103"/>
      <c r="CT234" s="103"/>
      <c r="CU234" s="103"/>
      <c r="CV234" s="103"/>
      <c r="CW234" s="103"/>
      <c r="CX234" s="103"/>
      <c r="CY234" s="103"/>
      <c r="CZ234" s="103"/>
      <c r="DA234" s="103"/>
      <c r="DB234" s="103"/>
      <c r="DC234" s="103"/>
    </row>
    <row r="235" spans="1:107" hidden="1" outlineLevel="1" x14ac:dyDescent="0.25">
      <c r="A235" s="110" t="s">
        <v>667</v>
      </c>
      <c r="B235" s="103">
        <f t="shared" si="1139"/>
        <v>0</v>
      </c>
      <c r="C235" s="103">
        <f t="shared" si="1139"/>
        <v>0</v>
      </c>
      <c r="D235" s="103">
        <f t="shared" si="1139"/>
        <v>0</v>
      </c>
      <c r="E235" s="103">
        <f t="shared" ref="E235" si="1170">IF(E164="", 0, E164)</f>
        <v>0</v>
      </c>
      <c r="F235" s="103">
        <f t="shared" si="1139"/>
        <v>0</v>
      </c>
      <c r="G235" s="103">
        <f t="shared" si="1141"/>
        <v>0</v>
      </c>
      <c r="H235" s="103">
        <f>IF(H164="", 0, H164)</f>
        <v>0</v>
      </c>
      <c r="I235" s="103">
        <f t="shared" ref="I235:K235" si="1171">IF(I164="", 0, I164)</f>
        <v>0</v>
      </c>
      <c r="J235" s="103">
        <f t="shared" si="1171"/>
        <v>0</v>
      </c>
      <c r="K235" s="103">
        <f t="shared" si="1171"/>
        <v>0</v>
      </c>
      <c r="L235" s="103">
        <f t="shared" ref="L235" si="1172">IF(L164="", 0, L164)</f>
        <v>0</v>
      </c>
      <c r="M235" s="103">
        <f t="shared" ref="M235" si="1173">IF(M164="", 0, M164)</f>
        <v>0</v>
      </c>
      <c r="N235" s="103">
        <f t="shared" si="1145"/>
        <v>0</v>
      </c>
      <c r="O235" s="103">
        <f t="shared" si="1145"/>
        <v>0</v>
      </c>
      <c r="P235" s="103">
        <f t="shared" si="1145"/>
        <v>0</v>
      </c>
      <c r="Q235" s="103">
        <f t="shared" si="1145"/>
        <v>0</v>
      </c>
      <c r="R235" s="103">
        <f t="shared" ref="R235:AZ235" si="1174">IF(R164="", 0, R164)</f>
        <v>0</v>
      </c>
      <c r="S235" s="103">
        <f t="shared" si="1174"/>
        <v>0</v>
      </c>
      <c r="T235" s="103">
        <f t="shared" si="1174"/>
        <v>0</v>
      </c>
      <c r="U235" s="103">
        <f t="shared" si="1174"/>
        <v>0</v>
      </c>
      <c r="V235" s="103">
        <f t="shared" ref="V235:W235" si="1175">IF(V164="", 0, V164)</f>
        <v>0</v>
      </c>
      <c r="W235" s="103">
        <f t="shared" si="1175"/>
        <v>0</v>
      </c>
      <c r="X235" s="103">
        <f t="shared" ref="X235:Y235" si="1176">IF(X164="", 0, X164)</f>
        <v>0</v>
      </c>
      <c r="Y235" s="103">
        <f t="shared" si="1176"/>
        <v>0</v>
      </c>
      <c r="Z235" s="103">
        <f t="shared" ref="Z235:AA235" si="1177">IF(Z164="", 0, Z164)</f>
        <v>0</v>
      </c>
      <c r="AA235" s="103">
        <f t="shared" si="1177"/>
        <v>0</v>
      </c>
      <c r="AB235" s="103">
        <f t="shared" si="1174"/>
        <v>0</v>
      </c>
      <c r="AC235" s="103">
        <f t="shared" si="1174"/>
        <v>0</v>
      </c>
      <c r="AD235" s="103">
        <f t="shared" si="1174"/>
        <v>0</v>
      </c>
      <c r="AE235" s="103">
        <f t="shared" si="1174"/>
        <v>0</v>
      </c>
      <c r="AF235" s="103">
        <f t="shared" si="1174"/>
        <v>0</v>
      </c>
      <c r="AG235" s="103">
        <f t="shared" ref="AG235:AI235" si="1178">IF(AG164="", 0, AG164)</f>
        <v>0</v>
      </c>
      <c r="AH235" s="103">
        <f t="shared" si="1178"/>
        <v>0</v>
      </c>
      <c r="AI235" s="103">
        <f t="shared" si="1178"/>
        <v>0</v>
      </c>
      <c r="AJ235" s="103" t="e">
        <f t="shared" si="1174"/>
        <v>#N/A</v>
      </c>
      <c r="AK235" s="103" t="e">
        <f t="shared" si="1174"/>
        <v>#N/A</v>
      </c>
      <c r="AL235" s="103" t="e">
        <f t="shared" si="1174"/>
        <v>#N/A</v>
      </c>
      <c r="AM235" s="103" t="e">
        <f t="shared" si="1174"/>
        <v>#N/A</v>
      </c>
      <c r="AN235" s="103" t="e">
        <f t="shared" si="1174"/>
        <v>#N/A</v>
      </c>
      <c r="AO235" s="103" t="e">
        <f t="shared" si="1174"/>
        <v>#N/A</v>
      </c>
      <c r="AP235" s="103" t="e">
        <f t="shared" si="1174"/>
        <v>#N/A</v>
      </c>
      <c r="AQ235" s="103" t="e">
        <f t="shared" si="1174"/>
        <v>#N/A</v>
      </c>
      <c r="AR235" s="103" t="e">
        <f t="shared" si="1174"/>
        <v>#N/A</v>
      </c>
      <c r="AS235" s="103" t="e">
        <f t="shared" si="1174"/>
        <v>#N/A</v>
      </c>
      <c r="AT235" s="103" t="e">
        <f t="shared" si="1174"/>
        <v>#N/A</v>
      </c>
      <c r="AU235" s="103" t="e">
        <f t="shared" si="1174"/>
        <v>#N/A</v>
      </c>
      <c r="AV235" s="103" t="e">
        <f t="shared" si="1174"/>
        <v>#N/A</v>
      </c>
      <c r="AW235" s="103" t="e">
        <f t="shared" si="1174"/>
        <v>#N/A</v>
      </c>
      <c r="AX235" s="103" t="e">
        <f t="shared" si="1174"/>
        <v>#N/A</v>
      </c>
      <c r="AY235" s="103" t="e">
        <f t="shared" si="1174"/>
        <v>#N/A</v>
      </c>
      <c r="AZ235" s="103" t="e">
        <f t="shared" si="1174"/>
        <v>#N/A</v>
      </c>
      <c r="BA235" s="103" t="e">
        <f t="shared" ref="BA235:BC235" si="1179">IF(BA164="", 0, BA164)</f>
        <v>#N/A</v>
      </c>
      <c r="BB235" s="103" t="e">
        <f t="shared" ref="BB235" si="1180">IF(BB164="", 0, BB164)</f>
        <v>#N/A</v>
      </c>
      <c r="BC235" s="103" t="e">
        <f t="shared" si="1179"/>
        <v>#N/A</v>
      </c>
      <c r="BD235" s="103" t="e">
        <f t="shared" ref="BD235:BE235" si="1181">IF(BD164="", 0, BD164)</f>
        <v>#N/A</v>
      </c>
      <c r="BE235" s="103" t="e">
        <f t="shared" si="1181"/>
        <v>#N/A</v>
      </c>
      <c r="BF235" s="103" t="e">
        <f t="shared" ref="BF235:BG235" si="1182">IF(BF164="", 0, BF164)</f>
        <v>#N/A</v>
      </c>
      <c r="BG235" s="103" t="e">
        <f t="shared" si="1182"/>
        <v>#N/A</v>
      </c>
      <c r="BH235" s="103" t="e">
        <f t="shared" ref="BH235" si="1183">IF(BH164="", 0, BH164)</f>
        <v>#N/A</v>
      </c>
      <c r="BI235" s="103"/>
      <c r="BJ235" s="103"/>
      <c r="BK235" s="103"/>
      <c r="BL235" s="103"/>
      <c r="BM235" s="103"/>
      <c r="BN235" s="103"/>
      <c r="BO235" s="103"/>
      <c r="BP235" s="103"/>
      <c r="BQ235" s="103"/>
      <c r="BR235" s="103"/>
      <c r="BS235" s="103"/>
      <c r="BT235" s="103"/>
      <c r="BU235" s="103"/>
      <c r="BV235" s="103"/>
      <c r="BW235" s="103"/>
      <c r="BX235" s="103"/>
      <c r="BY235" s="103"/>
      <c r="BZ235" s="103"/>
      <c r="CA235" s="103"/>
      <c r="CB235" s="103"/>
      <c r="CC235" s="103"/>
      <c r="CD235" s="103"/>
      <c r="CE235" s="103"/>
      <c r="CF235" s="103"/>
      <c r="CG235" s="103"/>
      <c r="CH235" s="103"/>
      <c r="CI235" s="103"/>
      <c r="CJ235" s="103"/>
      <c r="CK235" s="103"/>
      <c r="CL235" s="103"/>
      <c r="CM235" s="103"/>
      <c r="CN235" s="103"/>
      <c r="CO235" s="103"/>
      <c r="CP235" s="103"/>
      <c r="CQ235" s="103"/>
      <c r="CR235" s="103"/>
      <c r="CS235" s="103"/>
      <c r="CT235" s="103"/>
      <c r="CU235" s="103"/>
      <c r="CV235" s="103"/>
      <c r="CW235" s="103"/>
      <c r="CX235" s="103"/>
      <c r="CY235" s="103"/>
      <c r="CZ235" s="103"/>
      <c r="DA235" s="103"/>
      <c r="DB235" s="103"/>
      <c r="DC235" s="103"/>
    </row>
    <row r="236" spans="1:107" hidden="1" outlineLevel="1" x14ac:dyDescent="0.25">
      <c r="A236" s="110" t="s">
        <v>80</v>
      </c>
      <c r="B236" s="103">
        <f t="shared" si="1139"/>
        <v>0</v>
      </c>
      <c r="C236" s="103">
        <f t="shared" si="1139"/>
        <v>0</v>
      </c>
      <c r="D236" s="103">
        <f t="shared" si="1139"/>
        <v>0</v>
      </c>
      <c r="E236" s="103">
        <f t="shared" ref="E236" si="1184">IF(E165="", 0, E165)</f>
        <v>0</v>
      </c>
      <c r="F236" s="103">
        <f t="shared" si="1139"/>
        <v>0</v>
      </c>
      <c r="G236" s="103">
        <f t="shared" si="1141"/>
        <v>0</v>
      </c>
      <c r="H236" s="103">
        <f>IF(H165="", 0, H165)</f>
        <v>0</v>
      </c>
      <c r="I236" s="103">
        <f t="shared" ref="I236:K236" si="1185">IF(I165="", 0, I165)</f>
        <v>0</v>
      </c>
      <c r="J236" s="103">
        <f t="shared" si="1185"/>
        <v>0</v>
      </c>
      <c r="K236" s="103">
        <f t="shared" si="1185"/>
        <v>0</v>
      </c>
      <c r="L236" s="103">
        <f t="shared" ref="L236" si="1186">IF(L165="", 0, L165)</f>
        <v>0</v>
      </c>
      <c r="M236" s="103">
        <f t="shared" ref="M236" si="1187">IF(M165="", 0, M165)</f>
        <v>0</v>
      </c>
      <c r="N236" s="103">
        <f t="shared" si="1145"/>
        <v>0</v>
      </c>
      <c r="O236" s="103">
        <f t="shared" si="1145"/>
        <v>0.15</v>
      </c>
      <c r="P236" s="103">
        <f t="shared" si="1145"/>
        <v>0.15</v>
      </c>
      <c r="Q236" s="103">
        <f t="shared" si="1145"/>
        <v>0.15</v>
      </c>
      <c r="R236" s="103">
        <f t="shared" ref="R236:AZ236" si="1188">IF(R165="", 0, R165)</f>
        <v>0.15</v>
      </c>
      <c r="S236" s="103">
        <f t="shared" si="1188"/>
        <v>0.15</v>
      </c>
      <c r="T236" s="103">
        <f t="shared" si="1188"/>
        <v>0.15</v>
      </c>
      <c r="U236" s="103">
        <f t="shared" si="1188"/>
        <v>0.15</v>
      </c>
      <c r="V236" s="103">
        <f t="shared" ref="V236:W236" si="1189">IF(V165="", 0, V165)</f>
        <v>0.15</v>
      </c>
      <c r="W236" s="103">
        <f t="shared" si="1189"/>
        <v>0.15</v>
      </c>
      <c r="X236" s="103">
        <f t="shared" ref="X236:Y236" si="1190">IF(X165="", 0, X165)</f>
        <v>0.15</v>
      </c>
      <c r="Y236" s="103">
        <f t="shared" si="1190"/>
        <v>0.15</v>
      </c>
      <c r="Z236" s="103">
        <f t="shared" ref="Z236:AA236" si="1191">IF(Z165="", 0, Z165)</f>
        <v>0.15</v>
      </c>
      <c r="AA236" s="103">
        <f t="shared" si="1191"/>
        <v>0.15</v>
      </c>
      <c r="AB236" s="103">
        <f t="shared" si="1188"/>
        <v>0.15</v>
      </c>
      <c r="AC236" s="103">
        <f t="shared" si="1188"/>
        <v>0.15</v>
      </c>
      <c r="AD236" s="103">
        <f t="shared" si="1188"/>
        <v>0</v>
      </c>
      <c r="AE236" s="103">
        <f t="shared" si="1188"/>
        <v>0.15</v>
      </c>
      <c r="AF236" s="103">
        <f t="shared" si="1188"/>
        <v>0</v>
      </c>
      <c r="AG236" s="103">
        <f t="shared" ref="AG236:AI236" si="1192">IF(AG165="", 0, AG165)</f>
        <v>0</v>
      </c>
      <c r="AH236" s="103">
        <f t="shared" si="1192"/>
        <v>0</v>
      </c>
      <c r="AI236" s="103">
        <f t="shared" si="1192"/>
        <v>0</v>
      </c>
      <c r="AJ236" s="103" t="e">
        <f t="shared" si="1188"/>
        <v>#N/A</v>
      </c>
      <c r="AK236" s="103" t="e">
        <f t="shared" si="1188"/>
        <v>#N/A</v>
      </c>
      <c r="AL236" s="103" t="e">
        <f t="shared" si="1188"/>
        <v>#N/A</v>
      </c>
      <c r="AM236" s="103" t="e">
        <f t="shared" si="1188"/>
        <v>#N/A</v>
      </c>
      <c r="AN236" s="103" t="e">
        <f t="shared" si="1188"/>
        <v>#N/A</v>
      </c>
      <c r="AO236" s="103" t="e">
        <f t="shared" si="1188"/>
        <v>#N/A</v>
      </c>
      <c r="AP236" s="103" t="e">
        <f t="shared" si="1188"/>
        <v>#N/A</v>
      </c>
      <c r="AQ236" s="103" t="e">
        <f t="shared" si="1188"/>
        <v>#N/A</v>
      </c>
      <c r="AR236" s="103" t="e">
        <f t="shared" si="1188"/>
        <v>#N/A</v>
      </c>
      <c r="AS236" s="103" t="e">
        <f t="shared" si="1188"/>
        <v>#N/A</v>
      </c>
      <c r="AT236" s="103" t="e">
        <f t="shared" si="1188"/>
        <v>#N/A</v>
      </c>
      <c r="AU236" s="103" t="e">
        <f t="shared" si="1188"/>
        <v>#N/A</v>
      </c>
      <c r="AV236" s="103" t="e">
        <f t="shared" si="1188"/>
        <v>#N/A</v>
      </c>
      <c r="AW236" s="103" t="e">
        <f t="shared" si="1188"/>
        <v>#N/A</v>
      </c>
      <c r="AX236" s="103" t="e">
        <f t="shared" si="1188"/>
        <v>#N/A</v>
      </c>
      <c r="AY236" s="103" t="e">
        <f t="shared" si="1188"/>
        <v>#N/A</v>
      </c>
      <c r="AZ236" s="103" t="e">
        <f t="shared" si="1188"/>
        <v>#N/A</v>
      </c>
      <c r="BA236" s="103" t="e">
        <f t="shared" ref="BA236:BC236" si="1193">IF(BA165="", 0, BA165)</f>
        <v>#N/A</v>
      </c>
      <c r="BB236" s="103" t="e">
        <f t="shared" ref="BB236" si="1194">IF(BB165="", 0, BB165)</f>
        <v>#N/A</v>
      </c>
      <c r="BC236" s="103" t="e">
        <f t="shared" si="1193"/>
        <v>#N/A</v>
      </c>
      <c r="BD236" s="103" t="e">
        <f t="shared" ref="BD236:BE236" si="1195">IF(BD165="", 0, BD165)</f>
        <v>#N/A</v>
      </c>
      <c r="BE236" s="103" t="e">
        <f t="shared" si="1195"/>
        <v>#N/A</v>
      </c>
      <c r="BF236" s="103" t="e">
        <f t="shared" ref="BF236:BG236" si="1196">IF(BF165="", 0, BF165)</f>
        <v>#N/A</v>
      </c>
      <c r="BG236" s="103" t="e">
        <f t="shared" si="1196"/>
        <v>#N/A</v>
      </c>
      <c r="BH236" s="103" t="e">
        <f t="shared" ref="BH236" si="1197">IF(BH165="", 0, BH165)</f>
        <v>#N/A</v>
      </c>
      <c r="BI236" s="103"/>
      <c r="BJ236" s="103"/>
      <c r="BK236" s="103"/>
      <c r="BL236" s="103"/>
      <c r="BM236" s="103"/>
      <c r="BN236" s="103"/>
      <c r="BO236" s="103"/>
      <c r="BP236" s="103"/>
      <c r="BQ236" s="103"/>
      <c r="BR236" s="103"/>
      <c r="BS236" s="103"/>
      <c r="BT236" s="103"/>
      <c r="BU236" s="103"/>
      <c r="BV236" s="103"/>
      <c r="BW236" s="103"/>
      <c r="BX236" s="103"/>
      <c r="BY236" s="103"/>
      <c r="BZ236" s="103"/>
      <c r="CA236" s="103"/>
      <c r="CB236" s="103"/>
      <c r="CC236" s="103"/>
      <c r="CD236" s="103"/>
      <c r="CE236" s="103"/>
      <c r="CF236" s="103"/>
      <c r="CG236" s="103"/>
      <c r="CH236" s="103"/>
      <c r="CI236" s="103"/>
      <c r="CJ236" s="103"/>
      <c r="CK236" s="103"/>
      <c r="CL236" s="103"/>
      <c r="CM236" s="103"/>
      <c r="CN236" s="103"/>
      <c r="CO236" s="103"/>
      <c r="CP236" s="103"/>
      <c r="CQ236" s="103"/>
      <c r="CR236" s="103"/>
      <c r="CS236" s="103"/>
      <c r="CT236" s="103"/>
      <c r="CU236" s="103"/>
      <c r="CV236" s="103"/>
      <c r="CW236" s="103"/>
      <c r="CX236" s="103"/>
      <c r="CY236" s="103"/>
      <c r="CZ236" s="103"/>
      <c r="DA236" s="103"/>
      <c r="DB236" s="103"/>
      <c r="DC236" s="103"/>
    </row>
    <row r="237" spans="1:107" hidden="1" outlineLevel="1" x14ac:dyDescent="0.25">
      <c r="A237" s="110" t="s">
        <v>81</v>
      </c>
      <c r="B237" s="103">
        <f t="shared" si="1139"/>
        <v>0</v>
      </c>
      <c r="C237" s="103">
        <f t="shared" si="1139"/>
        <v>0</v>
      </c>
      <c r="D237" s="103">
        <f t="shared" si="1139"/>
        <v>0</v>
      </c>
      <c r="E237" s="103">
        <f t="shared" ref="E237" si="1198">IF(E166="", 0, E166)</f>
        <v>0</v>
      </c>
      <c r="F237" s="103">
        <f t="shared" si="1139"/>
        <v>0</v>
      </c>
      <c r="G237" s="103">
        <f t="shared" si="1141"/>
        <v>0</v>
      </c>
      <c r="H237" s="103">
        <f>IF(H166="", 0, H166)</f>
        <v>0.2</v>
      </c>
      <c r="I237" s="103">
        <f t="shared" ref="I237:K237" si="1199">IF(I166="", 0, I166)</f>
        <v>0</v>
      </c>
      <c r="J237" s="103">
        <f t="shared" si="1199"/>
        <v>0</v>
      </c>
      <c r="K237" s="103">
        <f t="shared" si="1199"/>
        <v>0</v>
      </c>
      <c r="L237" s="103">
        <f t="shared" ref="L237" si="1200">IF(L166="", 0, L166)</f>
        <v>0</v>
      </c>
      <c r="M237" s="103">
        <f t="shared" ref="M237" si="1201">IF(M166="", 0, M166)</f>
        <v>0</v>
      </c>
      <c r="N237" s="103">
        <f t="shared" si="1145"/>
        <v>0</v>
      </c>
      <c r="O237" s="103">
        <f t="shared" si="1145"/>
        <v>0.35</v>
      </c>
      <c r="P237" s="103">
        <f t="shared" si="1145"/>
        <v>0.35</v>
      </c>
      <c r="Q237" s="103">
        <f t="shared" si="1145"/>
        <v>0.35</v>
      </c>
      <c r="R237" s="103">
        <f t="shared" ref="R237:AZ237" si="1202">IF(R166="", 0, R166)</f>
        <v>0.35</v>
      </c>
      <c r="S237" s="103">
        <f t="shared" si="1202"/>
        <v>0.15</v>
      </c>
      <c r="T237" s="103">
        <f t="shared" si="1202"/>
        <v>0.15</v>
      </c>
      <c r="U237" s="103">
        <f t="shared" si="1202"/>
        <v>0.15</v>
      </c>
      <c r="V237" s="103">
        <f t="shared" ref="V237:W237" si="1203">IF(V166="", 0, V166)</f>
        <v>0.15</v>
      </c>
      <c r="W237" s="103">
        <f t="shared" si="1203"/>
        <v>0.15</v>
      </c>
      <c r="X237" s="103">
        <f t="shared" ref="X237:Y237" si="1204">IF(X166="", 0, X166)</f>
        <v>0.15</v>
      </c>
      <c r="Y237" s="103">
        <f t="shared" si="1204"/>
        <v>0.15</v>
      </c>
      <c r="Z237" s="103">
        <f t="shared" ref="Z237:AA237" si="1205">IF(Z166="", 0, Z166)</f>
        <v>0.15</v>
      </c>
      <c r="AA237" s="103">
        <f t="shared" si="1205"/>
        <v>0.15</v>
      </c>
      <c r="AB237" s="103">
        <f t="shared" si="1202"/>
        <v>0.15</v>
      </c>
      <c r="AC237" s="103">
        <f t="shared" si="1202"/>
        <v>0.15</v>
      </c>
      <c r="AD237" s="103">
        <f t="shared" si="1202"/>
        <v>0</v>
      </c>
      <c r="AE237" s="103">
        <f t="shared" si="1202"/>
        <v>0.35</v>
      </c>
      <c r="AF237" s="103">
        <f t="shared" si="1202"/>
        <v>0</v>
      </c>
      <c r="AG237" s="103">
        <f t="shared" ref="AG237:AI237" si="1206">IF(AG166="", 0, AG166)</f>
        <v>0</v>
      </c>
      <c r="AH237" s="103">
        <f t="shared" si="1206"/>
        <v>0</v>
      </c>
      <c r="AI237" s="103">
        <f t="shared" si="1206"/>
        <v>0</v>
      </c>
      <c r="AJ237" s="103" t="e">
        <f t="shared" si="1202"/>
        <v>#N/A</v>
      </c>
      <c r="AK237" s="103" t="e">
        <f t="shared" si="1202"/>
        <v>#N/A</v>
      </c>
      <c r="AL237" s="103" t="e">
        <f t="shared" si="1202"/>
        <v>#N/A</v>
      </c>
      <c r="AM237" s="103" t="e">
        <f t="shared" si="1202"/>
        <v>#N/A</v>
      </c>
      <c r="AN237" s="103" t="e">
        <f t="shared" si="1202"/>
        <v>#N/A</v>
      </c>
      <c r="AO237" s="103" t="e">
        <f t="shared" si="1202"/>
        <v>#N/A</v>
      </c>
      <c r="AP237" s="103" t="e">
        <f t="shared" si="1202"/>
        <v>#N/A</v>
      </c>
      <c r="AQ237" s="103" t="e">
        <f t="shared" si="1202"/>
        <v>#N/A</v>
      </c>
      <c r="AR237" s="103" t="e">
        <f t="shared" si="1202"/>
        <v>#N/A</v>
      </c>
      <c r="AS237" s="103" t="e">
        <f t="shared" si="1202"/>
        <v>#N/A</v>
      </c>
      <c r="AT237" s="103" t="e">
        <f t="shared" si="1202"/>
        <v>#N/A</v>
      </c>
      <c r="AU237" s="103" t="e">
        <f t="shared" si="1202"/>
        <v>#N/A</v>
      </c>
      <c r="AV237" s="103" t="e">
        <f t="shared" si="1202"/>
        <v>#N/A</v>
      </c>
      <c r="AW237" s="103" t="e">
        <f t="shared" si="1202"/>
        <v>#N/A</v>
      </c>
      <c r="AX237" s="103" t="e">
        <f t="shared" si="1202"/>
        <v>#N/A</v>
      </c>
      <c r="AY237" s="103" t="e">
        <f t="shared" si="1202"/>
        <v>#N/A</v>
      </c>
      <c r="AZ237" s="103" t="e">
        <f t="shared" si="1202"/>
        <v>#N/A</v>
      </c>
      <c r="BA237" s="103" t="e">
        <f t="shared" ref="BA237:BC237" si="1207">IF(BA166="", 0, BA166)</f>
        <v>#N/A</v>
      </c>
      <c r="BB237" s="103" t="e">
        <f t="shared" ref="BB237" si="1208">IF(BB166="", 0, BB166)</f>
        <v>#N/A</v>
      </c>
      <c r="BC237" s="103" t="e">
        <f t="shared" si="1207"/>
        <v>#N/A</v>
      </c>
      <c r="BD237" s="103" t="e">
        <f t="shared" ref="BD237:BE237" si="1209">IF(BD166="", 0, BD166)</f>
        <v>#N/A</v>
      </c>
      <c r="BE237" s="103" t="e">
        <f t="shared" si="1209"/>
        <v>#N/A</v>
      </c>
      <c r="BF237" s="103" t="e">
        <f t="shared" ref="BF237:BG237" si="1210">IF(BF166="", 0, BF166)</f>
        <v>#N/A</v>
      </c>
      <c r="BG237" s="103" t="e">
        <f t="shared" si="1210"/>
        <v>#N/A</v>
      </c>
      <c r="BH237" s="103" t="e">
        <f t="shared" ref="BH237" si="1211">IF(BH166="", 0, BH166)</f>
        <v>#N/A</v>
      </c>
      <c r="BI237" s="103"/>
      <c r="BJ237" s="103"/>
      <c r="BK237" s="103"/>
      <c r="BL237" s="103"/>
      <c r="BM237" s="103"/>
      <c r="BN237" s="103"/>
      <c r="BO237" s="103"/>
      <c r="BP237" s="103"/>
      <c r="BQ237" s="103"/>
      <c r="BR237" s="103"/>
      <c r="BS237" s="103"/>
      <c r="BT237" s="103"/>
      <c r="BU237" s="103"/>
      <c r="BV237" s="103"/>
      <c r="BW237" s="103"/>
      <c r="BX237" s="103"/>
      <c r="BY237" s="103"/>
      <c r="BZ237" s="103"/>
      <c r="CA237" s="103"/>
      <c r="CB237" s="103"/>
      <c r="CC237" s="103"/>
      <c r="CD237" s="103"/>
      <c r="CE237" s="103"/>
      <c r="CF237" s="103"/>
      <c r="CG237" s="103"/>
      <c r="CH237" s="103"/>
      <c r="CI237" s="103"/>
      <c r="CJ237" s="103"/>
      <c r="CK237" s="103"/>
      <c r="CL237" s="103"/>
      <c r="CM237" s="103"/>
      <c r="CN237" s="103"/>
      <c r="CO237" s="103"/>
      <c r="CP237" s="103"/>
      <c r="CQ237" s="103"/>
      <c r="CR237" s="103"/>
      <c r="CS237" s="103"/>
      <c r="CT237" s="103"/>
      <c r="CU237" s="103"/>
      <c r="CV237" s="103"/>
      <c r="CW237" s="103"/>
      <c r="CX237" s="103"/>
      <c r="CY237" s="103"/>
      <c r="CZ237" s="103"/>
      <c r="DA237" s="103"/>
      <c r="DB237" s="103"/>
      <c r="DC237" s="103"/>
    </row>
    <row r="238" spans="1:107" hidden="1" outlineLevel="1" x14ac:dyDescent="0.25">
      <c r="A238" s="110" t="s">
        <v>6</v>
      </c>
      <c r="B238" s="103">
        <f t="shared" ref="B238:G238" si="1212">IFERROR(IF(INDEX(B$155:B$161, MATCH(B216&amp;" DMG%", $A$155:$A$161, 0), 1)="", 0,INDEX(B$155:B$161, MATCH(B216&amp;" DMG%", $A$155:$A$161, 0), 1)),0)+B$232+B$233</f>
        <v>0.61599999999999999</v>
      </c>
      <c r="C238" s="103">
        <f t="shared" ca="1" si="1212"/>
        <v>0.80713999999999997</v>
      </c>
      <c r="D238" s="103">
        <f t="shared" si="1212"/>
        <v>0</v>
      </c>
      <c r="E238" s="103">
        <f t="shared" ref="E238" si="1213">IFERROR(IF(INDEX(E$155:E$161, MATCH(E216&amp;" DMG%", $A$155:$A$161, 0), 1)="", 0,INDEX(E$155:E$161, MATCH(E216&amp;" DMG%", $A$155:$A$161, 0), 1)),0)+E$232+E$233</f>
        <v>0</v>
      </c>
      <c r="F238" s="103">
        <f t="shared" si="1212"/>
        <v>0</v>
      </c>
      <c r="G238" s="103">
        <f t="shared" si="1212"/>
        <v>0</v>
      </c>
      <c r="H238" s="103">
        <f>IFERROR(IF(INDEX(H$155:H$161, MATCH(H216&amp;" DMG%", $A$155:$A$161, 0), 1)="", 0,INDEX(H$155:H$161, MATCH(H216&amp;" DMG%", $A$155:$A$161, 0), 1)),0)+H$232+H$233</f>
        <v>0</v>
      </c>
      <c r="I238" s="103">
        <f t="shared" ref="I238:K238" si="1214">IFERROR(IF(INDEX(I$155:I$161, MATCH(I216&amp;" DMG%", $A$155:$A$161, 0), 1)="", 0,INDEX(I$155:I$161, MATCH(I216&amp;" DMG%", $A$155:$A$161, 0), 1)),0)+I$232+I$233</f>
        <v>0</v>
      </c>
      <c r="J238" s="103">
        <f t="shared" si="1214"/>
        <v>0</v>
      </c>
      <c r="K238" s="103">
        <f t="shared" si="1214"/>
        <v>0</v>
      </c>
      <c r="L238" s="103">
        <f t="shared" ref="L238" si="1215">IFERROR(IF(INDEX(L$155:L$161, MATCH(L216&amp;" DMG%", $A$155:$A$161, 0), 1)="", 0,INDEX(L$155:L$161, MATCH(L216&amp;" DMG%", $A$155:$A$161, 0), 1)),0)+L$232+L$233</f>
        <v>0.57999999999999996</v>
      </c>
      <c r="M238" s="103">
        <f>IFERROR(IF(INDEX(M$155:M$161, MATCH(M216&amp;" DMG%", $A$155:$A$161, 0), 1)="", 0,INDEX(M$155:M$161, MATCH(M216&amp;" DMG%", $A$155:$A$161, 0), 1)),0)+M$232+M$233</f>
        <v>0</v>
      </c>
      <c r="N238" s="103">
        <f>IFERROR(IF(INDEX(N$155:N$161, MATCH(N216&amp;" DMG%", $A$155:$A$161, 0), 1)="", 0,INDEX(N$155:N$161, MATCH(N216&amp;" DMG%", $A$155:$A$161, 0), 1)),0)+N$232+N$233</f>
        <v>0</v>
      </c>
      <c r="O238" s="103">
        <f>IFERROR(IF(INDEX(O$155:O$161, MATCH(O216&amp;" DMG%", $A$155:$A$161, 0), 1)="", 0,INDEX(O$155:O$161, MATCH(O216&amp;" DMG%", $A$155:$A$161, 0), 1)),0)+O$232+O$233</f>
        <v>0</v>
      </c>
      <c r="P238" s="103">
        <f>IFERROR(IF(INDEX(P$155:P$161, MATCH(P216&amp;" DMG%", $A$155:$A$161, 0), 1)="", 0,INDEX(P$155:P$161, MATCH(P216&amp;" DMG%", $A$155:$A$161, 0), 1)),0)+P$232+P$233</f>
        <v>0</v>
      </c>
      <c r="Q238" s="103">
        <f>IFERROR(IF(INDEX(Q$155:Q$161, MATCH(Q216&amp;" DMG%", $A$155:$A$161, 0), 1)="", 0,INDEX(Q$155:Q$161, MATCH(Q216&amp;" DMG%", $A$155:$A$161, 0), 1)),0)+Q$232+Q$233</f>
        <v>0.57999999999999996</v>
      </c>
      <c r="R238" s="103">
        <f t="shared" ref="R238:AZ238" si="1216">IFERROR(IF(INDEX(R$155:R$161, MATCH(R216&amp;" DMG%", $A$155:$A$161, 0), 1)="", 0,INDEX(R$155:R$161, MATCH(R216&amp;" DMG%", $A$155:$A$161, 0), 1)),0)+R$232+R$233</f>
        <v>0</v>
      </c>
      <c r="S238" s="103">
        <f t="shared" si="1216"/>
        <v>0.61599999999999999</v>
      </c>
      <c r="T238" s="103">
        <f t="shared" ca="1" si="1216"/>
        <v>0.80713999999999997</v>
      </c>
      <c r="U238" s="103">
        <f t="shared" si="1216"/>
        <v>0.76600000000000001</v>
      </c>
      <c r="V238" s="103">
        <f t="shared" ref="V238:W238" si="1217">IFERROR(IF(INDEX(V$155:V$161, MATCH(V216&amp;" DMG%", $A$155:$A$161, 0), 1)="", 0,INDEX(V$155:V$161, MATCH(V216&amp;" DMG%", $A$155:$A$161, 0), 1)),0)+V$232+V$233</f>
        <v>0.76600000000000001</v>
      </c>
      <c r="W238" s="103">
        <f t="shared" si="1217"/>
        <v>1.3460000000000001</v>
      </c>
      <c r="X238" s="103">
        <f t="shared" ref="X238:Y238" si="1218">IFERROR(IF(INDEX(X$155:X$161, MATCH(X216&amp;" DMG%", $A$155:$A$161, 0), 1)="", 0,INDEX(X$155:X$161, MATCH(X216&amp;" DMG%", $A$155:$A$161, 0), 1)),0)+X$232+X$233</f>
        <v>1.3460000000000001</v>
      </c>
      <c r="Y238" s="103">
        <f t="shared" si="1218"/>
        <v>1.3460000000000001</v>
      </c>
      <c r="Z238" s="103">
        <f t="shared" ref="Z238:AA238" si="1219">IFERROR(IF(INDEX(Z$155:Z$161, MATCH(Z216&amp;" DMG%", $A$155:$A$161, 0), 1)="", 0,INDEX(Z$155:Z$161, MATCH(Z216&amp;" DMG%", $A$155:$A$161, 0), 1)),0)+Z$232+Z$233</f>
        <v>1.3460000000000001</v>
      </c>
      <c r="AA238" s="103">
        <f t="shared" si="1219"/>
        <v>0.76600000000000001</v>
      </c>
      <c r="AB238" s="103">
        <f t="shared" ca="1" si="1216"/>
        <v>1.38714</v>
      </c>
      <c r="AC238" s="103">
        <f t="shared" si="1216"/>
        <v>0.57999999999999996</v>
      </c>
      <c r="AD238" s="103">
        <f t="shared" si="1216"/>
        <v>0</v>
      </c>
      <c r="AE238" s="103">
        <f t="shared" si="1216"/>
        <v>0.92999999999999994</v>
      </c>
      <c r="AF238" s="103">
        <f t="shared" si="1216"/>
        <v>1.5459999999999998</v>
      </c>
      <c r="AG238" s="103">
        <f t="shared" ref="AG238:AI238" si="1220">IFERROR(IF(INDEX(AG$155:AG$161, MATCH(AG216&amp;" DMG%", $A$155:$A$161, 0), 1)="", 0,INDEX(AG$155:AG$161, MATCH(AG216&amp;" DMG%", $A$155:$A$161, 0), 1)),0)+AG$232+AG$233</f>
        <v>1.5459999999999998</v>
      </c>
      <c r="AH238" s="103">
        <f t="shared" si="1220"/>
        <v>0.96599999999999997</v>
      </c>
      <c r="AI238" s="103">
        <f t="shared" si="1220"/>
        <v>0.96599999999999997</v>
      </c>
      <c r="AJ238" s="103" t="e">
        <f t="shared" si="1216"/>
        <v>#N/A</v>
      </c>
      <c r="AK238" s="103" t="e">
        <f t="shared" si="1216"/>
        <v>#N/A</v>
      </c>
      <c r="AL238" s="103" t="e">
        <f t="shared" si="1216"/>
        <v>#N/A</v>
      </c>
      <c r="AM238" s="103" t="e">
        <f t="shared" si="1216"/>
        <v>#N/A</v>
      </c>
      <c r="AN238" s="103" t="e">
        <f t="shared" si="1216"/>
        <v>#N/A</v>
      </c>
      <c r="AO238" s="103" t="e">
        <f t="shared" si="1216"/>
        <v>#N/A</v>
      </c>
      <c r="AP238" s="103" t="e">
        <f t="shared" si="1216"/>
        <v>#N/A</v>
      </c>
      <c r="AQ238" s="103" t="e">
        <f t="shared" si="1216"/>
        <v>#N/A</v>
      </c>
      <c r="AR238" s="103" t="e">
        <f t="shared" si="1216"/>
        <v>#N/A</v>
      </c>
      <c r="AS238" s="103" t="e">
        <f t="shared" si="1216"/>
        <v>#N/A</v>
      </c>
      <c r="AT238" s="103" t="e">
        <f t="shared" si="1216"/>
        <v>#N/A</v>
      </c>
      <c r="AU238" s="103" t="e">
        <f t="shared" si="1216"/>
        <v>#N/A</v>
      </c>
      <c r="AV238" s="103" t="e">
        <f t="shared" si="1216"/>
        <v>#N/A</v>
      </c>
      <c r="AW238" s="103" t="e">
        <f t="shared" si="1216"/>
        <v>#N/A</v>
      </c>
      <c r="AX238" s="103" t="e">
        <f t="shared" si="1216"/>
        <v>#N/A</v>
      </c>
      <c r="AY238" s="103" t="e">
        <f t="shared" si="1216"/>
        <v>#N/A</v>
      </c>
      <c r="AZ238" s="103" t="e">
        <f t="shared" si="1216"/>
        <v>#N/A</v>
      </c>
      <c r="BA238" s="103" t="e">
        <f t="shared" ref="BA238:BC238" si="1221">IFERROR(IF(INDEX(BA$155:BA$161, MATCH(BA216&amp;" DMG%", $A$155:$A$161, 0), 1)="", 0,INDEX(BA$155:BA$161, MATCH(BA216&amp;" DMG%", $A$155:$A$161, 0), 1)),0)+BA$232+BA$233</f>
        <v>#N/A</v>
      </c>
      <c r="BB238" s="103" t="e">
        <f t="shared" ref="BB238" si="1222">IFERROR(IF(INDEX(BB$155:BB$161, MATCH(BB216&amp;" DMG%", $A$155:$A$161, 0), 1)="", 0,INDEX(BB$155:BB$161, MATCH(BB216&amp;" DMG%", $A$155:$A$161, 0), 1)),0)+BB$232+BB$233</f>
        <v>#N/A</v>
      </c>
      <c r="BC238" s="103" t="e">
        <f t="shared" si="1221"/>
        <v>#N/A</v>
      </c>
      <c r="BD238" s="103" t="e">
        <f t="shared" ref="BD238:BE238" si="1223">IFERROR(IF(INDEX(BD$155:BD$161, MATCH(BD216&amp;" DMG%", $A$155:$A$161, 0), 1)="", 0,INDEX(BD$155:BD$161, MATCH(BD216&amp;" DMG%", $A$155:$A$161, 0), 1)),0)+BD$232+BD$233</f>
        <v>#N/A</v>
      </c>
      <c r="BE238" s="103" t="e">
        <f t="shared" si="1223"/>
        <v>#N/A</v>
      </c>
      <c r="BF238" s="103" t="e">
        <f t="shared" ref="BF238:BG238" si="1224">IFERROR(IF(INDEX(BF$155:BF$161, MATCH(BF216&amp;" DMG%", $A$155:$A$161, 0), 1)="", 0,INDEX(BF$155:BF$161, MATCH(BF216&amp;" DMG%", $A$155:$A$161, 0), 1)),0)+BF$232+BF$233</f>
        <v>#N/A</v>
      </c>
      <c r="BG238" s="103" t="e">
        <f t="shared" si="1224"/>
        <v>#N/A</v>
      </c>
      <c r="BH238" s="103" t="e">
        <f t="shared" ref="BH238" si="1225">IFERROR(IF(INDEX(BH$155:BH$161, MATCH(BH216&amp;" DMG%", $A$155:$A$161, 0), 1)="", 0,INDEX(BH$155:BH$161, MATCH(BH216&amp;" DMG%", $A$155:$A$161, 0), 1)),0)+BH$232+BH$233</f>
        <v>#N/A</v>
      </c>
      <c r="BI238" s="103"/>
      <c r="BJ238" s="103"/>
      <c r="BK238" s="103"/>
      <c r="BL238" s="103"/>
      <c r="BM238" s="103"/>
      <c r="BN238" s="103"/>
      <c r="BO238" s="103"/>
      <c r="BP238" s="103"/>
      <c r="BQ238" s="103"/>
      <c r="BR238" s="103"/>
      <c r="BS238" s="103"/>
      <c r="BT238" s="103"/>
      <c r="BU238" s="103"/>
      <c r="BV238" s="103"/>
      <c r="BW238" s="103"/>
      <c r="BX238" s="103"/>
      <c r="BY238" s="103"/>
      <c r="BZ238" s="103"/>
      <c r="CA238" s="103"/>
      <c r="CB238" s="103"/>
      <c r="CC238" s="103"/>
      <c r="CD238" s="103"/>
      <c r="CE238" s="103"/>
      <c r="CF238" s="103"/>
      <c r="CG238" s="103"/>
      <c r="CH238" s="103"/>
      <c r="CI238" s="103"/>
      <c r="CJ238" s="103"/>
      <c r="CK238" s="103"/>
      <c r="CL238" s="103"/>
      <c r="CM238" s="103"/>
      <c r="CN238" s="103"/>
      <c r="CO238" s="103"/>
      <c r="CP238" s="103"/>
      <c r="CQ238" s="103"/>
      <c r="CR238" s="103"/>
      <c r="CS238" s="103"/>
      <c r="CT238" s="103"/>
      <c r="CU238" s="103"/>
      <c r="CV238" s="103"/>
      <c r="CW238" s="103"/>
      <c r="CX238" s="103"/>
      <c r="CY238" s="103"/>
      <c r="CZ238" s="103"/>
      <c r="DA238" s="103"/>
      <c r="DB238" s="103"/>
      <c r="DC238" s="103"/>
    </row>
    <row r="239" spans="1:107" hidden="1" outlineLevel="1" x14ac:dyDescent="0.25">
      <c r="A239" s="110" t="s">
        <v>5</v>
      </c>
      <c r="B239" s="103">
        <f t="shared" ref="B239:G239" si="1226">IFERROR(IF(INDEX(B$155:B$161, MATCH(B217&amp;" DMG%", $A$155:$A$161, 0), 1)="", 0,INDEX(B$155:B$161, MATCH(B217&amp;" DMG%", $A$155:$A$161, 0), 1)),0)+B$232+B$234</f>
        <v>0.61599999999999999</v>
      </c>
      <c r="C239" s="103">
        <f t="shared" ca="1" si="1226"/>
        <v>0.80713999999999997</v>
      </c>
      <c r="D239" s="103">
        <f t="shared" si="1226"/>
        <v>0</v>
      </c>
      <c r="E239" s="103">
        <f t="shared" ref="E239" si="1227">IFERROR(IF(INDEX(E$155:E$161, MATCH(E217&amp;" DMG%", $A$155:$A$161, 0), 1)="", 0,INDEX(E$155:E$161, MATCH(E217&amp;" DMG%", $A$155:$A$161, 0), 1)),0)+E$232+E$234</f>
        <v>0</v>
      </c>
      <c r="F239" s="103">
        <f t="shared" si="1226"/>
        <v>0</v>
      </c>
      <c r="G239" s="103">
        <f t="shared" si="1226"/>
        <v>0</v>
      </c>
      <c r="H239" s="103">
        <f>IFERROR(IF(INDEX(H$155:H$161, MATCH(H217&amp;" DMG%", $A$155:$A$161, 0), 1)="", 0,INDEX(H$155:H$161, MATCH(H217&amp;" DMG%", $A$155:$A$161, 0), 1)),0)+H$232+H$234</f>
        <v>0</v>
      </c>
      <c r="I239" s="103">
        <f t="shared" ref="I239:K239" si="1228">IFERROR(IF(INDEX(I$155:I$161, MATCH(I217&amp;" DMG%", $A$155:$A$161, 0), 1)="", 0,INDEX(I$155:I$161, MATCH(I217&amp;" DMG%", $A$155:$A$161, 0), 1)),0)+I$232+I$234</f>
        <v>0</v>
      </c>
      <c r="J239" s="103">
        <f t="shared" si="1228"/>
        <v>0</v>
      </c>
      <c r="K239" s="103">
        <f t="shared" si="1228"/>
        <v>0</v>
      </c>
      <c r="L239" s="103">
        <f t="shared" ref="L239" si="1229">IFERROR(IF(INDEX(L$155:L$161, MATCH(L217&amp;" DMG%", $A$155:$A$161, 0), 1)="", 0,INDEX(L$155:L$161, MATCH(L217&amp;" DMG%", $A$155:$A$161, 0), 1)),0)+L$232+L$234</f>
        <v>0.57999999999999996</v>
      </c>
      <c r="M239" s="103">
        <f>IFERROR(IF(INDEX(M$155:M$161, MATCH(M217&amp;" DMG%", $A$155:$A$161, 0), 1)="", 0,INDEX(M$155:M$161, MATCH(M217&amp;" DMG%", $A$155:$A$161, 0), 1)),0)+M$232+M$234</f>
        <v>0</v>
      </c>
      <c r="N239" s="103">
        <f>IFERROR(IF(INDEX(N$155:N$161, MATCH(N217&amp;" DMG%", $A$155:$A$161, 0), 1)="", 0,INDEX(N$155:N$161, MATCH(N217&amp;" DMG%", $A$155:$A$161, 0), 1)),0)+N$232+N$234</f>
        <v>0</v>
      </c>
      <c r="O239" s="103">
        <f>IFERROR(IF(INDEX(O$155:O$161, MATCH(O217&amp;" DMG%", $A$155:$A$161, 0), 1)="", 0,INDEX(O$155:O$161, MATCH(O217&amp;" DMG%", $A$155:$A$161, 0), 1)),0)+O$232+O$234</f>
        <v>0</v>
      </c>
      <c r="P239" s="103">
        <f>IFERROR(IF(INDEX(P$155:P$161, MATCH(P217&amp;" DMG%", $A$155:$A$161, 0), 1)="", 0,INDEX(P$155:P$161, MATCH(P217&amp;" DMG%", $A$155:$A$161, 0), 1)),0)+P$232+P$234</f>
        <v>0</v>
      </c>
      <c r="Q239" s="103">
        <f>IFERROR(IF(INDEX(Q$155:Q$161, MATCH(Q217&amp;" DMG%", $A$155:$A$161, 0), 1)="", 0,INDEX(Q$155:Q$161, MATCH(Q217&amp;" DMG%", $A$155:$A$161, 0), 1)),0)+Q$232+Q$234</f>
        <v>0.57999999999999996</v>
      </c>
      <c r="R239" s="103">
        <f t="shared" ref="R239:AZ239" si="1230">IFERROR(IF(INDEX(R$155:R$161, MATCH(R217&amp;" DMG%", $A$155:$A$161, 0), 1)="", 0,INDEX(R$155:R$161, MATCH(R217&amp;" DMG%", $A$155:$A$161, 0), 1)),0)+R$232+R$234</f>
        <v>0</v>
      </c>
      <c r="S239" s="103">
        <f t="shared" si="1230"/>
        <v>0.61599999999999999</v>
      </c>
      <c r="T239" s="103">
        <f t="shared" ca="1" si="1230"/>
        <v>0.80713999999999997</v>
      </c>
      <c r="U239" s="103">
        <f t="shared" si="1230"/>
        <v>0.76600000000000001</v>
      </c>
      <c r="V239" s="103">
        <f t="shared" ref="V239:W239" si="1231">IFERROR(IF(INDEX(V$155:V$161, MATCH(V217&amp;" DMG%", $A$155:$A$161, 0), 1)="", 0,INDEX(V$155:V$161, MATCH(V217&amp;" DMG%", $A$155:$A$161, 0), 1)),0)+V$232+V$234</f>
        <v>0.76600000000000001</v>
      </c>
      <c r="W239" s="103">
        <f t="shared" si="1231"/>
        <v>1.3460000000000001</v>
      </c>
      <c r="X239" s="103">
        <f t="shared" ref="X239:Y239" si="1232">IFERROR(IF(INDEX(X$155:X$161, MATCH(X217&amp;" DMG%", $A$155:$A$161, 0), 1)="", 0,INDEX(X$155:X$161, MATCH(X217&amp;" DMG%", $A$155:$A$161, 0), 1)),0)+X$232+X$234</f>
        <v>1.3460000000000001</v>
      </c>
      <c r="Y239" s="103">
        <f t="shared" si="1232"/>
        <v>1.3460000000000001</v>
      </c>
      <c r="Z239" s="103">
        <f t="shared" ref="Z239:AA239" si="1233">IFERROR(IF(INDEX(Z$155:Z$161, MATCH(Z217&amp;" DMG%", $A$155:$A$161, 0), 1)="", 0,INDEX(Z$155:Z$161, MATCH(Z217&amp;" DMG%", $A$155:$A$161, 0), 1)),0)+Z$232+Z$234</f>
        <v>1.3460000000000001</v>
      </c>
      <c r="AA239" s="103">
        <f t="shared" si="1233"/>
        <v>0.76600000000000001</v>
      </c>
      <c r="AB239" s="103">
        <f t="shared" ca="1" si="1230"/>
        <v>1.38714</v>
      </c>
      <c r="AC239" s="103">
        <f t="shared" si="1230"/>
        <v>0.57999999999999996</v>
      </c>
      <c r="AD239" s="103">
        <f t="shared" si="1230"/>
        <v>0</v>
      </c>
      <c r="AE239" s="103">
        <f t="shared" si="1230"/>
        <v>0.92999999999999994</v>
      </c>
      <c r="AF239" s="103">
        <f t="shared" si="1230"/>
        <v>1.5459999999999998</v>
      </c>
      <c r="AG239" s="103">
        <f t="shared" ref="AG239:AI239" si="1234">IFERROR(IF(INDEX(AG$155:AG$161, MATCH(AG217&amp;" DMG%", $A$155:$A$161, 0), 1)="", 0,INDEX(AG$155:AG$161, MATCH(AG217&amp;" DMG%", $A$155:$A$161, 0), 1)),0)+AG$232+AG$234</f>
        <v>1.5459999999999998</v>
      </c>
      <c r="AH239" s="103">
        <f t="shared" si="1234"/>
        <v>0.96599999999999997</v>
      </c>
      <c r="AI239" s="103">
        <f t="shared" si="1234"/>
        <v>0.96599999999999997</v>
      </c>
      <c r="AJ239" s="103" t="e">
        <f t="shared" si="1230"/>
        <v>#N/A</v>
      </c>
      <c r="AK239" s="103" t="e">
        <f t="shared" si="1230"/>
        <v>#N/A</v>
      </c>
      <c r="AL239" s="103" t="e">
        <f t="shared" si="1230"/>
        <v>#N/A</v>
      </c>
      <c r="AM239" s="103" t="e">
        <f t="shared" si="1230"/>
        <v>#N/A</v>
      </c>
      <c r="AN239" s="103" t="e">
        <f t="shared" si="1230"/>
        <v>#N/A</v>
      </c>
      <c r="AO239" s="103" t="e">
        <f t="shared" si="1230"/>
        <v>#N/A</v>
      </c>
      <c r="AP239" s="103" t="e">
        <f t="shared" si="1230"/>
        <v>#N/A</v>
      </c>
      <c r="AQ239" s="103" t="e">
        <f t="shared" si="1230"/>
        <v>#N/A</v>
      </c>
      <c r="AR239" s="103" t="e">
        <f t="shared" si="1230"/>
        <v>#N/A</v>
      </c>
      <c r="AS239" s="103" t="e">
        <f t="shared" si="1230"/>
        <v>#N/A</v>
      </c>
      <c r="AT239" s="103" t="e">
        <f t="shared" si="1230"/>
        <v>#N/A</v>
      </c>
      <c r="AU239" s="103" t="e">
        <f t="shared" si="1230"/>
        <v>#N/A</v>
      </c>
      <c r="AV239" s="103" t="e">
        <f t="shared" si="1230"/>
        <v>#N/A</v>
      </c>
      <c r="AW239" s="103" t="e">
        <f t="shared" si="1230"/>
        <v>#N/A</v>
      </c>
      <c r="AX239" s="103" t="e">
        <f t="shared" si="1230"/>
        <v>#N/A</v>
      </c>
      <c r="AY239" s="103" t="e">
        <f t="shared" si="1230"/>
        <v>#N/A</v>
      </c>
      <c r="AZ239" s="103" t="e">
        <f t="shared" si="1230"/>
        <v>#N/A</v>
      </c>
      <c r="BA239" s="103" t="e">
        <f t="shared" ref="BA239:BC239" si="1235">IFERROR(IF(INDEX(BA$155:BA$161, MATCH(BA217&amp;" DMG%", $A$155:$A$161, 0), 1)="", 0,INDEX(BA$155:BA$161, MATCH(BA217&amp;" DMG%", $A$155:$A$161, 0), 1)),0)+BA$232+BA$234</f>
        <v>#N/A</v>
      </c>
      <c r="BB239" s="103" t="e">
        <f t="shared" ref="BB239" si="1236">IFERROR(IF(INDEX(BB$155:BB$161, MATCH(BB217&amp;" DMG%", $A$155:$A$161, 0), 1)="", 0,INDEX(BB$155:BB$161, MATCH(BB217&amp;" DMG%", $A$155:$A$161, 0), 1)),0)+BB$232+BB$234</f>
        <v>#N/A</v>
      </c>
      <c r="BC239" s="103" t="e">
        <f t="shared" si="1235"/>
        <v>#N/A</v>
      </c>
      <c r="BD239" s="103" t="e">
        <f t="shared" ref="BD239:BE239" si="1237">IFERROR(IF(INDEX(BD$155:BD$161, MATCH(BD217&amp;" DMG%", $A$155:$A$161, 0), 1)="", 0,INDEX(BD$155:BD$161, MATCH(BD217&amp;" DMG%", $A$155:$A$161, 0), 1)),0)+BD$232+BD$234</f>
        <v>#N/A</v>
      </c>
      <c r="BE239" s="103" t="e">
        <f t="shared" si="1237"/>
        <v>#N/A</v>
      </c>
      <c r="BF239" s="103" t="e">
        <f t="shared" ref="BF239:BG239" si="1238">IFERROR(IF(INDEX(BF$155:BF$161, MATCH(BF217&amp;" DMG%", $A$155:$A$161, 0), 1)="", 0,INDEX(BF$155:BF$161, MATCH(BF217&amp;" DMG%", $A$155:$A$161, 0), 1)),0)+BF$232+BF$234</f>
        <v>#N/A</v>
      </c>
      <c r="BG239" s="103" t="e">
        <f t="shared" si="1238"/>
        <v>#N/A</v>
      </c>
      <c r="BH239" s="103" t="e">
        <f t="shared" ref="BH239" si="1239">IFERROR(IF(INDEX(BH$155:BH$161, MATCH(BH217&amp;" DMG%", $A$155:$A$161, 0), 1)="", 0,INDEX(BH$155:BH$161, MATCH(BH217&amp;" DMG%", $A$155:$A$161, 0), 1)),0)+BH$232+BH$234</f>
        <v>#N/A</v>
      </c>
      <c r="BI239" s="103"/>
      <c r="BJ239" s="103"/>
      <c r="BK239" s="103"/>
      <c r="BL239" s="103"/>
      <c r="BM239" s="103"/>
      <c r="BN239" s="103"/>
      <c r="BO239" s="103"/>
      <c r="BP239" s="103"/>
      <c r="BQ239" s="103"/>
      <c r="BR239" s="103"/>
      <c r="BS239" s="103"/>
      <c r="BT239" s="103"/>
      <c r="BU239" s="103"/>
      <c r="BV239" s="103"/>
      <c r="BW239" s="103"/>
      <c r="BX239" s="103"/>
      <c r="BY239" s="103"/>
      <c r="BZ239" s="103"/>
      <c r="CA239" s="103"/>
      <c r="CB239" s="103"/>
      <c r="CC239" s="103"/>
      <c r="CD239" s="103"/>
      <c r="CE239" s="103"/>
      <c r="CF239" s="103"/>
      <c r="CG239" s="103"/>
      <c r="CH239" s="103"/>
      <c r="CI239" s="103"/>
      <c r="CJ239" s="103"/>
      <c r="CK239" s="103"/>
      <c r="CL239" s="103"/>
      <c r="CM239" s="103"/>
      <c r="CN239" s="103"/>
      <c r="CO239" s="103"/>
      <c r="CP239" s="103"/>
      <c r="CQ239" s="103"/>
      <c r="CR239" s="103"/>
      <c r="CS239" s="103"/>
      <c r="CT239" s="103"/>
      <c r="CU239" s="103"/>
      <c r="CV239" s="103"/>
      <c r="CW239" s="103"/>
      <c r="CX239" s="103"/>
      <c r="CY239" s="103"/>
      <c r="CZ239" s="103"/>
      <c r="DA239" s="103"/>
      <c r="DB239" s="103"/>
      <c r="DC239" s="103"/>
    </row>
    <row r="240" spans="1:107" hidden="1" outlineLevel="1" x14ac:dyDescent="0.25">
      <c r="A240" s="110" t="s">
        <v>3</v>
      </c>
      <c r="B240" s="103">
        <f t="shared" ref="B240:G240" si="1240">IFERROR(IF(INDEX(B$155:B$161, MATCH(B218&amp;" DMG%", $A$155:$A$161, 0), 1)="", 0,INDEX(B$155:B$161, MATCH(B218&amp;" DMG%", $A$155:$A$161, 0), 1)),0)+B$232+B$235</f>
        <v>0.61599999999999999</v>
      </c>
      <c r="C240" s="103">
        <f t="shared" ca="1" si="1240"/>
        <v>0.80713999999999997</v>
      </c>
      <c r="D240" s="103">
        <f t="shared" si="1240"/>
        <v>0.15</v>
      </c>
      <c r="E240" s="103">
        <f t="shared" ref="E240" si="1241">IFERROR(IF(INDEX(E$155:E$161, MATCH(E218&amp;" DMG%", $A$155:$A$161, 0), 1)="", 0,INDEX(E$155:E$161, MATCH(E218&amp;" DMG%", $A$155:$A$161, 0), 1)),0)+E$232+E$235</f>
        <v>0.15</v>
      </c>
      <c r="F240" s="103">
        <f t="shared" si="1240"/>
        <v>0.15</v>
      </c>
      <c r="G240" s="103">
        <f t="shared" si="1240"/>
        <v>0.15</v>
      </c>
      <c r="H240" s="103">
        <f>IFERROR(IF(INDEX(H$155:H$161, MATCH(H218&amp;" DMG%", $A$155:$A$161, 0), 1)="", 0,INDEX(H$155:H$161, MATCH(H218&amp;" DMG%", $A$155:$A$161, 0), 1)),0)+H$232+H$235</f>
        <v>0</v>
      </c>
      <c r="I240" s="103">
        <f t="shared" ref="I240:K240" si="1242">IFERROR(IF(INDEX(I$155:I$161, MATCH(I218&amp;" DMG%", $A$155:$A$161, 0), 1)="", 0,INDEX(I$155:I$161, MATCH(I218&amp;" DMG%", $A$155:$A$161, 0), 1)),0)+I$232+I$235</f>
        <v>0.15</v>
      </c>
      <c r="J240" s="103">
        <f t="shared" si="1242"/>
        <v>0.15</v>
      </c>
      <c r="K240" s="103">
        <f t="shared" si="1242"/>
        <v>0.15</v>
      </c>
      <c r="L240" s="103">
        <f t="shared" ref="L240" si="1243">IFERROR(IF(INDEX(L$155:L$161, MATCH(L218&amp;" DMG%", $A$155:$A$161, 0), 1)="", 0,INDEX(L$155:L$161, MATCH(L218&amp;" DMG%", $A$155:$A$161, 0), 1)),0)+L$232+L$235</f>
        <v>0.73</v>
      </c>
      <c r="M240" s="103">
        <f>IFERROR(IF(INDEX(M$155:M$161, MATCH(M218&amp;" DMG%", $A$155:$A$161, 0), 1)="", 0,INDEX(M$155:M$161, MATCH(M218&amp;" DMG%", $A$155:$A$161, 0), 1)),0)+M$232+M$235</f>
        <v>0.15</v>
      </c>
      <c r="N240" s="103">
        <f>IFERROR(IF(INDEX(N$155:N$161, MATCH(N218&amp;" DMG%", $A$155:$A$161, 0), 1)="", 0,INDEX(N$155:N$161, MATCH(N218&amp;" DMG%", $A$155:$A$161, 0), 1)),0)+N$232+N$235</f>
        <v>0.15</v>
      </c>
      <c r="O240" s="103">
        <f>IFERROR(IF(INDEX(O$155:O$161, MATCH(O218&amp;" DMG%", $A$155:$A$161, 0), 1)="", 0,INDEX(O$155:O$161, MATCH(O218&amp;" DMG%", $A$155:$A$161, 0), 1)),0)+O$232+O$235</f>
        <v>0</v>
      </c>
      <c r="P240" s="103">
        <f>IFERROR(IF(INDEX(P$155:P$161, MATCH(P218&amp;" DMG%", $A$155:$A$161, 0), 1)="", 0,INDEX(P$155:P$161, MATCH(P218&amp;" DMG%", $A$155:$A$161, 0), 1)),0)+P$232+P$235</f>
        <v>0</v>
      </c>
      <c r="Q240" s="103">
        <f>IFERROR(IF(INDEX(Q$155:Q$161, MATCH(Q218&amp;" DMG%", $A$155:$A$161, 0), 1)="", 0,INDEX(Q$155:Q$161, MATCH(Q218&amp;" DMG%", $A$155:$A$161, 0), 1)),0)+Q$232+Q$235</f>
        <v>0.57999999999999996</v>
      </c>
      <c r="R240" s="103">
        <f t="shared" ref="R240:AZ240" si="1244">IFERROR(IF(INDEX(R$155:R$161, MATCH(R218&amp;" DMG%", $A$155:$A$161, 0), 1)="", 0,INDEX(R$155:R$161, MATCH(R218&amp;" DMG%", $A$155:$A$161, 0), 1)),0)+R$232+R$235</f>
        <v>0</v>
      </c>
      <c r="S240" s="103">
        <f t="shared" si="1244"/>
        <v>0.61599999999999999</v>
      </c>
      <c r="T240" s="103">
        <f t="shared" ca="1" si="1244"/>
        <v>0.80713999999999997</v>
      </c>
      <c r="U240" s="103">
        <f t="shared" si="1244"/>
        <v>0.76600000000000001</v>
      </c>
      <c r="V240" s="103">
        <f t="shared" ref="V240:W240" si="1245">IFERROR(IF(INDEX(V$155:V$161, MATCH(V218&amp;" DMG%", $A$155:$A$161, 0), 1)="", 0,INDEX(V$155:V$161, MATCH(V218&amp;" DMG%", $A$155:$A$161, 0), 1)),0)+V$232+V$235</f>
        <v>0.76600000000000001</v>
      </c>
      <c r="W240" s="103">
        <f t="shared" si="1245"/>
        <v>1.3460000000000001</v>
      </c>
      <c r="X240" s="103">
        <f t="shared" ref="X240:Y240" si="1246">IFERROR(IF(INDEX(X$155:X$161, MATCH(X218&amp;" DMG%", $A$155:$A$161, 0), 1)="", 0,INDEX(X$155:X$161, MATCH(X218&amp;" DMG%", $A$155:$A$161, 0), 1)),0)+X$232+X$235</f>
        <v>1.3460000000000001</v>
      </c>
      <c r="Y240" s="103">
        <f t="shared" si="1246"/>
        <v>1.3460000000000001</v>
      </c>
      <c r="Z240" s="103">
        <f t="shared" ref="Z240:AA240" si="1247">IFERROR(IF(INDEX(Z$155:Z$161, MATCH(Z218&amp;" DMG%", $A$155:$A$161, 0), 1)="", 0,INDEX(Z$155:Z$161, MATCH(Z218&amp;" DMG%", $A$155:$A$161, 0), 1)),0)+Z$232+Z$235</f>
        <v>1.3460000000000001</v>
      </c>
      <c r="AA240" s="103">
        <f t="shared" si="1247"/>
        <v>0.76600000000000001</v>
      </c>
      <c r="AB240" s="103">
        <f t="shared" ca="1" si="1244"/>
        <v>1.38714</v>
      </c>
      <c r="AC240" s="103">
        <f t="shared" si="1244"/>
        <v>0.73</v>
      </c>
      <c r="AD240" s="103">
        <f t="shared" si="1244"/>
        <v>0.15</v>
      </c>
      <c r="AE240" s="103">
        <f t="shared" si="1244"/>
        <v>0.92999999999999994</v>
      </c>
      <c r="AF240" s="103">
        <f t="shared" si="1244"/>
        <v>1.5459999999999998</v>
      </c>
      <c r="AG240" s="103">
        <f t="shared" ref="AG240:AI240" si="1248">IFERROR(IF(INDEX(AG$155:AG$161, MATCH(AG218&amp;" DMG%", $A$155:$A$161, 0), 1)="", 0,INDEX(AG$155:AG$161, MATCH(AG218&amp;" DMG%", $A$155:$A$161, 0), 1)),0)+AG$232+AG$235</f>
        <v>1.5459999999999998</v>
      </c>
      <c r="AH240" s="103">
        <f t="shared" si="1248"/>
        <v>0.96599999999999997</v>
      </c>
      <c r="AI240" s="103">
        <f t="shared" si="1248"/>
        <v>0.96599999999999997</v>
      </c>
      <c r="AJ240" s="103" t="e">
        <f t="shared" si="1244"/>
        <v>#N/A</v>
      </c>
      <c r="AK240" s="103" t="e">
        <f t="shared" si="1244"/>
        <v>#N/A</v>
      </c>
      <c r="AL240" s="103" t="e">
        <f t="shared" si="1244"/>
        <v>#N/A</v>
      </c>
      <c r="AM240" s="103" t="e">
        <f t="shared" si="1244"/>
        <v>#N/A</v>
      </c>
      <c r="AN240" s="103" t="e">
        <f t="shared" si="1244"/>
        <v>#N/A</v>
      </c>
      <c r="AO240" s="103" t="e">
        <f t="shared" si="1244"/>
        <v>#N/A</v>
      </c>
      <c r="AP240" s="103" t="e">
        <f t="shared" si="1244"/>
        <v>#N/A</v>
      </c>
      <c r="AQ240" s="103" t="e">
        <f t="shared" si="1244"/>
        <v>#N/A</v>
      </c>
      <c r="AR240" s="103" t="e">
        <f t="shared" si="1244"/>
        <v>#N/A</v>
      </c>
      <c r="AS240" s="103" t="e">
        <f t="shared" si="1244"/>
        <v>#N/A</v>
      </c>
      <c r="AT240" s="103" t="e">
        <f t="shared" si="1244"/>
        <v>#N/A</v>
      </c>
      <c r="AU240" s="103" t="e">
        <f t="shared" si="1244"/>
        <v>#N/A</v>
      </c>
      <c r="AV240" s="103" t="e">
        <f t="shared" si="1244"/>
        <v>#N/A</v>
      </c>
      <c r="AW240" s="103" t="e">
        <f t="shared" si="1244"/>
        <v>#N/A</v>
      </c>
      <c r="AX240" s="103" t="e">
        <f t="shared" si="1244"/>
        <v>#N/A</v>
      </c>
      <c r="AY240" s="103" t="e">
        <f t="shared" si="1244"/>
        <v>#N/A</v>
      </c>
      <c r="AZ240" s="103" t="e">
        <f t="shared" si="1244"/>
        <v>#N/A</v>
      </c>
      <c r="BA240" s="103" t="e">
        <f t="shared" ref="BA240:BC240" si="1249">IFERROR(IF(INDEX(BA$155:BA$161, MATCH(BA218&amp;" DMG%", $A$155:$A$161, 0), 1)="", 0,INDEX(BA$155:BA$161, MATCH(BA218&amp;" DMG%", $A$155:$A$161, 0), 1)),0)+BA$232+BA$235</f>
        <v>#N/A</v>
      </c>
      <c r="BB240" s="103" t="e">
        <f t="shared" ref="BB240" si="1250">IFERROR(IF(INDEX(BB$155:BB$161, MATCH(BB218&amp;" DMG%", $A$155:$A$161, 0), 1)="", 0,INDEX(BB$155:BB$161, MATCH(BB218&amp;" DMG%", $A$155:$A$161, 0), 1)),0)+BB$232+BB$235</f>
        <v>#N/A</v>
      </c>
      <c r="BC240" s="103" t="e">
        <f t="shared" si="1249"/>
        <v>#N/A</v>
      </c>
      <c r="BD240" s="103" t="e">
        <f t="shared" ref="BD240:BE240" si="1251">IFERROR(IF(INDEX(BD$155:BD$161, MATCH(BD218&amp;" DMG%", $A$155:$A$161, 0), 1)="", 0,INDEX(BD$155:BD$161, MATCH(BD218&amp;" DMG%", $A$155:$A$161, 0), 1)),0)+BD$232+BD$235</f>
        <v>#N/A</v>
      </c>
      <c r="BE240" s="103" t="e">
        <f t="shared" si="1251"/>
        <v>#N/A</v>
      </c>
      <c r="BF240" s="103" t="e">
        <f t="shared" ref="BF240:BG240" si="1252">IFERROR(IF(INDEX(BF$155:BF$161, MATCH(BF218&amp;" DMG%", $A$155:$A$161, 0), 1)="", 0,INDEX(BF$155:BF$161, MATCH(BF218&amp;" DMG%", $A$155:$A$161, 0), 1)),0)+BF$232+BF$235</f>
        <v>#N/A</v>
      </c>
      <c r="BG240" s="103" t="e">
        <f t="shared" si="1252"/>
        <v>#N/A</v>
      </c>
      <c r="BH240" s="103" t="e">
        <f t="shared" ref="BH240" si="1253">IFERROR(IF(INDEX(BH$155:BH$161, MATCH(BH218&amp;" DMG%", $A$155:$A$161, 0), 1)="", 0,INDEX(BH$155:BH$161, MATCH(BH218&amp;" DMG%", $A$155:$A$161, 0), 1)),0)+BH$232+BH$235</f>
        <v>#N/A</v>
      </c>
      <c r="BI240" s="103"/>
      <c r="BJ240" s="103"/>
      <c r="BK240" s="103"/>
      <c r="BL240" s="103"/>
      <c r="BM240" s="103"/>
      <c r="BN240" s="103"/>
      <c r="BO240" s="103"/>
      <c r="BP240" s="103"/>
      <c r="BQ240" s="103"/>
      <c r="BR240" s="103"/>
      <c r="BS240" s="103"/>
      <c r="BT240" s="103"/>
      <c r="BU240" s="103"/>
      <c r="BV240" s="103"/>
      <c r="BW240" s="103"/>
      <c r="BX240" s="103"/>
      <c r="BY240" s="103"/>
      <c r="BZ240" s="103"/>
      <c r="CA240" s="103"/>
      <c r="CB240" s="103"/>
      <c r="CC240" s="103"/>
      <c r="CD240" s="103"/>
      <c r="CE240" s="103"/>
      <c r="CF240" s="103"/>
      <c r="CG240" s="103"/>
      <c r="CH240" s="103"/>
      <c r="CI240" s="103"/>
      <c r="CJ240" s="103"/>
      <c r="CK240" s="103"/>
      <c r="CL240" s="103"/>
      <c r="CM240" s="103"/>
      <c r="CN240" s="103"/>
      <c r="CO240" s="103"/>
      <c r="CP240" s="103"/>
      <c r="CQ240" s="103"/>
      <c r="CR240" s="103"/>
      <c r="CS240" s="103"/>
      <c r="CT240" s="103"/>
      <c r="CU240" s="103"/>
      <c r="CV240" s="103"/>
      <c r="CW240" s="103"/>
      <c r="CX240" s="103"/>
      <c r="CY240" s="103"/>
      <c r="CZ240" s="103"/>
      <c r="DA240" s="103"/>
      <c r="DB240" s="103"/>
      <c r="DC240" s="103"/>
    </row>
    <row r="241" spans="1:107" hidden="1" outlineLevel="1" x14ac:dyDescent="0.25">
      <c r="A241" s="110" t="s">
        <v>19</v>
      </c>
      <c r="B241" s="103">
        <f t="shared" ref="B241:G241" si="1254">IFERROR(IF(INDEX(B$155:B$161, MATCH(B219&amp;" DMG%", $A$155:$A$161, 0), 1)="", 0,INDEX(B$155:B$161, MATCH(B219&amp;" DMG%", $A$155:$A$161, 0), 1)),0)+B$232+B$236</f>
        <v>0.61599999999999999</v>
      </c>
      <c r="C241" s="103">
        <f t="shared" ca="1" si="1254"/>
        <v>0.80713999999999997</v>
      </c>
      <c r="D241" s="103">
        <f t="shared" si="1254"/>
        <v>0.15</v>
      </c>
      <c r="E241" s="103">
        <f t="shared" ref="E241" si="1255">IFERROR(IF(INDEX(E$155:E$161, MATCH(E219&amp;" DMG%", $A$155:$A$161, 0), 1)="", 0,INDEX(E$155:E$161, MATCH(E219&amp;" DMG%", $A$155:$A$161, 0), 1)),0)+E$232+E$236</f>
        <v>0.15</v>
      </c>
      <c r="F241" s="103">
        <f t="shared" si="1254"/>
        <v>0.15</v>
      </c>
      <c r="G241" s="103">
        <f t="shared" si="1254"/>
        <v>0.15</v>
      </c>
      <c r="H241" s="103">
        <f>IFERROR(IF(INDEX(H$155:H$161, MATCH(H219&amp;" DMG%", $A$155:$A$161, 0), 1)="", 0,INDEX(H$155:H$161, MATCH(H219&amp;" DMG%", $A$155:$A$161, 0), 1)),0)+H$232+H$236</f>
        <v>0</v>
      </c>
      <c r="I241" s="103">
        <f t="shared" ref="I241:K241" si="1256">IFERROR(IF(INDEX(I$155:I$161, MATCH(I219&amp;" DMG%", $A$155:$A$161, 0), 1)="", 0,INDEX(I$155:I$161, MATCH(I219&amp;" DMG%", $A$155:$A$161, 0), 1)),0)+I$232+I$236</f>
        <v>0.15</v>
      </c>
      <c r="J241" s="103">
        <f t="shared" si="1256"/>
        <v>0.15</v>
      </c>
      <c r="K241" s="103">
        <f t="shared" si="1256"/>
        <v>0.15</v>
      </c>
      <c r="L241" s="103">
        <f t="shared" ref="L241" si="1257">IFERROR(IF(INDEX(L$155:L$161, MATCH(L219&amp;" DMG%", $A$155:$A$161, 0), 1)="", 0,INDEX(L$155:L$161, MATCH(L219&amp;" DMG%", $A$155:$A$161, 0), 1)),0)+L$232+L$236</f>
        <v>0.73</v>
      </c>
      <c r="M241" s="103">
        <f>IFERROR(IF(INDEX(M$155:M$161, MATCH(M219&amp;" DMG%", $A$155:$A$161, 0), 1)="", 0,INDEX(M$155:M$161, MATCH(M219&amp;" DMG%", $A$155:$A$161, 0), 1)),0)+M$232+M$236</f>
        <v>0.15</v>
      </c>
      <c r="N241" s="103">
        <f>IFERROR(IF(INDEX(N$155:N$161, MATCH(N219&amp;" DMG%", $A$155:$A$161, 0), 1)="", 0,INDEX(N$155:N$161, MATCH(N219&amp;" DMG%", $A$155:$A$161, 0), 1)),0)+N$232+N$236</f>
        <v>0.15</v>
      </c>
      <c r="O241" s="103">
        <f>IFERROR(IF(INDEX(O$155:O$161, MATCH(O219&amp;" DMG%", $A$155:$A$161, 0), 1)="", 0,INDEX(O$155:O$161, MATCH(O219&amp;" DMG%", $A$155:$A$161, 0), 1)),0)+O$232+O$236</f>
        <v>0.15</v>
      </c>
      <c r="P241" s="103">
        <f>IFERROR(IF(INDEX(P$155:P$161, MATCH(P219&amp;" DMG%", $A$155:$A$161, 0), 1)="", 0,INDEX(P$155:P$161, MATCH(P219&amp;" DMG%", $A$155:$A$161, 0), 1)),0)+P$232+P$236</f>
        <v>0.15</v>
      </c>
      <c r="Q241" s="103">
        <f>IFERROR(IF(INDEX(Q$155:Q$161, MATCH(Q219&amp;" DMG%", $A$155:$A$161, 0), 1)="", 0,INDEX(Q$155:Q$161, MATCH(Q219&amp;" DMG%", $A$155:$A$161, 0), 1)),0)+Q$232+Q$236</f>
        <v>0.73</v>
      </c>
      <c r="R241" s="103">
        <f t="shared" ref="R241:AZ241" si="1258">IFERROR(IF(INDEX(R$155:R$161, MATCH(R219&amp;" DMG%", $A$155:$A$161, 0), 1)="", 0,INDEX(R$155:R$161, MATCH(R219&amp;" DMG%", $A$155:$A$161, 0), 1)),0)+R$232+R$236</f>
        <v>0.15</v>
      </c>
      <c r="S241" s="103">
        <f t="shared" si="1258"/>
        <v>0.76600000000000001</v>
      </c>
      <c r="T241" s="103">
        <f t="shared" ca="1" si="1258"/>
        <v>0.95713999999999999</v>
      </c>
      <c r="U241" s="103">
        <f t="shared" si="1258"/>
        <v>0.91600000000000004</v>
      </c>
      <c r="V241" s="103">
        <f t="shared" ref="V241:W241" si="1259">IFERROR(IF(INDEX(V$155:V$161, MATCH(V219&amp;" DMG%", $A$155:$A$161, 0), 1)="", 0,INDEX(V$155:V$161, MATCH(V219&amp;" DMG%", $A$155:$A$161, 0), 1)),0)+V$232+V$236</f>
        <v>0.91600000000000004</v>
      </c>
      <c r="W241" s="103">
        <f t="shared" si="1259"/>
        <v>1.496</v>
      </c>
      <c r="X241" s="103">
        <f t="shared" ref="X241:Y241" si="1260">IFERROR(IF(INDEX(X$155:X$161, MATCH(X219&amp;" DMG%", $A$155:$A$161, 0), 1)="", 0,INDEX(X$155:X$161, MATCH(X219&amp;" DMG%", $A$155:$A$161, 0), 1)),0)+X$232+X$236</f>
        <v>1.496</v>
      </c>
      <c r="Y241" s="103">
        <f t="shared" si="1260"/>
        <v>1.496</v>
      </c>
      <c r="Z241" s="103">
        <f t="shared" ref="Z241:AA241" si="1261">IFERROR(IF(INDEX(Z$155:Z$161, MATCH(Z219&amp;" DMG%", $A$155:$A$161, 0), 1)="", 0,INDEX(Z$155:Z$161, MATCH(Z219&amp;" DMG%", $A$155:$A$161, 0), 1)),0)+Z$232+Z$236</f>
        <v>1.496</v>
      </c>
      <c r="AA241" s="103">
        <f t="shared" si="1261"/>
        <v>0.91600000000000004</v>
      </c>
      <c r="AB241" s="103">
        <f t="shared" ca="1" si="1258"/>
        <v>1.53714</v>
      </c>
      <c r="AC241" s="103">
        <f t="shared" si="1258"/>
        <v>0.88</v>
      </c>
      <c r="AD241" s="103">
        <f t="shared" si="1258"/>
        <v>0.15</v>
      </c>
      <c r="AE241" s="103">
        <f t="shared" si="1258"/>
        <v>1.0799999999999998</v>
      </c>
      <c r="AF241" s="103">
        <f t="shared" si="1258"/>
        <v>1.5459999999999998</v>
      </c>
      <c r="AG241" s="103">
        <f t="shared" ref="AG241:AI241" si="1262">IFERROR(IF(INDEX(AG$155:AG$161, MATCH(AG219&amp;" DMG%", $A$155:$A$161, 0), 1)="", 0,INDEX(AG$155:AG$161, MATCH(AG219&amp;" DMG%", $A$155:$A$161, 0), 1)),0)+AG$232+AG$236</f>
        <v>1.5459999999999998</v>
      </c>
      <c r="AH241" s="103">
        <f t="shared" si="1262"/>
        <v>0.96599999999999997</v>
      </c>
      <c r="AI241" s="103">
        <f t="shared" si="1262"/>
        <v>0.96599999999999997</v>
      </c>
      <c r="AJ241" s="103" t="e">
        <f t="shared" si="1258"/>
        <v>#N/A</v>
      </c>
      <c r="AK241" s="103" t="e">
        <f t="shared" si="1258"/>
        <v>#N/A</v>
      </c>
      <c r="AL241" s="103" t="e">
        <f t="shared" si="1258"/>
        <v>#N/A</v>
      </c>
      <c r="AM241" s="103" t="e">
        <f t="shared" si="1258"/>
        <v>#N/A</v>
      </c>
      <c r="AN241" s="103" t="e">
        <f t="shared" si="1258"/>
        <v>#N/A</v>
      </c>
      <c r="AO241" s="103" t="e">
        <f t="shared" si="1258"/>
        <v>#N/A</v>
      </c>
      <c r="AP241" s="103" t="e">
        <f t="shared" si="1258"/>
        <v>#N/A</v>
      </c>
      <c r="AQ241" s="103" t="e">
        <f t="shared" si="1258"/>
        <v>#N/A</v>
      </c>
      <c r="AR241" s="103" t="e">
        <f t="shared" si="1258"/>
        <v>#N/A</v>
      </c>
      <c r="AS241" s="103" t="e">
        <f t="shared" si="1258"/>
        <v>#N/A</v>
      </c>
      <c r="AT241" s="103" t="e">
        <f t="shared" si="1258"/>
        <v>#N/A</v>
      </c>
      <c r="AU241" s="103" t="e">
        <f t="shared" si="1258"/>
        <v>#N/A</v>
      </c>
      <c r="AV241" s="103" t="e">
        <f t="shared" si="1258"/>
        <v>#N/A</v>
      </c>
      <c r="AW241" s="103" t="e">
        <f t="shared" si="1258"/>
        <v>#N/A</v>
      </c>
      <c r="AX241" s="103" t="e">
        <f t="shared" si="1258"/>
        <v>#N/A</v>
      </c>
      <c r="AY241" s="103" t="e">
        <f t="shared" si="1258"/>
        <v>#N/A</v>
      </c>
      <c r="AZ241" s="103" t="e">
        <f t="shared" si="1258"/>
        <v>#N/A</v>
      </c>
      <c r="BA241" s="103" t="e">
        <f t="shared" ref="BA241:BC241" si="1263">IFERROR(IF(INDEX(BA$155:BA$161, MATCH(BA219&amp;" DMG%", $A$155:$A$161, 0), 1)="", 0,INDEX(BA$155:BA$161, MATCH(BA219&amp;" DMG%", $A$155:$A$161, 0), 1)),0)+BA$232+BA$236</f>
        <v>#N/A</v>
      </c>
      <c r="BB241" s="103" t="e">
        <f t="shared" ref="BB241" si="1264">IFERROR(IF(INDEX(BB$155:BB$161, MATCH(BB219&amp;" DMG%", $A$155:$A$161, 0), 1)="", 0,INDEX(BB$155:BB$161, MATCH(BB219&amp;" DMG%", $A$155:$A$161, 0), 1)),0)+BB$232+BB$236</f>
        <v>#N/A</v>
      </c>
      <c r="BC241" s="103" t="e">
        <f t="shared" si="1263"/>
        <v>#N/A</v>
      </c>
      <c r="BD241" s="103" t="e">
        <f t="shared" ref="BD241:BE241" si="1265">IFERROR(IF(INDEX(BD$155:BD$161, MATCH(BD219&amp;" DMG%", $A$155:$A$161, 0), 1)="", 0,INDEX(BD$155:BD$161, MATCH(BD219&amp;" DMG%", $A$155:$A$161, 0), 1)),0)+BD$232+BD$236</f>
        <v>#N/A</v>
      </c>
      <c r="BE241" s="103" t="e">
        <f t="shared" si="1265"/>
        <v>#N/A</v>
      </c>
      <c r="BF241" s="103" t="e">
        <f t="shared" ref="BF241:BG241" si="1266">IFERROR(IF(INDEX(BF$155:BF$161, MATCH(BF219&amp;" DMG%", $A$155:$A$161, 0), 1)="", 0,INDEX(BF$155:BF$161, MATCH(BF219&amp;" DMG%", $A$155:$A$161, 0), 1)),0)+BF$232+BF$236</f>
        <v>#N/A</v>
      </c>
      <c r="BG241" s="103" t="e">
        <f t="shared" si="1266"/>
        <v>#N/A</v>
      </c>
      <c r="BH241" s="103" t="e">
        <f t="shared" ref="BH241" si="1267">IFERROR(IF(INDEX(BH$155:BH$161, MATCH(BH219&amp;" DMG%", $A$155:$A$161, 0), 1)="", 0,INDEX(BH$155:BH$161, MATCH(BH219&amp;" DMG%", $A$155:$A$161, 0), 1)),0)+BH$232+BH$236</f>
        <v>#N/A</v>
      </c>
      <c r="BI241" s="103"/>
      <c r="BJ241" s="103"/>
      <c r="BK241" s="103"/>
      <c r="BL241" s="103"/>
      <c r="BM241" s="103"/>
      <c r="BN241" s="103"/>
      <c r="BO241" s="103"/>
      <c r="BP241" s="103"/>
      <c r="BQ241" s="103"/>
      <c r="BR241" s="103"/>
      <c r="BS241" s="103"/>
      <c r="BT241" s="103"/>
      <c r="BU241" s="103"/>
      <c r="BV241" s="103"/>
      <c r="BW241" s="103"/>
      <c r="BX241" s="103"/>
      <c r="BY241" s="103"/>
      <c r="BZ241" s="103"/>
      <c r="CA241" s="103"/>
      <c r="CB241" s="103"/>
      <c r="CC241" s="103"/>
      <c r="CD241" s="103"/>
      <c r="CE241" s="103"/>
      <c r="CF241" s="103"/>
      <c r="CG241" s="103"/>
      <c r="CH241" s="103"/>
      <c r="CI241" s="103"/>
      <c r="CJ241" s="103"/>
      <c r="CK241" s="103"/>
      <c r="CL241" s="103"/>
      <c r="CM241" s="103"/>
      <c r="CN241" s="103"/>
      <c r="CO241" s="103"/>
      <c r="CP241" s="103"/>
      <c r="CQ241" s="103"/>
      <c r="CR241" s="103"/>
      <c r="CS241" s="103"/>
      <c r="CT241" s="103"/>
      <c r="CU241" s="103"/>
      <c r="CV241" s="103"/>
      <c r="CW241" s="103"/>
      <c r="CX241" s="103"/>
      <c r="CY241" s="103"/>
      <c r="CZ241" s="103"/>
      <c r="DA241" s="103"/>
      <c r="DB241" s="103"/>
      <c r="DC241" s="103"/>
    </row>
    <row r="242" spans="1:107" hidden="1" outlineLevel="1" x14ac:dyDescent="0.25">
      <c r="A242" s="110" t="s">
        <v>23</v>
      </c>
      <c r="B242" s="103">
        <f>IFERROR(IF(INDEX(B$155:B$161, MATCH(B220&amp;" DMG%", $A$155:$A$161, 0), 1)="", 0,INDEX(B$155:B$161, MATCH(B220&amp;" DMG%", $A$155:$A$161, 0), 1)),0)+B$232+INDEX(B233:B237, MATCH(HLOOKUP('Rotation Assembler'!B$32, 'Data Val'!$I$30:$M$32, 2, 0)&amp;" DMG%", $A$233:$A$237, 0), 1)</f>
        <v>0.61599999999999999</v>
      </c>
      <c r="C242" s="103">
        <f ca="1">IFERROR(IF(INDEX(C$155:C$161, MATCH(C220&amp;" DMG%", $A$155:$A$161, 0), 1)="", 0,INDEX(C$155:C$161, MATCH(C220&amp;" DMG%", $A$155:$A$161, 0), 1)),0)+C$232+INDEX(C233:C237, MATCH(HLOOKUP('Rotation Assembler'!C$32, 'Data Val'!$I$30:$M$32, 2, 0)&amp;" DMG%", $A$233:$A$237, 0), 1)</f>
        <v>0.80713999999999997</v>
      </c>
      <c r="D242" s="103">
        <f>IFERROR(IF(INDEX(D$155:D$161, MATCH(D220&amp;" DMG%", $A$155:$A$161, 0), 1)="", 0,INDEX(D$155:D$161, MATCH(D220&amp;" DMG%", $A$155:$A$161, 0), 1)),0)+D$232+INDEX(D233:D237, MATCH(HLOOKUP('Rotation Assembler'!D$32, 'Data Val'!$I$30:$M$32, 2, 0)&amp;" DMG%", $A$233:$A$237, 0), 1)</f>
        <v>0</v>
      </c>
      <c r="E242" s="103">
        <f>IFERROR(IF(INDEX(E$155:E$161, MATCH(E220&amp;" DMG%", $A$155:$A$161, 0), 1)="", 0,INDEX(E$155:E$161, MATCH(E220&amp;" DMG%", $A$155:$A$161, 0), 1)),0)+E$232+INDEX(E233:E237, MATCH(HLOOKUP('Rotation Assembler'!E$32, 'Data Val'!$I$30:$M$32, 2, 0)&amp;" DMG%", $A$233:$A$237, 0), 1)</f>
        <v>0</v>
      </c>
      <c r="F242" s="103">
        <f>IFERROR(IF(INDEX(F$155:F$161, MATCH(F220&amp;" DMG%", $A$155:$A$161, 0), 1)="", 0,INDEX(F$155:F$161, MATCH(F220&amp;" DMG%", $A$155:$A$161, 0), 1)),0)+F$232+INDEX(F233:F237, MATCH(HLOOKUP('Rotation Assembler'!F$32, 'Data Val'!$I$30:$M$32, 2, 0)&amp;" DMG%", $A$233:$A$237, 0), 1)</f>
        <v>0</v>
      </c>
      <c r="G242" s="103">
        <f>IFERROR(IF(INDEX(G$155:G$161, MATCH(G220&amp;" DMG%", $A$155:$A$161, 0), 1)="", 0,INDEX(G$155:G$161, MATCH(G220&amp;" DMG%", $A$155:$A$161, 0), 1)),0)+G$232+INDEX(G233:G237, MATCH(HLOOKUP('Rotation Assembler'!G$32, 'Data Val'!$I$30:$M$32, 2, 0)&amp;" DMG%", $A$233:$A$237, 0), 1)</f>
        <v>0</v>
      </c>
      <c r="H242" s="103">
        <f>IFERROR(IF(INDEX(H$155:H$161, MATCH(H220&amp;" DMG%", $A$155:$A$161, 0), 1)="", 0,INDEX(H$155:H$161, MATCH(H220&amp;" DMG%", $A$155:$A$161, 0), 1)),0)+H$232+INDEX(H233:H237, MATCH(HLOOKUP('Rotation Assembler'!H$32, 'Data Val'!$I$30:$M$32, 2, 0)&amp;" DMG%", $A$233:$A$237, 0), 1)</f>
        <v>0</v>
      </c>
      <c r="I242" s="103">
        <f>IFERROR(IF(INDEX(I$155:I$161, MATCH(I220&amp;" DMG%", $A$155:$A$161, 0), 1)="", 0,INDEX(I$155:I$161, MATCH(I220&amp;" DMG%", $A$155:$A$161, 0), 1)),0)+I$232+INDEX(I233:I237, MATCH(HLOOKUP('Rotation Assembler'!I$32, 'Data Val'!$I$30:$M$32, 2, 0)&amp;" DMG%", $A$233:$A$237, 0), 1)</f>
        <v>0</v>
      </c>
      <c r="J242" s="103">
        <f>IFERROR(IF(INDEX(J$155:J$161, MATCH(J220&amp;" DMG%", $A$155:$A$161, 0), 1)="", 0,INDEX(J$155:J$161, MATCH(J220&amp;" DMG%", $A$155:$A$161, 0), 1)),0)+J$232+INDEX(J233:J237, MATCH(HLOOKUP('Rotation Assembler'!J$32, 'Data Val'!$I$30:$M$32, 2, 0)&amp;" DMG%", $A$233:$A$237, 0), 1)</f>
        <v>0</v>
      </c>
      <c r="K242" s="103">
        <f>IFERROR(IF(INDEX(K$155:K$161, MATCH(K220&amp;" DMG%", $A$155:$A$161, 0), 1)="", 0,INDEX(K$155:K$161, MATCH(K220&amp;" DMG%", $A$155:$A$161, 0), 1)),0)+K$232+INDEX(K233:K237, MATCH(HLOOKUP('Rotation Assembler'!K$32, 'Data Val'!$I$30:$M$32, 2, 0)&amp;" DMG%", $A$233:$A$237, 0), 1)</f>
        <v>0</v>
      </c>
      <c r="L242" s="103">
        <f>IFERROR(IF(INDEX(L$155:L$161, MATCH(L220&amp;" DMG%", $A$155:$A$161, 0), 1)="", 0,INDEX(L$155:L$161, MATCH(L220&amp;" DMG%", $A$155:$A$161, 0), 1)),0)+L$232+INDEX(L233:L237, MATCH(HLOOKUP('Rotation Assembler'!L$32, 'Data Val'!$I$30:$M$32, 2, 0)&amp;" DMG%", $A$233:$A$237, 0), 1)</f>
        <v>0.57999999999999996</v>
      </c>
      <c r="M242" s="103">
        <f>IFERROR(IF(INDEX(M$155:M$161, MATCH(M220&amp;" DMG%", $A$155:$A$161, 0), 1)="", 0,INDEX(M$155:M$161, MATCH(M220&amp;" DMG%", $A$155:$A$161, 0), 1)),0)+M$232+INDEX(M233:M237, MATCH(HLOOKUP('Rotation Assembler'!M$32, 'Data Val'!$I$30:$M$32, 2, 0)&amp;" DMG%", $A$233:$A$237, 0), 1)</f>
        <v>0</v>
      </c>
      <c r="N242" s="103">
        <f>IFERROR(IF(INDEX(N$155:N$161, MATCH(N220&amp;" DMG%", $A$155:$A$161, 0), 1)="", 0,INDEX(N$155:N$161, MATCH(N220&amp;" DMG%", $A$155:$A$161, 0), 1)),0)+N$232+INDEX(N233:N237, MATCH(HLOOKUP('Rotation Assembler'!N$32, 'Data Val'!$I$30:$M$32, 2, 0)&amp;" DMG%", $A$233:$A$237, 0), 1)</f>
        <v>0</v>
      </c>
      <c r="O242" s="103">
        <f>IFERROR(IF(INDEX(O$155:O$161, MATCH(O220&amp;" DMG%", $A$155:$A$161, 0), 1)="", 0,INDEX(O$155:O$161, MATCH(O220&amp;" DMG%", $A$155:$A$161, 0), 1)),0)+O$232+INDEX(O233:O237, MATCH(HLOOKUP('Rotation Assembler'!O$32, 'Data Val'!$I$30:$M$32, 2, 0)&amp;" DMG%", $A$233:$A$237, 0), 1)</f>
        <v>0.15</v>
      </c>
      <c r="P242" s="103">
        <f>IFERROR(IF(INDEX(P$155:P$161, MATCH(P220&amp;" DMG%", $A$155:$A$161, 0), 1)="", 0,INDEX(P$155:P$161, MATCH(P220&amp;" DMG%", $A$155:$A$161, 0), 1)),0)+P$232+INDEX(P233:P237, MATCH(HLOOKUP('Rotation Assembler'!P$32, 'Data Val'!$I$30:$M$32, 2, 0)&amp;" DMG%", $A$233:$A$237, 0), 1)</f>
        <v>0.15</v>
      </c>
      <c r="Q242" s="103">
        <f>IFERROR(IF(INDEX(Q$155:Q$161, MATCH(Q220&amp;" DMG%", $A$155:$A$161, 0), 1)="", 0,INDEX(Q$155:Q$161, MATCH(Q220&amp;" DMG%", $A$155:$A$161, 0), 1)),0)+Q$232+INDEX(Q233:Q237, MATCH(HLOOKUP('Rotation Assembler'!Q$32, 'Data Val'!$I$30:$M$32, 2, 0)&amp;" DMG%", $A$233:$A$237, 0), 1)</f>
        <v>0.73</v>
      </c>
      <c r="R242" s="103">
        <f>IFERROR(IF(INDEX(R$155:R$161, MATCH(R220&amp;" DMG%", $A$155:$A$161, 0), 1)="", 0,INDEX(R$155:R$161, MATCH(R220&amp;" DMG%", $A$155:$A$161, 0), 1)),0)+R$232+INDEX(R233:R237, MATCH(HLOOKUP('Rotation Assembler'!R$32, 'Data Val'!$I$30:$M$32, 2, 0)&amp;" DMG%", $A$233:$A$237, 0), 1)</f>
        <v>0.15</v>
      </c>
      <c r="S242" s="103">
        <f>IFERROR(IF(INDEX(S$155:S$161, MATCH(S220&amp;" DMG%", $A$155:$A$161, 0), 1)="", 0,INDEX(S$155:S$161, MATCH(S220&amp;" DMG%", $A$155:$A$161, 0), 1)),0)+S$232+INDEX(S233:S237, MATCH(HLOOKUP('Rotation Assembler'!S$32, 'Data Val'!$I$30:$M$32, 2, 0)&amp;" DMG%", $A$233:$A$237, 0), 1)</f>
        <v>0.76600000000000001</v>
      </c>
      <c r="T242" s="103">
        <f ca="1">IFERROR(IF(INDEX(T$155:T$161, MATCH(T220&amp;" DMG%", $A$155:$A$161, 0), 1)="", 0,INDEX(T$155:T$161, MATCH(T220&amp;" DMG%", $A$155:$A$161, 0), 1)),0)+T$232+INDEX(T233:T237, MATCH(HLOOKUP('Rotation Assembler'!T$32, 'Data Val'!$I$30:$M$32, 2, 0)&amp;" DMG%", $A$233:$A$237, 0), 1)</f>
        <v>0.95713999999999999</v>
      </c>
      <c r="U242" s="103">
        <f>IFERROR(IF(INDEX(U$155:U$161, MATCH(U220&amp;" DMG%", $A$155:$A$161, 0), 1)="", 0,INDEX(U$155:U$161, MATCH(U220&amp;" DMG%", $A$155:$A$161, 0), 1)),0)+U$232+INDEX(U233:U237, MATCH(HLOOKUP('Rotation Assembler'!U$32, 'Data Val'!$I$30:$M$32, 2, 0)&amp;" DMG%", $A$233:$A$237, 0), 1)</f>
        <v>0.91600000000000004</v>
      </c>
      <c r="V242" s="103">
        <f>IFERROR(IF(INDEX(V$155:V$161, MATCH(V220&amp;" DMG%", $A$155:$A$161, 0), 1)="", 0,INDEX(V$155:V$161, MATCH(V220&amp;" DMG%", $A$155:$A$161, 0), 1)),0)+V$232+INDEX(V233:V237, MATCH(HLOOKUP('Rotation Assembler'!V$32, 'Data Val'!$I$30:$M$32, 2, 0)&amp;" DMG%", $A$233:$A$237, 0), 1)</f>
        <v>0.91600000000000004</v>
      </c>
      <c r="W242" s="103">
        <f>IFERROR(IF(INDEX(W$155:W$161, MATCH(W220&amp;" DMG%", $A$155:$A$161, 0), 1)="", 0,INDEX(W$155:W$161, MATCH(W220&amp;" DMG%", $A$155:$A$161, 0), 1)),0)+W$232+INDEX(W233:W237, MATCH(HLOOKUP('Rotation Assembler'!W$32, 'Data Val'!$I$30:$M$32, 2, 0)&amp;" DMG%", $A$233:$A$237, 0), 1)</f>
        <v>1.496</v>
      </c>
      <c r="X242" s="103">
        <f>IFERROR(IF(INDEX(X$155:X$161, MATCH(X220&amp;" DMG%", $A$155:$A$161, 0), 1)="", 0,INDEX(X$155:X$161, MATCH(X220&amp;" DMG%", $A$155:$A$161, 0), 1)),0)+X$232+INDEX(X233:X237, MATCH(HLOOKUP('Rotation Assembler'!X$32, 'Data Val'!$I$30:$M$32, 2, 0)&amp;" DMG%", $A$233:$A$237, 0), 1)</f>
        <v>1.496</v>
      </c>
      <c r="Y242" s="103">
        <f>IFERROR(IF(INDEX(Y$155:Y$161, MATCH(Y220&amp;" DMG%", $A$155:$A$161, 0), 1)="", 0,INDEX(Y$155:Y$161, MATCH(Y220&amp;" DMG%", $A$155:$A$161, 0), 1)),0)+Y$232+INDEX(Y233:Y237, MATCH(HLOOKUP('Rotation Assembler'!Y$32, 'Data Val'!$I$30:$M$32, 2, 0)&amp;" DMG%", $A$233:$A$237, 0), 1)</f>
        <v>1.496</v>
      </c>
      <c r="Z242" s="103">
        <f>IFERROR(IF(INDEX(Z$155:Z$161, MATCH(Z220&amp;" DMG%", $A$155:$A$161, 0), 1)="", 0,INDEX(Z$155:Z$161, MATCH(Z220&amp;" DMG%", $A$155:$A$161, 0), 1)),0)+Z$232+INDEX(Z233:Z237, MATCH(HLOOKUP('Rotation Assembler'!Z$32, 'Data Val'!$I$30:$M$32, 2, 0)&amp;" DMG%", $A$233:$A$237, 0), 1)</f>
        <v>1.496</v>
      </c>
      <c r="AA242" s="103">
        <f>IFERROR(IF(INDEX(AA$155:AA$161, MATCH(AA220&amp;" DMG%", $A$155:$A$161, 0), 1)="", 0,INDEX(AA$155:AA$161, MATCH(AA220&amp;" DMG%", $A$155:$A$161, 0), 1)),0)+AA$232+INDEX(AA233:AA237, MATCH(HLOOKUP('Rotation Assembler'!AA$32, 'Data Val'!$I$30:$M$32, 2, 0)&amp;" DMG%", $A$233:$A$237, 0), 1)</f>
        <v>0.91600000000000004</v>
      </c>
      <c r="AB242" s="103">
        <f ca="1">IFERROR(IF(INDEX(AB$155:AB$161, MATCH(AB220&amp;" DMG%", $A$155:$A$161, 0), 1)="", 0,INDEX(AB$155:AB$161, MATCH(AB220&amp;" DMG%", $A$155:$A$161, 0), 1)),0)+AB$232+INDEX(AB233:AB237, MATCH(HLOOKUP('Rotation Assembler'!AB$32, 'Data Val'!$I$30:$M$32, 2, 0)&amp;" DMG%", $A$233:$A$237, 0), 1)</f>
        <v>1.53714</v>
      </c>
      <c r="AC242" s="103">
        <f>IFERROR(IF(INDEX(AC$155:AC$161, MATCH(AC220&amp;" DMG%", $A$155:$A$161, 0), 1)="", 0,INDEX(AC$155:AC$161, MATCH(AC220&amp;" DMG%", $A$155:$A$161, 0), 1)),0)+AC$232+INDEX(AC233:AC237, MATCH(HLOOKUP('Rotation Assembler'!AC$32, 'Data Val'!$I$30:$M$32, 2, 0)&amp;" DMG%", $A$233:$A$237, 0), 1)</f>
        <v>0.57999999999999996</v>
      </c>
      <c r="AD242" s="103">
        <f>IFERROR(IF(INDEX(AD$155:AD$161, MATCH(AD220&amp;" DMG%", $A$155:$A$161, 0), 1)="", 0,INDEX(AD$155:AD$161, MATCH(AD220&amp;" DMG%", $A$155:$A$161, 0), 1)),0)+AD$232+INDEX(AD233:AD237, MATCH(HLOOKUP('Rotation Assembler'!AD$32, 'Data Val'!$I$30:$M$32, 2, 0)&amp;" DMG%", $A$233:$A$237, 0), 1)</f>
        <v>0</v>
      </c>
      <c r="AE242" s="103">
        <f>IFERROR(IF(INDEX(AE$155:AE$161, MATCH(AE220&amp;" DMG%", $A$155:$A$161, 0), 1)="", 0,INDEX(AE$155:AE$161, MATCH(AE220&amp;" DMG%", $A$155:$A$161, 0), 1)),0)+AE$232+INDEX(AE233:AE237, MATCH(HLOOKUP('Rotation Assembler'!AE$32, 'Data Val'!$I$30:$M$32, 2, 0)&amp;" DMG%", $A$233:$A$237, 0), 1)</f>
        <v>1.0799999999999998</v>
      </c>
      <c r="AF242" s="103">
        <f>IFERROR(IF(INDEX(AF$155:AF$161, MATCH(AF220&amp;" DMG%", $A$155:$A$161, 0), 1)="", 0,INDEX(AF$155:AF$161, MATCH(AF220&amp;" DMG%", $A$155:$A$161, 0), 1)),0)+AF$232+INDEX(AF233:AF237, MATCH(HLOOKUP('Rotation Assembler'!AF$32, 'Data Val'!$I$30:$M$32, 2, 0)&amp;" DMG%", $A$233:$A$237, 0), 1)</f>
        <v>1.5459999999999998</v>
      </c>
      <c r="AG242" s="103">
        <f>IFERROR(IF(INDEX(AG$155:AG$161, MATCH(AG220&amp;" DMG%", $A$155:$A$161, 0), 1)="", 0,INDEX(AG$155:AG$161, MATCH(AG220&amp;" DMG%", $A$155:$A$161, 0), 1)),0)+AG$232+INDEX(AG233:AG237, MATCH(HLOOKUP('Rotation Assembler'!AG$32, 'Data Val'!$I$30:$M$32, 2, 0)&amp;" DMG%", $A$233:$A$237, 0), 1)</f>
        <v>1.5459999999999998</v>
      </c>
      <c r="AH242" s="103">
        <f>IFERROR(IF(INDEX(AH$155:AH$161, MATCH(AH220&amp;" DMG%", $A$155:$A$161, 0), 1)="", 0,INDEX(AH$155:AH$161, MATCH(AH220&amp;" DMG%", $A$155:$A$161, 0), 1)),0)+AH$232+INDEX(AH233:AH237, MATCH(HLOOKUP('Rotation Assembler'!AH$32, 'Data Val'!$I$30:$M$32, 2, 0)&amp;" DMG%", $A$233:$A$237, 0), 1)</f>
        <v>0.96599999999999997</v>
      </c>
      <c r="AI242" s="103">
        <f>IFERROR(IF(INDEX(AI$155:AI$161, MATCH(AI220&amp;" DMG%", $A$155:$A$161, 0), 1)="", 0,INDEX(AI$155:AI$161, MATCH(AI220&amp;" DMG%", $A$155:$A$161, 0), 1)),0)+AI$232+INDEX(AI233:AI237, MATCH(HLOOKUP('Rotation Assembler'!AI$32, 'Data Val'!$I$30:$M$32, 2, 0)&amp;" DMG%", $A$233:$A$237, 0), 1)</f>
        <v>0.96599999999999997</v>
      </c>
      <c r="AJ242" s="103" t="e">
        <f>IFERROR(IF(INDEX(AJ$155:AJ$161, MATCH(AJ220&amp;" DMG%", $A$155:$A$161, 0), 1)="", 0,INDEX(AJ$155:AJ$161, MATCH(AJ220&amp;" DMG%", $A$155:$A$161, 0), 1)),0)+AJ$232+INDEX(AJ233:AJ237, MATCH(HLOOKUP('Rotation Assembler'!AJ$32, 'Data Val'!$I$30:$M$32, 2, 0)&amp;" DMG%", $A$233:$A$237, 0), 1)</f>
        <v>#N/A</v>
      </c>
      <c r="AK242" s="103" t="e">
        <f>IFERROR(IF(INDEX(AK$155:AK$161, MATCH(AK220&amp;" DMG%", $A$155:$A$161, 0), 1)="", 0,INDEX(AK$155:AK$161, MATCH(AK220&amp;" DMG%", $A$155:$A$161, 0), 1)),0)+AK$232+INDEX(AK233:AK237, MATCH(HLOOKUP('Rotation Assembler'!AK$32, 'Data Val'!$I$30:$M$32, 2, 0)&amp;" DMG%", $A$233:$A$237, 0), 1)</f>
        <v>#N/A</v>
      </c>
      <c r="AL242" s="103" t="e">
        <f>IFERROR(IF(INDEX(AL$155:AL$161, MATCH(AL220&amp;" DMG%", $A$155:$A$161, 0), 1)="", 0,INDEX(AL$155:AL$161, MATCH(AL220&amp;" DMG%", $A$155:$A$161, 0), 1)),0)+AL$232+INDEX(AL233:AL237, MATCH(HLOOKUP('Rotation Assembler'!AL$32, 'Data Val'!$I$30:$M$32, 2, 0)&amp;" DMG%", $A$233:$A$237, 0), 1)</f>
        <v>#N/A</v>
      </c>
      <c r="AM242" s="103" t="e">
        <f>IFERROR(IF(INDEX(AM$155:AM$161, MATCH(AM220&amp;" DMG%", $A$155:$A$161, 0), 1)="", 0,INDEX(AM$155:AM$161, MATCH(AM220&amp;" DMG%", $A$155:$A$161, 0), 1)),0)+AM$232+INDEX(AM233:AM237, MATCH(HLOOKUP('Rotation Assembler'!AM$32, 'Data Val'!$I$30:$M$32, 2, 0)&amp;" DMG%", $A$233:$A$237, 0), 1)</f>
        <v>#N/A</v>
      </c>
      <c r="AN242" s="103" t="e">
        <f>IFERROR(IF(INDEX(AN$155:AN$161, MATCH(AN220&amp;" DMG%", $A$155:$A$161, 0), 1)="", 0,INDEX(AN$155:AN$161, MATCH(AN220&amp;" DMG%", $A$155:$A$161, 0), 1)),0)+AN$232+INDEX(AN233:AN237, MATCH(HLOOKUP('Rotation Assembler'!AN$32, 'Data Val'!$I$30:$M$32, 2, 0)&amp;" DMG%", $A$233:$A$237, 0), 1)</f>
        <v>#N/A</v>
      </c>
      <c r="AO242" s="103" t="e">
        <f>IFERROR(IF(INDEX(AO$155:AO$161, MATCH(AO220&amp;" DMG%", $A$155:$A$161, 0), 1)="", 0,INDEX(AO$155:AO$161, MATCH(AO220&amp;" DMG%", $A$155:$A$161, 0), 1)),0)+AO$232+INDEX(AO233:AO237, MATCH(HLOOKUP('Rotation Assembler'!AO$32, 'Data Val'!$I$30:$M$32, 2, 0)&amp;" DMG%", $A$233:$A$237, 0), 1)</f>
        <v>#N/A</v>
      </c>
      <c r="AP242" s="103" t="e">
        <f>IFERROR(IF(INDEX(AP$155:AP$161, MATCH(AP220&amp;" DMG%", $A$155:$A$161, 0), 1)="", 0,INDEX(AP$155:AP$161, MATCH(AP220&amp;" DMG%", $A$155:$A$161, 0), 1)),0)+AP$232+INDEX(AP233:AP237, MATCH(HLOOKUP('Rotation Assembler'!AP$32, 'Data Val'!$I$30:$M$32, 2, 0)&amp;" DMG%", $A$233:$A$237, 0), 1)</f>
        <v>#N/A</v>
      </c>
      <c r="AQ242" s="103" t="e">
        <f>IFERROR(IF(INDEX(AQ$155:AQ$161, MATCH(AQ220&amp;" DMG%", $A$155:$A$161, 0), 1)="", 0,INDEX(AQ$155:AQ$161, MATCH(AQ220&amp;" DMG%", $A$155:$A$161, 0), 1)),0)+AQ$232+INDEX(AQ233:AQ237, MATCH(HLOOKUP('Rotation Assembler'!AQ$32, 'Data Val'!$I$30:$M$32, 2, 0)&amp;" DMG%", $A$233:$A$237, 0), 1)</f>
        <v>#N/A</v>
      </c>
      <c r="AR242" s="103" t="e">
        <f>IFERROR(IF(INDEX(AR$155:AR$161, MATCH(AR220&amp;" DMG%", $A$155:$A$161, 0), 1)="", 0,INDEX(AR$155:AR$161, MATCH(AR220&amp;" DMG%", $A$155:$A$161, 0), 1)),0)+AR$232+INDEX(AR233:AR237, MATCH(HLOOKUP('Rotation Assembler'!AR$32, 'Data Val'!$I$30:$M$32, 2, 0)&amp;" DMG%", $A$233:$A$237, 0), 1)</f>
        <v>#N/A</v>
      </c>
      <c r="AS242" s="103" t="e">
        <f>IFERROR(IF(INDEX(AS$155:AS$161, MATCH(AS220&amp;" DMG%", $A$155:$A$161, 0), 1)="", 0,INDEX(AS$155:AS$161, MATCH(AS220&amp;" DMG%", $A$155:$A$161, 0), 1)),0)+AS$232+INDEX(AS233:AS237, MATCH(HLOOKUP('Rotation Assembler'!AS$32, 'Data Val'!$I$30:$M$32, 2, 0)&amp;" DMG%", $A$233:$A$237, 0), 1)</f>
        <v>#N/A</v>
      </c>
      <c r="AT242" s="103" t="e">
        <f>IFERROR(IF(INDEX(AT$155:AT$161, MATCH(AT220&amp;" DMG%", $A$155:$A$161, 0), 1)="", 0,INDEX(AT$155:AT$161, MATCH(AT220&amp;" DMG%", $A$155:$A$161, 0), 1)),0)+AT$232+INDEX(AT233:AT237, MATCH(HLOOKUP('Rotation Assembler'!AT$32, 'Data Val'!$I$30:$M$32, 2, 0)&amp;" DMG%", $A$233:$A$237, 0), 1)</f>
        <v>#N/A</v>
      </c>
      <c r="AU242" s="103" t="e">
        <f>IFERROR(IF(INDEX(AU$155:AU$161, MATCH(AU220&amp;" DMG%", $A$155:$A$161, 0), 1)="", 0,INDEX(AU$155:AU$161, MATCH(AU220&amp;" DMG%", $A$155:$A$161, 0), 1)),0)+AU$232+INDEX(AU233:AU237, MATCH(HLOOKUP('Rotation Assembler'!AU$32, 'Data Val'!$I$30:$M$32, 2, 0)&amp;" DMG%", $A$233:$A$237, 0), 1)</f>
        <v>#N/A</v>
      </c>
      <c r="AV242" s="103" t="e">
        <f>IFERROR(IF(INDEX(AV$155:AV$161, MATCH(AV220&amp;" DMG%", $A$155:$A$161, 0), 1)="", 0,INDEX(AV$155:AV$161, MATCH(AV220&amp;" DMG%", $A$155:$A$161, 0), 1)),0)+AV$232+INDEX(AV233:AV237, MATCH(HLOOKUP('Rotation Assembler'!AV$32, 'Data Val'!$I$30:$M$32, 2, 0)&amp;" DMG%", $A$233:$A$237, 0), 1)</f>
        <v>#N/A</v>
      </c>
      <c r="AW242" s="103" t="e">
        <f>IFERROR(IF(INDEX(AW$155:AW$161, MATCH(AW220&amp;" DMG%", $A$155:$A$161, 0), 1)="", 0,INDEX(AW$155:AW$161, MATCH(AW220&amp;" DMG%", $A$155:$A$161, 0), 1)),0)+AW$232+INDEX(AW233:AW237, MATCH(HLOOKUP('Rotation Assembler'!AW$32, 'Data Val'!$I$30:$M$32, 2, 0)&amp;" DMG%", $A$233:$A$237, 0), 1)</f>
        <v>#N/A</v>
      </c>
      <c r="AX242" s="103" t="e">
        <f>IFERROR(IF(INDEX(AX$155:AX$161, MATCH(AX220&amp;" DMG%", $A$155:$A$161, 0), 1)="", 0,INDEX(AX$155:AX$161, MATCH(AX220&amp;" DMG%", $A$155:$A$161, 0), 1)),0)+AX$232+INDEX(AX233:AX237, MATCH(HLOOKUP('Rotation Assembler'!AX$32, 'Data Val'!$I$30:$M$32, 2, 0)&amp;" DMG%", $A$233:$A$237, 0), 1)</f>
        <v>#N/A</v>
      </c>
      <c r="AY242" s="103" t="e">
        <f>IFERROR(IF(INDEX(AY$155:AY$161, MATCH(AY220&amp;" DMG%", $A$155:$A$161, 0), 1)="", 0,INDEX(AY$155:AY$161, MATCH(AY220&amp;" DMG%", $A$155:$A$161, 0), 1)),0)+AY$232+INDEX(AY233:AY237, MATCH(HLOOKUP('Rotation Assembler'!AY$32, 'Data Val'!$I$30:$M$32, 2, 0)&amp;" DMG%", $A$233:$A$237, 0), 1)</f>
        <v>#N/A</v>
      </c>
      <c r="AZ242" s="103" t="e">
        <f>IFERROR(IF(INDEX(AZ$155:AZ$161, MATCH(AZ220&amp;" DMG%", $A$155:$A$161, 0), 1)="", 0,INDEX(AZ$155:AZ$161, MATCH(AZ220&amp;" DMG%", $A$155:$A$161, 0), 1)),0)+AZ$232+INDEX(AZ233:AZ237, MATCH(HLOOKUP('Rotation Assembler'!AZ$32, 'Data Val'!$I$30:$M$32, 2, 0)&amp;" DMG%", $A$233:$A$237, 0), 1)</f>
        <v>#N/A</v>
      </c>
      <c r="BA242" s="103" t="e">
        <f>IFERROR(IF(INDEX(BA$155:BA$161, MATCH(BA220&amp;" DMG%", $A$155:$A$161, 0), 1)="", 0,INDEX(BA$155:BA$161, MATCH(BA220&amp;" DMG%", $A$155:$A$161, 0), 1)),0)+BA$232+INDEX(BA233:BA237, MATCH(HLOOKUP('Rotation Assembler'!BA$32, 'Data Val'!$I$30:$M$32, 2, 0)&amp;" DMG%", $A$233:$A$237, 0), 1)</f>
        <v>#N/A</v>
      </c>
      <c r="BB242" s="103" t="e">
        <f>IFERROR(IF(INDEX(BB$155:BB$161, MATCH(BB220&amp;" DMG%", $A$155:$A$161, 0), 1)="", 0,INDEX(BB$155:BB$161, MATCH(BB220&amp;" DMG%", $A$155:$A$161, 0), 1)),0)+BB$232+INDEX(BB233:BB237, MATCH(HLOOKUP('Rotation Assembler'!BB$32, 'Data Val'!$I$30:$M$32, 2, 0)&amp;" DMG%", $A$233:$A$237, 0), 1)</f>
        <v>#N/A</v>
      </c>
      <c r="BC242" s="103" t="e">
        <f>IFERROR(IF(INDEX(BC$155:BC$161, MATCH(BC220&amp;" DMG%", $A$155:$A$161, 0), 1)="", 0,INDEX(BC$155:BC$161, MATCH(BC220&amp;" DMG%", $A$155:$A$161, 0), 1)),0)+BC$232+INDEX(BC233:BC237, MATCH(HLOOKUP('Rotation Assembler'!BC$32, 'Data Val'!$I$30:$M$32, 2, 0)&amp;" DMG%", $A$233:$A$237, 0), 1)</f>
        <v>#N/A</v>
      </c>
      <c r="BD242" s="103" t="e">
        <f>IFERROR(IF(INDEX(BD$155:BD$161, MATCH(BD220&amp;" DMG%", $A$155:$A$161, 0), 1)="", 0,INDEX(BD$155:BD$161, MATCH(BD220&amp;" DMG%", $A$155:$A$161, 0), 1)),0)+BD$232+INDEX(BD233:BD237, MATCH(HLOOKUP('Rotation Assembler'!BD$32, 'Data Val'!$I$30:$M$32, 2, 0)&amp;" DMG%", $A$233:$A$237, 0), 1)</f>
        <v>#N/A</v>
      </c>
      <c r="BE242" s="103" t="e">
        <f>IFERROR(IF(INDEX(BE$155:BE$161, MATCH(BE220&amp;" DMG%", $A$155:$A$161, 0), 1)="", 0,INDEX(BE$155:BE$161, MATCH(BE220&amp;" DMG%", $A$155:$A$161, 0), 1)),0)+BE$232+INDEX(BE233:BE237, MATCH(HLOOKUP('Rotation Assembler'!BE$32, 'Data Val'!$I$30:$M$32, 2, 0)&amp;" DMG%", $A$233:$A$237, 0), 1)</f>
        <v>#N/A</v>
      </c>
      <c r="BF242" s="103" t="e">
        <f>IFERROR(IF(INDEX(BF$155:BF$161, MATCH(BF220&amp;" DMG%", $A$155:$A$161, 0), 1)="", 0,INDEX(BF$155:BF$161, MATCH(BF220&amp;" DMG%", $A$155:$A$161, 0), 1)),0)+BF$232+INDEX(BF233:BF237, MATCH(HLOOKUP('Rotation Assembler'!BF$32, 'Data Val'!$I$30:$M$32, 2, 0)&amp;" DMG%", $A$233:$A$237, 0), 1)</f>
        <v>#N/A</v>
      </c>
      <c r="BG242" s="103" t="e">
        <f>IFERROR(IF(INDEX(BG$155:BG$161, MATCH(BG220&amp;" DMG%", $A$155:$A$161, 0), 1)="", 0,INDEX(BG$155:BG$161, MATCH(BG220&amp;" DMG%", $A$155:$A$161, 0), 1)),0)+BG$232+INDEX(BG233:BG237, MATCH(HLOOKUP('Rotation Assembler'!BG$32, 'Data Val'!$I$30:$M$32, 2, 0)&amp;" DMG%", $A$233:$A$237, 0), 1)</f>
        <v>#N/A</v>
      </c>
      <c r="BH242" s="103" t="e">
        <f>IFERROR(IF(INDEX(BH$155:BH$161, MATCH(BH220&amp;" DMG%", $A$155:$A$161, 0), 1)="", 0,INDEX(BH$155:BH$161, MATCH(BH220&amp;" DMG%", $A$155:$A$161, 0), 1)),0)+BH$232+INDEX(BH233:BH237, MATCH(HLOOKUP('Rotation Assembler'!BH$32, 'Data Val'!$I$30:$M$32, 2, 0)&amp;" DMG%", $A$233:$A$237, 0), 1)</f>
        <v>#N/A</v>
      </c>
      <c r="BI242" s="103"/>
      <c r="BJ242" s="103"/>
      <c r="BK242" s="103"/>
      <c r="BL242" s="103"/>
      <c r="BM242" s="103"/>
      <c r="BN242" s="103"/>
      <c r="BO242" s="103"/>
      <c r="BP242" s="103"/>
      <c r="BQ242" s="103"/>
      <c r="BR242" s="103"/>
      <c r="BS242" s="103"/>
      <c r="BT242" s="103"/>
      <c r="BU242" s="103"/>
      <c r="BV242" s="103"/>
      <c r="BW242" s="103"/>
      <c r="BX242" s="103"/>
      <c r="BY242" s="103"/>
      <c r="BZ242" s="103"/>
      <c r="CA242" s="103"/>
      <c r="CB242" s="103"/>
      <c r="CC242" s="103"/>
      <c r="CD242" s="103"/>
      <c r="CE242" s="103"/>
      <c r="CF242" s="103"/>
      <c r="CG242" s="103"/>
      <c r="CH242" s="103"/>
      <c r="CI242" s="103"/>
      <c r="CJ242" s="103"/>
      <c r="CK242" s="103"/>
      <c r="CL242" s="103"/>
      <c r="CM242" s="103"/>
      <c r="CN242" s="103"/>
      <c r="CO242" s="103"/>
      <c r="CP242" s="103"/>
      <c r="CQ242" s="103"/>
      <c r="CR242" s="103"/>
      <c r="CS242" s="103"/>
      <c r="CT242" s="103"/>
      <c r="CU242" s="103"/>
      <c r="CV242" s="103"/>
      <c r="CW242" s="103"/>
      <c r="CX242" s="103"/>
      <c r="CY242" s="103"/>
      <c r="CZ242" s="103"/>
      <c r="DA242" s="103"/>
      <c r="DB242" s="103"/>
      <c r="DC242" s="103"/>
    </row>
    <row r="243" spans="1:107" hidden="1" outlineLevel="1" x14ac:dyDescent="0.25">
      <c r="A243" s="110" t="s">
        <v>0</v>
      </c>
      <c r="B243" s="103">
        <f t="shared" ref="B243:G243" si="1268">IFERROR(IF(INDEX(B$155:B$161, MATCH(B221&amp;" DMG%", $A$155:$A$161, 0), 1)="", 0,INDEX(B$155:B$161, MATCH(B221&amp;" DMG%", $A$155:$A$161, 0), 1)),0)+B$232+B$237</f>
        <v>0.61599999999999999</v>
      </c>
      <c r="C243" s="103">
        <f t="shared" ca="1" si="1268"/>
        <v>0.80713999999999997</v>
      </c>
      <c r="D243" s="103">
        <f t="shared" si="1268"/>
        <v>0.15</v>
      </c>
      <c r="E243" s="103">
        <f t="shared" ref="E243" si="1269">IFERROR(IF(INDEX(E$155:E$161, MATCH(E221&amp;" DMG%", $A$155:$A$161, 0), 1)="", 0,INDEX(E$155:E$161, MATCH(E221&amp;" DMG%", $A$155:$A$161, 0), 1)),0)+E$232+E$237</f>
        <v>0.15</v>
      </c>
      <c r="F243" s="103">
        <f t="shared" si="1268"/>
        <v>0.15</v>
      </c>
      <c r="G243" s="103">
        <f t="shared" si="1268"/>
        <v>0.15</v>
      </c>
      <c r="H243" s="103">
        <f>IFERROR(IF(INDEX(H$155:H$161, MATCH(H221&amp;" DMG%", $A$155:$A$161, 0), 1)="", 0,INDEX(H$155:H$161, MATCH(H221&amp;" DMG%", $A$155:$A$161, 0), 1)),0)+H$232+H$237</f>
        <v>0.2</v>
      </c>
      <c r="I243" s="103">
        <f t="shared" ref="I243:K243" si="1270">IFERROR(IF(INDEX(I$155:I$161, MATCH(I221&amp;" DMG%", $A$155:$A$161, 0), 1)="", 0,INDEX(I$155:I$161, MATCH(I221&amp;" DMG%", $A$155:$A$161, 0), 1)),0)+I$232+I$237</f>
        <v>0.15</v>
      </c>
      <c r="J243" s="103">
        <f t="shared" si="1270"/>
        <v>0.15</v>
      </c>
      <c r="K243" s="103">
        <f t="shared" si="1270"/>
        <v>0.15</v>
      </c>
      <c r="L243" s="103">
        <f t="shared" ref="L243" si="1271">IFERROR(IF(INDEX(L$155:L$161, MATCH(L221&amp;" DMG%", $A$155:$A$161, 0), 1)="", 0,INDEX(L$155:L$161, MATCH(L221&amp;" DMG%", $A$155:$A$161, 0), 1)),0)+L$232+L$237</f>
        <v>0.73</v>
      </c>
      <c r="M243" s="103">
        <f>IFERROR(IF(INDEX(M$155:M$161, MATCH(M221&amp;" DMG%", $A$155:$A$161, 0), 1)="", 0,INDEX(M$155:M$161, MATCH(M221&amp;" DMG%", $A$155:$A$161, 0), 1)),0)+M$232+M$237</f>
        <v>0.15</v>
      </c>
      <c r="N243" s="103">
        <f>IFERROR(IF(INDEX(N$155:N$161, MATCH(N221&amp;" DMG%", $A$155:$A$161, 0), 1)="", 0,INDEX(N$155:N$161, MATCH(N221&amp;" DMG%", $A$155:$A$161, 0), 1)),0)+N$232+N$237</f>
        <v>0.15</v>
      </c>
      <c r="O243" s="103">
        <f>IFERROR(IF(INDEX(O$155:O$161, MATCH(O221&amp;" DMG%", $A$155:$A$161, 0), 1)="", 0,INDEX(O$155:O$161, MATCH(O221&amp;" DMG%", $A$155:$A$161, 0), 1)),0)+O$232+O$237</f>
        <v>0.35</v>
      </c>
      <c r="P243" s="103">
        <f>IFERROR(IF(INDEX(P$155:P$161, MATCH(P221&amp;" DMG%", $A$155:$A$161, 0), 1)="", 0,INDEX(P$155:P$161, MATCH(P221&amp;" DMG%", $A$155:$A$161, 0), 1)),0)+P$232+P$237</f>
        <v>0.35</v>
      </c>
      <c r="Q243" s="103">
        <f>IFERROR(IF(INDEX(Q$155:Q$161, MATCH(Q221&amp;" DMG%", $A$155:$A$161, 0), 1)="", 0,INDEX(Q$155:Q$161, MATCH(Q221&amp;" DMG%", $A$155:$A$161, 0), 1)),0)+Q$232+Q$237</f>
        <v>0.92999999999999994</v>
      </c>
      <c r="R243" s="103">
        <f t="shared" ref="R243:AZ243" si="1272">IFERROR(IF(INDEX(R$155:R$161, MATCH(R221&amp;" DMG%", $A$155:$A$161, 0), 1)="", 0,INDEX(R$155:R$161, MATCH(R221&amp;" DMG%", $A$155:$A$161, 0), 1)),0)+R$232+R$237</f>
        <v>0.35</v>
      </c>
      <c r="S243" s="103">
        <f t="shared" si="1272"/>
        <v>0.76600000000000001</v>
      </c>
      <c r="T243" s="103">
        <f t="shared" ca="1" si="1272"/>
        <v>0.95713999999999999</v>
      </c>
      <c r="U243" s="103">
        <f t="shared" si="1272"/>
        <v>0.91600000000000004</v>
      </c>
      <c r="V243" s="103">
        <f t="shared" ref="V243:W243" si="1273">IFERROR(IF(INDEX(V$155:V$161, MATCH(V221&amp;" DMG%", $A$155:$A$161, 0), 1)="", 0,INDEX(V$155:V$161, MATCH(V221&amp;" DMG%", $A$155:$A$161, 0), 1)),0)+V$232+V$237</f>
        <v>0.91600000000000004</v>
      </c>
      <c r="W243" s="103">
        <f t="shared" si="1273"/>
        <v>1.496</v>
      </c>
      <c r="X243" s="103">
        <f t="shared" ref="X243:Y243" si="1274">IFERROR(IF(INDEX(X$155:X$161, MATCH(X221&amp;" DMG%", $A$155:$A$161, 0), 1)="", 0,INDEX(X$155:X$161, MATCH(X221&amp;" DMG%", $A$155:$A$161, 0), 1)),0)+X$232+X$237</f>
        <v>1.496</v>
      </c>
      <c r="Y243" s="103">
        <f t="shared" si="1274"/>
        <v>1.496</v>
      </c>
      <c r="Z243" s="103">
        <f t="shared" ref="Z243:AA243" si="1275">IFERROR(IF(INDEX(Z$155:Z$161, MATCH(Z221&amp;" DMG%", $A$155:$A$161, 0), 1)="", 0,INDEX(Z$155:Z$161, MATCH(Z221&amp;" DMG%", $A$155:$A$161, 0), 1)),0)+Z$232+Z$237</f>
        <v>1.496</v>
      </c>
      <c r="AA243" s="103">
        <f t="shared" si="1275"/>
        <v>0.91600000000000004</v>
      </c>
      <c r="AB243" s="103">
        <f t="shared" ca="1" si="1272"/>
        <v>1.53714</v>
      </c>
      <c r="AC243" s="103">
        <f t="shared" si="1272"/>
        <v>0.88</v>
      </c>
      <c r="AD243" s="103">
        <f t="shared" si="1272"/>
        <v>0.15</v>
      </c>
      <c r="AE243" s="103">
        <f t="shared" si="1272"/>
        <v>1.2799999999999998</v>
      </c>
      <c r="AF243" s="103">
        <f t="shared" si="1272"/>
        <v>1.5459999999999998</v>
      </c>
      <c r="AG243" s="103">
        <f t="shared" ref="AG243:AI243" si="1276">IFERROR(IF(INDEX(AG$155:AG$161, MATCH(AG221&amp;" DMG%", $A$155:$A$161, 0), 1)="", 0,INDEX(AG$155:AG$161, MATCH(AG221&amp;" DMG%", $A$155:$A$161, 0), 1)),0)+AG$232+AG$237</f>
        <v>1.5459999999999998</v>
      </c>
      <c r="AH243" s="103">
        <f t="shared" si="1276"/>
        <v>0.96599999999999997</v>
      </c>
      <c r="AI243" s="103">
        <f t="shared" si="1276"/>
        <v>0.96599999999999997</v>
      </c>
      <c r="AJ243" s="103" t="e">
        <f t="shared" si="1272"/>
        <v>#N/A</v>
      </c>
      <c r="AK243" s="103" t="e">
        <f t="shared" si="1272"/>
        <v>#N/A</v>
      </c>
      <c r="AL243" s="103" t="e">
        <f t="shared" si="1272"/>
        <v>#N/A</v>
      </c>
      <c r="AM243" s="103" t="e">
        <f t="shared" si="1272"/>
        <v>#N/A</v>
      </c>
      <c r="AN243" s="103" t="e">
        <f t="shared" si="1272"/>
        <v>#N/A</v>
      </c>
      <c r="AO243" s="103" t="e">
        <f t="shared" si="1272"/>
        <v>#N/A</v>
      </c>
      <c r="AP243" s="103" t="e">
        <f t="shared" si="1272"/>
        <v>#N/A</v>
      </c>
      <c r="AQ243" s="103" t="e">
        <f t="shared" si="1272"/>
        <v>#N/A</v>
      </c>
      <c r="AR243" s="103" t="e">
        <f t="shared" si="1272"/>
        <v>#N/A</v>
      </c>
      <c r="AS243" s="103" t="e">
        <f t="shared" si="1272"/>
        <v>#N/A</v>
      </c>
      <c r="AT243" s="103" t="e">
        <f t="shared" si="1272"/>
        <v>#N/A</v>
      </c>
      <c r="AU243" s="103" t="e">
        <f t="shared" si="1272"/>
        <v>#N/A</v>
      </c>
      <c r="AV243" s="103" t="e">
        <f t="shared" si="1272"/>
        <v>#N/A</v>
      </c>
      <c r="AW243" s="103" t="e">
        <f t="shared" si="1272"/>
        <v>#N/A</v>
      </c>
      <c r="AX243" s="103" t="e">
        <f t="shared" si="1272"/>
        <v>#N/A</v>
      </c>
      <c r="AY243" s="103" t="e">
        <f t="shared" si="1272"/>
        <v>#N/A</v>
      </c>
      <c r="AZ243" s="103" t="e">
        <f t="shared" si="1272"/>
        <v>#N/A</v>
      </c>
      <c r="BA243" s="103" t="e">
        <f t="shared" ref="BA243:BC243" si="1277">IFERROR(IF(INDEX(BA$155:BA$161, MATCH(BA221&amp;" DMG%", $A$155:$A$161, 0), 1)="", 0,INDEX(BA$155:BA$161, MATCH(BA221&amp;" DMG%", $A$155:$A$161, 0), 1)),0)+BA$232+BA$237</f>
        <v>#N/A</v>
      </c>
      <c r="BB243" s="103" t="e">
        <f t="shared" ref="BB243" si="1278">IFERROR(IF(INDEX(BB$155:BB$161, MATCH(BB221&amp;" DMG%", $A$155:$A$161, 0), 1)="", 0,INDEX(BB$155:BB$161, MATCH(BB221&amp;" DMG%", $A$155:$A$161, 0), 1)),0)+BB$232+BB$237</f>
        <v>#N/A</v>
      </c>
      <c r="BC243" s="103" t="e">
        <f t="shared" si="1277"/>
        <v>#N/A</v>
      </c>
      <c r="BD243" s="103" t="e">
        <f t="shared" ref="BD243:BE243" si="1279">IFERROR(IF(INDEX(BD$155:BD$161, MATCH(BD221&amp;" DMG%", $A$155:$A$161, 0), 1)="", 0,INDEX(BD$155:BD$161, MATCH(BD221&amp;" DMG%", $A$155:$A$161, 0), 1)),0)+BD$232+BD$237</f>
        <v>#N/A</v>
      </c>
      <c r="BE243" s="103" t="e">
        <f t="shared" si="1279"/>
        <v>#N/A</v>
      </c>
      <c r="BF243" s="103" t="e">
        <f t="shared" ref="BF243:BG243" si="1280">IFERROR(IF(INDEX(BF$155:BF$161, MATCH(BF221&amp;" DMG%", $A$155:$A$161, 0), 1)="", 0,INDEX(BF$155:BF$161, MATCH(BF221&amp;" DMG%", $A$155:$A$161, 0), 1)),0)+BF$232+BF$237</f>
        <v>#N/A</v>
      </c>
      <c r="BG243" s="103" t="e">
        <f t="shared" si="1280"/>
        <v>#N/A</v>
      </c>
      <c r="BH243" s="103" t="e">
        <f t="shared" ref="BH243" si="1281">IFERROR(IF(INDEX(BH$155:BH$161, MATCH(BH221&amp;" DMG%", $A$155:$A$161, 0), 1)="", 0,INDEX(BH$155:BH$161, MATCH(BH221&amp;" DMG%", $A$155:$A$161, 0), 1)),0)+BH$232+BH$237</f>
        <v>#N/A</v>
      </c>
      <c r="BI243" s="103"/>
      <c r="BJ243" s="103"/>
      <c r="BK243" s="103"/>
      <c r="BL243" s="103"/>
      <c r="BM243" s="103"/>
      <c r="BN243" s="103"/>
      <c r="BO243" s="103"/>
      <c r="BP243" s="103"/>
      <c r="BQ243" s="103"/>
      <c r="BR243" s="103"/>
      <c r="BS243" s="103"/>
      <c r="BT243" s="103"/>
      <c r="BU243" s="103"/>
      <c r="BV243" s="103"/>
      <c r="BW243" s="103"/>
      <c r="BX243" s="103"/>
      <c r="BY243" s="103"/>
      <c r="BZ243" s="103"/>
      <c r="CA243" s="103"/>
      <c r="CB243" s="103"/>
      <c r="CC243" s="103"/>
      <c r="CD243" s="103"/>
      <c r="CE243" s="103"/>
      <c r="CF243" s="103"/>
      <c r="CG243" s="103"/>
      <c r="CH243" s="103"/>
      <c r="CI243" s="103"/>
      <c r="CJ243" s="103"/>
      <c r="CK243" s="103"/>
      <c r="CL243" s="103"/>
      <c r="CM243" s="103"/>
      <c r="CN243" s="103"/>
      <c r="CO243" s="103"/>
      <c r="CP243" s="103"/>
      <c r="CQ243" s="103"/>
      <c r="CR243" s="103"/>
      <c r="CS243" s="103"/>
      <c r="CT243" s="103"/>
      <c r="CU243" s="103"/>
      <c r="CV243" s="103"/>
      <c r="CW243" s="103"/>
      <c r="CX243" s="103"/>
      <c r="CY243" s="103"/>
      <c r="CZ243" s="103"/>
      <c r="DA243" s="103"/>
      <c r="DB243" s="103"/>
      <c r="DC243" s="103"/>
    </row>
    <row r="244" spans="1:107" hidden="1" outlineLevel="1" x14ac:dyDescent="0.25">
      <c r="A244" s="110" t="s">
        <v>24</v>
      </c>
      <c r="B244" s="103">
        <f>IFERROR(IF(INDEX(B$155:B$161, MATCH(B222&amp;" DMG%", $A$155:$A$161, 0), 1)="", 0,INDEX(B$155:B$161, MATCH(B222&amp;" DMG%", $A$155:$A$161, 0), 1)),0)+B$232+INDEX(B233:B237, MATCH(HLOOKUP('Rotation Assembler'!B$32, 'Data Val'!$I$30:$M$32, 3, 0)&amp;" DMG%", $A$233:$A$237, 0), 1)</f>
        <v>0.61599999999999999</v>
      </c>
      <c r="C244" s="103">
        <f ca="1">IFERROR(IF(INDEX(C$155:C$161, MATCH(C222&amp;" DMG%", $A$155:$A$161, 0), 1)="", 0,INDEX(C$155:C$161, MATCH(C222&amp;" DMG%", $A$155:$A$161, 0), 1)),0)+C$232+INDEX(C233:C237, MATCH(HLOOKUP('Rotation Assembler'!C$32, 'Data Val'!$I$30:$M$32, 3, 0)&amp;" DMG%", $A$233:$A$237, 0), 1)</f>
        <v>0.80713999999999997</v>
      </c>
      <c r="D244" s="103">
        <f>IFERROR(IF(INDEX(D$155:D$161, MATCH(D222&amp;" DMG%", $A$155:$A$161, 0), 1)="", 0,INDEX(D$155:D$161, MATCH(D222&amp;" DMG%", $A$155:$A$161, 0), 1)),0)+D$232+INDEX(D233:D237, MATCH(HLOOKUP('Rotation Assembler'!D$32, 'Data Val'!$I$30:$M$32, 3, 0)&amp;" DMG%", $A$233:$A$237, 0), 1)</f>
        <v>0</v>
      </c>
      <c r="E244" s="103">
        <f>IFERROR(IF(INDEX(E$155:E$161, MATCH(E222&amp;" DMG%", $A$155:$A$161, 0), 1)="", 0,INDEX(E$155:E$161, MATCH(E222&amp;" DMG%", $A$155:$A$161, 0), 1)),0)+E$232+INDEX(E233:E237, MATCH(HLOOKUP('Rotation Assembler'!E$32, 'Data Val'!$I$30:$M$32, 3, 0)&amp;" DMG%", $A$233:$A$237, 0), 1)</f>
        <v>0</v>
      </c>
      <c r="F244" s="103">
        <f>IFERROR(IF(INDEX(F$155:F$161, MATCH(F222&amp;" DMG%", $A$155:$A$161, 0), 1)="", 0,INDEX(F$155:F$161, MATCH(F222&amp;" DMG%", $A$155:$A$161, 0), 1)),0)+F$232+INDEX(F233:F237, MATCH(HLOOKUP('Rotation Assembler'!F$32, 'Data Val'!$I$30:$M$32, 3, 0)&amp;" DMG%", $A$233:$A$237, 0), 1)</f>
        <v>0</v>
      </c>
      <c r="G244" s="103">
        <f>IFERROR(IF(INDEX(G$155:G$161, MATCH(G222&amp;" DMG%", $A$155:$A$161, 0), 1)="", 0,INDEX(G$155:G$161, MATCH(G222&amp;" DMG%", $A$155:$A$161, 0), 1)),0)+G$232+INDEX(G233:G237, MATCH(HLOOKUP('Rotation Assembler'!G$32, 'Data Val'!$I$30:$M$32, 3, 0)&amp;" DMG%", $A$233:$A$237, 0), 1)</f>
        <v>0</v>
      </c>
      <c r="H244" s="103">
        <f>IFERROR(IF(INDEX(H$155:H$161, MATCH(H222&amp;" DMG%", $A$155:$A$161, 0), 1)="", 0,INDEX(H$155:H$161, MATCH(H222&amp;" DMG%", $A$155:$A$161, 0), 1)),0)+H$232+INDEX(H233:H237, MATCH(HLOOKUP('Rotation Assembler'!H$32, 'Data Val'!$I$30:$M$32, 3, 0)&amp;" DMG%", $A$233:$A$237, 0), 1)</f>
        <v>0.2</v>
      </c>
      <c r="I244" s="103">
        <f>IFERROR(IF(INDEX(I$155:I$161, MATCH(I222&amp;" DMG%", $A$155:$A$161, 0), 1)="", 0,INDEX(I$155:I$161, MATCH(I222&amp;" DMG%", $A$155:$A$161, 0), 1)),0)+I$232+INDEX(I233:I237, MATCH(HLOOKUP('Rotation Assembler'!I$32, 'Data Val'!$I$30:$M$32, 3, 0)&amp;" DMG%", $A$233:$A$237, 0), 1)</f>
        <v>0</v>
      </c>
      <c r="J244" s="103">
        <f>IFERROR(IF(INDEX(J$155:J$161, MATCH(J222&amp;" DMG%", $A$155:$A$161, 0), 1)="", 0,INDEX(J$155:J$161, MATCH(J222&amp;" DMG%", $A$155:$A$161, 0), 1)),0)+J$232+INDEX(J233:J237, MATCH(HLOOKUP('Rotation Assembler'!J$32, 'Data Val'!$I$30:$M$32, 3, 0)&amp;" DMG%", $A$233:$A$237, 0), 1)</f>
        <v>0</v>
      </c>
      <c r="K244" s="103">
        <f>IFERROR(IF(INDEX(K$155:K$161, MATCH(K222&amp;" DMG%", $A$155:$A$161, 0), 1)="", 0,INDEX(K$155:K$161, MATCH(K222&amp;" DMG%", $A$155:$A$161, 0), 1)),0)+K$232+INDEX(K233:K237, MATCH(HLOOKUP('Rotation Assembler'!K$32, 'Data Val'!$I$30:$M$32, 3, 0)&amp;" DMG%", $A$233:$A$237, 0), 1)</f>
        <v>0</v>
      </c>
      <c r="L244" s="103">
        <f>IFERROR(IF(INDEX(L$155:L$161, MATCH(L222&amp;" DMG%", $A$155:$A$161, 0), 1)="", 0,INDEX(L$155:L$161, MATCH(L222&amp;" DMG%", $A$155:$A$161, 0), 1)),0)+L$232+INDEX(L233:L237, MATCH(HLOOKUP('Rotation Assembler'!L$32, 'Data Val'!$I$30:$M$32, 3, 0)&amp;" DMG%", $A$233:$A$237, 0), 1)</f>
        <v>0.57999999999999996</v>
      </c>
      <c r="M244" s="103">
        <f>IFERROR(IF(INDEX(M$155:M$161, MATCH(M222&amp;" DMG%", $A$155:$A$161, 0), 1)="", 0,INDEX(M$155:M$161, MATCH(M222&amp;" DMG%", $A$155:$A$161, 0), 1)),0)+M$232+INDEX(M233:M237, MATCH(HLOOKUP('Rotation Assembler'!M$32, 'Data Val'!$I$30:$M$32, 3, 0)&amp;" DMG%", $A$233:$A$237, 0), 1)</f>
        <v>0</v>
      </c>
      <c r="N244" s="103">
        <f>IFERROR(IF(INDEX(N$155:N$161, MATCH(N222&amp;" DMG%", $A$155:$A$161, 0), 1)="", 0,INDEX(N$155:N$161, MATCH(N222&amp;" DMG%", $A$155:$A$161, 0), 1)),0)+N$232+INDEX(N233:N237, MATCH(HLOOKUP('Rotation Assembler'!N$32, 'Data Val'!$I$30:$M$32, 3, 0)&amp;" DMG%", $A$233:$A$237, 0), 1)</f>
        <v>0</v>
      </c>
      <c r="O244" s="103">
        <f>IFERROR(IF(INDEX(O$155:O$161, MATCH(O222&amp;" DMG%", $A$155:$A$161, 0), 1)="", 0,INDEX(O$155:O$161, MATCH(O222&amp;" DMG%", $A$155:$A$161, 0), 1)),0)+O$232+INDEX(O233:O237, MATCH(HLOOKUP('Rotation Assembler'!O$32, 'Data Val'!$I$30:$M$32, 3, 0)&amp;" DMG%", $A$233:$A$237, 0), 1)</f>
        <v>0.35</v>
      </c>
      <c r="P244" s="103">
        <f>IFERROR(IF(INDEX(P$155:P$161, MATCH(P222&amp;" DMG%", $A$155:$A$161, 0), 1)="", 0,INDEX(P$155:P$161, MATCH(P222&amp;" DMG%", $A$155:$A$161, 0), 1)),0)+P$232+INDEX(P233:P237, MATCH(HLOOKUP('Rotation Assembler'!P$32, 'Data Val'!$I$30:$M$32, 3, 0)&amp;" DMG%", $A$233:$A$237, 0), 1)</f>
        <v>0.35</v>
      </c>
      <c r="Q244" s="103">
        <f>IFERROR(IF(INDEX(Q$155:Q$161, MATCH(Q222&amp;" DMG%", $A$155:$A$161, 0), 1)="", 0,INDEX(Q$155:Q$161, MATCH(Q222&amp;" DMG%", $A$155:$A$161, 0), 1)),0)+Q$232+INDEX(Q233:Q237, MATCH(HLOOKUP('Rotation Assembler'!Q$32, 'Data Val'!$I$30:$M$32, 3, 0)&amp;" DMG%", $A$233:$A$237, 0), 1)</f>
        <v>0.92999999999999994</v>
      </c>
      <c r="R244" s="103">
        <f>IFERROR(IF(INDEX(R$155:R$161, MATCH(R222&amp;" DMG%", $A$155:$A$161, 0), 1)="", 0,INDEX(R$155:R$161, MATCH(R222&amp;" DMG%", $A$155:$A$161, 0), 1)),0)+R$232+INDEX(R233:R237, MATCH(HLOOKUP('Rotation Assembler'!R$32, 'Data Val'!$I$30:$M$32, 3, 0)&amp;" DMG%", $A$233:$A$237, 0), 1)</f>
        <v>0.35</v>
      </c>
      <c r="S244" s="103">
        <f>IFERROR(IF(INDEX(S$155:S$161, MATCH(S222&amp;" DMG%", $A$155:$A$161, 0), 1)="", 0,INDEX(S$155:S$161, MATCH(S222&amp;" DMG%", $A$155:$A$161, 0), 1)),0)+S$232+INDEX(S233:S237, MATCH(HLOOKUP('Rotation Assembler'!S$32, 'Data Val'!$I$30:$M$32, 3, 0)&amp;" DMG%", $A$233:$A$237, 0), 1)</f>
        <v>0.76600000000000001</v>
      </c>
      <c r="T244" s="103">
        <f ca="1">IFERROR(IF(INDEX(T$155:T$161, MATCH(T222&amp;" DMG%", $A$155:$A$161, 0), 1)="", 0,INDEX(T$155:T$161, MATCH(T222&amp;" DMG%", $A$155:$A$161, 0), 1)),0)+T$232+INDEX(T233:T237, MATCH(HLOOKUP('Rotation Assembler'!T$32, 'Data Val'!$I$30:$M$32, 3, 0)&amp;" DMG%", $A$233:$A$237, 0), 1)</f>
        <v>0.95713999999999999</v>
      </c>
      <c r="U244" s="103">
        <f>IFERROR(IF(INDEX(U$155:U$161, MATCH(U222&amp;" DMG%", $A$155:$A$161, 0), 1)="", 0,INDEX(U$155:U$161, MATCH(U222&amp;" DMG%", $A$155:$A$161, 0), 1)),0)+U$232+INDEX(U233:U237, MATCH(HLOOKUP('Rotation Assembler'!U$32, 'Data Val'!$I$30:$M$32, 3, 0)&amp;" DMG%", $A$233:$A$237, 0), 1)</f>
        <v>0.91600000000000004</v>
      </c>
      <c r="V244" s="103">
        <f>IFERROR(IF(INDEX(V$155:V$161, MATCH(V222&amp;" DMG%", $A$155:$A$161, 0), 1)="", 0,INDEX(V$155:V$161, MATCH(V222&amp;" DMG%", $A$155:$A$161, 0), 1)),0)+V$232+INDEX(V233:V237, MATCH(HLOOKUP('Rotation Assembler'!V$32, 'Data Val'!$I$30:$M$32, 3, 0)&amp;" DMG%", $A$233:$A$237, 0), 1)</f>
        <v>0.91600000000000004</v>
      </c>
      <c r="W244" s="103">
        <f>IFERROR(IF(INDEX(W$155:W$161, MATCH(W222&amp;" DMG%", $A$155:$A$161, 0), 1)="", 0,INDEX(W$155:W$161, MATCH(W222&amp;" DMG%", $A$155:$A$161, 0), 1)),0)+W$232+INDEX(W233:W237, MATCH(HLOOKUP('Rotation Assembler'!W$32, 'Data Val'!$I$30:$M$32, 3, 0)&amp;" DMG%", $A$233:$A$237, 0), 1)</f>
        <v>1.496</v>
      </c>
      <c r="X244" s="103">
        <f>IFERROR(IF(INDEX(X$155:X$161, MATCH(X222&amp;" DMG%", $A$155:$A$161, 0), 1)="", 0,INDEX(X$155:X$161, MATCH(X222&amp;" DMG%", $A$155:$A$161, 0), 1)),0)+X$232+INDEX(X233:X237, MATCH(HLOOKUP('Rotation Assembler'!X$32, 'Data Val'!$I$30:$M$32, 3, 0)&amp;" DMG%", $A$233:$A$237, 0), 1)</f>
        <v>1.496</v>
      </c>
      <c r="Y244" s="103">
        <f>IFERROR(IF(INDEX(Y$155:Y$161, MATCH(Y222&amp;" DMG%", $A$155:$A$161, 0), 1)="", 0,INDEX(Y$155:Y$161, MATCH(Y222&amp;" DMG%", $A$155:$A$161, 0), 1)),0)+Y$232+INDEX(Y233:Y237, MATCH(HLOOKUP('Rotation Assembler'!Y$32, 'Data Val'!$I$30:$M$32, 3, 0)&amp;" DMG%", $A$233:$A$237, 0), 1)</f>
        <v>1.496</v>
      </c>
      <c r="Z244" s="103">
        <f>IFERROR(IF(INDEX(Z$155:Z$161, MATCH(Z222&amp;" DMG%", $A$155:$A$161, 0), 1)="", 0,INDEX(Z$155:Z$161, MATCH(Z222&amp;" DMG%", $A$155:$A$161, 0), 1)),0)+Z$232+INDEX(Z233:Z237, MATCH(HLOOKUP('Rotation Assembler'!Z$32, 'Data Val'!$I$30:$M$32, 3, 0)&amp;" DMG%", $A$233:$A$237, 0), 1)</f>
        <v>1.496</v>
      </c>
      <c r="AA244" s="103">
        <f>IFERROR(IF(INDEX(AA$155:AA$161, MATCH(AA222&amp;" DMG%", $A$155:$A$161, 0), 1)="", 0,INDEX(AA$155:AA$161, MATCH(AA222&amp;" DMG%", $A$155:$A$161, 0), 1)),0)+AA$232+INDEX(AA233:AA237, MATCH(HLOOKUP('Rotation Assembler'!AA$32, 'Data Val'!$I$30:$M$32, 3, 0)&amp;" DMG%", $A$233:$A$237, 0), 1)</f>
        <v>0.91600000000000004</v>
      </c>
      <c r="AB244" s="103">
        <f ca="1">IFERROR(IF(INDEX(AB$155:AB$161, MATCH(AB222&amp;" DMG%", $A$155:$A$161, 0), 1)="", 0,INDEX(AB$155:AB$161, MATCH(AB222&amp;" DMG%", $A$155:$A$161, 0), 1)),0)+AB$232+INDEX(AB233:AB237, MATCH(HLOOKUP('Rotation Assembler'!AB$32, 'Data Val'!$I$30:$M$32, 3, 0)&amp;" DMG%", $A$233:$A$237, 0), 1)</f>
        <v>1.53714</v>
      </c>
      <c r="AC244" s="103">
        <f>IFERROR(IF(INDEX(AC$155:AC$161, MATCH(AC222&amp;" DMG%", $A$155:$A$161, 0), 1)="", 0,INDEX(AC$155:AC$161, MATCH(AC222&amp;" DMG%", $A$155:$A$161, 0), 1)),0)+AC$232+INDEX(AC233:AC237, MATCH(HLOOKUP('Rotation Assembler'!AC$32, 'Data Val'!$I$30:$M$32, 3, 0)&amp;" DMG%", $A$233:$A$237, 0), 1)</f>
        <v>0.73</v>
      </c>
      <c r="AD244" s="103">
        <f>IFERROR(IF(INDEX(AD$155:AD$161, MATCH(AD222&amp;" DMG%", $A$155:$A$161, 0), 1)="", 0,INDEX(AD$155:AD$161, MATCH(AD222&amp;" DMG%", $A$155:$A$161, 0), 1)),0)+AD$232+INDEX(AD233:AD237, MATCH(HLOOKUP('Rotation Assembler'!AD$32, 'Data Val'!$I$30:$M$32, 3, 0)&amp;" DMG%", $A$233:$A$237, 0), 1)</f>
        <v>0</v>
      </c>
      <c r="AE244" s="103">
        <f>IFERROR(IF(INDEX(AE$155:AE$161, MATCH(AE222&amp;" DMG%", $A$155:$A$161, 0), 1)="", 0,INDEX(AE$155:AE$161, MATCH(AE222&amp;" DMG%", $A$155:$A$161, 0), 1)),0)+AE$232+INDEX(AE233:AE237, MATCH(HLOOKUP('Rotation Assembler'!AE$32, 'Data Val'!$I$30:$M$32, 3, 0)&amp;" DMG%", $A$233:$A$237, 0), 1)</f>
        <v>1.2799999999999998</v>
      </c>
      <c r="AF244" s="103">
        <f>IFERROR(IF(INDEX(AF$155:AF$161, MATCH(AF222&amp;" DMG%", $A$155:$A$161, 0), 1)="", 0,INDEX(AF$155:AF$161, MATCH(AF222&amp;" DMG%", $A$155:$A$161, 0), 1)),0)+AF$232+INDEX(AF233:AF237, MATCH(HLOOKUP('Rotation Assembler'!AF$32, 'Data Val'!$I$30:$M$32, 3, 0)&amp;" DMG%", $A$233:$A$237, 0), 1)</f>
        <v>1.5459999999999998</v>
      </c>
      <c r="AG244" s="103">
        <f>IFERROR(IF(INDEX(AG$155:AG$161, MATCH(AG222&amp;" DMG%", $A$155:$A$161, 0), 1)="", 0,INDEX(AG$155:AG$161, MATCH(AG222&amp;" DMG%", $A$155:$A$161, 0), 1)),0)+AG$232+INDEX(AG233:AG237, MATCH(HLOOKUP('Rotation Assembler'!AG$32, 'Data Val'!$I$30:$M$32, 3, 0)&amp;" DMG%", $A$233:$A$237, 0), 1)</f>
        <v>1.5459999999999998</v>
      </c>
      <c r="AH244" s="103">
        <f>IFERROR(IF(INDEX(AH$155:AH$161, MATCH(AH222&amp;" DMG%", $A$155:$A$161, 0), 1)="", 0,INDEX(AH$155:AH$161, MATCH(AH222&amp;" DMG%", $A$155:$A$161, 0), 1)),0)+AH$232+INDEX(AH233:AH237, MATCH(HLOOKUP('Rotation Assembler'!AH$32, 'Data Val'!$I$30:$M$32, 3, 0)&amp;" DMG%", $A$233:$A$237, 0), 1)</f>
        <v>0.96599999999999997</v>
      </c>
      <c r="AI244" s="103">
        <f>IFERROR(IF(INDEX(AI$155:AI$161, MATCH(AI222&amp;" DMG%", $A$155:$A$161, 0), 1)="", 0,INDEX(AI$155:AI$161, MATCH(AI222&amp;" DMG%", $A$155:$A$161, 0), 1)),0)+AI$232+INDEX(AI233:AI237, MATCH(HLOOKUP('Rotation Assembler'!AI$32, 'Data Val'!$I$30:$M$32, 3, 0)&amp;" DMG%", $A$233:$A$237, 0), 1)</f>
        <v>0.96599999999999997</v>
      </c>
      <c r="AJ244" s="103" t="e">
        <f>IFERROR(IF(INDEX(AJ$155:AJ$161, MATCH(AJ222&amp;" DMG%", $A$155:$A$161, 0), 1)="", 0,INDEX(AJ$155:AJ$161, MATCH(AJ222&amp;" DMG%", $A$155:$A$161, 0), 1)),0)+AJ$232+INDEX(AJ233:AJ237, MATCH(HLOOKUP('Rotation Assembler'!AJ$32, 'Data Val'!$I$30:$M$32, 3, 0)&amp;" DMG%", $A$233:$A$237, 0), 1)</f>
        <v>#N/A</v>
      </c>
      <c r="AK244" s="103" t="e">
        <f>IFERROR(IF(INDEX(AK$155:AK$161, MATCH(AK222&amp;" DMG%", $A$155:$A$161, 0), 1)="", 0,INDEX(AK$155:AK$161, MATCH(AK222&amp;" DMG%", $A$155:$A$161, 0), 1)),0)+AK$232+INDEX(AK233:AK237, MATCH(HLOOKUP('Rotation Assembler'!AK$32, 'Data Val'!$I$30:$M$32, 3, 0)&amp;" DMG%", $A$233:$A$237, 0), 1)</f>
        <v>#N/A</v>
      </c>
      <c r="AL244" s="103" t="e">
        <f>IFERROR(IF(INDEX(AL$155:AL$161, MATCH(AL222&amp;" DMG%", $A$155:$A$161, 0), 1)="", 0,INDEX(AL$155:AL$161, MATCH(AL222&amp;" DMG%", $A$155:$A$161, 0), 1)),0)+AL$232+INDEX(AL233:AL237, MATCH(HLOOKUP('Rotation Assembler'!AL$32, 'Data Val'!$I$30:$M$32, 3, 0)&amp;" DMG%", $A$233:$A$237, 0), 1)</f>
        <v>#N/A</v>
      </c>
      <c r="AM244" s="103" t="e">
        <f>IFERROR(IF(INDEX(AM$155:AM$161, MATCH(AM222&amp;" DMG%", $A$155:$A$161, 0), 1)="", 0,INDEX(AM$155:AM$161, MATCH(AM222&amp;" DMG%", $A$155:$A$161, 0), 1)),0)+AM$232+INDEX(AM233:AM237, MATCH(HLOOKUP('Rotation Assembler'!AM$32, 'Data Val'!$I$30:$M$32, 3, 0)&amp;" DMG%", $A$233:$A$237, 0), 1)</f>
        <v>#N/A</v>
      </c>
      <c r="AN244" s="103" t="e">
        <f>IFERROR(IF(INDEX(AN$155:AN$161, MATCH(AN222&amp;" DMG%", $A$155:$A$161, 0), 1)="", 0,INDEX(AN$155:AN$161, MATCH(AN222&amp;" DMG%", $A$155:$A$161, 0), 1)),0)+AN$232+INDEX(AN233:AN237, MATCH(HLOOKUP('Rotation Assembler'!AN$32, 'Data Val'!$I$30:$M$32, 3, 0)&amp;" DMG%", $A$233:$A$237, 0), 1)</f>
        <v>#N/A</v>
      </c>
      <c r="AO244" s="103" t="e">
        <f>IFERROR(IF(INDEX(AO$155:AO$161, MATCH(AO222&amp;" DMG%", $A$155:$A$161, 0), 1)="", 0,INDEX(AO$155:AO$161, MATCH(AO222&amp;" DMG%", $A$155:$A$161, 0), 1)),0)+AO$232+INDEX(AO233:AO237, MATCH(HLOOKUP('Rotation Assembler'!AO$32, 'Data Val'!$I$30:$M$32, 3, 0)&amp;" DMG%", $A$233:$A$237, 0), 1)</f>
        <v>#N/A</v>
      </c>
      <c r="AP244" s="103" t="e">
        <f>IFERROR(IF(INDEX(AP$155:AP$161, MATCH(AP222&amp;" DMG%", $A$155:$A$161, 0), 1)="", 0,INDEX(AP$155:AP$161, MATCH(AP222&amp;" DMG%", $A$155:$A$161, 0), 1)),0)+AP$232+INDEX(AP233:AP237, MATCH(HLOOKUP('Rotation Assembler'!AP$32, 'Data Val'!$I$30:$M$32, 3, 0)&amp;" DMG%", $A$233:$A$237, 0), 1)</f>
        <v>#N/A</v>
      </c>
      <c r="AQ244" s="103" t="e">
        <f>IFERROR(IF(INDEX(AQ$155:AQ$161, MATCH(AQ222&amp;" DMG%", $A$155:$A$161, 0), 1)="", 0,INDEX(AQ$155:AQ$161, MATCH(AQ222&amp;" DMG%", $A$155:$A$161, 0), 1)),0)+AQ$232+INDEX(AQ233:AQ237, MATCH(HLOOKUP('Rotation Assembler'!AQ$32, 'Data Val'!$I$30:$M$32, 3, 0)&amp;" DMG%", $A$233:$A$237, 0), 1)</f>
        <v>#N/A</v>
      </c>
      <c r="AR244" s="103" t="e">
        <f>IFERROR(IF(INDEX(AR$155:AR$161, MATCH(AR222&amp;" DMG%", $A$155:$A$161, 0), 1)="", 0,INDEX(AR$155:AR$161, MATCH(AR222&amp;" DMG%", $A$155:$A$161, 0), 1)),0)+AR$232+INDEX(AR233:AR237, MATCH(HLOOKUP('Rotation Assembler'!AR$32, 'Data Val'!$I$30:$M$32, 3, 0)&amp;" DMG%", $A$233:$A$237, 0), 1)</f>
        <v>#N/A</v>
      </c>
      <c r="AS244" s="103" t="e">
        <f>IFERROR(IF(INDEX(AS$155:AS$161, MATCH(AS222&amp;" DMG%", $A$155:$A$161, 0), 1)="", 0,INDEX(AS$155:AS$161, MATCH(AS222&amp;" DMG%", $A$155:$A$161, 0), 1)),0)+AS$232+INDEX(AS233:AS237, MATCH(HLOOKUP('Rotation Assembler'!AS$32, 'Data Val'!$I$30:$M$32, 3, 0)&amp;" DMG%", $A$233:$A$237, 0), 1)</f>
        <v>#N/A</v>
      </c>
      <c r="AT244" s="103" t="e">
        <f>IFERROR(IF(INDEX(AT$155:AT$161, MATCH(AT222&amp;" DMG%", $A$155:$A$161, 0), 1)="", 0,INDEX(AT$155:AT$161, MATCH(AT222&amp;" DMG%", $A$155:$A$161, 0), 1)),0)+AT$232+INDEX(AT233:AT237, MATCH(HLOOKUP('Rotation Assembler'!AT$32, 'Data Val'!$I$30:$M$32, 3, 0)&amp;" DMG%", $A$233:$A$237, 0), 1)</f>
        <v>#N/A</v>
      </c>
      <c r="AU244" s="103" t="e">
        <f>IFERROR(IF(INDEX(AU$155:AU$161, MATCH(AU222&amp;" DMG%", $A$155:$A$161, 0), 1)="", 0,INDEX(AU$155:AU$161, MATCH(AU222&amp;" DMG%", $A$155:$A$161, 0), 1)),0)+AU$232+INDEX(AU233:AU237, MATCH(HLOOKUP('Rotation Assembler'!AU$32, 'Data Val'!$I$30:$M$32, 3, 0)&amp;" DMG%", $A$233:$A$237, 0), 1)</f>
        <v>#N/A</v>
      </c>
      <c r="AV244" s="103" t="e">
        <f>IFERROR(IF(INDEX(AV$155:AV$161, MATCH(AV222&amp;" DMG%", $A$155:$A$161, 0), 1)="", 0,INDEX(AV$155:AV$161, MATCH(AV222&amp;" DMG%", $A$155:$A$161, 0), 1)),0)+AV$232+INDEX(AV233:AV237, MATCH(HLOOKUP('Rotation Assembler'!AV$32, 'Data Val'!$I$30:$M$32, 3, 0)&amp;" DMG%", $A$233:$A$237, 0), 1)</f>
        <v>#N/A</v>
      </c>
      <c r="AW244" s="103" t="e">
        <f>IFERROR(IF(INDEX(AW$155:AW$161, MATCH(AW222&amp;" DMG%", $A$155:$A$161, 0), 1)="", 0,INDEX(AW$155:AW$161, MATCH(AW222&amp;" DMG%", $A$155:$A$161, 0), 1)),0)+AW$232+INDEX(AW233:AW237, MATCH(HLOOKUP('Rotation Assembler'!AW$32, 'Data Val'!$I$30:$M$32, 3, 0)&amp;" DMG%", $A$233:$A$237, 0), 1)</f>
        <v>#N/A</v>
      </c>
      <c r="AX244" s="103" t="e">
        <f>IFERROR(IF(INDEX(AX$155:AX$161, MATCH(AX222&amp;" DMG%", $A$155:$A$161, 0), 1)="", 0,INDEX(AX$155:AX$161, MATCH(AX222&amp;" DMG%", $A$155:$A$161, 0), 1)),0)+AX$232+INDEX(AX233:AX237, MATCH(HLOOKUP('Rotation Assembler'!AX$32, 'Data Val'!$I$30:$M$32, 3, 0)&amp;" DMG%", $A$233:$A$237, 0), 1)</f>
        <v>#N/A</v>
      </c>
      <c r="AY244" s="103" t="e">
        <f>IFERROR(IF(INDEX(AY$155:AY$161, MATCH(AY222&amp;" DMG%", $A$155:$A$161, 0), 1)="", 0,INDEX(AY$155:AY$161, MATCH(AY222&amp;" DMG%", $A$155:$A$161, 0), 1)),0)+AY$232+INDEX(AY233:AY237, MATCH(HLOOKUP('Rotation Assembler'!AY$32, 'Data Val'!$I$30:$M$32, 3, 0)&amp;" DMG%", $A$233:$A$237, 0), 1)</f>
        <v>#N/A</v>
      </c>
      <c r="AZ244" s="103" t="e">
        <f>IFERROR(IF(INDEX(AZ$155:AZ$161, MATCH(AZ222&amp;" DMG%", $A$155:$A$161, 0), 1)="", 0,INDEX(AZ$155:AZ$161, MATCH(AZ222&amp;" DMG%", $A$155:$A$161, 0), 1)),0)+AZ$232+INDEX(AZ233:AZ237, MATCH(HLOOKUP('Rotation Assembler'!AZ$32, 'Data Val'!$I$30:$M$32, 3, 0)&amp;" DMG%", $A$233:$A$237, 0), 1)</f>
        <v>#N/A</v>
      </c>
      <c r="BA244" s="103" t="e">
        <f>IFERROR(IF(INDEX(BA$155:BA$161, MATCH(BA222&amp;" DMG%", $A$155:$A$161, 0), 1)="", 0,INDEX(BA$155:BA$161, MATCH(BA222&amp;" DMG%", $A$155:$A$161, 0), 1)),0)+BA$232+INDEX(BA233:BA237, MATCH(HLOOKUP('Rotation Assembler'!BA$32, 'Data Val'!$I$30:$M$32, 3, 0)&amp;" DMG%", $A$233:$A$237, 0), 1)</f>
        <v>#N/A</v>
      </c>
      <c r="BB244" s="103" t="e">
        <f>IFERROR(IF(INDEX(BB$155:BB$161, MATCH(BB222&amp;" DMG%", $A$155:$A$161, 0), 1)="", 0,INDEX(BB$155:BB$161, MATCH(BB222&amp;" DMG%", $A$155:$A$161, 0), 1)),0)+BB$232+INDEX(BB233:BB237, MATCH(HLOOKUP('Rotation Assembler'!BB$32, 'Data Val'!$I$30:$M$32, 3, 0)&amp;" DMG%", $A$233:$A$237, 0), 1)</f>
        <v>#N/A</v>
      </c>
      <c r="BC244" s="103" t="e">
        <f>IFERROR(IF(INDEX(BC$155:BC$161, MATCH(BC222&amp;" DMG%", $A$155:$A$161, 0), 1)="", 0,INDEX(BC$155:BC$161, MATCH(BC222&amp;" DMG%", $A$155:$A$161, 0), 1)),0)+BC$232+INDEX(BC233:BC237, MATCH(HLOOKUP('Rotation Assembler'!BC$32, 'Data Val'!$I$30:$M$32, 3, 0)&amp;" DMG%", $A$233:$A$237, 0), 1)</f>
        <v>#N/A</v>
      </c>
      <c r="BD244" s="103" t="e">
        <f>IFERROR(IF(INDEX(BD$155:BD$161, MATCH(BD222&amp;" DMG%", $A$155:$A$161, 0), 1)="", 0,INDEX(BD$155:BD$161, MATCH(BD222&amp;" DMG%", $A$155:$A$161, 0), 1)),0)+BD$232+INDEX(BD233:BD237, MATCH(HLOOKUP('Rotation Assembler'!BD$32, 'Data Val'!$I$30:$M$32, 3, 0)&amp;" DMG%", $A$233:$A$237, 0), 1)</f>
        <v>#N/A</v>
      </c>
      <c r="BE244" s="103" t="e">
        <f>IFERROR(IF(INDEX(BE$155:BE$161, MATCH(BE222&amp;" DMG%", $A$155:$A$161, 0), 1)="", 0,INDEX(BE$155:BE$161, MATCH(BE222&amp;" DMG%", $A$155:$A$161, 0), 1)),0)+BE$232+INDEX(BE233:BE237, MATCH(HLOOKUP('Rotation Assembler'!BE$32, 'Data Val'!$I$30:$M$32, 3, 0)&amp;" DMG%", $A$233:$A$237, 0), 1)</f>
        <v>#N/A</v>
      </c>
      <c r="BF244" s="103" t="e">
        <f>IFERROR(IF(INDEX(BF$155:BF$161, MATCH(BF222&amp;" DMG%", $A$155:$A$161, 0), 1)="", 0,INDEX(BF$155:BF$161, MATCH(BF222&amp;" DMG%", $A$155:$A$161, 0), 1)),0)+BF$232+INDEX(BF233:BF237, MATCH(HLOOKUP('Rotation Assembler'!BF$32, 'Data Val'!$I$30:$M$32, 3, 0)&amp;" DMG%", $A$233:$A$237, 0), 1)</f>
        <v>#N/A</v>
      </c>
      <c r="BG244" s="103" t="e">
        <f>IFERROR(IF(INDEX(BG$155:BG$161, MATCH(BG222&amp;" DMG%", $A$155:$A$161, 0), 1)="", 0,INDEX(BG$155:BG$161, MATCH(BG222&amp;" DMG%", $A$155:$A$161, 0), 1)),0)+BG$232+INDEX(BG233:BG237, MATCH(HLOOKUP('Rotation Assembler'!BG$32, 'Data Val'!$I$30:$M$32, 3, 0)&amp;" DMG%", $A$233:$A$237, 0), 1)</f>
        <v>#N/A</v>
      </c>
      <c r="BH244" s="103" t="e">
        <f>IFERROR(IF(INDEX(BH$155:BH$161, MATCH(BH222&amp;" DMG%", $A$155:$A$161, 0), 1)="", 0,INDEX(BH$155:BH$161, MATCH(BH222&amp;" DMG%", $A$155:$A$161, 0), 1)),0)+BH$232+INDEX(BH233:BH237, MATCH(HLOOKUP('Rotation Assembler'!BH$32, 'Data Val'!$I$30:$M$32, 3, 0)&amp;" DMG%", $A$233:$A$237, 0), 1)</f>
        <v>#N/A</v>
      </c>
      <c r="BI244" s="103"/>
      <c r="BJ244" s="103"/>
      <c r="BK244" s="103"/>
      <c r="BL244" s="103"/>
      <c r="BM244" s="103"/>
      <c r="BN244" s="103"/>
      <c r="BO244" s="103"/>
      <c r="BP244" s="103"/>
      <c r="BQ244" s="103"/>
      <c r="BR244" s="103"/>
      <c r="BS244" s="103"/>
      <c r="BT244" s="103"/>
      <c r="BU244" s="103"/>
      <c r="BV244" s="103"/>
      <c r="BW244" s="103"/>
      <c r="BX244" s="103"/>
      <c r="BY244" s="103"/>
      <c r="BZ244" s="103"/>
      <c r="CA244" s="103"/>
      <c r="CB244" s="103"/>
      <c r="CC244" s="103"/>
      <c r="CD244" s="103"/>
      <c r="CE244" s="103"/>
      <c r="CF244" s="103"/>
      <c r="CG244" s="103"/>
      <c r="CH244" s="103"/>
      <c r="CI244" s="103"/>
      <c r="CJ244" s="103"/>
      <c r="CK244" s="103"/>
      <c r="CL244" s="103"/>
      <c r="CM244" s="103"/>
      <c r="CN244" s="103"/>
      <c r="CO244" s="103"/>
      <c r="CP244" s="103"/>
      <c r="CQ244" s="103"/>
      <c r="CR244" s="103"/>
      <c r="CS244" s="103"/>
      <c r="CT244" s="103"/>
      <c r="CU244" s="103"/>
      <c r="CV244" s="103"/>
      <c r="CW244" s="103"/>
      <c r="CX244" s="103"/>
      <c r="CY244" s="103"/>
      <c r="CZ244" s="103"/>
      <c r="DA244" s="103"/>
      <c r="DB244" s="103"/>
      <c r="DC244" s="103"/>
    </row>
    <row r="245" spans="1:107" s="113" customFormat="1" hidden="1" outlineLevel="1" x14ac:dyDescent="0.25">
      <c r="A245" s="112" t="s">
        <v>693</v>
      </c>
    </row>
    <row r="246" spans="1:107" hidden="1" outlineLevel="1" x14ac:dyDescent="0.25">
      <c r="A246" s="110" t="s">
        <v>672</v>
      </c>
      <c r="B246" s="128">
        <f>IFERROR(INDEX('Data Val'!$O$7:$R$11, MATCH('Rotation Assembler'!B$32, 'Data Val'!$O$7:$O$11, 0), MATCH(B$14, 'Data Val'!$O$7:$R$7, 0)),0)</f>
        <v>0</v>
      </c>
      <c r="C246" s="128">
        <f>IFERROR(INDEX('Data Val'!$O$7:$R$11, MATCH('Rotation Assembler'!C$32, 'Data Val'!$O$7:$O$11, 0), MATCH(C$14, 'Data Val'!$O$7:$R$7, 0)),0)</f>
        <v>0</v>
      </c>
      <c r="D246" s="128">
        <f>IFERROR(INDEX('Data Val'!$O$7:$R$11, MATCH('Rotation Assembler'!D$32, 'Data Val'!$O$7:$O$11, 0), MATCH(D$14, 'Data Val'!$O$7:$R$7, 0)),0)</f>
        <v>0</v>
      </c>
      <c r="E246" s="128">
        <f>IFERROR(INDEX('Data Val'!$O$7:$R$11, MATCH('Rotation Assembler'!E$32, 'Data Val'!$O$7:$O$11, 0), MATCH(E$14, 'Data Val'!$O$7:$R$7, 0)),0)</f>
        <v>0</v>
      </c>
      <c r="F246" s="128">
        <f>IFERROR(INDEX('Data Val'!$O$7:$R$11, MATCH('Rotation Assembler'!F$32, 'Data Val'!$O$7:$O$11, 0), MATCH(F$14, 'Data Val'!$O$7:$R$7, 0)),0)</f>
        <v>0</v>
      </c>
      <c r="G246" s="128">
        <f>IFERROR(INDEX('Data Val'!$O$7:$R$11, MATCH('Rotation Assembler'!G$32, 'Data Val'!$O$7:$O$11, 0), MATCH(G$14, 'Data Val'!$O$7:$R$7, 0)),0)</f>
        <v>0</v>
      </c>
      <c r="H246" s="128">
        <f>IFERROR(INDEX('Data Val'!$O$7:$R$11, MATCH('Rotation Assembler'!H$32, 'Data Val'!$O$7:$O$11, 0), MATCH(H$14, 'Data Val'!$O$7:$R$7, 0)),0)</f>
        <v>0</v>
      </c>
      <c r="I246" s="128">
        <f>IFERROR(INDEX('Data Val'!$O$7:$R$11, MATCH('Rotation Assembler'!I$32, 'Data Val'!$O$7:$O$11, 0), MATCH(I$14, 'Data Val'!$O$7:$R$7, 0)),0)</f>
        <v>0</v>
      </c>
      <c r="J246" s="128">
        <f>IFERROR(INDEX('Data Val'!$O$7:$R$11, MATCH('Rotation Assembler'!J$32, 'Data Val'!$O$7:$O$11, 0), MATCH(J$14, 'Data Val'!$O$7:$R$7, 0)),0)</f>
        <v>0</v>
      </c>
      <c r="K246" s="128">
        <f>IFERROR(INDEX('Data Val'!$O$7:$R$11, MATCH('Rotation Assembler'!K$32, 'Data Val'!$O$7:$O$11, 0), MATCH(K$14, 'Data Val'!$O$7:$R$7, 0)),0)</f>
        <v>0</v>
      </c>
      <c r="L246" s="128">
        <f>IFERROR(INDEX('Data Val'!$O$7:$R$11, MATCH('Rotation Assembler'!L$32, 'Data Val'!$O$7:$O$11, 0), MATCH(L$14, 'Data Val'!$O$7:$R$7, 0)),0)</f>
        <v>0</v>
      </c>
      <c r="M246" s="128">
        <f>IFERROR(INDEX('Data Val'!$O$7:$R$11, MATCH('Rotation Assembler'!M$32, 'Data Val'!$O$7:$O$11, 0), MATCH(M$14, 'Data Val'!$O$7:$R$7, 0)),0)</f>
        <v>0</v>
      </c>
      <c r="N246" s="128">
        <f>IFERROR(INDEX('Data Val'!$O$7:$R$11, MATCH('Rotation Assembler'!N$32, 'Data Val'!$O$7:$O$11, 0), MATCH(N$14, 'Data Val'!$O$7:$R$7, 0)),0)</f>
        <v>0</v>
      </c>
      <c r="O246" s="128">
        <f>IFERROR(INDEX('Data Val'!$O$7:$R$11, MATCH('Rotation Assembler'!O$32, 'Data Val'!$O$7:$O$11, 0), MATCH(O$14, 'Data Val'!$O$7:$R$7, 0)),0)</f>
        <v>0</v>
      </c>
      <c r="P246" s="128">
        <f>IFERROR(INDEX('Data Val'!$O$7:$R$11, MATCH('Rotation Assembler'!P$32, 'Data Val'!$O$7:$O$11, 0), MATCH(P$14, 'Data Val'!$O$7:$R$7, 0)),0)</f>
        <v>0</v>
      </c>
      <c r="Q246" s="128">
        <f>IFERROR(INDEX('Data Val'!$O$7:$R$11, MATCH('Rotation Assembler'!Q$32, 'Data Val'!$O$7:$O$11, 0), MATCH(Q$14, 'Data Val'!$O$7:$R$7, 0)),0)</f>
        <v>0</v>
      </c>
      <c r="R246" s="128">
        <f>IFERROR(INDEX('Data Val'!$O$7:$R$11, MATCH('Rotation Assembler'!R$32, 'Data Val'!$O$7:$O$11, 0), MATCH(R$14, 'Data Val'!$O$7:$R$7, 0)),0)</f>
        <v>0</v>
      </c>
      <c r="S246" s="128">
        <f>IFERROR(INDEX('Data Val'!$O$7:$R$11, MATCH('Rotation Assembler'!S$32, 'Data Val'!$O$7:$O$11, 0), MATCH(S$14, 'Data Val'!$O$7:$R$7, 0)),0)</f>
        <v>0</v>
      </c>
      <c r="T246" s="128">
        <f>IFERROR(INDEX('Data Val'!$O$7:$R$11, MATCH('Rotation Assembler'!T$32, 'Data Val'!$O$7:$O$11, 0), MATCH(T$14, 'Data Val'!$O$7:$R$7, 0)),0)</f>
        <v>0</v>
      </c>
      <c r="U246" s="128">
        <f>IFERROR(INDEX('Data Val'!$O$7:$R$11, MATCH('Rotation Assembler'!U$32, 'Data Val'!$O$7:$O$11, 0), MATCH(U$14, 'Data Val'!$O$7:$R$7, 0)),0)</f>
        <v>0</v>
      </c>
      <c r="V246" s="128">
        <f>IFERROR(INDEX('Data Val'!$O$7:$R$11, MATCH('Rotation Assembler'!V$32, 'Data Val'!$O$7:$O$11, 0), MATCH(V$14, 'Data Val'!$O$7:$R$7, 0)),0)</f>
        <v>0</v>
      </c>
      <c r="W246" s="128">
        <f>IFERROR(INDEX('Data Val'!$O$7:$R$11, MATCH('Rotation Assembler'!W$32, 'Data Val'!$O$7:$O$11, 0), MATCH(W$14, 'Data Val'!$O$7:$R$7, 0)),0)</f>
        <v>0</v>
      </c>
      <c r="X246" s="128">
        <f>IFERROR(INDEX('Data Val'!$O$7:$R$11, MATCH('Rotation Assembler'!X$32, 'Data Val'!$O$7:$O$11, 0), MATCH(X$14, 'Data Val'!$O$7:$R$7, 0)),0)</f>
        <v>0</v>
      </c>
      <c r="Y246" s="128">
        <f>IFERROR(INDEX('Data Val'!$O$7:$R$11, MATCH('Rotation Assembler'!Y$32, 'Data Val'!$O$7:$O$11, 0), MATCH(Y$14, 'Data Val'!$O$7:$R$7, 0)),0)</f>
        <v>0</v>
      </c>
      <c r="Z246" s="128">
        <f>IFERROR(INDEX('Data Val'!$O$7:$R$11, MATCH('Rotation Assembler'!Z$32, 'Data Val'!$O$7:$O$11, 0), MATCH(Z$14, 'Data Val'!$O$7:$R$7, 0)),0)</f>
        <v>0</v>
      </c>
      <c r="AA246" s="128">
        <f>IFERROR(INDEX('Data Val'!$O$7:$R$11, MATCH('Rotation Assembler'!AA$32, 'Data Val'!$O$7:$O$11, 0), MATCH(AA$14, 'Data Val'!$O$7:$R$7, 0)),0)</f>
        <v>0</v>
      </c>
      <c r="AB246" s="128">
        <f>IFERROR(INDEX('Data Val'!$O$7:$R$11, MATCH('Rotation Assembler'!AB$32, 'Data Val'!$O$7:$O$11, 0), MATCH(AB$14, 'Data Val'!$O$7:$R$7, 0)),0)</f>
        <v>0</v>
      </c>
      <c r="AC246" s="128">
        <f>IFERROR(INDEX('Data Val'!$O$7:$R$11, MATCH('Rotation Assembler'!AC$32, 'Data Val'!$O$7:$O$11, 0), MATCH(AC$14, 'Data Val'!$O$7:$R$7, 0)),0)</f>
        <v>0</v>
      </c>
      <c r="AD246" s="128">
        <f>IFERROR(INDEX('Data Val'!$O$7:$R$11, MATCH('Rotation Assembler'!AD$32, 'Data Val'!$O$7:$O$11, 0), MATCH(AD$14, 'Data Val'!$O$7:$R$7, 0)),0)</f>
        <v>0</v>
      </c>
      <c r="AE246" s="128">
        <f>IFERROR(INDEX('Data Val'!$O$7:$R$11, MATCH('Rotation Assembler'!AE$32, 'Data Val'!$O$7:$O$11, 0), MATCH(AE$14, 'Data Val'!$O$7:$R$7, 0)),0)</f>
        <v>0</v>
      </c>
      <c r="AF246" s="128">
        <f>IFERROR(INDEX('Data Val'!$O$7:$R$11, MATCH('Rotation Assembler'!AF$32, 'Data Val'!$O$7:$O$11, 0), MATCH(AF$14, 'Data Val'!$O$7:$R$7, 0)),0)</f>
        <v>0</v>
      </c>
      <c r="AG246" s="128">
        <f>IFERROR(INDEX('Data Val'!$O$7:$R$11, MATCH('Rotation Assembler'!AG$32, 'Data Val'!$O$7:$O$11, 0), MATCH(AG$14, 'Data Val'!$O$7:$R$7, 0)),0)</f>
        <v>0</v>
      </c>
      <c r="AH246" s="128">
        <f>IFERROR(INDEX('Data Val'!$O$7:$R$11, MATCH('Rotation Assembler'!AH$32, 'Data Val'!$O$7:$O$11, 0), MATCH(AH$14, 'Data Val'!$O$7:$R$7, 0)),0)</f>
        <v>0</v>
      </c>
      <c r="AI246" s="128">
        <f>IFERROR(INDEX('Data Val'!$O$7:$R$11, MATCH('Rotation Assembler'!AI$32, 'Data Val'!$O$7:$O$11, 0), MATCH(AI$14, 'Data Val'!$O$7:$R$7, 0)),0)</f>
        <v>0</v>
      </c>
      <c r="AJ246" s="128">
        <f>IFERROR(INDEX('Data Val'!$O$7:$R$11, MATCH('Rotation Assembler'!AJ$32, 'Data Val'!$O$7:$O$11, 0), MATCH(AJ$14, 'Data Val'!$O$7:$R$7, 0)),0)</f>
        <v>0</v>
      </c>
      <c r="AK246" s="128">
        <f>IFERROR(INDEX('Data Val'!$O$7:$R$11, MATCH('Rotation Assembler'!AK$32, 'Data Val'!$O$7:$O$11, 0), MATCH(AK$14, 'Data Val'!$O$7:$R$7, 0)),0)</f>
        <v>0</v>
      </c>
      <c r="AL246" s="128">
        <f>IFERROR(INDEX('Data Val'!$O$7:$R$11, MATCH('Rotation Assembler'!AL$32, 'Data Val'!$O$7:$O$11, 0), MATCH(AL$14, 'Data Val'!$O$7:$R$7, 0)),0)</f>
        <v>0</v>
      </c>
      <c r="AM246" s="128">
        <f>IFERROR(INDEX('Data Val'!$O$7:$R$11, MATCH('Rotation Assembler'!AM$32, 'Data Val'!$O$7:$O$11, 0), MATCH(AM$14, 'Data Val'!$O$7:$R$7, 0)),0)</f>
        <v>0</v>
      </c>
      <c r="AN246" s="128">
        <f>IFERROR(INDEX('Data Val'!$O$7:$R$11, MATCH('Rotation Assembler'!AN$32, 'Data Val'!$O$7:$O$11, 0), MATCH(AN$14, 'Data Val'!$O$7:$R$7, 0)),0)</f>
        <v>0</v>
      </c>
      <c r="AO246" s="128">
        <f>IFERROR(INDEX('Data Val'!$O$7:$R$11, MATCH('Rotation Assembler'!AO$32, 'Data Val'!$O$7:$O$11, 0), MATCH(AO$14, 'Data Val'!$O$7:$R$7, 0)),0)</f>
        <v>0</v>
      </c>
      <c r="AP246" s="128">
        <f>IFERROR(INDEX('Data Val'!$O$7:$R$11, MATCH('Rotation Assembler'!AP$32, 'Data Val'!$O$7:$O$11, 0), MATCH(AP$14, 'Data Val'!$O$7:$R$7, 0)),0)</f>
        <v>0</v>
      </c>
      <c r="AQ246" s="128">
        <f>IFERROR(INDEX('Data Val'!$O$7:$R$11, MATCH('Rotation Assembler'!AQ$32, 'Data Val'!$O$7:$O$11, 0), MATCH(AQ$14, 'Data Val'!$O$7:$R$7, 0)),0)</f>
        <v>0</v>
      </c>
      <c r="AR246" s="128">
        <f>IFERROR(INDEX('Data Val'!$O$7:$R$11, MATCH('Rotation Assembler'!AR$32, 'Data Val'!$O$7:$O$11, 0), MATCH(AR$14, 'Data Val'!$O$7:$R$7, 0)),0)</f>
        <v>0</v>
      </c>
      <c r="AS246" s="128">
        <f>IFERROR(INDEX('Data Val'!$O$7:$R$11, MATCH('Rotation Assembler'!AS$32, 'Data Val'!$O$7:$O$11, 0), MATCH(AS$14, 'Data Val'!$O$7:$R$7, 0)),0)</f>
        <v>0</v>
      </c>
      <c r="AT246" s="128">
        <f>IFERROR(INDEX('Data Val'!$O$7:$R$11, MATCH('Rotation Assembler'!AT$32, 'Data Val'!$O$7:$O$11, 0), MATCH(AT$14, 'Data Val'!$O$7:$R$7, 0)),0)</f>
        <v>0</v>
      </c>
      <c r="AU246" s="128">
        <f>IFERROR(INDEX('Data Val'!$O$7:$R$11, MATCH('Rotation Assembler'!AU$32, 'Data Val'!$O$7:$O$11, 0), MATCH(AU$14, 'Data Val'!$O$7:$R$7, 0)),0)</f>
        <v>0</v>
      </c>
      <c r="AV246" s="128">
        <f>IFERROR(INDEX('Data Val'!$O$7:$R$11, MATCH('Rotation Assembler'!AV$32, 'Data Val'!$O$7:$O$11, 0), MATCH(AV$14, 'Data Val'!$O$7:$R$7, 0)),0)</f>
        <v>0</v>
      </c>
      <c r="AW246" s="128">
        <f>IFERROR(INDEX('Data Val'!$O$7:$R$11, MATCH('Rotation Assembler'!AW$32, 'Data Val'!$O$7:$O$11, 0), MATCH(AW$14, 'Data Val'!$O$7:$R$7, 0)),0)</f>
        <v>0</v>
      </c>
      <c r="AX246" s="128">
        <f>IFERROR(INDEX('Data Val'!$O$7:$R$11, MATCH('Rotation Assembler'!AX$32, 'Data Val'!$O$7:$O$11, 0), MATCH(AX$14, 'Data Val'!$O$7:$R$7, 0)),0)</f>
        <v>0</v>
      </c>
      <c r="AY246" s="128">
        <f>IFERROR(INDEX('Data Val'!$O$7:$R$11, MATCH('Rotation Assembler'!AY$32, 'Data Val'!$O$7:$O$11, 0), MATCH(AY$14, 'Data Val'!$O$7:$R$7, 0)),0)</f>
        <v>0</v>
      </c>
      <c r="AZ246" s="128">
        <f>IFERROR(INDEX('Data Val'!$O$7:$R$11, MATCH('Rotation Assembler'!AZ$32, 'Data Val'!$O$7:$O$11, 0), MATCH(AZ$14, 'Data Val'!$O$7:$R$7, 0)),0)</f>
        <v>0</v>
      </c>
      <c r="BA246" s="128">
        <f>IFERROR(INDEX('Data Val'!$O$7:$R$11, MATCH('Rotation Assembler'!BA$32, 'Data Val'!$O$7:$O$11, 0), MATCH(BA$14, 'Data Val'!$O$7:$R$7, 0)),0)</f>
        <v>0</v>
      </c>
      <c r="BB246" s="128">
        <f>IFERROR(INDEX('Data Val'!$O$7:$R$11, MATCH('Rotation Assembler'!BB$32, 'Data Val'!$O$7:$O$11, 0), MATCH(BB$14, 'Data Val'!$O$7:$R$7, 0)),0)</f>
        <v>0</v>
      </c>
      <c r="BC246" s="128">
        <f>IFERROR(INDEX('Data Val'!$O$7:$R$11, MATCH('Rotation Assembler'!BC$32, 'Data Val'!$O$7:$O$11, 0), MATCH(BC$14, 'Data Val'!$O$7:$R$7, 0)),0)</f>
        <v>0</v>
      </c>
      <c r="BD246" s="128">
        <f>IFERROR(INDEX('Data Val'!$O$7:$R$11, MATCH('Rotation Assembler'!BD$32, 'Data Val'!$O$7:$O$11, 0), MATCH(BD$14, 'Data Val'!$O$7:$R$7, 0)),0)</f>
        <v>0</v>
      </c>
      <c r="BE246" s="128">
        <f>IFERROR(INDEX('Data Val'!$O$7:$R$11, MATCH('Rotation Assembler'!BE$32, 'Data Val'!$O$7:$O$11, 0), MATCH(BE$14, 'Data Val'!$O$7:$R$7, 0)),0)</f>
        <v>0</v>
      </c>
      <c r="BF246" s="128">
        <f>IFERROR(INDEX('Data Val'!$O$7:$R$11, MATCH('Rotation Assembler'!BF$32, 'Data Val'!$O$7:$O$11, 0), MATCH(BF$14, 'Data Val'!$O$7:$R$7, 0)),0)</f>
        <v>0</v>
      </c>
      <c r="BG246" s="128">
        <f>IFERROR(INDEX('Data Val'!$O$7:$R$11, MATCH('Rotation Assembler'!BG$32, 'Data Val'!$O$7:$O$11, 0), MATCH(BG$14, 'Data Val'!$O$7:$R$7, 0)),0)</f>
        <v>0</v>
      </c>
      <c r="BH246" s="128">
        <f>IFERROR(INDEX('Data Val'!$O$7:$R$11, MATCH('Rotation Assembler'!BH$32, 'Data Val'!$O$7:$O$11, 0), MATCH(BH$14, 'Data Val'!$O$7:$R$7, 0)),0)</f>
        <v>0</v>
      </c>
      <c r="BI246" s="128"/>
      <c r="BJ246" s="128"/>
      <c r="BK246" s="128"/>
      <c r="BL246" s="128"/>
      <c r="BM246" s="128"/>
      <c r="BN246" s="128"/>
      <c r="BO246" s="128"/>
      <c r="BP246" s="128"/>
      <c r="BQ246" s="128"/>
      <c r="BR246" s="128"/>
      <c r="BS246" s="128"/>
      <c r="BT246" s="128"/>
      <c r="BU246" s="128"/>
      <c r="BV246" s="128"/>
      <c r="BW246" s="128"/>
      <c r="BX246" s="128"/>
      <c r="BY246" s="128"/>
      <c r="BZ246" s="128"/>
      <c r="CA246" s="128"/>
      <c r="CB246" s="128"/>
      <c r="CC246" s="128"/>
      <c r="CD246" s="128"/>
      <c r="CE246" s="128"/>
      <c r="CF246" s="128"/>
      <c r="CG246" s="128"/>
      <c r="CH246" s="128"/>
      <c r="CI246" s="128"/>
      <c r="CJ246" s="128"/>
      <c r="CK246" s="128"/>
      <c r="CL246" s="128"/>
      <c r="CM246" s="128"/>
      <c r="CN246" s="128"/>
      <c r="CO246" s="128"/>
      <c r="CP246" s="128"/>
      <c r="CQ246" s="128"/>
      <c r="CR246" s="128"/>
      <c r="CS246" s="128"/>
      <c r="CT246" s="128"/>
      <c r="CU246" s="128"/>
      <c r="CV246" s="128"/>
      <c r="CW246" s="128"/>
      <c r="CX246" s="128"/>
      <c r="CY246" s="128"/>
      <c r="CZ246" s="128"/>
      <c r="DA246" s="128"/>
      <c r="DB246" s="128"/>
      <c r="DC246" s="128"/>
    </row>
    <row r="247" spans="1:107" hidden="1" outlineLevel="1" x14ac:dyDescent="0.25">
      <c r="A247" s="110" t="s">
        <v>673</v>
      </c>
      <c r="B247" s="103">
        <f t="shared" ref="B247:BH247" si="1282">IFERROR(INDEX(B$238:B$244, MATCH(B$13, $A$238:$A$244, 0), 1),0)</f>
        <v>0</v>
      </c>
      <c r="C247" s="103">
        <f t="shared" si="1282"/>
        <v>0</v>
      </c>
      <c r="D247" s="103">
        <f t="shared" si="1282"/>
        <v>0</v>
      </c>
      <c r="E247" s="103">
        <f t="shared" si="1282"/>
        <v>0</v>
      </c>
      <c r="F247" s="103">
        <f t="shared" si="1282"/>
        <v>0</v>
      </c>
      <c r="G247" s="103">
        <f t="shared" si="1282"/>
        <v>0</v>
      </c>
      <c r="H247" s="103">
        <f>IFERROR(INDEX(H$238:H$244, MATCH(H$13, $A$238:$A$244, 0), 1),0)</f>
        <v>0</v>
      </c>
      <c r="I247" s="103">
        <f t="shared" si="1282"/>
        <v>0</v>
      </c>
      <c r="J247" s="103">
        <f t="shared" si="1282"/>
        <v>0</v>
      </c>
      <c r="K247" s="103">
        <f t="shared" si="1282"/>
        <v>0</v>
      </c>
      <c r="L247" s="103">
        <f t="shared" si="1282"/>
        <v>0</v>
      </c>
      <c r="M247" s="103">
        <f>IFERROR(INDEX(M$238:M$244, MATCH(M$13, $A$238:$A$244, 0), 1),0)</f>
        <v>0</v>
      </c>
      <c r="N247" s="103">
        <f>IFERROR(INDEX(N$238:N$244, MATCH(N$13, $A$238:$A$244, 0), 1),0)</f>
        <v>0</v>
      </c>
      <c r="O247" s="103">
        <f>IFERROR(INDEX(O$238:O$244, MATCH(O$13, $A$238:$A$244, 0), 1),0)</f>
        <v>0</v>
      </c>
      <c r="P247" s="103">
        <f>IFERROR(INDEX(P$238:P$244, MATCH(P$13, $A$238:$A$244, 0), 1),0)</f>
        <v>0</v>
      </c>
      <c r="Q247" s="103">
        <f>IFERROR(INDEX(Q$238:Q$244, MATCH(Q$13, $A$238:$A$244, 0), 1),0)</f>
        <v>0</v>
      </c>
      <c r="R247" s="103">
        <f t="shared" si="1282"/>
        <v>0</v>
      </c>
      <c r="S247" s="103">
        <f t="shared" si="1282"/>
        <v>0</v>
      </c>
      <c r="T247" s="103">
        <f t="shared" si="1282"/>
        <v>0</v>
      </c>
      <c r="U247" s="103">
        <f t="shared" si="1282"/>
        <v>0</v>
      </c>
      <c r="V247" s="103">
        <f t="shared" si="1282"/>
        <v>0</v>
      </c>
      <c r="W247" s="103">
        <f t="shared" si="1282"/>
        <v>0</v>
      </c>
      <c r="X247" s="103">
        <f t="shared" si="1282"/>
        <v>0</v>
      </c>
      <c r="Y247" s="103">
        <f t="shared" si="1282"/>
        <v>0</v>
      </c>
      <c r="Z247" s="103">
        <f t="shared" si="1282"/>
        <v>0</v>
      </c>
      <c r="AA247" s="103">
        <f t="shared" si="1282"/>
        <v>0</v>
      </c>
      <c r="AB247" s="103">
        <f t="shared" si="1282"/>
        <v>0</v>
      </c>
      <c r="AC247" s="103">
        <f t="shared" si="1282"/>
        <v>0</v>
      </c>
      <c r="AD247" s="103">
        <f t="shared" si="1282"/>
        <v>0</v>
      </c>
      <c r="AE247" s="103">
        <f t="shared" si="1282"/>
        <v>0</v>
      </c>
      <c r="AF247" s="103">
        <f t="shared" si="1282"/>
        <v>0</v>
      </c>
      <c r="AG247" s="103">
        <f t="shared" si="1282"/>
        <v>0</v>
      </c>
      <c r="AH247" s="103">
        <f t="shared" si="1282"/>
        <v>0</v>
      </c>
      <c r="AI247" s="103">
        <f t="shared" si="1282"/>
        <v>0</v>
      </c>
      <c r="AJ247" s="103">
        <f t="shared" si="1282"/>
        <v>0</v>
      </c>
      <c r="AK247" s="103">
        <f t="shared" si="1282"/>
        <v>0</v>
      </c>
      <c r="AL247" s="103">
        <f t="shared" si="1282"/>
        <v>0</v>
      </c>
      <c r="AM247" s="103">
        <f t="shared" si="1282"/>
        <v>0</v>
      </c>
      <c r="AN247" s="103">
        <f t="shared" si="1282"/>
        <v>0</v>
      </c>
      <c r="AO247" s="103">
        <f t="shared" si="1282"/>
        <v>0</v>
      </c>
      <c r="AP247" s="103">
        <f t="shared" si="1282"/>
        <v>0</v>
      </c>
      <c r="AQ247" s="103">
        <f t="shared" si="1282"/>
        <v>0</v>
      </c>
      <c r="AR247" s="103">
        <f t="shared" si="1282"/>
        <v>0</v>
      </c>
      <c r="AS247" s="103">
        <f t="shared" si="1282"/>
        <v>0</v>
      </c>
      <c r="AT247" s="103">
        <f t="shared" si="1282"/>
        <v>0</v>
      </c>
      <c r="AU247" s="103">
        <f t="shared" si="1282"/>
        <v>0</v>
      </c>
      <c r="AV247" s="103">
        <f t="shared" si="1282"/>
        <v>0</v>
      </c>
      <c r="AW247" s="103">
        <f t="shared" si="1282"/>
        <v>0</v>
      </c>
      <c r="AX247" s="103">
        <f t="shared" si="1282"/>
        <v>0</v>
      </c>
      <c r="AY247" s="103">
        <f t="shared" si="1282"/>
        <v>0</v>
      </c>
      <c r="AZ247" s="103">
        <f t="shared" si="1282"/>
        <v>0</v>
      </c>
      <c r="BA247" s="103">
        <f t="shared" si="1282"/>
        <v>0</v>
      </c>
      <c r="BB247" s="103">
        <f t="shared" si="1282"/>
        <v>0</v>
      </c>
      <c r="BC247" s="103">
        <f t="shared" si="1282"/>
        <v>0</v>
      </c>
      <c r="BD247" s="103">
        <f t="shared" si="1282"/>
        <v>0</v>
      </c>
      <c r="BE247" s="103">
        <f t="shared" si="1282"/>
        <v>0</v>
      </c>
      <c r="BF247" s="103">
        <f t="shared" si="1282"/>
        <v>0</v>
      </c>
      <c r="BG247" s="103">
        <f t="shared" si="1282"/>
        <v>0</v>
      </c>
      <c r="BH247" s="103">
        <f t="shared" si="1282"/>
        <v>0</v>
      </c>
      <c r="BI247" s="103"/>
      <c r="BJ247" s="103"/>
      <c r="BK247" s="103"/>
      <c r="BL247" s="103"/>
      <c r="BM247" s="103"/>
      <c r="BN247" s="103"/>
      <c r="BO247" s="103"/>
      <c r="BP247" s="103"/>
      <c r="BQ247" s="103"/>
      <c r="BR247" s="103"/>
      <c r="BS247" s="103"/>
      <c r="BT247" s="103"/>
      <c r="BU247" s="103"/>
      <c r="BV247" s="103"/>
      <c r="BW247" s="103"/>
      <c r="BX247" s="103"/>
      <c r="BY247" s="103"/>
      <c r="BZ247" s="103"/>
      <c r="CA247" s="103"/>
      <c r="CB247" s="103"/>
      <c r="CC247" s="103"/>
      <c r="CD247" s="103"/>
      <c r="CE247" s="103"/>
      <c r="CF247" s="103"/>
      <c r="CG247" s="103"/>
      <c r="CH247" s="103"/>
      <c r="CI247" s="103"/>
      <c r="CJ247" s="103"/>
      <c r="CK247" s="103"/>
      <c r="CL247" s="103"/>
      <c r="CM247" s="103"/>
      <c r="CN247" s="103"/>
      <c r="CO247" s="103"/>
      <c r="CP247" s="103"/>
      <c r="CQ247" s="103"/>
      <c r="CR247" s="103"/>
      <c r="CS247" s="103"/>
      <c r="CT247" s="103"/>
      <c r="CU247" s="103"/>
      <c r="CV247" s="103"/>
      <c r="CW247" s="103"/>
      <c r="CX247" s="103"/>
      <c r="CY247" s="103"/>
      <c r="CZ247" s="103"/>
      <c r="DA247" s="103"/>
      <c r="DB247" s="103"/>
      <c r="DC247" s="103"/>
    </row>
    <row r="248" spans="1:107" hidden="1" outlineLevel="1" x14ac:dyDescent="0.25">
      <c r="A248" s="110" t="s">
        <v>674</v>
      </c>
      <c r="B248" s="103">
        <f t="shared" ref="B248:G248" ca="1" si="1283">IFERROR(1+(B151+IF(B13="Burst", B186, 0)+IF(B13 = "Skill", B187))*(B152+IF(B13="Burst", B188, 0)+IF(B13 = "Skill", B189, 0)),0)</f>
        <v>2.2947296000000001</v>
      </c>
      <c r="C248" s="103">
        <f t="shared" ca="1" si="1283"/>
        <v>1.9185062400000001</v>
      </c>
      <c r="D248" s="103">
        <f t="shared" ca="1" si="1283"/>
        <v>1.30484928</v>
      </c>
      <c r="E248" s="103">
        <f t="shared" ref="E248" ca="1" si="1284">IFERROR(1+(E151+IF(E13="Burst", E186, 0)+IF(E13 = "Skill", E187))*(E152+IF(E13="Burst", E188, 0)+IF(E13 = "Skill", E189, 0)),0)</f>
        <v>1.30484928</v>
      </c>
      <c r="F248" s="103">
        <f t="shared" ca="1" si="1283"/>
        <v>1.30484928</v>
      </c>
      <c r="G248" s="103">
        <f t="shared" ca="1" si="1283"/>
        <v>1.30484928</v>
      </c>
      <c r="H248" s="103">
        <f ca="1">IFERROR(1+(H151+IF(H13="Burst", H186, 0)+IF(H13 = "Skill", H187))*(H152+IF(H13="Burst", H188, 0)+IF(H13 = "Skill", H189, 0)),0)</f>
        <v>1.6181407800000001</v>
      </c>
      <c r="I248" s="103">
        <f t="shared" ref="I248:K248" ca="1" si="1285">IFERROR(1+(I151+IF(I13="Burst", I186, 0)+IF(I13 = "Skill", I187))*(I152+IF(I13="Burst", I188, 0)+IF(I13 = "Skill", I189, 0)),0)</f>
        <v>1.30484928</v>
      </c>
      <c r="J248" s="103">
        <f t="shared" ca="1" si="1285"/>
        <v>1.30484928</v>
      </c>
      <c r="K248" s="103">
        <f t="shared" ca="1" si="1285"/>
        <v>1.30484928</v>
      </c>
      <c r="L248" s="103">
        <f t="shared" ref="L248" ca="1" si="1286">IFERROR(1+(L151+IF(L13="Burst", L186, 0)+IF(L13 = "Skill", L187))*(L152+IF(L13="Burst", L188, 0)+IF(L13 = "Skill", L189, 0)),0)</f>
        <v>1.30484928</v>
      </c>
      <c r="M248" s="103">
        <f t="shared" ref="M248" ca="1" si="1287">IFERROR(1+(M151+IF(M13="Burst", M186, 0)+IF(M13 = "Skill", M187))*(M152+IF(M13="Burst", M188, 0)+IF(M13 = "Skill", M189, 0)),0)</f>
        <v>1.30484928</v>
      </c>
      <c r="N248" s="103">
        <f ca="1">IFERROR(1+(N151+IF(N13="Burst", N186, 0)+IF(N13 = "Skill", N187))*(N152+IF(N13="Burst", N188, 0)+IF(N13 = "Skill", N189, 0)),0)</f>
        <v>1.30484928</v>
      </c>
      <c r="O248" s="103">
        <f ca="1">IFERROR(1+(O151+IF(O13="Burst", O186, 0)+IF(O13 = "Skill", O187))*(O152+IF(O13="Burst", O188, 0)+IF(O13 = "Skill", O189, 0)),0)</f>
        <v>1.6181407800000001</v>
      </c>
      <c r="P248" s="103">
        <f ca="1">IFERROR(1+(P151+IF(P13="Burst", P186, 0)+IF(P13 = "Skill", P187))*(P152+IF(P13="Burst", P188, 0)+IF(P13 = "Skill", P189, 0)),0)</f>
        <v>1.6181407800000001</v>
      </c>
      <c r="Q248" s="103">
        <f ca="1">IFERROR(1+(Q151+IF(Q13="Burst", Q186, 0)+IF(Q13 = "Skill", Q187))*(Q152+IF(Q13="Burst", Q188, 0)+IF(Q13 = "Skill", Q189, 0)),0)</f>
        <v>1.6181407800000001</v>
      </c>
      <c r="R248" s="103">
        <f t="shared" ref="R248:AZ248" ca="1" si="1288">IFERROR(1+(R151+IF(R13="Burst", R186, 0)+IF(R13 = "Skill", R187))*(R152+IF(R13="Burst", R188, 0)+IF(R13 = "Skill", R189, 0)),0)</f>
        <v>1.6181407800000001</v>
      </c>
      <c r="S248" s="103">
        <f t="shared" ca="1" si="1288"/>
        <v>3.1619296000000001</v>
      </c>
      <c r="T248" s="103">
        <f t="shared" ca="1" si="1288"/>
        <v>1.9185062400000001</v>
      </c>
      <c r="U248" s="103">
        <f t="shared" ca="1" si="1288"/>
        <v>3.1619296000000001</v>
      </c>
      <c r="V248" s="103">
        <f t="shared" ref="V248:W248" ca="1" si="1289">IFERROR(1+(V151+IF(V13="Burst", V186, 0)+IF(V13 = "Skill", V187))*(V152+IF(V13="Burst", V188, 0)+IF(V13 = "Skill", V189, 0)),0)</f>
        <v>3.1619296000000001</v>
      </c>
      <c r="W248" s="103">
        <f t="shared" ca="1" si="1289"/>
        <v>3.1619296000000001</v>
      </c>
      <c r="X248" s="103">
        <f t="shared" ref="X248:Y248" ca="1" si="1290">IFERROR(1+(X151+IF(X13="Burst", X186, 0)+IF(X13 = "Skill", X187))*(X152+IF(X13="Burst", X188, 0)+IF(X13 = "Skill", X189, 0)),0)</f>
        <v>2.7283295999999999</v>
      </c>
      <c r="Y248" s="103">
        <f t="shared" ca="1" si="1290"/>
        <v>2.7283295999999999</v>
      </c>
      <c r="Z248" s="103">
        <f t="shared" ref="Z248:AA248" ca="1" si="1291">IFERROR(1+(Z151+IF(Z13="Burst", Z186, 0)+IF(Z13 = "Skill", Z187))*(Z152+IF(Z13="Burst", Z188, 0)+IF(Z13 = "Skill", Z189, 0)),0)</f>
        <v>2.7283295999999999</v>
      </c>
      <c r="AA248" s="103">
        <f t="shared" ca="1" si="1291"/>
        <v>2.7283295999999999</v>
      </c>
      <c r="AB248" s="103">
        <f t="shared" ca="1" si="1288"/>
        <v>1.9185062400000001</v>
      </c>
      <c r="AC248" s="103">
        <f t="shared" ca="1" si="1288"/>
        <v>1.30484928</v>
      </c>
      <c r="AD248" s="103">
        <f t="shared" ca="1" si="1288"/>
        <v>1.30484928</v>
      </c>
      <c r="AE248" s="103">
        <f t="shared" ca="1" si="1288"/>
        <v>1.6181407800000001</v>
      </c>
      <c r="AF248" s="103">
        <f t="shared" ca="1" si="1288"/>
        <v>2.7283295999999999</v>
      </c>
      <c r="AG248" s="103">
        <f t="shared" ref="AG248:AI248" ca="1" si="1292">IFERROR(1+(AG151+IF(AG13="Burst", AG186, 0)+IF(AG13 = "Skill", AG187))*(AG152+IF(AG13="Burst", AG188, 0)+IF(AG13 = "Skill", AG189, 0)),0)</f>
        <v>2.7283295999999999</v>
      </c>
      <c r="AH248" s="103">
        <f t="shared" ca="1" si="1292"/>
        <v>2.7283295999999999</v>
      </c>
      <c r="AI248" s="103">
        <f t="shared" ca="1" si="1292"/>
        <v>2.7283295999999999</v>
      </c>
      <c r="AJ248" s="103">
        <f t="shared" si="1288"/>
        <v>0</v>
      </c>
      <c r="AK248" s="103">
        <f t="shared" si="1288"/>
        <v>0</v>
      </c>
      <c r="AL248" s="103">
        <f t="shared" si="1288"/>
        <v>0</v>
      </c>
      <c r="AM248" s="103">
        <f t="shared" si="1288"/>
        <v>0</v>
      </c>
      <c r="AN248" s="103">
        <f t="shared" si="1288"/>
        <v>0</v>
      </c>
      <c r="AO248" s="103">
        <f t="shared" si="1288"/>
        <v>0</v>
      </c>
      <c r="AP248" s="103">
        <f t="shared" si="1288"/>
        <v>0</v>
      </c>
      <c r="AQ248" s="103">
        <f t="shared" si="1288"/>
        <v>0</v>
      </c>
      <c r="AR248" s="103">
        <f t="shared" si="1288"/>
        <v>0</v>
      </c>
      <c r="AS248" s="103">
        <f t="shared" si="1288"/>
        <v>0</v>
      </c>
      <c r="AT248" s="103">
        <f t="shared" si="1288"/>
        <v>0</v>
      </c>
      <c r="AU248" s="103">
        <f t="shared" si="1288"/>
        <v>0</v>
      </c>
      <c r="AV248" s="103">
        <f t="shared" si="1288"/>
        <v>0</v>
      </c>
      <c r="AW248" s="103">
        <f t="shared" si="1288"/>
        <v>0</v>
      </c>
      <c r="AX248" s="103">
        <f t="shared" si="1288"/>
        <v>0</v>
      </c>
      <c r="AY248" s="103">
        <f t="shared" si="1288"/>
        <v>0</v>
      </c>
      <c r="AZ248" s="103">
        <f t="shared" si="1288"/>
        <v>0</v>
      </c>
      <c r="BA248" s="103">
        <f t="shared" ref="BA248:BC248" si="1293">IFERROR(1+(BA151+IF(BA13="Burst", BA186, 0)+IF(BA13 = "Skill", BA187))*(BA152+IF(BA13="Burst", BA188, 0)+IF(BA13 = "Skill", BA189, 0)),0)</f>
        <v>0</v>
      </c>
      <c r="BB248" s="103">
        <f t="shared" ref="BB248" si="1294">IFERROR(1+(BB151+IF(BB13="Burst", BB186, 0)+IF(BB13 = "Skill", BB187))*(BB152+IF(BB13="Burst", BB188, 0)+IF(BB13 = "Skill", BB189, 0)),0)</f>
        <v>0</v>
      </c>
      <c r="BC248" s="103">
        <f t="shared" si="1293"/>
        <v>0</v>
      </c>
      <c r="BD248" s="103">
        <f t="shared" ref="BD248:BE248" si="1295">IFERROR(1+(BD151+IF(BD13="Burst", BD186, 0)+IF(BD13 = "Skill", BD187))*(BD152+IF(BD13="Burst", BD188, 0)+IF(BD13 = "Skill", BD189, 0)),0)</f>
        <v>0</v>
      </c>
      <c r="BE248" s="103">
        <f t="shared" si="1295"/>
        <v>0</v>
      </c>
      <c r="BF248" s="103">
        <f t="shared" ref="BF248:BG248" si="1296">IFERROR(1+(BF151+IF(BF13="Burst", BF186, 0)+IF(BF13 = "Skill", BF187))*(BF152+IF(BF13="Burst", BF188, 0)+IF(BF13 = "Skill", BF189, 0)),0)</f>
        <v>0</v>
      </c>
      <c r="BG248" s="103">
        <f t="shared" si="1296"/>
        <v>0</v>
      </c>
      <c r="BH248" s="103">
        <f t="shared" ref="BH248" si="1297">IFERROR(1+(BH151+IF(BH13="Burst", BH186, 0)+IF(BH13 = "Skill", BH187))*(BH152+IF(BH13="Burst", BH188, 0)+IF(BH13 = "Skill", BH189, 0)),0)</f>
        <v>0</v>
      </c>
      <c r="BI248" s="103"/>
      <c r="BJ248" s="103"/>
      <c r="BK248" s="103"/>
      <c r="BL248" s="103"/>
      <c r="BM248" s="103"/>
      <c r="BN248" s="103"/>
      <c r="BO248" s="103"/>
      <c r="BP248" s="103"/>
      <c r="BQ248" s="103"/>
      <c r="BR248" s="103"/>
      <c r="BS248" s="103"/>
      <c r="BT248" s="103"/>
      <c r="BU248" s="103"/>
      <c r="BV248" s="103"/>
      <c r="BW248" s="103"/>
      <c r="BX248" s="103"/>
      <c r="BY248" s="103"/>
      <c r="BZ248" s="103"/>
      <c r="CA248" s="103"/>
      <c r="CB248" s="103"/>
      <c r="CC248" s="103"/>
      <c r="CD248" s="103"/>
      <c r="CE248" s="103"/>
      <c r="CF248" s="103"/>
      <c r="CG248" s="103"/>
      <c r="CH248" s="103"/>
      <c r="CI248" s="103"/>
      <c r="CJ248" s="103"/>
      <c r="CK248" s="103"/>
      <c r="CL248" s="103"/>
      <c r="CM248" s="103"/>
      <c r="CN248" s="103"/>
      <c r="CO248" s="103"/>
      <c r="CP248" s="103"/>
      <c r="CQ248" s="103"/>
      <c r="CR248" s="103"/>
      <c r="CS248" s="103"/>
      <c r="CT248" s="103"/>
      <c r="CU248" s="103"/>
      <c r="CV248" s="103"/>
      <c r="CW248" s="103"/>
      <c r="CX248" s="103"/>
      <c r="CY248" s="103"/>
      <c r="CZ248" s="103"/>
      <c r="DA248" s="103"/>
      <c r="DB248" s="103"/>
      <c r="DC248" s="103"/>
    </row>
    <row r="249" spans="1:107" hidden="1" outlineLevel="1" x14ac:dyDescent="0.25">
      <c r="A249" s="110" t="s">
        <v>676</v>
      </c>
      <c r="B249" s="103">
        <f>(100+VLOOKUP(B$32, 'Data Val'!$O$13:$P$17, 2, 0))/((100+VLOOKUP(B$32, 'Data Val'!$O$13:$P$17, 2, 0))+(100+enemyLevel)*(1-B175))</f>
        <v>0.48717948717948717</v>
      </c>
      <c r="C249" s="103">
        <f>(100+VLOOKUP(C$32, 'Data Val'!$O$13:$P$17, 2, 0))/((100+VLOOKUP(C$32, 'Data Val'!$O$13:$P$17, 2, 0))+(100+enemyLevel)*(1-C175))</f>
        <v>0.48717948717948717</v>
      </c>
      <c r="D249" s="103">
        <f>(100+VLOOKUP(D$32, 'Data Val'!$O$13:$P$17, 2, 0))/((100+VLOOKUP(D$32, 'Data Val'!$O$13:$P$17, 2, 0))+(100+enemyLevel)*(1-D175))</f>
        <v>0.48717948717948717</v>
      </c>
      <c r="E249" s="103">
        <f>(100+VLOOKUP(E$32, 'Data Val'!$O$13:$P$17, 2, 0))/((100+VLOOKUP(E$32, 'Data Val'!$O$13:$P$17, 2, 0))+(100+enemyLevel)*(1-E175))</f>
        <v>0.48717948717948717</v>
      </c>
      <c r="F249" s="103">
        <f>(100+VLOOKUP(F$32, 'Data Val'!$O$13:$P$17, 2, 0))/((100+VLOOKUP(F$32, 'Data Val'!$O$13:$P$17, 2, 0))+(100+enemyLevel)*(1-F175))</f>
        <v>0.48717948717948717</v>
      </c>
      <c r="G249" s="103">
        <f>(100+VLOOKUP(G$32, 'Data Val'!$O$13:$P$17, 2, 0))/((100+VLOOKUP(G$32, 'Data Val'!$O$13:$P$17, 2, 0))+(100+enemyLevel)*(1-G175))</f>
        <v>0.48717948717948717</v>
      </c>
      <c r="H249" s="103">
        <f>(100+VLOOKUP(H$32, 'Data Val'!$O$13:$P$17, 2, 0))/((100+VLOOKUP(H$32, 'Data Val'!$O$13:$P$17, 2, 0))+(100+enemyLevel)*(1-H175))</f>
        <v>0.48717948717948717</v>
      </c>
      <c r="I249" s="103">
        <f>(100+VLOOKUP(I$32, 'Data Val'!$O$13:$P$17, 2, 0))/((100+VLOOKUP(I$32, 'Data Val'!$O$13:$P$17, 2, 0))+(100+enemyLevel)*(1-I175))</f>
        <v>0.48717948717948717</v>
      </c>
      <c r="J249" s="103">
        <f>(100+VLOOKUP(J$32, 'Data Val'!$O$13:$P$17, 2, 0))/((100+VLOOKUP(J$32, 'Data Val'!$O$13:$P$17, 2, 0))+(100+enemyLevel)*(1-J175))</f>
        <v>0.48717948717948717</v>
      </c>
      <c r="K249" s="103">
        <f>(100+VLOOKUP(K$32, 'Data Val'!$O$13:$P$17, 2, 0))/((100+VLOOKUP(K$32, 'Data Val'!$O$13:$P$17, 2, 0))+(100+enemyLevel)*(1-K175))</f>
        <v>0.48717948717948717</v>
      </c>
      <c r="L249" s="103">
        <f>(100+VLOOKUP(L$32, 'Data Val'!$O$13:$P$17, 2, 0))/((100+VLOOKUP(L$32, 'Data Val'!$O$13:$P$17, 2, 0))+(100+enemyLevel)*(1-L175))</f>
        <v>0.48717948717948717</v>
      </c>
      <c r="M249" s="103">
        <f>(100+VLOOKUP(M$32, 'Data Val'!$O$13:$P$17, 2, 0))/((100+VLOOKUP(M$32, 'Data Val'!$O$13:$P$17, 2, 0))+(100+enemyLevel)*(1-M175))</f>
        <v>0.48717948717948717</v>
      </c>
      <c r="N249" s="103">
        <f>(100+VLOOKUP(N$32, 'Data Val'!$O$13:$P$17, 2, 0))/((100+VLOOKUP(N$32, 'Data Val'!$O$13:$P$17, 2, 0))+(100+enemyLevel)*(1-N175))</f>
        <v>0.48717948717948717</v>
      </c>
      <c r="O249" s="103">
        <f>(100+VLOOKUP(O$32, 'Data Val'!$O$13:$P$17, 2, 0))/((100+VLOOKUP(O$32, 'Data Val'!$O$13:$P$17, 2, 0))+(100+enemyLevel)*(1-O175))</f>
        <v>0.48717948717948717</v>
      </c>
      <c r="P249" s="103">
        <f>(100+VLOOKUP(P$32, 'Data Val'!$O$13:$P$17, 2, 0))/((100+VLOOKUP(P$32, 'Data Val'!$O$13:$P$17, 2, 0))+(100+enemyLevel)*(1-P175))</f>
        <v>0.48717948717948717</v>
      </c>
      <c r="Q249" s="103">
        <f>(100+VLOOKUP(Q$32, 'Data Val'!$O$13:$P$17, 2, 0))/((100+VLOOKUP(Q$32, 'Data Val'!$O$13:$P$17, 2, 0))+(100+enemyLevel)*(1-Q175))</f>
        <v>0.48717948717948717</v>
      </c>
      <c r="R249" s="103">
        <f>(100+VLOOKUP(R$32, 'Data Val'!$O$13:$P$17, 2, 0))/((100+VLOOKUP(R$32, 'Data Val'!$O$13:$P$17, 2, 0))+(100+enemyLevel)*(1-R175))</f>
        <v>0.48717948717948717</v>
      </c>
      <c r="S249" s="103">
        <f>(100+VLOOKUP(S$32, 'Data Val'!$O$13:$P$17, 2, 0))/((100+VLOOKUP(S$32, 'Data Val'!$O$13:$P$17, 2, 0))+(100+enemyLevel)*(1-S175))</f>
        <v>0.48717948717948717</v>
      </c>
      <c r="T249" s="103">
        <f>(100+VLOOKUP(T$32, 'Data Val'!$O$13:$P$17, 2, 0))/((100+VLOOKUP(T$32, 'Data Val'!$O$13:$P$17, 2, 0))+(100+enemyLevel)*(1-T175))</f>
        <v>0.48717948717948717</v>
      </c>
      <c r="U249" s="103">
        <f>(100+VLOOKUP(U$32, 'Data Val'!$O$13:$P$17, 2, 0))/((100+VLOOKUP(U$32, 'Data Val'!$O$13:$P$17, 2, 0))+(100+enemyLevel)*(1-U175))</f>
        <v>0.48717948717948717</v>
      </c>
      <c r="V249" s="103">
        <f>(100+VLOOKUP(V$32, 'Data Val'!$O$13:$P$17, 2, 0))/((100+VLOOKUP(V$32, 'Data Val'!$O$13:$P$17, 2, 0))+(100+enemyLevel)*(1-V175))</f>
        <v>0.48717948717948717</v>
      </c>
      <c r="W249" s="103">
        <f>(100+VLOOKUP(W$32, 'Data Val'!$O$13:$P$17, 2, 0))/((100+VLOOKUP(W$32, 'Data Val'!$O$13:$P$17, 2, 0))+(100+enemyLevel)*(1-W175))</f>
        <v>0.48717948717948717</v>
      </c>
      <c r="X249" s="103">
        <f>(100+VLOOKUP(X$32, 'Data Val'!$O$13:$P$17, 2, 0))/((100+VLOOKUP(X$32, 'Data Val'!$O$13:$P$17, 2, 0))+(100+enemyLevel)*(1-X175))</f>
        <v>0.48717948717948717</v>
      </c>
      <c r="Y249" s="103">
        <f>(100+VLOOKUP(Y$32, 'Data Val'!$O$13:$P$17, 2, 0))/((100+VLOOKUP(Y$32, 'Data Val'!$O$13:$P$17, 2, 0))+(100+enemyLevel)*(1-Y175))</f>
        <v>0.48717948717948717</v>
      </c>
      <c r="Z249" s="103">
        <f>(100+VLOOKUP(Z$32, 'Data Val'!$O$13:$P$17, 2, 0))/((100+VLOOKUP(Z$32, 'Data Val'!$O$13:$P$17, 2, 0))+(100+enemyLevel)*(1-Z175))</f>
        <v>0.48717948717948717</v>
      </c>
      <c r="AA249" s="103">
        <f>(100+VLOOKUP(AA$32, 'Data Val'!$O$13:$P$17, 2, 0))/((100+VLOOKUP(AA$32, 'Data Val'!$O$13:$P$17, 2, 0))+(100+enemyLevel)*(1-AA175))</f>
        <v>0.48717948717948717</v>
      </c>
      <c r="AB249" s="103">
        <f>(100+VLOOKUP(AB$32, 'Data Val'!$O$13:$P$17, 2, 0))/((100+VLOOKUP(AB$32, 'Data Val'!$O$13:$P$17, 2, 0))+(100+enemyLevel)*(1-AB175))</f>
        <v>0.48717948717948717</v>
      </c>
      <c r="AC249" s="103">
        <f>(100+VLOOKUP(AC$32, 'Data Val'!$O$13:$P$17, 2, 0))/((100+VLOOKUP(AC$32, 'Data Val'!$O$13:$P$17, 2, 0))+(100+enemyLevel)*(1-AC175))</f>
        <v>0.48717948717948717</v>
      </c>
      <c r="AD249" s="103">
        <f>(100+VLOOKUP(AD$32, 'Data Val'!$O$13:$P$17, 2, 0))/((100+VLOOKUP(AD$32, 'Data Val'!$O$13:$P$17, 2, 0))+(100+enemyLevel)*(1-AD175))</f>
        <v>0.48717948717948717</v>
      </c>
      <c r="AE249" s="103">
        <f>(100+VLOOKUP(AE$32, 'Data Val'!$O$13:$P$17, 2, 0))/((100+VLOOKUP(AE$32, 'Data Val'!$O$13:$P$17, 2, 0))+(100+enemyLevel)*(1-AE175))</f>
        <v>0.48717948717948717</v>
      </c>
      <c r="AF249" s="103">
        <f>(100+VLOOKUP(AF$32, 'Data Val'!$O$13:$P$17, 2, 0))/((100+VLOOKUP(AF$32, 'Data Val'!$O$13:$P$17, 2, 0))+(100+enemyLevel)*(1-AF175))</f>
        <v>0.48717948717948717</v>
      </c>
      <c r="AG249" s="103">
        <f>(100+VLOOKUP(AG$32, 'Data Val'!$O$13:$P$17, 2, 0))/((100+VLOOKUP(AG$32, 'Data Val'!$O$13:$P$17, 2, 0))+(100+enemyLevel)*(1-AG175))</f>
        <v>0.48717948717948717</v>
      </c>
      <c r="AH249" s="103">
        <f>(100+VLOOKUP(AH$32, 'Data Val'!$O$13:$P$17, 2, 0))/((100+VLOOKUP(AH$32, 'Data Val'!$O$13:$P$17, 2, 0))+(100+enemyLevel)*(1-AH175))</f>
        <v>0.48717948717948717</v>
      </c>
      <c r="AI249" s="103">
        <f>(100+VLOOKUP(AI$32, 'Data Val'!$O$13:$P$17, 2, 0))/((100+VLOOKUP(AI$32, 'Data Val'!$O$13:$P$17, 2, 0))+(100+enemyLevel)*(1-AI175))</f>
        <v>0.48717948717948717</v>
      </c>
      <c r="AJ249" s="103" t="e">
        <f>(100+VLOOKUP(AJ$32, 'Data Val'!$O$13:$P$17, 2, 0))/((100+VLOOKUP(AJ$32, 'Data Val'!$O$13:$P$17, 2, 0))+(100+enemyLevel)*(1-AJ175))</f>
        <v>#N/A</v>
      </c>
      <c r="AK249" s="103" t="e">
        <f>(100+VLOOKUP(AK$32, 'Data Val'!$O$13:$P$17, 2, 0))/((100+VLOOKUP(AK$32, 'Data Val'!$O$13:$P$17, 2, 0))+(100+enemyLevel)*(1-AK175))</f>
        <v>#N/A</v>
      </c>
      <c r="AL249" s="103" t="e">
        <f>(100+VLOOKUP(AL$32, 'Data Val'!$O$13:$P$17, 2, 0))/((100+VLOOKUP(AL$32, 'Data Val'!$O$13:$P$17, 2, 0))+(100+enemyLevel)*(1-AL175))</f>
        <v>#N/A</v>
      </c>
      <c r="AM249" s="103" t="e">
        <f>(100+VLOOKUP(AM$32, 'Data Val'!$O$13:$P$17, 2, 0))/((100+VLOOKUP(AM$32, 'Data Val'!$O$13:$P$17, 2, 0))+(100+enemyLevel)*(1-AM175))</f>
        <v>#N/A</v>
      </c>
      <c r="AN249" s="103" t="e">
        <f>(100+VLOOKUP(AN$32, 'Data Val'!$O$13:$P$17, 2, 0))/((100+VLOOKUP(AN$32, 'Data Val'!$O$13:$P$17, 2, 0))+(100+enemyLevel)*(1-AN175))</f>
        <v>#N/A</v>
      </c>
      <c r="AO249" s="103" t="e">
        <f>(100+VLOOKUP(AO$32, 'Data Val'!$O$13:$P$17, 2, 0))/((100+VLOOKUP(AO$32, 'Data Val'!$O$13:$P$17, 2, 0))+(100+enemyLevel)*(1-AO175))</f>
        <v>#N/A</v>
      </c>
      <c r="AP249" s="103" t="e">
        <f>(100+VLOOKUP(AP$32, 'Data Val'!$O$13:$P$17, 2, 0))/((100+VLOOKUP(AP$32, 'Data Val'!$O$13:$P$17, 2, 0))+(100+enemyLevel)*(1-AP175))</f>
        <v>#N/A</v>
      </c>
      <c r="AQ249" s="103" t="e">
        <f>(100+VLOOKUP(AQ$32, 'Data Val'!$O$13:$P$17, 2, 0))/((100+VLOOKUP(AQ$32, 'Data Val'!$O$13:$P$17, 2, 0))+(100+enemyLevel)*(1-AQ175))</f>
        <v>#N/A</v>
      </c>
      <c r="AR249" s="103" t="e">
        <f>(100+VLOOKUP(AR$32, 'Data Val'!$O$13:$P$17, 2, 0))/((100+VLOOKUP(AR$32, 'Data Val'!$O$13:$P$17, 2, 0))+(100+enemyLevel)*(1-AR175))</f>
        <v>#N/A</v>
      </c>
      <c r="AS249" s="103" t="e">
        <f>(100+VLOOKUP(AS$32, 'Data Val'!$O$13:$P$17, 2, 0))/((100+VLOOKUP(AS$32, 'Data Val'!$O$13:$P$17, 2, 0))+(100+enemyLevel)*(1-AS175))</f>
        <v>#N/A</v>
      </c>
      <c r="AT249" s="103" t="e">
        <f>(100+VLOOKUP(AT$32, 'Data Val'!$O$13:$P$17, 2, 0))/((100+VLOOKUP(AT$32, 'Data Val'!$O$13:$P$17, 2, 0))+(100+enemyLevel)*(1-AT175))</f>
        <v>#N/A</v>
      </c>
      <c r="AU249" s="103" t="e">
        <f>(100+VLOOKUP(AU$32, 'Data Val'!$O$13:$P$17, 2, 0))/((100+VLOOKUP(AU$32, 'Data Val'!$O$13:$P$17, 2, 0))+(100+enemyLevel)*(1-AU175))</f>
        <v>#N/A</v>
      </c>
      <c r="AV249" s="103" t="e">
        <f>(100+VLOOKUP(AV$32, 'Data Val'!$O$13:$P$17, 2, 0))/((100+VLOOKUP(AV$32, 'Data Val'!$O$13:$P$17, 2, 0))+(100+enemyLevel)*(1-AV175))</f>
        <v>#N/A</v>
      </c>
      <c r="AW249" s="103" t="e">
        <f>(100+VLOOKUP(AW$32, 'Data Val'!$O$13:$P$17, 2, 0))/((100+VLOOKUP(AW$32, 'Data Val'!$O$13:$P$17, 2, 0))+(100+enemyLevel)*(1-AW175))</f>
        <v>#N/A</v>
      </c>
      <c r="AX249" s="103" t="e">
        <f>(100+VLOOKUP(AX$32, 'Data Val'!$O$13:$P$17, 2, 0))/((100+VLOOKUP(AX$32, 'Data Val'!$O$13:$P$17, 2, 0))+(100+enemyLevel)*(1-AX175))</f>
        <v>#N/A</v>
      </c>
      <c r="AY249" s="103" t="e">
        <f>(100+VLOOKUP(AY$32, 'Data Val'!$O$13:$P$17, 2, 0))/((100+VLOOKUP(AY$32, 'Data Val'!$O$13:$P$17, 2, 0))+(100+enemyLevel)*(1-AY175))</f>
        <v>#N/A</v>
      </c>
      <c r="AZ249" s="103" t="e">
        <f>(100+VLOOKUP(AZ$32, 'Data Val'!$O$13:$P$17, 2, 0))/((100+VLOOKUP(AZ$32, 'Data Val'!$O$13:$P$17, 2, 0))+(100+enemyLevel)*(1-AZ175))</f>
        <v>#N/A</v>
      </c>
      <c r="BA249" s="103" t="e">
        <f>(100+VLOOKUP(BA$32, 'Data Val'!$O$13:$P$17, 2, 0))/((100+VLOOKUP(BA$32, 'Data Val'!$O$13:$P$17, 2, 0))+(100+enemyLevel)*(1-BA175))</f>
        <v>#N/A</v>
      </c>
      <c r="BB249" s="103" t="e">
        <f>(100+VLOOKUP(BB$32, 'Data Val'!$O$13:$P$17, 2, 0))/((100+VLOOKUP(BB$32, 'Data Val'!$O$13:$P$17, 2, 0))+(100+enemyLevel)*(1-BB175))</f>
        <v>#N/A</v>
      </c>
      <c r="BC249" s="103" t="e">
        <f>(100+VLOOKUP(BC$32, 'Data Val'!$O$13:$P$17, 2, 0))/((100+VLOOKUP(BC$32, 'Data Val'!$O$13:$P$17, 2, 0))+(100+enemyLevel)*(1-BC175))</f>
        <v>#N/A</v>
      </c>
      <c r="BD249" s="103" t="e">
        <f>(100+VLOOKUP(BD$32, 'Data Val'!$O$13:$P$17, 2, 0))/((100+VLOOKUP(BD$32, 'Data Val'!$O$13:$P$17, 2, 0))+(100+enemyLevel)*(1-BD175))</f>
        <v>#N/A</v>
      </c>
      <c r="BE249" s="103" t="e">
        <f>(100+VLOOKUP(BE$32, 'Data Val'!$O$13:$P$17, 2, 0))/((100+VLOOKUP(BE$32, 'Data Val'!$O$13:$P$17, 2, 0))+(100+enemyLevel)*(1-BE175))</f>
        <v>#N/A</v>
      </c>
      <c r="BF249" s="103" t="e">
        <f>(100+VLOOKUP(BF$32, 'Data Val'!$O$13:$P$17, 2, 0))/((100+VLOOKUP(BF$32, 'Data Val'!$O$13:$P$17, 2, 0))+(100+enemyLevel)*(1-BF175))</f>
        <v>#N/A</v>
      </c>
      <c r="BG249" s="103" t="e">
        <f>(100+VLOOKUP(BG$32, 'Data Val'!$O$13:$P$17, 2, 0))/((100+VLOOKUP(BG$32, 'Data Val'!$O$13:$P$17, 2, 0))+(100+enemyLevel)*(1-BG175))</f>
        <v>#N/A</v>
      </c>
      <c r="BH249" s="103" t="e">
        <f>(100+VLOOKUP(BH$32, 'Data Val'!$O$13:$P$17, 2, 0))/((100+VLOOKUP(BH$32, 'Data Val'!$O$13:$P$17, 2, 0))+(100+enemyLevel)*(1-BH175))</f>
        <v>#N/A</v>
      </c>
      <c r="BI249" s="103"/>
      <c r="BJ249" s="103"/>
      <c r="BK249" s="103"/>
      <c r="BL249" s="103"/>
      <c r="BM249" s="103"/>
      <c r="BN249" s="103"/>
      <c r="BO249" s="103"/>
      <c r="BP249" s="103"/>
      <c r="BQ249" s="103"/>
      <c r="BR249" s="103"/>
      <c r="BS249" s="103"/>
      <c r="BT249" s="103"/>
      <c r="BU249" s="103"/>
      <c r="BV249" s="103"/>
      <c r="BW249" s="103"/>
      <c r="BX249" s="103"/>
      <c r="BY249" s="103"/>
      <c r="BZ249" s="103"/>
      <c r="CA249" s="103"/>
      <c r="CB249" s="103"/>
      <c r="CC249" s="103"/>
      <c r="CD249" s="103"/>
      <c r="CE249" s="103"/>
      <c r="CF249" s="103"/>
      <c r="CG249" s="103"/>
      <c r="CH249" s="103"/>
      <c r="CI249" s="103"/>
      <c r="CJ249" s="103"/>
      <c r="CK249" s="103"/>
      <c r="CL249" s="103"/>
      <c r="CM249" s="103"/>
      <c r="CN249" s="103"/>
      <c r="CO249" s="103"/>
      <c r="CP249" s="103"/>
      <c r="CQ249" s="103"/>
      <c r="CR249" s="103"/>
      <c r="CS249" s="103"/>
      <c r="CT249" s="103"/>
      <c r="CU249" s="103"/>
      <c r="CV249" s="103"/>
      <c r="CW249" s="103"/>
      <c r="CX249" s="103"/>
      <c r="CY249" s="103"/>
      <c r="CZ249" s="103"/>
      <c r="DA249" s="103"/>
      <c r="DB249" s="103"/>
      <c r="DC249" s="103"/>
    </row>
    <row r="250" spans="1:107" hidden="1" outlineLevel="1" x14ac:dyDescent="0.25">
      <c r="A250" s="110" t="s">
        <v>677</v>
      </c>
      <c r="B250" s="103">
        <f t="shared" ref="B250:G250" si="1298">IFERROR((1-INDEX(B198:B204, MATCH("Effective "&amp;B15&amp;" Res", $A$198:$A$204, 0), 1)),1)</f>
        <v>1</v>
      </c>
      <c r="C250" s="103">
        <f t="shared" si="1298"/>
        <v>1</v>
      </c>
      <c r="D250" s="103">
        <f t="shared" si="1298"/>
        <v>1</v>
      </c>
      <c r="E250" s="103">
        <f t="shared" ref="E250" si="1299">IFERROR((1-INDEX(E198:E204, MATCH("Effective "&amp;E15&amp;" Res", $A$198:$A$204, 0), 1)),1)</f>
        <v>1</v>
      </c>
      <c r="F250" s="103">
        <f t="shared" si="1298"/>
        <v>1</v>
      </c>
      <c r="G250" s="103">
        <f t="shared" si="1298"/>
        <v>1</v>
      </c>
      <c r="H250" s="103">
        <f>IFERROR((1-INDEX(H198:H204, MATCH("Effective "&amp;H15&amp;" Res", $A$198:$A$204, 0), 1)),1)</f>
        <v>1</v>
      </c>
      <c r="I250" s="103">
        <f t="shared" ref="I250:K250" si="1300">IFERROR((1-INDEX(I198:I204, MATCH("Effective "&amp;I15&amp;" Res", $A$198:$A$204, 0), 1)),1)</f>
        <v>1</v>
      </c>
      <c r="J250" s="103">
        <f t="shared" si="1300"/>
        <v>1</v>
      </c>
      <c r="K250" s="103">
        <f t="shared" si="1300"/>
        <v>1</v>
      </c>
      <c r="L250" s="103">
        <f t="shared" ref="L250" si="1301">IFERROR((1-INDEX(L198:L204, MATCH("Effective "&amp;L15&amp;" Res", $A$198:$A$204, 0), 1)),1)</f>
        <v>1</v>
      </c>
      <c r="M250" s="103">
        <f t="shared" ref="M250" si="1302">IFERROR((1-INDEX(M198:M204, MATCH("Effective "&amp;M15&amp;" Res", $A$198:$A$204, 0), 1)),1)</f>
        <v>1</v>
      </c>
      <c r="N250" s="103">
        <f>IFERROR((1-INDEX(N198:N204, MATCH("Effective "&amp;N15&amp;" Res", $A$198:$A$204, 0), 1)),1)</f>
        <v>1</v>
      </c>
      <c r="O250" s="103">
        <f>IFERROR((1-INDEX(O198:O204, MATCH("Effective "&amp;O15&amp;" Res", $A$198:$A$204, 0), 1)),1)</f>
        <v>1</v>
      </c>
      <c r="P250" s="103">
        <f>IFERROR((1-INDEX(P198:P204, MATCH("Effective "&amp;P15&amp;" Res", $A$198:$A$204, 0), 1)),1)</f>
        <v>1</v>
      </c>
      <c r="Q250" s="103">
        <f>IFERROR((1-INDEX(Q198:Q204, MATCH("Effective "&amp;Q15&amp;" Res", $A$198:$A$204, 0), 1)),1)</f>
        <v>1</v>
      </c>
      <c r="R250" s="103">
        <f t="shared" ref="R250:AZ250" si="1303">IFERROR((1-INDEX(R198:R204, MATCH("Effective "&amp;R15&amp;" Res", $A$198:$A$204, 0), 1)),1)</f>
        <v>1</v>
      </c>
      <c r="S250" s="103">
        <f t="shared" si="1303"/>
        <v>1</v>
      </c>
      <c r="T250" s="103">
        <f t="shared" si="1303"/>
        <v>1</v>
      </c>
      <c r="U250" s="103">
        <f t="shared" si="1303"/>
        <v>1</v>
      </c>
      <c r="V250" s="103">
        <f t="shared" ref="V250:W250" si="1304">IFERROR((1-INDEX(V198:V204, MATCH("Effective "&amp;V15&amp;" Res", $A$198:$A$204, 0), 1)),1)</f>
        <v>1</v>
      </c>
      <c r="W250" s="103">
        <f t="shared" si="1304"/>
        <v>1</v>
      </c>
      <c r="X250" s="103">
        <f t="shared" ref="X250:Y250" si="1305">IFERROR((1-INDEX(X198:X204, MATCH("Effective "&amp;X15&amp;" Res", $A$198:$A$204, 0), 1)),1)</f>
        <v>1</v>
      </c>
      <c r="Y250" s="103">
        <f t="shared" si="1305"/>
        <v>1</v>
      </c>
      <c r="Z250" s="103">
        <f t="shared" ref="Z250:AA250" si="1306">IFERROR((1-INDEX(Z198:Z204, MATCH("Effective "&amp;Z15&amp;" Res", $A$198:$A$204, 0), 1)),1)</f>
        <v>1</v>
      </c>
      <c r="AA250" s="103">
        <f t="shared" si="1306"/>
        <v>1</v>
      </c>
      <c r="AB250" s="103">
        <f t="shared" si="1303"/>
        <v>1</v>
      </c>
      <c r="AC250" s="103">
        <f t="shared" si="1303"/>
        <v>1</v>
      </c>
      <c r="AD250" s="103">
        <f t="shared" si="1303"/>
        <v>1</v>
      </c>
      <c r="AE250" s="103">
        <f t="shared" si="1303"/>
        <v>1</v>
      </c>
      <c r="AF250" s="103">
        <f t="shared" si="1303"/>
        <v>1</v>
      </c>
      <c r="AG250" s="103">
        <f t="shared" ref="AG250:AI250" si="1307">IFERROR((1-INDEX(AG198:AG204, MATCH("Effective "&amp;AG15&amp;" Res", $A$198:$A$204, 0), 1)),1)</f>
        <v>1</v>
      </c>
      <c r="AH250" s="103">
        <f t="shared" si="1307"/>
        <v>1</v>
      </c>
      <c r="AI250" s="103">
        <f t="shared" si="1307"/>
        <v>1</v>
      </c>
      <c r="AJ250" s="103">
        <f t="shared" si="1303"/>
        <v>1</v>
      </c>
      <c r="AK250" s="103">
        <f t="shared" si="1303"/>
        <v>1</v>
      </c>
      <c r="AL250" s="103">
        <f t="shared" si="1303"/>
        <v>1</v>
      </c>
      <c r="AM250" s="103">
        <f t="shared" si="1303"/>
        <v>1</v>
      </c>
      <c r="AN250" s="103">
        <f t="shared" si="1303"/>
        <v>1</v>
      </c>
      <c r="AO250" s="103">
        <f t="shared" si="1303"/>
        <v>1</v>
      </c>
      <c r="AP250" s="103">
        <f t="shared" si="1303"/>
        <v>1</v>
      </c>
      <c r="AQ250" s="103">
        <f t="shared" si="1303"/>
        <v>1</v>
      </c>
      <c r="AR250" s="103">
        <f t="shared" si="1303"/>
        <v>1</v>
      </c>
      <c r="AS250" s="103">
        <f t="shared" si="1303"/>
        <v>1</v>
      </c>
      <c r="AT250" s="103">
        <f t="shared" si="1303"/>
        <v>1</v>
      </c>
      <c r="AU250" s="103">
        <f t="shared" si="1303"/>
        <v>1</v>
      </c>
      <c r="AV250" s="103">
        <f t="shared" si="1303"/>
        <v>1</v>
      </c>
      <c r="AW250" s="103">
        <f t="shared" si="1303"/>
        <v>1</v>
      </c>
      <c r="AX250" s="103">
        <f t="shared" si="1303"/>
        <v>1</v>
      </c>
      <c r="AY250" s="103">
        <f t="shared" si="1303"/>
        <v>1</v>
      </c>
      <c r="AZ250" s="103">
        <f t="shared" si="1303"/>
        <v>1</v>
      </c>
      <c r="BA250" s="103">
        <f t="shared" ref="BA250:BC250" si="1308">IFERROR((1-INDEX(BA198:BA204, MATCH("Effective "&amp;BA15&amp;" Res", $A$198:$A$204, 0), 1)),1)</f>
        <v>1</v>
      </c>
      <c r="BB250" s="103">
        <f t="shared" ref="BB250" si="1309">IFERROR((1-INDEX(BB198:BB204, MATCH("Effective "&amp;BB15&amp;" Res", $A$198:$A$204, 0), 1)),1)</f>
        <v>1</v>
      </c>
      <c r="BC250" s="103">
        <f t="shared" si="1308"/>
        <v>1</v>
      </c>
      <c r="BD250" s="103">
        <f t="shared" ref="BD250:BE250" si="1310">IFERROR((1-INDEX(BD198:BD204, MATCH("Effective "&amp;BD15&amp;" Res", $A$198:$A$204, 0), 1)),1)</f>
        <v>1</v>
      </c>
      <c r="BE250" s="103">
        <f t="shared" si="1310"/>
        <v>1</v>
      </c>
      <c r="BF250" s="103">
        <f t="shared" ref="BF250:BG250" si="1311">IFERROR((1-INDEX(BF198:BF204, MATCH("Effective "&amp;BF15&amp;" Res", $A$198:$A$204, 0), 1)),1)</f>
        <v>1</v>
      </c>
      <c r="BG250" s="103">
        <f t="shared" si="1311"/>
        <v>1</v>
      </c>
      <c r="BH250" s="103">
        <f t="shared" ref="BH250" si="1312">IFERROR((1-INDEX(BH198:BH204, MATCH("Effective "&amp;BH15&amp;" Res", $A$198:$A$204, 0), 1)),1)</f>
        <v>1</v>
      </c>
      <c r="BI250" s="103"/>
      <c r="BJ250" s="103"/>
      <c r="BK250" s="103"/>
      <c r="BL250" s="103"/>
      <c r="BM250" s="103"/>
      <c r="BN250" s="103"/>
      <c r="BO250" s="103"/>
      <c r="BP250" s="103"/>
      <c r="BQ250" s="103"/>
      <c r="BR250" s="103"/>
      <c r="BS250" s="103"/>
      <c r="BT250" s="103"/>
      <c r="BU250" s="103"/>
      <c r="BV250" s="103"/>
      <c r="BW250" s="103"/>
      <c r="BX250" s="103"/>
      <c r="BY250" s="103"/>
      <c r="BZ250" s="103"/>
      <c r="CA250" s="103"/>
      <c r="CB250" s="103"/>
      <c r="CC250" s="103"/>
      <c r="CD250" s="103"/>
      <c r="CE250" s="103"/>
      <c r="CF250" s="103"/>
      <c r="CG250" s="103"/>
      <c r="CH250" s="103"/>
      <c r="CI250" s="103"/>
      <c r="CJ250" s="103"/>
      <c r="CK250" s="103"/>
      <c r="CL250" s="103"/>
      <c r="CM250" s="103"/>
      <c r="CN250" s="103"/>
      <c r="CO250" s="103"/>
      <c r="CP250" s="103"/>
      <c r="CQ250" s="103"/>
      <c r="CR250" s="103"/>
      <c r="CS250" s="103"/>
      <c r="CT250" s="103"/>
      <c r="CU250" s="103"/>
      <c r="CV250" s="103"/>
      <c r="CW250" s="103"/>
      <c r="CX250" s="103"/>
      <c r="CY250" s="103"/>
      <c r="CZ250" s="103"/>
      <c r="DA250" s="103"/>
      <c r="DB250" s="103"/>
      <c r="DC250" s="103"/>
    </row>
    <row r="251" spans="1:107" hidden="1" outlineLevel="1" x14ac:dyDescent="0.25">
      <c r="A251" s="110" t="s">
        <v>678</v>
      </c>
      <c r="B251" s="128">
        <f>VLOOKUP(B6, 'Data Val'!$D$2:$E$6, 2, 0)</f>
        <v>1</v>
      </c>
      <c r="C251" s="128">
        <f>VLOOKUP(C6, 'Data Val'!$D$2:$E$6, 2, 0)</f>
        <v>1</v>
      </c>
      <c r="D251" s="128">
        <f>VLOOKUP(D6, 'Data Val'!$D$2:$E$6, 2, 0)</f>
        <v>1</v>
      </c>
      <c r="E251" s="128">
        <f>VLOOKUP(E6, 'Data Val'!$D$2:$E$6, 2, 0)</f>
        <v>1</v>
      </c>
      <c r="F251" s="128">
        <f>VLOOKUP(F6, 'Data Val'!$D$2:$E$6, 2, 0)</f>
        <v>1</v>
      </c>
      <c r="G251" s="128">
        <f>VLOOKUP(G6, 'Data Val'!$D$2:$E$6, 2, 0)</f>
        <v>1</v>
      </c>
      <c r="H251" s="128">
        <f>VLOOKUP(H6, 'Data Val'!$D$2:$E$6, 2, 0)</f>
        <v>1</v>
      </c>
      <c r="I251" s="128">
        <f>VLOOKUP(I6, 'Data Val'!$D$2:$E$6, 2, 0)</f>
        <v>1</v>
      </c>
      <c r="J251" s="128">
        <f>VLOOKUP(J6, 'Data Val'!$D$2:$E$6, 2, 0)</f>
        <v>1</v>
      </c>
      <c r="K251" s="128">
        <f>VLOOKUP(K6, 'Data Val'!$D$2:$E$6, 2, 0)</f>
        <v>1</v>
      </c>
      <c r="L251" s="128">
        <f>VLOOKUP(L6, 'Data Val'!$D$2:$E$6, 2, 0)</f>
        <v>1</v>
      </c>
      <c r="M251" s="128">
        <f>VLOOKUP(M6, 'Data Val'!$D$2:$E$6, 2, 0)</f>
        <v>1</v>
      </c>
      <c r="N251" s="128">
        <f>VLOOKUP(N6, 'Data Val'!$D$2:$E$6, 2, 0)</f>
        <v>1</v>
      </c>
      <c r="O251" s="128">
        <f>VLOOKUP(O6, 'Data Val'!$D$2:$E$6, 2, 0)</f>
        <v>1</v>
      </c>
      <c r="P251" s="128">
        <f>VLOOKUP(P6, 'Data Val'!$D$2:$E$6, 2, 0)</f>
        <v>1</v>
      </c>
      <c r="Q251" s="128">
        <f>VLOOKUP(Q6, 'Data Val'!$D$2:$E$6, 2, 0)</f>
        <v>1</v>
      </c>
      <c r="R251" s="128">
        <f>VLOOKUP(R6, 'Data Val'!$D$2:$E$6, 2, 0)</f>
        <v>1</v>
      </c>
      <c r="S251" s="128">
        <f>VLOOKUP(S6, 'Data Val'!$D$2:$E$6, 2, 0)</f>
        <v>1</v>
      </c>
      <c r="T251" s="128">
        <f>VLOOKUP(T6, 'Data Val'!$D$2:$E$6, 2, 0)</f>
        <v>1</v>
      </c>
      <c r="U251" s="128">
        <f>VLOOKUP(U6, 'Data Val'!$D$2:$E$6, 2, 0)</f>
        <v>1</v>
      </c>
      <c r="V251" s="128">
        <f>VLOOKUP(V6, 'Data Val'!$D$2:$E$6, 2, 0)</f>
        <v>1</v>
      </c>
      <c r="W251" s="128">
        <f>VLOOKUP(W6, 'Data Val'!$D$2:$E$6, 2, 0)</f>
        <v>1</v>
      </c>
      <c r="X251" s="128">
        <f>VLOOKUP(X6, 'Data Val'!$D$2:$E$6, 2, 0)</f>
        <v>1</v>
      </c>
      <c r="Y251" s="128">
        <f>VLOOKUP(Y6, 'Data Val'!$D$2:$E$6, 2, 0)</f>
        <v>1</v>
      </c>
      <c r="Z251" s="128">
        <f>VLOOKUP(Z6, 'Data Val'!$D$2:$E$6, 2, 0)</f>
        <v>1</v>
      </c>
      <c r="AA251" s="128">
        <f>VLOOKUP(AA6, 'Data Val'!$D$2:$E$6, 2, 0)</f>
        <v>1</v>
      </c>
      <c r="AB251" s="128">
        <f>VLOOKUP(AB6, 'Data Val'!$D$2:$E$6, 2, 0)</f>
        <v>1</v>
      </c>
      <c r="AC251" s="128">
        <f>VLOOKUP(AC6, 'Data Val'!$D$2:$E$6, 2, 0)</f>
        <v>1</v>
      </c>
      <c r="AD251" s="128">
        <f>VLOOKUP(AD6, 'Data Val'!$D$2:$E$6, 2, 0)</f>
        <v>1</v>
      </c>
      <c r="AE251" s="128">
        <f>VLOOKUP(AE6, 'Data Val'!$D$2:$E$6, 2, 0)</f>
        <v>1</v>
      </c>
      <c r="AF251" s="128">
        <f>VLOOKUP(AF6, 'Data Val'!$D$2:$E$6, 2, 0)</f>
        <v>1</v>
      </c>
      <c r="AG251" s="128">
        <f>VLOOKUP(AG6, 'Data Val'!$D$2:$E$6, 2, 0)</f>
        <v>1</v>
      </c>
      <c r="AH251" s="128">
        <f>VLOOKUP(AH6, 'Data Val'!$D$2:$E$6, 2, 0)</f>
        <v>1</v>
      </c>
      <c r="AI251" s="128">
        <f>VLOOKUP(AI6, 'Data Val'!$D$2:$E$6, 2, 0)</f>
        <v>1</v>
      </c>
      <c r="AJ251" s="128">
        <f>VLOOKUP(AJ6, 'Data Val'!$D$2:$E$6, 2, 0)</f>
        <v>1</v>
      </c>
      <c r="AK251" s="128">
        <f>VLOOKUP(AK6, 'Data Val'!$D$2:$E$6, 2, 0)</f>
        <v>1</v>
      </c>
      <c r="AL251" s="128">
        <f>VLOOKUP(AL6, 'Data Val'!$D$2:$E$6, 2, 0)</f>
        <v>1</v>
      </c>
      <c r="AM251" s="128">
        <f>VLOOKUP(AM6, 'Data Val'!$D$2:$E$6, 2, 0)</f>
        <v>1</v>
      </c>
      <c r="AN251" s="128">
        <f>VLOOKUP(AN6, 'Data Val'!$D$2:$E$6, 2, 0)</f>
        <v>1</v>
      </c>
      <c r="AO251" s="128">
        <f>VLOOKUP(AO6, 'Data Val'!$D$2:$E$6, 2, 0)</f>
        <v>1</v>
      </c>
      <c r="AP251" s="128">
        <f>VLOOKUP(AP6, 'Data Val'!$D$2:$E$6, 2, 0)</f>
        <v>1</v>
      </c>
      <c r="AQ251" s="128">
        <f>VLOOKUP(AQ6, 'Data Val'!$D$2:$E$6, 2, 0)</f>
        <v>1</v>
      </c>
      <c r="AR251" s="128">
        <f>VLOOKUP(AR6, 'Data Val'!$D$2:$E$6, 2, 0)</f>
        <v>1</v>
      </c>
      <c r="AS251" s="128">
        <f>VLOOKUP(AS6, 'Data Val'!$D$2:$E$6, 2, 0)</f>
        <v>1</v>
      </c>
      <c r="AT251" s="128">
        <f>VLOOKUP(AT6, 'Data Val'!$D$2:$E$6, 2, 0)</f>
        <v>1</v>
      </c>
      <c r="AU251" s="128">
        <f>VLOOKUP(AU6, 'Data Val'!$D$2:$E$6, 2, 0)</f>
        <v>1</v>
      </c>
      <c r="AV251" s="128">
        <f>VLOOKUP(AV6, 'Data Val'!$D$2:$E$6, 2, 0)</f>
        <v>1</v>
      </c>
      <c r="AW251" s="128">
        <f>VLOOKUP(AW6, 'Data Val'!$D$2:$E$6, 2, 0)</f>
        <v>1</v>
      </c>
      <c r="AX251" s="128">
        <f>VLOOKUP(AX6, 'Data Val'!$D$2:$E$6, 2, 0)</f>
        <v>1</v>
      </c>
      <c r="AY251" s="128">
        <f>VLOOKUP(AY6, 'Data Val'!$D$2:$E$6, 2, 0)</f>
        <v>1</v>
      </c>
      <c r="AZ251" s="128">
        <f>VLOOKUP(AZ6, 'Data Val'!$D$2:$E$6, 2, 0)</f>
        <v>1</v>
      </c>
      <c r="BA251" s="128" t="e">
        <f>VLOOKUP(BA6, 'Data Val'!$D$2:$E$6, 2, 0)</f>
        <v>#N/A</v>
      </c>
      <c r="BB251" s="128" t="e">
        <f>VLOOKUP(BB6, 'Data Val'!$D$2:$E$6, 2, 0)</f>
        <v>#N/A</v>
      </c>
      <c r="BC251" s="128" t="e">
        <f>VLOOKUP(BC6, 'Data Val'!$D$2:$E$6, 2, 0)</f>
        <v>#N/A</v>
      </c>
      <c r="BD251" s="128" t="e">
        <f>VLOOKUP(BD6, 'Data Val'!$D$2:$E$6, 2, 0)</f>
        <v>#N/A</v>
      </c>
      <c r="BE251" s="128" t="e">
        <f>VLOOKUP(BE6, 'Data Val'!$D$2:$E$6, 2, 0)</f>
        <v>#N/A</v>
      </c>
      <c r="BF251" s="128" t="e">
        <f>VLOOKUP(BF6, 'Data Val'!$D$2:$E$6, 2, 0)</f>
        <v>#N/A</v>
      </c>
      <c r="BG251" s="128" t="e">
        <f>VLOOKUP(BG6, 'Data Val'!$D$2:$E$6, 2, 0)</f>
        <v>#N/A</v>
      </c>
      <c r="BH251" s="128" t="e">
        <f>VLOOKUP(BH6, 'Data Val'!$D$2:$E$6, 2, 0)</f>
        <v>#N/A</v>
      </c>
      <c r="BI251" s="128"/>
      <c r="BJ251" s="128"/>
      <c r="BK251" s="128"/>
      <c r="BL251" s="128"/>
      <c r="BM251" s="128"/>
      <c r="BN251" s="128"/>
      <c r="BO251" s="128"/>
      <c r="BP251" s="128"/>
      <c r="BQ251" s="128"/>
      <c r="BR251" s="128"/>
      <c r="BS251" s="128"/>
      <c r="BT251" s="128"/>
      <c r="BU251" s="128"/>
      <c r="BV251" s="128"/>
      <c r="BW251" s="128"/>
      <c r="BX251" s="128"/>
      <c r="BY251" s="128"/>
      <c r="BZ251" s="128"/>
      <c r="CA251" s="128"/>
      <c r="CB251" s="128"/>
      <c r="CC251" s="128"/>
      <c r="CD251" s="128"/>
      <c r="CE251" s="128"/>
      <c r="CF251" s="128"/>
      <c r="CG251" s="128"/>
      <c r="CH251" s="128"/>
      <c r="CI251" s="128"/>
      <c r="CJ251" s="128"/>
      <c r="CK251" s="128"/>
      <c r="CL251" s="128"/>
      <c r="CM251" s="128"/>
      <c r="CN251" s="128"/>
      <c r="CO251" s="128"/>
      <c r="CP251" s="128"/>
      <c r="CQ251" s="128"/>
      <c r="CR251" s="128"/>
      <c r="CS251" s="128"/>
      <c r="CT251" s="128"/>
      <c r="CU251" s="128"/>
      <c r="CV251" s="128"/>
      <c r="CW251" s="128"/>
      <c r="CX251" s="128"/>
      <c r="CY251" s="128"/>
      <c r="CZ251" s="128"/>
      <c r="DA251" s="128"/>
      <c r="DB251" s="128"/>
      <c r="DC251" s="128"/>
    </row>
    <row r="252" spans="1:107" hidden="1" outlineLevel="1" x14ac:dyDescent="0.25">
      <c r="A252" s="110" t="s">
        <v>773</v>
      </c>
      <c r="B252" s="128">
        <f t="shared" ref="B252:G252" si="1313">IF(B251=1, 1, B251*(1+(2.78*B147)/(1400+B147)+B279))</f>
        <v>1</v>
      </c>
      <c r="C252" s="128">
        <f t="shared" si="1313"/>
        <v>1</v>
      </c>
      <c r="D252" s="128">
        <f t="shared" si="1313"/>
        <v>1</v>
      </c>
      <c r="E252" s="128">
        <f t="shared" ref="E252" si="1314">IF(E251=1, 1, E251*(1+(2.78*E147)/(1400+E147)+E279))</f>
        <v>1</v>
      </c>
      <c r="F252" s="128">
        <f t="shared" si="1313"/>
        <v>1</v>
      </c>
      <c r="G252" s="128">
        <f t="shared" si="1313"/>
        <v>1</v>
      </c>
      <c r="H252" s="128">
        <f>IF(H251=1, 1, H251*(1+(2.78*H147)/(1400+H147)+H279))</f>
        <v>1</v>
      </c>
      <c r="I252" s="128">
        <f t="shared" ref="I252:K252" si="1315">IF(I251=1, 1, I251*(1+(2.78*I147)/(1400+I147)+I279))</f>
        <v>1</v>
      </c>
      <c r="J252" s="128">
        <f t="shared" si="1315"/>
        <v>1</v>
      </c>
      <c r="K252" s="128">
        <f t="shared" si="1315"/>
        <v>1</v>
      </c>
      <c r="L252" s="128">
        <f t="shared" ref="L252" si="1316">IF(L251=1, 1, L251*(1+(2.78*L147)/(1400+L147)+L279))</f>
        <v>1</v>
      </c>
      <c r="M252" s="128">
        <f t="shared" ref="M252" si="1317">IF(M251=1, 1, M251*(1+(2.78*M147)/(1400+M147)+M279))</f>
        <v>1</v>
      </c>
      <c r="N252" s="128">
        <f>IF(N251=1, 1, N251*(1+(2.78*N147)/(1400+N147)+N279))</f>
        <v>1</v>
      </c>
      <c r="O252" s="128">
        <f>IF(O251=1, 1, O251*(1+(2.78*O147)/(1400+O147)+O279))</f>
        <v>1</v>
      </c>
      <c r="P252" s="128">
        <f>IF(P251=1, 1, P251*(1+(2.78*P147)/(1400+P147)+P279))</f>
        <v>1</v>
      </c>
      <c r="Q252" s="128">
        <f>IF(Q251=1, 1, Q251*(1+(2.78*Q147)/(1400+Q147)+Q279))</f>
        <v>1</v>
      </c>
      <c r="R252" s="128">
        <f t="shared" ref="R252:AZ252" si="1318">IF(R251=1, 1, R251*(1+(2.78*R147)/(1400+R147)+R279))</f>
        <v>1</v>
      </c>
      <c r="S252" s="128">
        <f t="shared" si="1318"/>
        <v>1</v>
      </c>
      <c r="T252" s="128">
        <f t="shared" si="1318"/>
        <v>1</v>
      </c>
      <c r="U252" s="128">
        <f t="shared" si="1318"/>
        <v>1</v>
      </c>
      <c r="V252" s="128">
        <f t="shared" ref="V252:W252" si="1319">IF(V251=1, 1, V251*(1+(2.78*V147)/(1400+V147)+V279))</f>
        <v>1</v>
      </c>
      <c r="W252" s="128">
        <f t="shared" si="1319"/>
        <v>1</v>
      </c>
      <c r="X252" s="128">
        <f t="shared" ref="X252:Y252" si="1320">IF(X251=1, 1, X251*(1+(2.78*X147)/(1400+X147)+X279))</f>
        <v>1</v>
      </c>
      <c r="Y252" s="128">
        <f t="shared" si="1320"/>
        <v>1</v>
      </c>
      <c r="Z252" s="128">
        <f t="shared" ref="Z252:AA252" si="1321">IF(Z251=1, 1, Z251*(1+(2.78*Z147)/(1400+Z147)+Z279))</f>
        <v>1</v>
      </c>
      <c r="AA252" s="128">
        <f t="shared" si="1321"/>
        <v>1</v>
      </c>
      <c r="AB252" s="128">
        <f t="shared" si="1318"/>
        <v>1</v>
      </c>
      <c r="AC252" s="128">
        <f t="shared" si="1318"/>
        <v>1</v>
      </c>
      <c r="AD252" s="128">
        <f t="shared" si="1318"/>
        <v>1</v>
      </c>
      <c r="AE252" s="128">
        <f t="shared" si="1318"/>
        <v>1</v>
      </c>
      <c r="AF252" s="128">
        <f t="shared" si="1318"/>
        <v>1</v>
      </c>
      <c r="AG252" s="128">
        <f t="shared" ref="AG252:AI252" si="1322">IF(AG251=1, 1, AG251*(1+(2.78*AG147)/(1400+AG147)+AG279))</f>
        <v>1</v>
      </c>
      <c r="AH252" s="128">
        <f t="shared" si="1322"/>
        <v>1</v>
      </c>
      <c r="AI252" s="128">
        <f t="shared" si="1322"/>
        <v>1</v>
      </c>
      <c r="AJ252" s="128">
        <f t="shared" si="1318"/>
        <v>1</v>
      </c>
      <c r="AK252" s="128">
        <f t="shared" si="1318"/>
        <v>1</v>
      </c>
      <c r="AL252" s="128">
        <f t="shared" si="1318"/>
        <v>1</v>
      </c>
      <c r="AM252" s="128">
        <f t="shared" si="1318"/>
        <v>1</v>
      </c>
      <c r="AN252" s="128">
        <f t="shared" si="1318"/>
        <v>1</v>
      </c>
      <c r="AO252" s="128">
        <f t="shared" si="1318"/>
        <v>1</v>
      </c>
      <c r="AP252" s="128">
        <f t="shared" si="1318"/>
        <v>1</v>
      </c>
      <c r="AQ252" s="128">
        <f t="shared" si="1318"/>
        <v>1</v>
      </c>
      <c r="AR252" s="128">
        <f t="shared" si="1318"/>
        <v>1</v>
      </c>
      <c r="AS252" s="128">
        <f t="shared" si="1318"/>
        <v>1</v>
      </c>
      <c r="AT252" s="128">
        <f t="shared" si="1318"/>
        <v>1</v>
      </c>
      <c r="AU252" s="128">
        <f t="shared" si="1318"/>
        <v>1</v>
      </c>
      <c r="AV252" s="128">
        <f t="shared" si="1318"/>
        <v>1</v>
      </c>
      <c r="AW252" s="128">
        <f t="shared" si="1318"/>
        <v>1</v>
      </c>
      <c r="AX252" s="128">
        <f t="shared" si="1318"/>
        <v>1</v>
      </c>
      <c r="AY252" s="128">
        <f t="shared" si="1318"/>
        <v>1</v>
      </c>
      <c r="AZ252" s="128">
        <f t="shared" si="1318"/>
        <v>1</v>
      </c>
      <c r="BA252" s="128" t="e">
        <f t="shared" ref="BA252:BC252" si="1323">IF(BA251=1, 1, BA251*(1+(2.78*BA147)/(1400+BA147)+BA279))</f>
        <v>#N/A</v>
      </c>
      <c r="BB252" s="128" t="e">
        <f t="shared" ref="BB252" si="1324">IF(BB251=1, 1, BB251*(1+(2.78*BB147)/(1400+BB147)+BB279))</f>
        <v>#N/A</v>
      </c>
      <c r="BC252" s="128" t="e">
        <f t="shared" si="1323"/>
        <v>#N/A</v>
      </c>
      <c r="BD252" s="128" t="e">
        <f t="shared" ref="BD252:BE252" si="1325">IF(BD251=1, 1, BD251*(1+(2.78*BD147)/(1400+BD147)+BD279))</f>
        <v>#N/A</v>
      </c>
      <c r="BE252" s="128" t="e">
        <f t="shared" si="1325"/>
        <v>#N/A</v>
      </c>
      <c r="BF252" s="128" t="e">
        <f t="shared" ref="BF252:BG252" si="1326">IF(BF251=1, 1, BF251*(1+(2.78*BF147)/(1400+BF147)+BF279))</f>
        <v>#N/A</v>
      </c>
      <c r="BG252" s="128" t="e">
        <f t="shared" si="1326"/>
        <v>#N/A</v>
      </c>
      <c r="BH252" s="128" t="e">
        <f t="shared" ref="BH252" si="1327">IF(BH251=1, 1, BH251*(1+(2.78*BH147)/(1400+BH147)+BH279))</f>
        <v>#N/A</v>
      </c>
      <c r="BI252" s="128"/>
      <c r="BJ252" s="128"/>
      <c r="BK252" s="128"/>
      <c r="BL252" s="128"/>
      <c r="BM252" s="128"/>
      <c r="BN252" s="128"/>
      <c r="BO252" s="128"/>
      <c r="BP252" s="128"/>
      <c r="BQ252" s="128"/>
      <c r="BR252" s="128"/>
      <c r="BS252" s="128"/>
      <c r="BT252" s="128"/>
      <c r="BU252" s="128"/>
      <c r="BV252" s="128"/>
      <c r="BW252" s="128"/>
      <c r="BX252" s="128"/>
      <c r="BY252" s="128"/>
      <c r="BZ252" s="128"/>
      <c r="CA252" s="128"/>
      <c r="CB252" s="128"/>
      <c r="CC252" s="128"/>
      <c r="CD252" s="128"/>
      <c r="CE252" s="128"/>
      <c r="CF252" s="128"/>
      <c r="CG252" s="128"/>
      <c r="CH252" s="128"/>
      <c r="CI252" s="128"/>
      <c r="CJ252" s="128"/>
      <c r="CK252" s="128"/>
      <c r="CL252" s="128"/>
      <c r="CM252" s="128"/>
      <c r="CN252" s="128"/>
      <c r="CO252" s="128"/>
      <c r="CP252" s="128"/>
      <c r="CQ252" s="128"/>
      <c r="CR252" s="128"/>
      <c r="CS252" s="128"/>
      <c r="CT252" s="128"/>
      <c r="CU252" s="128"/>
      <c r="CV252" s="128"/>
      <c r="CW252" s="128"/>
      <c r="CX252" s="128"/>
      <c r="CY252" s="128"/>
      <c r="CZ252" s="128"/>
      <c r="DA252" s="128"/>
      <c r="DB252" s="128"/>
      <c r="DC252" s="128"/>
    </row>
    <row r="253" spans="1:107" hidden="1" outlineLevel="1" x14ac:dyDescent="0.25">
      <c r="A253" s="110" t="s">
        <v>688</v>
      </c>
      <c r="B253" s="103">
        <f t="shared" ref="B253:G253" si="1328">B16</f>
        <v>0</v>
      </c>
      <c r="C253" s="103">
        <f t="shared" si="1328"/>
        <v>0</v>
      </c>
      <c r="D253" s="103">
        <f t="shared" si="1328"/>
        <v>0</v>
      </c>
      <c r="E253" s="103">
        <f t="shared" ref="E253" si="1329">E16</f>
        <v>0</v>
      </c>
      <c r="F253" s="103">
        <f t="shared" si="1328"/>
        <v>0</v>
      </c>
      <c r="G253" s="103">
        <f t="shared" si="1328"/>
        <v>0</v>
      </c>
      <c r="H253" s="103">
        <f>H16</f>
        <v>0</v>
      </c>
      <c r="I253" s="103">
        <f t="shared" ref="I253:K253" si="1330">I16</f>
        <v>0</v>
      </c>
      <c r="J253" s="103">
        <f t="shared" si="1330"/>
        <v>0</v>
      </c>
      <c r="K253" s="103">
        <f t="shared" si="1330"/>
        <v>0</v>
      </c>
      <c r="L253" s="103">
        <f t="shared" ref="L253" si="1331">L16</f>
        <v>0</v>
      </c>
      <c r="M253" s="103">
        <f t="shared" ref="M253" si="1332">M16</f>
        <v>0</v>
      </c>
      <c r="N253" s="103">
        <f>N16</f>
        <v>0</v>
      </c>
      <c r="O253" s="103">
        <f>O16</f>
        <v>0</v>
      </c>
      <c r="P253" s="103">
        <f>P16</f>
        <v>0</v>
      </c>
      <c r="Q253" s="103">
        <f>Q16</f>
        <v>0</v>
      </c>
      <c r="R253" s="103">
        <f t="shared" ref="R253:AZ253" si="1333">R16</f>
        <v>0</v>
      </c>
      <c r="S253" s="103">
        <f t="shared" si="1333"/>
        <v>0</v>
      </c>
      <c r="T253" s="103">
        <f t="shared" si="1333"/>
        <v>0</v>
      </c>
      <c r="U253" s="103">
        <f t="shared" si="1333"/>
        <v>0</v>
      </c>
      <c r="V253" s="103">
        <f t="shared" ref="V253:W253" si="1334">V16</f>
        <v>0</v>
      </c>
      <c r="W253" s="103">
        <f t="shared" si="1334"/>
        <v>0</v>
      </c>
      <c r="X253" s="103">
        <f t="shared" ref="X253:Y253" si="1335">X16</f>
        <v>0</v>
      </c>
      <c r="Y253" s="103">
        <f t="shared" si="1335"/>
        <v>0</v>
      </c>
      <c r="Z253" s="103">
        <f t="shared" ref="Z253:AA253" si="1336">Z16</f>
        <v>0</v>
      </c>
      <c r="AA253" s="103">
        <f t="shared" si="1336"/>
        <v>0</v>
      </c>
      <c r="AB253" s="103">
        <f t="shared" si="1333"/>
        <v>0</v>
      </c>
      <c r="AC253" s="103">
        <f t="shared" si="1333"/>
        <v>0</v>
      </c>
      <c r="AD253" s="103">
        <f t="shared" si="1333"/>
        <v>0</v>
      </c>
      <c r="AE253" s="103">
        <f t="shared" si="1333"/>
        <v>0</v>
      </c>
      <c r="AF253" s="103">
        <f t="shared" si="1333"/>
        <v>0</v>
      </c>
      <c r="AG253" s="103">
        <f t="shared" ref="AG253:AI253" si="1337">AG16</f>
        <v>0</v>
      </c>
      <c r="AH253" s="103">
        <f t="shared" si="1337"/>
        <v>0</v>
      </c>
      <c r="AI253" s="103">
        <f t="shared" si="1337"/>
        <v>0</v>
      </c>
      <c r="AJ253" s="103" t="b">
        <f t="shared" si="1333"/>
        <v>0</v>
      </c>
      <c r="AK253" s="103" t="b">
        <f t="shared" si="1333"/>
        <v>0</v>
      </c>
      <c r="AL253" s="103" t="b">
        <f t="shared" si="1333"/>
        <v>0</v>
      </c>
      <c r="AM253" s="103" t="b">
        <f t="shared" si="1333"/>
        <v>0</v>
      </c>
      <c r="AN253" s="103" t="b">
        <f t="shared" si="1333"/>
        <v>0</v>
      </c>
      <c r="AO253" s="103" t="b">
        <f t="shared" si="1333"/>
        <v>0</v>
      </c>
      <c r="AP253" s="103" t="b">
        <f t="shared" si="1333"/>
        <v>0</v>
      </c>
      <c r="AQ253" s="103" t="b">
        <f t="shared" si="1333"/>
        <v>0</v>
      </c>
      <c r="AR253" s="103" t="b">
        <f t="shared" si="1333"/>
        <v>0</v>
      </c>
      <c r="AS253" s="103" t="b">
        <f t="shared" si="1333"/>
        <v>0</v>
      </c>
      <c r="AT253" s="103" t="b">
        <f t="shared" si="1333"/>
        <v>0</v>
      </c>
      <c r="AU253" s="103" t="b">
        <f t="shared" si="1333"/>
        <v>0</v>
      </c>
      <c r="AV253" s="103" t="b">
        <f t="shared" si="1333"/>
        <v>0</v>
      </c>
      <c r="AW253" s="103" t="b">
        <f t="shared" si="1333"/>
        <v>0</v>
      </c>
      <c r="AX253" s="103" t="b">
        <f t="shared" si="1333"/>
        <v>0</v>
      </c>
      <c r="AY253" s="103" t="b">
        <f t="shared" si="1333"/>
        <v>0</v>
      </c>
      <c r="AZ253" s="103" t="b">
        <f t="shared" si="1333"/>
        <v>0</v>
      </c>
      <c r="BA253" s="103" t="b">
        <f t="shared" ref="BA253:BC253" si="1338">BA16</f>
        <v>0</v>
      </c>
      <c r="BB253" s="103" t="b">
        <f t="shared" ref="BB253" si="1339">BB16</f>
        <v>0</v>
      </c>
      <c r="BC253" s="103" t="b">
        <f t="shared" si="1338"/>
        <v>0</v>
      </c>
      <c r="BD253" s="103" t="b">
        <f t="shared" ref="BD253:BE253" si="1340">BD16</f>
        <v>0</v>
      </c>
      <c r="BE253" s="103" t="b">
        <f t="shared" si="1340"/>
        <v>0</v>
      </c>
      <c r="BF253" s="103" t="b">
        <f t="shared" ref="BF253:BG253" si="1341">BF16</f>
        <v>0</v>
      </c>
      <c r="BG253" s="103" t="b">
        <f t="shared" si="1341"/>
        <v>0</v>
      </c>
      <c r="BH253" s="103" t="b">
        <f t="shared" ref="BH253" si="1342">BH16</f>
        <v>0</v>
      </c>
      <c r="BI253" s="103"/>
      <c r="BJ253" s="103"/>
      <c r="BK253" s="103"/>
      <c r="BL253" s="103"/>
      <c r="BM253" s="103"/>
      <c r="BN253" s="103"/>
      <c r="BO253" s="103"/>
      <c r="BP253" s="103"/>
      <c r="BQ253" s="103"/>
      <c r="BR253" s="103"/>
      <c r="BS253" s="103"/>
      <c r="BT253" s="103"/>
      <c r="BU253" s="103"/>
      <c r="BV253" s="103"/>
      <c r="BW253" s="103"/>
      <c r="BX253" s="103"/>
      <c r="BY253" s="103"/>
      <c r="BZ253" s="103"/>
      <c r="CA253" s="103"/>
      <c r="CB253" s="103"/>
      <c r="CC253" s="103"/>
      <c r="CD253" s="103"/>
      <c r="CE253" s="103"/>
      <c r="CF253" s="103"/>
      <c r="CG253" s="103"/>
      <c r="CH253" s="103"/>
      <c r="CI253" s="103"/>
      <c r="CJ253" s="103"/>
      <c r="CK253" s="103"/>
      <c r="CL253" s="103"/>
      <c r="CM253" s="103"/>
      <c r="CN253" s="103"/>
      <c r="CO253" s="103"/>
      <c r="CP253" s="103"/>
      <c r="CQ253" s="103"/>
      <c r="CR253" s="103"/>
      <c r="CS253" s="103"/>
      <c r="CT253" s="103"/>
      <c r="CU253" s="103"/>
      <c r="CV253" s="103"/>
      <c r="CW253" s="103"/>
      <c r="CX253" s="103"/>
      <c r="CY253" s="103"/>
      <c r="CZ253" s="103"/>
      <c r="DA253" s="103"/>
      <c r="DB253" s="103"/>
      <c r="DC253" s="103"/>
    </row>
    <row r="254" spans="1:107" hidden="1" outlineLevel="1" x14ac:dyDescent="0.25">
      <c r="A254" s="110" t="s">
        <v>775</v>
      </c>
      <c r="B254" s="128">
        <f t="shared" ref="B254:G254" ca="1" si="1343">B246*(1+B247)*B248*B249*B250*B252*B253*B25</f>
        <v>0</v>
      </c>
      <c r="C254" s="128">
        <f t="shared" ca="1" si="1343"/>
        <v>0</v>
      </c>
      <c r="D254" s="128">
        <f t="shared" ca="1" si="1343"/>
        <v>0</v>
      </c>
      <c r="E254" s="128">
        <f t="shared" ref="E254" ca="1" si="1344">E246*(1+E247)*E248*E249*E250*E252*E253*E25</f>
        <v>0</v>
      </c>
      <c r="F254" s="128">
        <f t="shared" ca="1" si="1343"/>
        <v>0</v>
      </c>
      <c r="G254" s="128">
        <f t="shared" ca="1" si="1343"/>
        <v>0</v>
      </c>
      <c r="H254" s="128">
        <f ca="1">H246*(1+H247)*H248*H249*H250*H252*H253*H25</f>
        <v>0</v>
      </c>
      <c r="I254" s="128">
        <f t="shared" ref="I254:K254" ca="1" si="1345">I246*(1+I247)*I248*I249*I250*I252*I253*I25</f>
        <v>0</v>
      </c>
      <c r="J254" s="128">
        <f t="shared" ca="1" si="1345"/>
        <v>0</v>
      </c>
      <c r="K254" s="128">
        <f t="shared" ca="1" si="1345"/>
        <v>0</v>
      </c>
      <c r="L254" s="128">
        <f t="shared" ref="L254" ca="1" si="1346">L246*(1+L247)*L248*L249*L250*L252*L253*L25</f>
        <v>0</v>
      </c>
      <c r="M254" s="128">
        <f t="shared" ref="M254" ca="1" si="1347">M246*(1+M247)*M248*M249*M250*M252*M253*M25</f>
        <v>0</v>
      </c>
      <c r="N254" s="128">
        <f ca="1">N246*(1+N247)*N248*N249*N250*N252*N253*N25</f>
        <v>0</v>
      </c>
      <c r="O254" s="128">
        <f ca="1">O246*(1+O247)*O248*O249*O250*O252*O253*O25</f>
        <v>0</v>
      </c>
      <c r="P254" s="128">
        <f ca="1">P246*(1+P247)*P248*P249*P250*P252*P253*P25</f>
        <v>0</v>
      </c>
      <c r="Q254" s="128">
        <f ca="1">Q246*(1+Q247)*Q248*Q249*Q250*Q252*Q253*Q25</f>
        <v>0</v>
      </c>
      <c r="R254" s="128">
        <f t="shared" ref="R254:AZ254" ca="1" si="1348">R246*(1+R247)*R248*R249*R250*R252*R253*R25</f>
        <v>0</v>
      </c>
      <c r="S254" s="128">
        <f t="shared" ca="1" si="1348"/>
        <v>0</v>
      </c>
      <c r="T254" s="128">
        <f t="shared" ca="1" si="1348"/>
        <v>0</v>
      </c>
      <c r="U254" s="128">
        <f t="shared" ca="1" si="1348"/>
        <v>0</v>
      </c>
      <c r="V254" s="128">
        <f t="shared" ref="V254:W254" ca="1" si="1349">V246*(1+V247)*V248*V249*V250*V252*V253*V25</f>
        <v>0</v>
      </c>
      <c r="W254" s="128">
        <f t="shared" ca="1" si="1349"/>
        <v>0</v>
      </c>
      <c r="X254" s="128">
        <f t="shared" ref="X254:Y254" ca="1" si="1350">X246*(1+X247)*X248*X249*X250*X252*X253*X25</f>
        <v>0</v>
      </c>
      <c r="Y254" s="128">
        <f t="shared" ca="1" si="1350"/>
        <v>0</v>
      </c>
      <c r="Z254" s="128">
        <f t="shared" ref="Z254:AA254" ca="1" si="1351">Z246*(1+Z247)*Z248*Z249*Z250*Z252*Z253*Z25</f>
        <v>0</v>
      </c>
      <c r="AA254" s="128">
        <f t="shared" ca="1" si="1351"/>
        <v>0</v>
      </c>
      <c r="AB254" s="128">
        <f t="shared" ca="1" si="1348"/>
        <v>0</v>
      </c>
      <c r="AC254" s="128">
        <f t="shared" ca="1" si="1348"/>
        <v>0</v>
      </c>
      <c r="AD254" s="128">
        <f t="shared" ca="1" si="1348"/>
        <v>0</v>
      </c>
      <c r="AE254" s="128">
        <f t="shared" ca="1" si="1348"/>
        <v>0</v>
      </c>
      <c r="AF254" s="128">
        <f t="shared" ca="1" si="1348"/>
        <v>0</v>
      </c>
      <c r="AG254" s="128">
        <f t="shared" ref="AG254:AI254" ca="1" si="1352">AG246*(1+AG247)*AG248*AG249*AG250*AG252*AG253*AG25</f>
        <v>0</v>
      </c>
      <c r="AH254" s="128">
        <f t="shared" ca="1" si="1352"/>
        <v>0</v>
      </c>
      <c r="AI254" s="128">
        <f t="shared" ca="1" si="1352"/>
        <v>0</v>
      </c>
      <c r="AJ254" s="128" t="e">
        <f t="shared" si="1348"/>
        <v>#N/A</v>
      </c>
      <c r="AK254" s="128" t="e">
        <f t="shared" si="1348"/>
        <v>#N/A</v>
      </c>
      <c r="AL254" s="128" t="e">
        <f t="shared" si="1348"/>
        <v>#N/A</v>
      </c>
      <c r="AM254" s="128" t="e">
        <f t="shared" si="1348"/>
        <v>#N/A</v>
      </c>
      <c r="AN254" s="128" t="e">
        <f t="shared" si="1348"/>
        <v>#N/A</v>
      </c>
      <c r="AO254" s="128" t="e">
        <f t="shared" si="1348"/>
        <v>#N/A</v>
      </c>
      <c r="AP254" s="128" t="e">
        <f t="shared" si="1348"/>
        <v>#N/A</v>
      </c>
      <c r="AQ254" s="128" t="e">
        <f t="shared" si="1348"/>
        <v>#N/A</v>
      </c>
      <c r="AR254" s="128" t="e">
        <f t="shared" si="1348"/>
        <v>#N/A</v>
      </c>
      <c r="AS254" s="128" t="e">
        <f t="shared" si="1348"/>
        <v>#N/A</v>
      </c>
      <c r="AT254" s="128" t="e">
        <f t="shared" si="1348"/>
        <v>#N/A</v>
      </c>
      <c r="AU254" s="128" t="e">
        <f t="shared" si="1348"/>
        <v>#N/A</v>
      </c>
      <c r="AV254" s="128" t="e">
        <f t="shared" si="1348"/>
        <v>#N/A</v>
      </c>
      <c r="AW254" s="128" t="e">
        <f t="shared" si="1348"/>
        <v>#N/A</v>
      </c>
      <c r="AX254" s="128" t="e">
        <f t="shared" si="1348"/>
        <v>#N/A</v>
      </c>
      <c r="AY254" s="128" t="e">
        <f t="shared" si="1348"/>
        <v>#N/A</v>
      </c>
      <c r="AZ254" s="128" t="e">
        <f t="shared" si="1348"/>
        <v>#N/A</v>
      </c>
      <c r="BA254" s="128" t="e">
        <f t="shared" ref="BA254:BC254" si="1353">BA246*(1+BA247)*BA248*BA249*BA250*BA252*BA253*BA25</f>
        <v>#N/A</v>
      </c>
      <c r="BB254" s="128" t="e">
        <f t="shared" ref="BB254" si="1354">BB246*(1+BB247)*BB248*BB249*BB250*BB252*BB253*BB25</f>
        <v>#N/A</v>
      </c>
      <c r="BC254" s="128" t="e">
        <f t="shared" si="1353"/>
        <v>#N/A</v>
      </c>
      <c r="BD254" s="128" t="e">
        <f t="shared" ref="BD254:BE254" si="1355">BD246*(1+BD247)*BD248*BD249*BD250*BD252*BD253*BD25</f>
        <v>#N/A</v>
      </c>
      <c r="BE254" s="128" t="e">
        <f t="shared" si="1355"/>
        <v>#N/A</v>
      </c>
      <c r="BF254" s="128" t="e">
        <f t="shared" ref="BF254:BG254" si="1356">BF246*(1+BF247)*BF248*BF249*BF250*BF252*BF253*BF25</f>
        <v>#N/A</v>
      </c>
      <c r="BG254" s="128" t="e">
        <f t="shared" si="1356"/>
        <v>#N/A</v>
      </c>
      <c r="BH254" s="128" t="e">
        <f t="shared" ref="BH254" si="1357">BH246*(1+BH247)*BH248*BH249*BH250*BH252*BH253*BH25</f>
        <v>#N/A</v>
      </c>
      <c r="BI254" s="128"/>
      <c r="BJ254" s="128"/>
      <c r="BK254" s="128"/>
      <c r="BL254" s="128"/>
      <c r="BM254" s="128"/>
      <c r="BN254" s="128"/>
      <c r="BO254" s="128"/>
      <c r="BP254" s="128"/>
      <c r="BQ254" s="128"/>
      <c r="BR254" s="128"/>
      <c r="BS254" s="128"/>
      <c r="BT254" s="128"/>
      <c r="BU254" s="128"/>
      <c r="BV254" s="128"/>
      <c r="BW254" s="128"/>
      <c r="BX254" s="128"/>
      <c r="BY254" s="128"/>
      <c r="BZ254" s="128"/>
      <c r="CA254" s="128"/>
      <c r="CB254" s="128"/>
      <c r="CC254" s="128"/>
      <c r="CD254" s="128"/>
      <c r="CE254" s="128"/>
      <c r="CF254" s="128"/>
      <c r="CG254" s="128"/>
      <c r="CH254" s="128"/>
      <c r="CI254" s="128"/>
      <c r="CJ254" s="128"/>
      <c r="CK254" s="128"/>
      <c r="CL254" s="128"/>
      <c r="CM254" s="128"/>
      <c r="CN254" s="128"/>
      <c r="CO254" s="128"/>
      <c r="CP254" s="128"/>
      <c r="CQ254" s="128"/>
      <c r="CR254" s="128"/>
      <c r="CS254" s="128"/>
      <c r="CT254" s="128"/>
      <c r="CU254" s="128"/>
      <c r="CV254" s="128"/>
      <c r="CW254" s="128"/>
      <c r="CX254" s="128"/>
      <c r="CY254" s="128"/>
      <c r="CZ254" s="128"/>
      <c r="DA254" s="128"/>
      <c r="DB254" s="128"/>
      <c r="DC254" s="128"/>
    </row>
    <row r="255" spans="1:107" s="113" customFormat="1" hidden="1" outlineLevel="1" x14ac:dyDescent="0.25">
      <c r="A255" s="112" t="s">
        <v>1026</v>
      </c>
      <c r="B255" s="215"/>
      <c r="C255" s="215"/>
      <c r="D255" s="215"/>
      <c r="E255" s="215"/>
      <c r="F255" s="215"/>
      <c r="G255" s="215"/>
      <c r="H255" s="215"/>
      <c r="I255" s="215"/>
      <c r="J255" s="215"/>
      <c r="K255" s="215"/>
      <c r="L255" s="215"/>
      <c r="M255" s="215"/>
      <c r="N255" s="215"/>
      <c r="O255" s="215"/>
      <c r="P255" s="215"/>
      <c r="Q255" s="215"/>
      <c r="R255" s="215"/>
      <c r="S255" s="215"/>
      <c r="T255" s="215"/>
      <c r="U255" s="215"/>
      <c r="V255" s="215"/>
      <c r="W255" s="215"/>
      <c r="X255" s="215"/>
      <c r="Y255" s="215"/>
      <c r="Z255" s="215"/>
      <c r="AA255" s="215"/>
      <c r="AB255" s="215"/>
      <c r="AC255" s="215"/>
      <c r="AD255" s="215"/>
      <c r="AE255" s="215"/>
      <c r="AF255" s="215"/>
      <c r="AG255" s="215"/>
      <c r="AH255" s="215"/>
      <c r="AI255" s="215"/>
      <c r="AJ255" s="215"/>
      <c r="AK255" s="215"/>
      <c r="AL255" s="215"/>
      <c r="AM255" s="215"/>
      <c r="AN255" s="215"/>
      <c r="AO255" s="215"/>
      <c r="AP255" s="215"/>
      <c r="AQ255" s="215"/>
      <c r="AR255" s="215"/>
      <c r="AS255" s="215"/>
      <c r="AT255" s="215"/>
      <c r="AU255" s="215"/>
      <c r="AV255" s="215"/>
      <c r="AW255" s="215"/>
      <c r="AX255" s="215"/>
      <c r="AY255" s="215"/>
      <c r="AZ255" s="215"/>
      <c r="BA255" s="215"/>
      <c r="BB255" s="215"/>
      <c r="BC255" s="215"/>
      <c r="BD255" s="215"/>
      <c r="BE255" s="215"/>
      <c r="BF255" s="215"/>
      <c r="BG255" s="215"/>
      <c r="BH255" s="215"/>
      <c r="BI255" s="215"/>
      <c r="BJ255" s="215"/>
      <c r="BK255" s="215"/>
      <c r="BL255" s="215"/>
      <c r="BM255" s="215"/>
      <c r="BN255" s="215"/>
      <c r="BO255" s="215"/>
      <c r="BP255" s="215"/>
      <c r="BQ255" s="215"/>
      <c r="BR255" s="215"/>
      <c r="BS255" s="215"/>
      <c r="BT255" s="215"/>
      <c r="BU255" s="215"/>
      <c r="BV255" s="215"/>
      <c r="BW255" s="215"/>
      <c r="BX255" s="215"/>
      <c r="BY255" s="215"/>
      <c r="BZ255" s="215"/>
      <c r="CA255" s="215"/>
      <c r="CB255" s="215"/>
      <c r="CC255" s="215"/>
      <c r="CD255" s="215"/>
      <c r="CE255" s="215"/>
      <c r="CF255" s="215"/>
      <c r="CG255" s="215"/>
      <c r="CH255" s="215"/>
      <c r="CI255" s="215"/>
      <c r="CJ255" s="215"/>
      <c r="CK255" s="215"/>
      <c r="CL255" s="215"/>
      <c r="CM255" s="215"/>
      <c r="CN255" s="215"/>
      <c r="CO255" s="215"/>
      <c r="CP255" s="215"/>
      <c r="CQ255" s="215"/>
      <c r="CR255" s="215"/>
      <c r="CS255" s="215"/>
      <c r="CT255" s="215"/>
      <c r="CU255" s="215"/>
      <c r="CV255" s="215"/>
      <c r="CW255" s="215"/>
      <c r="CX255" s="215"/>
      <c r="CY255" s="215"/>
      <c r="CZ255" s="215"/>
      <c r="DA255" s="215"/>
      <c r="DB255" s="215"/>
      <c r="DC255" s="215"/>
    </row>
    <row r="256" spans="1:107" hidden="1" outlineLevel="1" x14ac:dyDescent="0.25">
      <c r="A256" s="110" t="s">
        <v>1027</v>
      </c>
      <c r="B256" s="128" t="str">
        <f t="shared" ref="B256:G256" si="1358">IF(B9 = TRUE, IF(AND(B9, NOT(B2 = "Weapon Proc")), "Kit", "Weapon Proc"), "Not Healing Move")</f>
        <v>Not Healing Move</v>
      </c>
      <c r="C256" s="128" t="str">
        <f t="shared" si="1358"/>
        <v>Not Healing Move</v>
      </c>
      <c r="D256" s="128" t="str">
        <f t="shared" si="1358"/>
        <v>Not Healing Move</v>
      </c>
      <c r="E256" s="128" t="str">
        <f t="shared" ref="E256" si="1359">IF(E9 = TRUE, IF(AND(E9, NOT(E2 = "Weapon Proc")), "Kit", "Weapon Proc"), "Not Healing Move")</f>
        <v>Not Healing Move</v>
      </c>
      <c r="F256" s="128" t="str">
        <f t="shared" si="1358"/>
        <v>Not Healing Move</v>
      </c>
      <c r="G256" s="128" t="str">
        <f t="shared" si="1358"/>
        <v>Not Healing Move</v>
      </c>
      <c r="H256" s="128" t="str">
        <f>IF(H9 = TRUE, IF(AND(H9, NOT(H2 = "Weapon Proc")), "Kit", "Weapon Proc"), "Not Healing Move")</f>
        <v>Not Healing Move</v>
      </c>
      <c r="I256" s="128" t="str">
        <f t="shared" ref="I256:K256" si="1360">IF(I9 = TRUE, IF(AND(I9, NOT(I2 = "Weapon Proc")), "Kit", "Weapon Proc"), "Not Healing Move")</f>
        <v>Not Healing Move</v>
      </c>
      <c r="J256" s="128" t="str">
        <f t="shared" si="1360"/>
        <v>Not Healing Move</v>
      </c>
      <c r="K256" s="128" t="str">
        <f t="shared" si="1360"/>
        <v>Not Healing Move</v>
      </c>
      <c r="L256" s="128" t="str">
        <f t="shared" ref="L256" si="1361">IF(L9 = TRUE, IF(AND(L9, NOT(L2 = "Weapon Proc")), "Kit", "Weapon Proc"), "Not Healing Move")</f>
        <v>Not Healing Move</v>
      </c>
      <c r="M256" s="128" t="str">
        <f t="shared" ref="M256" si="1362">IF(M9 = TRUE, IF(AND(M9, NOT(M2 = "Weapon Proc")), "Kit", "Weapon Proc"), "Not Healing Move")</f>
        <v>Not Healing Move</v>
      </c>
      <c r="N256" s="128" t="str">
        <f>IF(N9 = TRUE, IF(AND(N9, NOT(N2 = "Weapon Proc")), "Kit", "Weapon Proc"), "Not Healing Move")</f>
        <v>Not Healing Move</v>
      </c>
      <c r="O256" s="128" t="str">
        <f>IF(O9 = TRUE, IF(AND(O9, NOT(O2 = "Weapon Proc")), "Kit", "Weapon Proc"), "Not Healing Move")</f>
        <v>Not Healing Move</v>
      </c>
      <c r="P256" s="128" t="str">
        <f>IF(P9 = TRUE, IF(AND(P9, NOT(P2 = "Weapon Proc")), "Kit", "Weapon Proc"), "Not Healing Move")</f>
        <v>Not Healing Move</v>
      </c>
      <c r="Q256" s="128" t="str">
        <f>IF(Q9 = TRUE, IF(AND(Q9, NOT(Q2 = "Weapon Proc")), "Kit", "Weapon Proc"), "Not Healing Move")</f>
        <v>Not Healing Move</v>
      </c>
      <c r="R256" s="128" t="str">
        <f t="shared" ref="R256:AZ256" si="1363">IF(R9 = TRUE, IF(AND(R9, NOT(R2 = "Weapon Proc")), "Kit", "Weapon Proc"), "Not Healing Move")</f>
        <v>Not Healing Move</v>
      </c>
      <c r="S256" s="128" t="str">
        <f t="shared" si="1363"/>
        <v>Not Healing Move</v>
      </c>
      <c r="T256" s="128" t="str">
        <f t="shared" si="1363"/>
        <v>Not Healing Move</v>
      </c>
      <c r="U256" s="128" t="str">
        <f t="shared" si="1363"/>
        <v>Not Healing Move</v>
      </c>
      <c r="V256" s="128" t="str">
        <f t="shared" ref="V256:W256" si="1364">IF(V9 = TRUE, IF(AND(V9, NOT(V2 = "Weapon Proc")), "Kit", "Weapon Proc"), "Not Healing Move")</f>
        <v>Not Healing Move</v>
      </c>
      <c r="W256" s="128" t="str">
        <f t="shared" si="1364"/>
        <v>Not Healing Move</v>
      </c>
      <c r="X256" s="128" t="str">
        <f t="shared" ref="X256:Y256" si="1365">IF(X9 = TRUE, IF(AND(X9, NOT(X2 = "Weapon Proc")), "Kit", "Weapon Proc"), "Not Healing Move")</f>
        <v>Not Healing Move</v>
      </c>
      <c r="Y256" s="128" t="str">
        <f t="shared" si="1365"/>
        <v>Not Healing Move</v>
      </c>
      <c r="Z256" s="128" t="str">
        <f t="shared" ref="Z256:AA256" si="1366">IF(Z9 = TRUE, IF(AND(Z9, NOT(Z2 = "Weapon Proc")), "Kit", "Weapon Proc"), "Not Healing Move")</f>
        <v>Not Healing Move</v>
      </c>
      <c r="AA256" s="128" t="str">
        <f t="shared" si="1366"/>
        <v>Not Healing Move</v>
      </c>
      <c r="AB256" s="128" t="str">
        <f t="shared" si="1363"/>
        <v>Not Healing Move</v>
      </c>
      <c r="AC256" s="128" t="str">
        <f t="shared" si="1363"/>
        <v>Not Healing Move</v>
      </c>
      <c r="AD256" s="128" t="str">
        <f t="shared" si="1363"/>
        <v>Not Healing Move</v>
      </c>
      <c r="AE256" s="128" t="str">
        <f t="shared" si="1363"/>
        <v>Not Healing Move</v>
      </c>
      <c r="AF256" s="128" t="str">
        <f t="shared" si="1363"/>
        <v>Not Healing Move</v>
      </c>
      <c r="AG256" s="128" t="str">
        <f t="shared" ref="AG256:AI256" si="1367">IF(AG9 = TRUE, IF(AND(AG9, NOT(AG2 = "Weapon Proc")), "Kit", "Weapon Proc"), "Not Healing Move")</f>
        <v>Not Healing Move</v>
      </c>
      <c r="AH256" s="128" t="str">
        <f t="shared" si="1367"/>
        <v>Not Healing Move</v>
      </c>
      <c r="AI256" s="128" t="str">
        <f t="shared" si="1367"/>
        <v>Not Healing Move</v>
      </c>
      <c r="AJ256" s="128" t="str">
        <f t="shared" si="1363"/>
        <v>Kit</v>
      </c>
      <c r="AK256" s="128" t="str">
        <f t="shared" si="1363"/>
        <v>Kit</v>
      </c>
      <c r="AL256" s="128" t="str">
        <f t="shared" si="1363"/>
        <v>Kit</v>
      </c>
      <c r="AM256" s="128" t="str">
        <f t="shared" si="1363"/>
        <v>Kit</v>
      </c>
      <c r="AN256" s="128" t="str">
        <f t="shared" si="1363"/>
        <v>Kit</v>
      </c>
      <c r="AO256" s="128" t="str">
        <f t="shared" si="1363"/>
        <v>Kit</v>
      </c>
      <c r="AP256" s="128" t="str">
        <f t="shared" si="1363"/>
        <v>Kit</v>
      </c>
      <c r="AQ256" s="128" t="str">
        <f t="shared" si="1363"/>
        <v>Kit</v>
      </c>
      <c r="AR256" s="128" t="str">
        <f t="shared" si="1363"/>
        <v>Kit</v>
      </c>
      <c r="AS256" s="128" t="str">
        <f t="shared" si="1363"/>
        <v>Kit</v>
      </c>
      <c r="AT256" s="128" t="str">
        <f t="shared" si="1363"/>
        <v>Kit</v>
      </c>
      <c r="AU256" s="128" t="str">
        <f t="shared" si="1363"/>
        <v>Kit</v>
      </c>
      <c r="AV256" s="128" t="str">
        <f t="shared" si="1363"/>
        <v>Kit</v>
      </c>
      <c r="AW256" s="128" t="str">
        <f t="shared" si="1363"/>
        <v>Kit</v>
      </c>
      <c r="AX256" s="128" t="str">
        <f t="shared" si="1363"/>
        <v>Kit</v>
      </c>
      <c r="AY256" s="128" t="str">
        <f t="shared" si="1363"/>
        <v>Kit</v>
      </c>
      <c r="AZ256" s="128" t="str">
        <f t="shared" si="1363"/>
        <v>Kit</v>
      </c>
      <c r="BA256" s="128" t="str">
        <f t="shared" ref="BA256:BC256" si="1368">IF(BA9 = TRUE, IF(AND(BA9, NOT(BA2 = "Weapon Proc")), "Kit", "Weapon Proc"), "Not Healing Move")</f>
        <v>Kit</v>
      </c>
      <c r="BB256" s="128" t="str">
        <f t="shared" ref="BB256" si="1369">IF(BB9 = TRUE, IF(AND(BB9, NOT(BB2 = "Weapon Proc")), "Kit", "Weapon Proc"), "Not Healing Move")</f>
        <v>Kit</v>
      </c>
      <c r="BC256" s="128" t="str">
        <f t="shared" si="1368"/>
        <v>Kit</v>
      </c>
      <c r="BD256" s="128" t="str">
        <f t="shared" ref="BD256:BE256" si="1370">IF(BD9 = TRUE, IF(AND(BD9, NOT(BD2 = "Weapon Proc")), "Kit", "Weapon Proc"), "Not Healing Move")</f>
        <v>Kit</v>
      </c>
      <c r="BE256" s="128" t="str">
        <f t="shared" si="1370"/>
        <v>Kit</v>
      </c>
      <c r="BF256" s="128" t="str">
        <f t="shared" ref="BF256:BG256" si="1371">IF(BF9 = TRUE, IF(AND(BF9, NOT(BF2 = "Weapon Proc")), "Kit", "Weapon Proc"), "Not Healing Move")</f>
        <v>Kit</v>
      </c>
      <c r="BG256" s="128" t="str">
        <f t="shared" si="1371"/>
        <v>Kit</v>
      </c>
      <c r="BH256" s="128" t="str">
        <f t="shared" ref="BH256" si="1372">IF(BH9 = TRUE, IF(AND(BH9, NOT(BH2 = "Weapon Proc")), "Kit", "Weapon Proc"), "Not Healing Move")</f>
        <v>Kit</v>
      </c>
      <c r="BI256" s="128"/>
      <c r="BJ256" s="128"/>
      <c r="BK256" s="128"/>
      <c r="BL256" s="128"/>
      <c r="BM256" s="128"/>
      <c r="BN256" s="128"/>
      <c r="BO256" s="128"/>
      <c r="BP256" s="128"/>
      <c r="BQ256" s="128"/>
      <c r="BR256" s="128"/>
      <c r="BS256" s="128"/>
      <c r="BT256" s="128"/>
      <c r="BU256" s="128"/>
      <c r="BV256" s="128"/>
      <c r="BW256" s="128"/>
      <c r="BX256" s="128"/>
      <c r="BY256" s="128"/>
      <c r="BZ256" s="128"/>
      <c r="CA256" s="128"/>
      <c r="CB256" s="128"/>
      <c r="CC256" s="128"/>
      <c r="CD256" s="128"/>
      <c r="CE256" s="128"/>
      <c r="CF256" s="128"/>
      <c r="CG256" s="128"/>
      <c r="CH256" s="128"/>
      <c r="CI256" s="128"/>
      <c r="CJ256" s="128"/>
      <c r="CK256" s="128"/>
      <c r="CL256" s="128"/>
      <c r="CM256" s="128"/>
      <c r="CN256" s="128"/>
      <c r="CO256" s="128"/>
      <c r="CP256" s="128"/>
      <c r="CQ256" s="128"/>
      <c r="CR256" s="128"/>
      <c r="CS256" s="128"/>
      <c r="CT256" s="128"/>
      <c r="CU256" s="128"/>
      <c r="CV256" s="128"/>
      <c r="CW256" s="128"/>
      <c r="CX256" s="128"/>
      <c r="CY256" s="128"/>
      <c r="CZ256" s="128"/>
      <c r="DA256" s="128"/>
      <c r="DB256" s="128"/>
      <c r="DC256" s="128"/>
    </row>
    <row r="257" spans="1:107" hidden="1" outlineLevel="1" x14ac:dyDescent="0.25">
      <c r="A257" s="110" t="s">
        <v>124</v>
      </c>
      <c r="B257" s="128" t="str">
        <f t="shared" ref="B257:G257" si="1373">IF(B256 = "Kit", B5, IF(B256 = "Weapon Proc", B14, ""))</f>
        <v/>
      </c>
      <c r="C257" s="128" t="str">
        <f t="shared" si="1373"/>
        <v/>
      </c>
      <c r="D257" s="128" t="str">
        <f t="shared" si="1373"/>
        <v/>
      </c>
      <c r="E257" s="128" t="str">
        <f t="shared" ref="E257" si="1374">IF(E256 = "Kit", E5, IF(E256 = "Weapon Proc", E14, ""))</f>
        <v/>
      </c>
      <c r="F257" s="128" t="str">
        <f t="shared" si="1373"/>
        <v/>
      </c>
      <c r="G257" s="128" t="str">
        <f t="shared" si="1373"/>
        <v/>
      </c>
      <c r="H257" s="128" t="str">
        <f>IF(H256 = "Kit", H5, IF(H256 = "Weapon Proc", H14, ""))</f>
        <v/>
      </c>
      <c r="I257" s="128" t="str">
        <f t="shared" ref="I257:K257" si="1375">IF(I256 = "Kit", I5, IF(I256 = "Weapon Proc", I14, ""))</f>
        <v/>
      </c>
      <c r="J257" s="128" t="str">
        <f t="shared" si="1375"/>
        <v/>
      </c>
      <c r="K257" s="128" t="str">
        <f t="shared" si="1375"/>
        <v/>
      </c>
      <c r="L257" s="128" t="str">
        <f t="shared" ref="L257" si="1376">IF(L256 = "Kit", L5, IF(L256 = "Weapon Proc", L14, ""))</f>
        <v/>
      </c>
      <c r="M257" s="128" t="str">
        <f t="shared" ref="M257" si="1377">IF(M256 = "Kit", M5, IF(M256 = "Weapon Proc", M14, ""))</f>
        <v/>
      </c>
      <c r="N257" s="128" t="str">
        <f>IF(N256 = "Kit", N5, IF(N256 = "Weapon Proc", N14, ""))</f>
        <v/>
      </c>
      <c r="O257" s="128" t="str">
        <f>IF(O256 = "Kit", O5, IF(O256 = "Weapon Proc", O14, ""))</f>
        <v/>
      </c>
      <c r="P257" s="128" t="str">
        <f>IF(P256 = "Kit", P5, IF(P256 = "Weapon Proc", P14, ""))</f>
        <v/>
      </c>
      <c r="Q257" s="128" t="str">
        <f>IF(Q256 = "Kit", Q5, IF(Q256 = "Weapon Proc", Q14, ""))</f>
        <v/>
      </c>
      <c r="R257" s="128" t="str">
        <f t="shared" ref="R257:AZ257" si="1378">IF(R256 = "Kit", R5, IF(R256 = "Weapon Proc", R14, ""))</f>
        <v/>
      </c>
      <c r="S257" s="128" t="str">
        <f t="shared" si="1378"/>
        <v/>
      </c>
      <c r="T257" s="128" t="str">
        <f t="shared" si="1378"/>
        <v/>
      </c>
      <c r="U257" s="128" t="str">
        <f t="shared" si="1378"/>
        <v/>
      </c>
      <c r="V257" s="128" t="str">
        <f t="shared" ref="V257:W257" si="1379">IF(V256 = "Kit", V5, IF(V256 = "Weapon Proc", V14, ""))</f>
        <v/>
      </c>
      <c r="W257" s="128" t="str">
        <f t="shared" si="1379"/>
        <v/>
      </c>
      <c r="X257" s="128" t="str">
        <f t="shared" ref="X257:Y257" si="1380">IF(X256 = "Kit", X5, IF(X256 = "Weapon Proc", X14, ""))</f>
        <v/>
      </c>
      <c r="Y257" s="128" t="str">
        <f t="shared" si="1380"/>
        <v/>
      </c>
      <c r="Z257" s="128" t="str">
        <f t="shared" ref="Z257:AA257" si="1381">IF(Z256 = "Kit", Z5, IF(Z256 = "Weapon Proc", Z14, ""))</f>
        <v/>
      </c>
      <c r="AA257" s="128" t="str">
        <f t="shared" si="1381"/>
        <v/>
      </c>
      <c r="AB257" s="128" t="str">
        <f t="shared" si="1378"/>
        <v/>
      </c>
      <c r="AC257" s="128" t="str">
        <f t="shared" si="1378"/>
        <v/>
      </c>
      <c r="AD257" s="128" t="str">
        <f t="shared" si="1378"/>
        <v/>
      </c>
      <c r="AE257" s="128" t="str">
        <f t="shared" si="1378"/>
        <v/>
      </c>
      <c r="AF257" s="128" t="str">
        <f t="shared" si="1378"/>
        <v/>
      </c>
      <c r="AG257" s="128" t="str">
        <f t="shared" ref="AG257:AI257" si="1382">IF(AG256 = "Kit", AG5, IF(AG256 = "Weapon Proc", AG14, ""))</f>
        <v/>
      </c>
      <c r="AH257" s="128" t="str">
        <f t="shared" si="1382"/>
        <v/>
      </c>
      <c r="AI257" s="128" t="str">
        <f t="shared" si="1382"/>
        <v/>
      </c>
      <c r="AJ257" s="128" t="str">
        <f t="shared" si="1378"/>
        <v/>
      </c>
      <c r="AK257" s="128" t="str">
        <f t="shared" si="1378"/>
        <v/>
      </c>
      <c r="AL257" s="128" t="str">
        <f t="shared" si="1378"/>
        <v/>
      </c>
      <c r="AM257" s="128" t="str">
        <f t="shared" si="1378"/>
        <v/>
      </c>
      <c r="AN257" s="128" t="str">
        <f t="shared" si="1378"/>
        <v/>
      </c>
      <c r="AO257" s="128" t="str">
        <f t="shared" si="1378"/>
        <v/>
      </c>
      <c r="AP257" s="128" t="str">
        <f t="shared" si="1378"/>
        <v/>
      </c>
      <c r="AQ257" s="128" t="str">
        <f t="shared" si="1378"/>
        <v/>
      </c>
      <c r="AR257" s="128" t="str">
        <f t="shared" si="1378"/>
        <v/>
      </c>
      <c r="AS257" s="128" t="str">
        <f t="shared" si="1378"/>
        <v/>
      </c>
      <c r="AT257" s="128" t="str">
        <f t="shared" si="1378"/>
        <v/>
      </c>
      <c r="AU257" s="128" t="str">
        <f t="shared" si="1378"/>
        <v/>
      </c>
      <c r="AV257" s="128" t="str">
        <f t="shared" si="1378"/>
        <v/>
      </c>
      <c r="AW257" s="128" t="str">
        <f t="shared" si="1378"/>
        <v/>
      </c>
      <c r="AX257" s="128" t="str">
        <f t="shared" si="1378"/>
        <v/>
      </c>
      <c r="AY257" s="128" t="str">
        <f t="shared" si="1378"/>
        <v/>
      </c>
      <c r="AZ257" s="128" t="str">
        <f t="shared" si="1378"/>
        <v/>
      </c>
      <c r="BA257" s="128" t="str">
        <f t="shared" ref="BA257:BC257" si="1383">IF(BA256 = "Kit", BA5, IF(BA256 = "Weapon Proc", BA14, ""))</f>
        <v/>
      </c>
      <c r="BB257" s="128" t="str">
        <f t="shared" ref="BB257" si="1384">IF(BB256 = "Kit", BB5, IF(BB256 = "Weapon Proc", BB14, ""))</f>
        <v/>
      </c>
      <c r="BC257" s="128" t="str">
        <f t="shared" si="1383"/>
        <v/>
      </c>
      <c r="BD257" s="128" t="str">
        <f t="shared" ref="BD257:BE257" si="1385">IF(BD256 = "Kit", BD5, IF(BD256 = "Weapon Proc", BD14, ""))</f>
        <v/>
      </c>
      <c r="BE257" s="128" t="str">
        <f t="shared" si="1385"/>
        <v/>
      </c>
      <c r="BF257" s="128" t="str">
        <f t="shared" ref="BF257:BG257" si="1386">IF(BF256 = "Kit", BF5, IF(BF256 = "Weapon Proc", BF14, ""))</f>
        <v/>
      </c>
      <c r="BG257" s="128" t="str">
        <f t="shared" si="1386"/>
        <v/>
      </c>
      <c r="BH257" s="128" t="str">
        <f t="shared" ref="BH257" si="1387">IF(BH256 = "Kit", BH5, IF(BH256 = "Weapon Proc", BH14, ""))</f>
        <v/>
      </c>
      <c r="BI257" s="128"/>
      <c r="BJ257" s="128"/>
      <c r="BK257" s="128"/>
      <c r="BL257" s="128"/>
      <c r="BM257" s="128"/>
      <c r="BN257" s="128"/>
      <c r="BO257" s="128"/>
      <c r="BP257" s="128"/>
      <c r="BQ257" s="128"/>
      <c r="BR257" s="128"/>
      <c r="BS257" s="128"/>
      <c r="BT257" s="128"/>
      <c r="BU257" s="128"/>
      <c r="BV257" s="128"/>
      <c r="BW257" s="128"/>
      <c r="BX257" s="128"/>
      <c r="BY257" s="128"/>
      <c r="BZ257" s="128"/>
      <c r="CA257" s="128"/>
      <c r="CB257" s="128"/>
      <c r="CC257" s="128"/>
      <c r="CD257" s="128"/>
      <c r="CE257" s="128"/>
      <c r="CF257" s="128"/>
      <c r="CG257" s="128"/>
      <c r="CH257" s="128"/>
      <c r="CI257" s="128"/>
      <c r="CJ257" s="128"/>
      <c r="CK257" s="128"/>
      <c r="CL257" s="128"/>
      <c r="CM257" s="128"/>
      <c r="CN257" s="128"/>
      <c r="CO257" s="128"/>
      <c r="CP257" s="128"/>
      <c r="CQ257" s="128"/>
      <c r="CR257" s="128"/>
      <c r="CS257" s="128"/>
      <c r="CT257" s="128"/>
      <c r="CU257" s="128"/>
      <c r="CV257" s="128"/>
      <c r="CW257" s="128"/>
      <c r="CX257" s="128"/>
      <c r="CY257" s="128"/>
      <c r="CZ257" s="128"/>
      <c r="DA257" s="128"/>
      <c r="DB257" s="128"/>
      <c r="DC257" s="128"/>
    </row>
    <row r="258" spans="1:107" hidden="1" outlineLevel="1" x14ac:dyDescent="0.25">
      <c r="A258" s="110" t="s">
        <v>1033</v>
      </c>
      <c r="B258" s="128" t="str">
        <f>IFERROR(VLOOKUP(B8, 'Data Val'!$A$1:$B$5, 2, 0),"")</f>
        <v/>
      </c>
      <c r="C258" s="128" t="str">
        <f>IFERROR(VLOOKUP(C8, 'Data Val'!$A$1:$B$5, 2, 0),"")</f>
        <v/>
      </c>
      <c r="D258" s="128" t="str">
        <f>IFERROR(VLOOKUP(D8, 'Data Val'!$A$1:$B$5, 2, 0),"")</f>
        <v/>
      </c>
      <c r="E258" s="128" t="str">
        <f>IFERROR(VLOOKUP(E8, 'Data Val'!$A$1:$B$5, 2, 0),"")</f>
        <v/>
      </c>
      <c r="F258" s="128" t="str">
        <f>IFERROR(VLOOKUP(F8, 'Data Val'!$A$1:$B$5, 2, 0),"")</f>
        <v/>
      </c>
      <c r="G258" s="128" t="str">
        <f>IFERROR(VLOOKUP(G8, 'Data Val'!$A$1:$B$5, 2, 0),"")</f>
        <v/>
      </c>
      <c r="H258" s="128" t="str">
        <f>IFERROR(VLOOKUP(H8, 'Data Val'!$A$1:$B$5, 2, 0),"")</f>
        <v/>
      </c>
      <c r="I258" s="128" t="str">
        <f>IFERROR(VLOOKUP(I8, 'Data Val'!$A$1:$B$5, 2, 0),"")</f>
        <v/>
      </c>
      <c r="J258" s="128" t="str">
        <f>IFERROR(VLOOKUP(J8, 'Data Val'!$A$1:$B$5, 2, 0),"")</f>
        <v/>
      </c>
      <c r="K258" s="128" t="str">
        <f>IFERROR(VLOOKUP(K8, 'Data Val'!$A$1:$B$5, 2, 0),"")</f>
        <v/>
      </c>
      <c r="L258" s="128" t="str">
        <f>IFERROR(VLOOKUP(L8, 'Data Val'!$A$1:$B$5, 2, 0),"")</f>
        <v/>
      </c>
      <c r="M258" s="128" t="str">
        <f>IFERROR(VLOOKUP(M8, 'Data Val'!$A$1:$B$5, 2, 0),"")</f>
        <v/>
      </c>
      <c r="N258" s="128" t="str">
        <f>IFERROR(VLOOKUP(N8, 'Data Val'!$A$1:$B$5, 2, 0),"")</f>
        <v/>
      </c>
      <c r="O258" s="128" t="str">
        <f>IFERROR(VLOOKUP(O8, 'Data Val'!$A$1:$B$5, 2, 0),"")</f>
        <v/>
      </c>
      <c r="P258" s="128" t="str">
        <f>IFERROR(VLOOKUP(P8, 'Data Val'!$A$1:$B$5, 2, 0),"")</f>
        <v/>
      </c>
      <c r="Q258" s="128" t="str">
        <f>IFERROR(VLOOKUP(Q8, 'Data Val'!$A$1:$B$5, 2, 0),"")</f>
        <v/>
      </c>
      <c r="R258" s="128" t="str">
        <f>IFERROR(VLOOKUP(R8, 'Data Val'!$A$1:$B$5, 2, 0),"")</f>
        <v/>
      </c>
      <c r="S258" s="128" t="str">
        <f>IFERROR(VLOOKUP(S8, 'Data Val'!$A$1:$B$5, 2, 0),"")</f>
        <v/>
      </c>
      <c r="T258" s="128" t="str">
        <f>IFERROR(VLOOKUP(T8, 'Data Val'!$A$1:$B$5, 2, 0),"")</f>
        <v/>
      </c>
      <c r="U258" s="128" t="str">
        <f>IFERROR(VLOOKUP(U8, 'Data Val'!$A$1:$B$5, 2, 0),"")</f>
        <v/>
      </c>
      <c r="V258" s="128" t="str">
        <f>IFERROR(VLOOKUP(V8, 'Data Val'!$A$1:$B$5, 2, 0),"")</f>
        <v/>
      </c>
      <c r="W258" s="128" t="str">
        <f>IFERROR(VLOOKUP(W8, 'Data Val'!$A$1:$B$5, 2, 0),"")</f>
        <v/>
      </c>
      <c r="X258" s="128" t="str">
        <f>IFERROR(VLOOKUP(X8, 'Data Val'!$A$1:$B$5, 2, 0),"")</f>
        <v/>
      </c>
      <c r="Y258" s="128" t="str">
        <f>IFERROR(VLOOKUP(Y8, 'Data Val'!$A$1:$B$5, 2, 0),"")</f>
        <v/>
      </c>
      <c r="Z258" s="128" t="str">
        <f>IFERROR(VLOOKUP(Z8, 'Data Val'!$A$1:$B$5, 2, 0),"")</f>
        <v/>
      </c>
      <c r="AA258" s="128" t="str">
        <f>IFERROR(VLOOKUP(AA8, 'Data Val'!$A$1:$B$5, 2, 0),"")</f>
        <v/>
      </c>
      <c r="AB258" s="128" t="str">
        <f>IFERROR(VLOOKUP(AB8, 'Data Val'!$A$1:$B$5, 2, 0),"")</f>
        <v/>
      </c>
      <c r="AC258" s="128" t="str">
        <f>IFERROR(VLOOKUP(AC8, 'Data Val'!$A$1:$B$5, 2, 0),"")</f>
        <v/>
      </c>
      <c r="AD258" s="128" t="str">
        <f>IFERROR(VLOOKUP(AD8, 'Data Val'!$A$1:$B$5, 2, 0),"")</f>
        <v/>
      </c>
      <c r="AE258" s="128" t="str">
        <f>IFERROR(VLOOKUP(AE8, 'Data Val'!$A$1:$B$5, 2, 0),"")</f>
        <v/>
      </c>
      <c r="AF258" s="128" t="str">
        <f>IFERROR(VLOOKUP(AF8, 'Data Val'!$A$1:$B$5, 2, 0),"")</f>
        <v/>
      </c>
      <c r="AG258" s="128" t="str">
        <f>IFERROR(VLOOKUP(AG8, 'Data Val'!$A$1:$B$5, 2, 0),"")</f>
        <v/>
      </c>
      <c r="AH258" s="128" t="str">
        <f>IFERROR(VLOOKUP(AH8, 'Data Val'!$A$1:$B$5, 2, 0),"")</f>
        <v/>
      </c>
      <c r="AI258" s="128" t="str">
        <f>IFERROR(VLOOKUP(AI8, 'Data Val'!$A$1:$B$5, 2, 0),"")</f>
        <v/>
      </c>
      <c r="AJ258" s="128" t="str">
        <f>IFERROR(VLOOKUP(AJ8, 'Data Val'!$A$1:$B$5, 2, 0),"")</f>
        <v/>
      </c>
      <c r="AK258" s="128" t="str">
        <f>IFERROR(VLOOKUP(AK8, 'Data Val'!$A$1:$B$5, 2, 0),"")</f>
        <v/>
      </c>
      <c r="AL258" s="128" t="str">
        <f>IFERROR(VLOOKUP(AL8, 'Data Val'!$A$1:$B$5, 2, 0),"")</f>
        <v/>
      </c>
      <c r="AM258" s="128" t="str">
        <f>IFERROR(VLOOKUP(AM8, 'Data Val'!$A$1:$B$5, 2, 0),"")</f>
        <v/>
      </c>
      <c r="AN258" s="128" t="str">
        <f>IFERROR(VLOOKUP(AN8, 'Data Val'!$A$1:$B$5, 2, 0),"")</f>
        <v/>
      </c>
      <c r="AO258" s="128" t="str">
        <f>IFERROR(VLOOKUP(AO8, 'Data Val'!$A$1:$B$5, 2, 0),"")</f>
        <v/>
      </c>
      <c r="AP258" s="128" t="str">
        <f>IFERROR(VLOOKUP(AP8, 'Data Val'!$A$1:$B$5, 2, 0),"")</f>
        <v/>
      </c>
      <c r="AQ258" s="128" t="str">
        <f>IFERROR(VLOOKUP(AQ8, 'Data Val'!$A$1:$B$5, 2, 0),"")</f>
        <v/>
      </c>
      <c r="AR258" s="128" t="str">
        <f>IFERROR(VLOOKUP(AR8, 'Data Val'!$A$1:$B$5, 2, 0),"")</f>
        <v/>
      </c>
      <c r="AS258" s="128" t="str">
        <f>IFERROR(VLOOKUP(AS8, 'Data Val'!$A$1:$B$5, 2, 0),"")</f>
        <v/>
      </c>
      <c r="AT258" s="128" t="str">
        <f>IFERROR(VLOOKUP(AT8, 'Data Val'!$A$1:$B$5, 2, 0),"")</f>
        <v/>
      </c>
      <c r="AU258" s="128" t="str">
        <f>IFERROR(VLOOKUP(AU8, 'Data Val'!$A$1:$B$5, 2, 0),"")</f>
        <v/>
      </c>
      <c r="AV258" s="128" t="str">
        <f>IFERROR(VLOOKUP(AV8, 'Data Val'!$A$1:$B$5, 2, 0),"")</f>
        <v/>
      </c>
      <c r="AW258" s="128" t="str">
        <f>IFERROR(VLOOKUP(AW8, 'Data Val'!$A$1:$B$5, 2, 0),"")</f>
        <v/>
      </c>
      <c r="AX258" s="128" t="str">
        <f>IFERROR(VLOOKUP(AX8, 'Data Val'!$A$1:$B$5, 2, 0),"")</f>
        <v/>
      </c>
      <c r="AY258" s="128" t="str">
        <f>IFERROR(VLOOKUP(AY8, 'Data Val'!$A$1:$B$5, 2, 0),"")</f>
        <v/>
      </c>
      <c r="AZ258" s="128" t="str">
        <f>IFERROR(VLOOKUP(AZ8, 'Data Val'!$A$1:$B$5, 2, 0),"")</f>
        <v/>
      </c>
      <c r="BA258" s="128" t="str">
        <f>IFERROR(VLOOKUP(BA8, 'Data Val'!$A$1:$B$5, 2, 0),"")</f>
        <v/>
      </c>
      <c r="BB258" s="128" t="str">
        <f>IFERROR(VLOOKUP(BB8, 'Data Val'!$A$1:$B$5, 2, 0),"")</f>
        <v/>
      </c>
      <c r="BC258" s="128" t="str">
        <f>IFERROR(VLOOKUP(BC8, 'Data Val'!$A$1:$B$5, 2, 0),"")</f>
        <v/>
      </c>
      <c r="BD258" s="128" t="str">
        <f>IFERROR(VLOOKUP(BD8, 'Data Val'!$A$1:$B$5, 2, 0),"")</f>
        <v/>
      </c>
      <c r="BE258" s="128" t="str">
        <f>IFERROR(VLOOKUP(BE8, 'Data Val'!$A$1:$B$5, 2, 0),"")</f>
        <v/>
      </c>
      <c r="BF258" s="128" t="str">
        <f>IFERROR(VLOOKUP(BF8, 'Data Val'!$A$1:$B$5, 2, 0),"")</f>
        <v/>
      </c>
      <c r="BG258" s="128" t="str">
        <f>IFERROR(VLOOKUP(BG8, 'Data Val'!$A$1:$B$5, 2, 0),"")</f>
        <v/>
      </c>
      <c r="BH258" s="128" t="str">
        <f>IFERROR(VLOOKUP(BH8, 'Data Val'!$A$1:$B$5, 2, 0),"")</f>
        <v/>
      </c>
      <c r="BI258" s="128"/>
      <c r="BJ258" s="128"/>
      <c r="BK258" s="128"/>
      <c r="BL258" s="128"/>
      <c r="BM258" s="128"/>
      <c r="BN258" s="128"/>
      <c r="BO258" s="128"/>
      <c r="BP258" s="128"/>
      <c r="BQ258" s="128"/>
      <c r="BR258" s="128"/>
      <c r="BS258" s="128"/>
      <c r="BT258" s="128"/>
      <c r="BU258" s="128"/>
      <c r="BV258" s="128"/>
      <c r="BW258" s="128"/>
      <c r="BX258" s="128"/>
      <c r="BY258" s="128"/>
      <c r="BZ258" s="128"/>
      <c r="CA258" s="128"/>
      <c r="CB258" s="128"/>
      <c r="CC258" s="128"/>
      <c r="CD258" s="128"/>
      <c r="CE258" s="128"/>
      <c r="CF258" s="128"/>
      <c r="CG258" s="128"/>
      <c r="CH258" s="128"/>
      <c r="CI258" s="128"/>
      <c r="CJ258" s="128"/>
      <c r="CK258" s="128"/>
      <c r="CL258" s="128"/>
      <c r="CM258" s="128"/>
      <c r="CN258" s="128"/>
      <c r="CO258" s="128"/>
      <c r="CP258" s="128"/>
      <c r="CQ258" s="128"/>
      <c r="CR258" s="128"/>
      <c r="CS258" s="128"/>
      <c r="CT258" s="128"/>
      <c r="CU258" s="128"/>
      <c r="CV258" s="128"/>
      <c r="CW258" s="128"/>
      <c r="CX258" s="128"/>
      <c r="CY258" s="128"/>
      <c r="CZ258" s="128"/>
      <c r="DA258" s="128"/>
      <c r="DB258" s="128"/>
      <c r="DC258" s="128"/>
    </row>
    <row r="259" spans="1:107" hidden="1" outlineLevel="1" x14ac:dyDescent="0.25">
      <c r="A259" s="110" t="s">
        <v>1028</v>
      </c>
      <c r="B259" s="128" t="str">
        <f>IFERROR(INDEX('Data Val'!$O$7:$R$11, MATCH(B258, 'Data Val'!$O$7:$O$11, 0), MATCH('Rotation Assembler'!B257, 'Data Val'!$O$7:$R$7, 0)),"")</f>
        <v/>
      </c>
      <c r="C259" s="128" t="str">
        <f>IFERROR(INDEX('Data Val'!$O$7:$R$11, MATCH(C258, 'Data Val'!$O$7:$O$11, 0), MATCH('Rotation Assembler'!C257, 'Data Val'!$O$7:$R$7, 0)),"")</f>
        <v/>
      </c>
      <c r="D259" s="128" t="str">
        <f>IFERROR(INDEX('Data Val'!$O$7:$R$11, MATCH(D258, 'Data Val'!$O$7:$O$11, 0), MATCH('Rotation Assembler'!D257, 'Data Val'!$O$7:$R$7, 0)),"")</f>
        <v/>
      </c>
      <c r="E259" s="128" t="str">
        <f>IFERROR(INDEX('Data Val'!$O$7:$R$11, MATCH(E258, 'Data Val'!$O$7:$O$11, 0), MATCH('Rotation Assembler'!E257, 'Data Val'!$O$7:$R$7, 0)),"")</f>
        <v/>
      </c>
      <c r="F259" s="128" t="str">
        <f>IFERROR(INDEX('Data Val'!$O$7:$R$11, MATCH(F258, 'Data Val'!$O$7:$O$11, 0), MATCH('Rotation Assembler'!F257, 'Data Val'!$O$7:$R$7, 0)),"")</f>
        <v/>
      </c>
      <c r="G259" s="128" t="str">
        <f>IFERROR(INDEX('Data Val'!$O$7:$R$11, MATCH(G258, 'Data Val'!$O$7:$O$11, 0), MATCH('Rotation Assembler'!G257, 'Data Val'!$O$7:$R$7, 0)),"")</f>
        <v/>
      </c>
      <c r="H259" s="128" t="str">
        <f>IFERROR(INDEX('Data Val'!$O$7:$R$11, MATCH(H258, 'Data Val'!$O$7:$O$11, 0), MATCH('Rotation Assembler'!H257, 'Data Val'!$O$7:$R$7, 0)),"")</f>
        <v/>
      </c>
      <c r="I259" s="128" t="str">
        <f>IFERROR(INDEX('Data Val'!$O$7:$R$11, MATCH(I258, 'Data Val'!$O$7:$O$11, 0), MATCH('Rotation Assembler'!I257, 'Data Val'!$O$7:$R$7, 0)),"")</f>
        <v/>
      </c>
      <c r="J259" s="128" t="str">
        <f>IFERROR(INDEX('Data Val'!$O$7:$R$11, MATCH(J258, 'Data Val'!$O$7:$O$11, 0), MATCH('Rotation Assembler'!J257, 'Data Val'!$O$7:$R$7, 0)),"")</f>
        <v/>
      </c>
      <c r="K259" s="128" t="str">
        <f>IFERROR(INDEX('Data Val'!$O$7:$R$11, MATCH(K258, 'Data Val'!$O$7:$O$11, 0), MATCH('Rotation Assembler'!K257, 'Data Val'!$O$7:$R$7, 0)),"")</f>
        <v/>
      </c>
      <c r="L259" s="128" t="str">
        <f>IFERROR(INDEX('Data Val'!$O$7:$R$11, MATCH(L258, 'Data Val'!$O$7:$O$11, 0), MATCH('Rotation Assembler'!L257, 'Data Val'!$O$7:$R$7, 0)),"")</f>
        <v/>
      </c>
      <c r="M259" s="128" t="str">
        <f>IFERROR(INDEX('Data Val'!$O$7:$R$11, MATCH(M258, 'Data Val'!$O$7:$O$11, 0), MATCH('Rotation Assembler'!M257, 'Data Val'!$O$7:$R$7, 0)),"")</f>
        <v/>
      </c>
      <c r="N259" s="128" t="str">
        <f>IFERROR(INDEX('Data Val'!$O$7:$R$11, MATCH(N258, 'Data Val'!$O$7:$O$11, 0), MATCH('Rotation Assembler'!N257, 'Data Val'!$O$7:$R$7, 0)),"")</f>
        <v/>
      </c>
      <c r="O259" s="128" t="str">
        <f>IFERROR(INDEX('Data Val'!$O$7:$R$11, MATCH(O258, 'Data Val'!$O$7:$O$11, 0), MATCH('Rotation Assembler'!O257, 'Data Val'!$O$7:$R$7, 0)),"")</f>
        <v/>
      </c>
      <c r="P259" s="128" t="str">
        <f>IFERROR(INDEX('Data Val'!$O$7:$R$11, MATCH(P258, 'Data Val'!$O$7:$O$11, 0), MATCH('Rotation Assembler'!P257, 'Data Val'!$O$7:$R$7, 0)),"")</f>
        <v/>
      </c>
      <c r="Q259" s="128" t="str">
        <f>IFERROR(INDEX('Data Val'!$O$7:$R$11, MATCH(Q258, 'Data Val'!$O$7:$O$11, 0), MATCH('Rotation Assembler'!Q257, 'Data Val'!$O$7:$R$7, 0)),"")</f>
        <v/>
      </c>
      <c r="R259" s="128" t="str">
        <f>IFERROR(INDEX('Data Val'!$O$7:$R$11, MATCH(R258, 'Data Val'!$O$7:$O$11, 0), MATCH('Rotation Assembler'!R257, 'Data Val'!$O$7:$R$7, 0)),"")</f>
        <v/>
      </c>
      <c r="S259" s="128" t="str">
        <f>IFERROR(INDEX('Data Val'!$O$7:$R$11, MATCH(S258, 'Data Val'!$O$7:$O$11, 0), MATCH('Rotation Assembler'!S257, 'Data Val'!$O$7:$R$7, 0)),"")</f>
        <v/>
      </c>
      <c r="T259" s="128" t="str">
        <f>IFERROR(INDEX('Data Val'!$O$7:$R$11, MATCH(T258, 'Data Val'!$O$7:$O$11, 0), MATCH('Rotation Assembler'!T257, 'Data Val'!$O$7:$R$7, 0)),"")</f>
        <v/>
      </c>
      <c r="U259" s="128" t="str">
        <f>IFERROR(INDEX('Data Val'!$O$7:$R$11, MATCH(U258, 'Data Val'!$O$7:$O$11, 0), MATCH('Rotation Assembler'!U257, 'Data Val'!$O$7:$R$7, 0)),"")</f>
        <v/>
      </c>
      <c r="V259" s="128" t="str">
        <f>IFERROR(INDEX('Data Val'!$O$7:$R$11, MATCH(V258, 'Data Val'!$O$7:$O$11, 0), MATCH('Rotation Assembler'!V257, 'Data Val'!$O$7:$R$7, 0)),"")</f>
        <v/>
      </c>
      <c r="W259" s="128" t="str">
        <f>IFERROR(INDEX('Data Val'!$O$7:$R$11, MATCH(W258, 'Data Val'!$O$7:$O$11, 0), MATCH('Rotation Assembler'!W257, 'Data Val'!$O$7:$R$7, 0)),"")</f>
        <v/>
      </c>
      <c r="X259" s="128" t="str">
        <f>IFERROR(INDEX('Data Val'!$O$7:$R$11, MATCH(X258, 'Data Val'!$O$7:$O$11, 0), MATCH('Rotation Assembler'!X257, 'Data Val'!$O$7:$R$7, 0)),"")</f>
        <v/>
      </c>
      <c r="Y259" s="128" t="str">
        <f>IFERROR(INDEX('Data Val'!$O$7:$R$11, MATCH(Y258, 'Data Val'!$O$7:$O$11, 0), MATCH('Rotation Assembler'!Y257, 'Data Val'!$O$7:$R$7, 0)),"")</f>
        <v/>
      </c>
      <c r="Z259" s="128" t="str">
        <f>IFERROR(INDEX('Data Val'!$O$7:$R$11, MATCH(Z258, 'Data Val'!$O$7:$O$11, 0), MATCH('Rotation Assembler'!Z257, 'Data Val'!$O$7:$R$7, 0)),"")</f>
        <v/>
      </c>
      <c r="AA259" s="128" t="str">
        <f>IFERROR(INDEX('Data Val'!$O$7:$R$11, MATCH(AA258, 'Data Val'!$O$7:$O$11, 0), MATCH('Rotation Assembler'!AA257, 'Data Val'!$O$7:$R$7, 0)),"")</f>
        <v/>
      </c>
      <c r="AB259" s="128" t="str">
        <f>IFERROR(INDEX('Data Val'!$O$7:$R$11, MATCH(AB258, 'Data Val'!$O$7:$O$11, 0), MATCH('Rotation Assembler'!AB257, 'Data Val'!$O$7:$R$7, 0)),"")</f>
        <v/>
      </c>
      <c r="AC259" s="128" t="str">
        <f>IFERROR(INDEX('Data Val'!$O$7:$R$11, MATCH(AC258, 'Data Val'!$O$7:$O$11, 0), MATCH('Rotation Assembler'!AC257, 'Data Val'!$O$7:$R$7, 0)),"")</f>
        <v/>
      </c>
      <c r="AD259" s="128" t="str">
        <f>IFERROR(INDEX('Data Val'!$O$7:$R$11, MATCH(AD258, 'Data Val'!$O$7:$O$11, 0), MATCH('Rotation Assembler'!AD257, 'Data Val'!$O$7:$R$7, 0)),"")</f>
        <v/>
      </c>
      <c r="AE259" s="128" t="str">
        <f>IFERROR(INDEX('Data Val'!$O$7:$R$11, MATCH(AE258, 'Data Val'!$O$7:$O$11, 0), MATCH('Rotation Assembler'!AE257, 'Data Val'!$O$7:$R$7, 0)),"")</f>
        <v/>
      </c>
      <c r="AF259" s="128" t="str">
        <f>IFERROR(INDEX('Data Val'!$O$7:$R$11, MATCH(AF258, 'Data Val'!$O$7:$O$11, 0), MATCH('Rotation Assembler'!AF257, 'Data Val'!$O$7:$R$7, 0)),"")</f>
        <v/>
      </c>
      <c r="AG259" s="128" t="str">
        <f>IFERROR(INDEX('Data Val'!$O$7:$R$11, MATCH(AG258, 'Data Val'!$O$7:$O$11, 0), MATCH('Rotation Assembler'!AG257, 'Data Val'!$O$7:$R$7, 0)),"")</f>
        <v/>
      </c>
      <c r="AH259" s="128" t="str">
        <f>IFERROR(INDEX('Data Val'!$O$7:$R$11, MATCH(AH258, 'Data Val'!$O$7:$O$11, 0), MATCH('Rotation Assembler'!AH257, 'Data Val'!$O$7:$R$7, 0)),"")</f>
        <v/>
      </c>
      <c r="AI259" s="128" t="str">
        <f>IFERROR(INDEX('Data Val'!$O$7:$R$11, MATCH(AI258, 'Data Val'!$O$7:$O$11, 0), MATCH('Rotation Assembler'!AI257, 'Data Val'!$O$7:$R$7, 0)),"")</f>
        <v/>
      </c>
      <c r="AJ259" s="128" t="str">
        <f>IFERROR(INDEX('Data Val'!$O$7:$R$11, MATCH(AJ258, 'Data Val'!$O$7:$O$11, 0), MATCH('Rotation Assembler'!AJ257, 'Data Val'!$O$7:$R$7, 0)),"")</f>
        <v/>
      </c>
      <c r="AK259" s="128" t="str">
        <f>IFERROR(INDEX('Data Val'!$O$7:$R$11, MATCH(AK258, 'Data Val'!$O$7:$O$11, 0), MATCH('Rotation Assembler'!AK257, 'Data Val'!$O$7:$R$7, 0)),"")</f>
        <v/>
      </c>
      <c r="AL259" s="128" t="str">
        <f>IFERROR(INDEX('Data Val'!$O$7:$R$11, MATCH(AL258, 'Data Val'!$O$7:$O$11, 0), MATCH('Rotation Assembler'!AL257, 'Data Val'!$O$7:$R$7, 0)),"")</f>
        <v/>
      </c>
      <c r="AM259" s="128" t="str">
        <f>IFERROR(INDEX('Data Val'!$O$7:$R$11, MATCH(AM258, 'Data Val'!$O$7:$O$11, 0), MATCH('Rotation Assembler'!AM257, 'Data Val'!$O$7:$R$7, 0)),"")</f>
        <v/>
      </c>
      <c r="AN259" s="128" t="str">
        <f>IFERROR(INDEX('Data Val'!$O$7:$R$11, MATCH(AN258, 'Data Val'!$O$7:$O$11, 0), MATCH('Rotation Assembler'!AN257, 'Data Val'!$O$7:$R$7, 0)),"")</f>
        <v/>
      </c>
      <c r="AO259" s="128" t="str">
        <f>IFERROR(INDEX('Data Val'!$O$7:$R$11, MATCH(AO258, 'Data Val'!$O$7:$O$11, 0), MATCH('Rotation Assembler'!AO257, 'Data Val'!$O$7:$R$7, 0)),"")</f>
        <v/>
      </c>
      <c r="AP259" s="128" t="str">
        <f>IFERROR(INDEX('Data Val'!$O$7:$R$11, MATCH(AP258, 'Data Val'!$O$7:$O$11, 0), MATCH('Rotation Assembler'!AP257, 'Data Val'!$O$7:$R$7, 0)),"")</f>
        <v/>
      </c>
      <c r="AQ259" s="128" t="str">
        <f>IFERROR(INDEX('Data Val'!$O$7:$R$11, MATCH(AQ258, 'Data Val'!$O$7:$O$11, 0), MATCH('Rotation Assembler'!AQ257, 'Data Val'!$O$7:$R$7, 0)),"")</f>
        <v/>
      </c>
      <c r="AR259" s="128" t="str">
        <f>IFERROR(INDEX('Data Val'!$O$7:$R$11, MATCH(AR258, 'Data Val'!$O$7:$O$11, 0), MATCH('Rotation Assembler'!AR257, 'Data Val'!$O$7:$R$7, 0)),"")</f>
        <v/>
      </c>
      <c r="AS259" s="128" t="str">
        <f>IFERROR(INDEX('Data Val'!$O$7:$R$11, MATCH(AS258, 'Data Val'!$O$7:$O$11, 0), MATCH('Rotation Assembler'!AS257, 'Data Val'!$O$7:$R$7, 0)),"")</f>
        <v/>
      </c>
      <c r="AT259" s="128" t="str">
        <f>IFERROR(INDEX('Data Val'!$O$7:$R$11, MATCH(AT258, 'Data Val'!$O$7:$O$11, 0), MATCH('Rotation Assembler'!AT257, 'Data Val'!$O$7:$R$7, 0)),"")</f>
        <v/>
      </c>
      <c r="AU259" s="128" t="str">
        <f>IFERROR(INDEX('Data Val'!$O$7:$R$11, MATCH(AU258, 'Data Val'!$O$7:$O$11, 0), MATCH('Rotation Assembler'!AU257, 'Data Val'!$O$7:$R$7, 0)),"")</f>
        <v/>
      </c>
      <c r="AV259" s="128" t="str">
        <f>IFERROR(INDEX('Data Val'!$O$7:$R$11, MATCH(AV258, 'Data Val'!$O$7:$O$11, 0), MATCH('Rotation Assembler'!AV257, 'Data Val'!$O$7:$R$7, 0)),"")</f>
        <v/>
      </c>
      <c r="AW259" s="128" t="str">
        <f>IFERROR(INDEX('Data Val'!$O$7:$R$11, MATCH(AW258, 'Data Val'!$O$7:$O$11, 0), MATCH('Rotation Assembler'!AW257, 'Data Val'!$O$7:$R$7, 0)),"")</f>
        <v/>
      </c>
      <c r="AX259" s="128" t="str">
        <f>IFERROR(INDEX('Data Val'!$O$7:$R$11, MATCH(AX258, 'Data Val'!$O$7:$O$11, 0), MATCH('Rotation Assembler'!AX257, 'Data Val'!$O$7:$R$7, 0)),"")</f>
        <v/>
      </c>
      <c r="AY259" s="128" t="str">
        <f>IFERROR(INDEX('Data Val'!$O$7:$R$11, MATCH(AY258, 'Data Val'!$O$7:$O$11, 0), MATCH('Rotation Assembler'!AY257, 'Data Val'!$O$7:$R$7, 0)),"")</f>
        <v/>
      </c>
      <c r="AZ259" s="128" t="str">
        <f>IFERROR(INDEX('Data Val'!$O$7:$R$11, MATCH(AZ258, 'Data Val'!$O$7:$O$11, 0), MATCH('Rotation Assembler'!AZ257, 'Data Val'!$O$7:$R$7, 0)),"")</f>
        <v/>
      </c>
      <c r="BA259" s="128" t="str">
        <f>IFERROR(INDEX('Data Val'!$O$7:$R$11, MATCH(BA258, 'Data Val'!$O$7:$O$11, 0), MATCH('Rotation Assembler'!BA257, 'Data Val'!$O$7:$R$7, 0)),"")</f>
        <v/>
      </c>
      <c r="BB259" s="128" t="str">
        <f>IFERROR(INDEX('Data Val'!$O$7:$R$11, MATCH(BB258, 'Data Val'!$O$7:$O$11, 0), MATCH('Rotation Assembler'!BB257, 'Data Val'!$O$7:$R$7, 0)),"")</f>
        <v/>
      </c>
      <c r="BC259" s="128" t="str">
        <f>IFERROR(INDEX('Data Val'!$O$7:$R$11, MATCH(BC258, 'Data Val'!$O$7:$O$11, 0), MATCH('Rotation Assembler'!BC257, 'Data Val'!$O$7:$R$7, 0)),"")</f>
        <v/>
      </c>
      <c r="BD259" s="128" t="str">
        <f>IFERROR(INDEX('Data Val'!$O$7:$R$11, MATCH(BD258, 'Data Val'!$O$7:$O$11, 0), MATCH('Rotation Assembler'!BD257, 'Data Val'!$O$7:$R$7, 0)),"")</f>
        <v/>
      </c>
      <c r="BE259" s="128" t="str">
        <f>IFERROR(INDEX('Data Val'!$O$7:$R$11, MATCH(BE258, 'Data Val'!$O$7:$O$11, 0), MATCH('Rotation Assembler'!BE257, 'Data Val'!$O$7:$R$7, 0)),"")</f>
        <v/>
      </c>
      <c r="BF259" s="128" t="str">
        <f>IFERROR(INDEX('Data Val'!$O$7:$R$11, MATCH(BF258, 'Data Val'!$O$7:$O$11, 0), MATCH('Rotation Assembler'!BF257, 'Data Val'!$O$7:$R$7, 0)),"")</f>
        <v/>
      </c>
      <c r="BG259" s="128" t="str">
        <f>IFERROR(INDEX('Data Val'!$O$7:$R$11, MATCH(BG258, 'Data Val'!$O$7:$O$11, 0), MATCH('Rotation Assembler'!BG257, 'Data Val'!$O$7:$R$7, 0)),"")</f>
        <v/>
      </c>
      <c r="BH259" s="128" t="str">
        <f>IFERROR(INDEX('Data Val'!$O$7:$R$11, MATCH(BH258, 'Data Val'!$O$7:$O$11, 0), MATCH('Rotation Assembler'!BH257, 'Data Val'!$O$7:$R$7, 0)),"")</f>
        <v/>
      </c>
      <c r="BI259" s="128"/>
      <c r="BJ259" s="128"/>
      <c r="BK259" s="128"/>
      <c r="BL259" s="128"/>
      <c r="BM259" s="128"/>
      <c r="BN259" s="128"/>
      <c r="BO259" s="128"/>
      <c r="BP259" s="128"/>
      <c r="BQ259" s="128"/>
      <c r="BR259" s="128"/>
      <c r="BS259" s="128"/>
      <c r="BT259" s="128"/>
      <c r="BU259" s="128"/>
      <c r="BV259" s="128"/>
      <c r="BW259" s="128"/>
      <c r="BX259" s="128"/>
      <c r="BY259" s="128"/>
      <c r="BZ259" s="128"/>
      <c r="CA259" s="128"/>
      <c r="CB259" s="128"/>
      <c r="CC259" s="128"/>
      <c r="CD259" s="128"/>
      <c r="CE259" s="128"/>
      <c r="CF259" s="128"/>
      <c r="CG259" s="128"/>
      <c r="CH259" s="128"/>
      <c r="CI259" s="128"/>
      <c r="CJ259" s="128"/>
      <c r="CK259" s="128"/>
      <c r="CL259" s="128"/>
      <c r="CM259" s="128"/>
      <c r="CN259" s="128"/>
      <c r="CO259" s="128"/>
      <c r="CP259" s="128"/>
      <c r="CQ259" s="128"/>
      <c r="CR259" s="128"/>
      <c r="CS259" s="128"/>
      <c r="CT259" s="128"/>
      <c r="CU259" s="128"/>
      <c r="CV259" s="128"/>
      <c r="CW259" s="128"/>
      <c r="CX259" s="128"/>
      <c r="CY259" s="128"/>
      <c r="CZ259" s="128"/>
      <c r="DA259" s="128"/>
      <c r="DB259" s="128"/>
      <c r="DC259" s="128"/>
    </row>
    <row r="260" spans="1:107" hidden="1" outlineLevel="1" x14ac:dyDescent="0.25">
      <c r="A260" s="110" t="s">
        <v>1030</v>
      </c>
      <c r="B260" s="128" t="str">
        <f t="shared" ref="B260:G260" si="1388">IF(B256 = "Kit", B10, IF(B256 = "Weapon Proc", "Percentage", ""))</f>
        <v/>
      </c>
      <c r="C260" s="128" t="str">
        <f t="shared" si="1388"/>
        <v/>
      </c>
      <c r="D260" s="128" t="str">
        <f t="shared" si="1388"/>
        <v/>
      </c>
      <c r="E260" s="128" t="str">
        <f t="shared" ref="E260" si="1389">IF(E256 = "Kit", E10, IF(E256 = "Weapon Proc", "Percentage", ""))</f>
        <v/>
      </c>
      <c r="F260" s="128" t="str">
        <f t="shared" si="1388"/>
        <v/>
      </c>
      <c r="G260" s="128" t="str">
        <f t="shared" si="1388"/>
        <v/>
      </c>
      <c r="H260" s="128" t="str">
        <f>IF(H256 = "Kit", H10, IF(H256 = "Weapon Proc", "Percentage", ""))</f>
        <v/>
      </c>
      <c r="I260" s="128" t="str">
        <f t="shared" ref="I260:K260" si="1390">IF(I256 = "Kit", I10, IF(I256 = "Weapon Proc", "Percentage", ""))</f>
        <v/>
      </c>
      <c r="J260" s="128" t="str">
        <f t="shared" si="1390"/>
        <v/>
      </c>
      <c r="K260" s="128" t="str">
        <f t="shared" si="1390"/>
        <v/>
      </c>
      <c r="L260" s="128" t="str">
        <f t="shared" ref="L260" si="1391">IF(L256 = "Kit", L10, IF(L256 = "Weapon Proc", "Percentage", ""))</f>
        <v/>
      </c>
      <c r="M260" s="128" t="str">
        <f t="shared" ref="M260" si="1392">IF(M256 = "Kit", M10, IF(M256 = "Weapon Proc", "Percentage", ""))</f>
        <v/>
      </c>
      <c r="N260" s="128" t="str">
        <f>IF(N256 = "Kit", N10, IF(N256 = "Weapon Proc", "Percentage", ""))</f>
        <v/>
      </c>
      <c r="O260" s="128" t="str">
        <f>IF(O256 = "Kit", O10, IF(O256 = "Weapon Proc", "Percentage", ""))</f>
        <v/>
      </c>
      <c r="P260" s="128" t="str">
        <f>IF(P256 = "Kit", P10, IF(P256 = "Weapon Proc", "Percentage", ""))</f>
        <v/>
      </c>
      <c r="Q260" s="128" t="str">
        <f>IF(Q256 = "Kit", Q10, IF(Q256 = "Weapon Proc", "Percentage", ""))</f>
        <v/>
      </c>
      <c r="R260" s="128" t="str">
        <f t="shared" ref="R260:AZ260" si="1393">IF(R256 = "Kit", R10, IF(R256 = "Weapon Proc", "Percentage", ""))</f>
        <v/>
      </c>
      <c r="S260" s="128" t="str">
        <f t="shared" si="1393"/>
        <v/>
      </c>
      <c r="T260" s="128" t="str">
        <f t="shared" si="1393"/>
        <v/>
      </c>
      <c r="U260" s="128" t="str">
        <f t="shared" si="1393"/>
        <v/>
      </c>
      <c r="V260" s="128" t="str">
        <f t="shared" ref="V260:W260" si="1394">IF(V256 = "Kit", V10, IF(V256 = "Weapon Proc", "Percentage", ""))</f>
        <v/>
      </c>
      <c r="W260" s="128" t="str">
        <f t="shared" si="1394"/>
        <v/>
      </c>
      <c r="X260" s="128" t="str">
        <f t="shared" ref="X260:Y260" si="1395">IF(X256 = "Kit", X10, IF(X256 = "Weapon Proc", "Percentage", ""))</f>
        <v/>
      </c>
      <c r="Y260" s="128" t="str">
        <f t="shared" si="1395"/>
        <v/>
      </c>
      <c r="Z260" s="128" t="str">
        <f t="shared" ref="Z260:AA260" si="1396">IF(Z256 = "Kit", Z10, IF(Z256 = "Weapon Proc", "Percentage", ""))</f>
        <v/>
      </c>
      <c r="AA260" s="128" t="str">
        <f t="shared" si="1396"/>
        <v/>
      </c>
      <c r="AB260" s="128" t="str">
        <f t="shared" si="1393"/>
        <v/>
      </c>
      <c r="AC260" s="128" t="str">
        <f t="shared" si="1393"/>
        <v/>
      </c>
      <c r="AD260" s="128" t="str">
        <f t="shared" si="1393"/>
        <v/>
      </c>
      <c r="AE260" s="128" t="str">
        <f t="shared" si="1393"/>
        <v/>
      </c>
      <c r="AF260" s="128" t="str">
        <f t="shared" si="1393"/>
        <v/>
      </c>
      <c r="AG260" s="128" t="str">
        <f t="shared" ref="AG260:AI260" si="1397">IF(AG256 = "Kit", AG10, IF(AG256 = "Weapon Proc", "Percentage", ""))</f>
        <v/>
      </c>
      <c r="AH260" s="128" t="str">
        <f t="shared" si="1397"/>
        <v/>
      </c>
      <c r="AI260" s="128" t="str">
        <f t="shared" si="1397"/>
        <v/>
      </c>
      <c r="AJ260" s="128" t="e">
        <f t="shared" si="1393"/>
        <v>#N/A</v>
      </c>
      <c r="AK260" s="128" t="e">
        <f t="shared" si="1393"/>
        <v>#N/A</v>
      </c>
      <c r="AL260" s="128" t="e">
        <f t="shared" si="1393"/>
        <v>#N/A</v>
      </c>
      <c r="AM260" s="128" t="e">
        <f t="shared" si="1393"/>
        <v>#N/A</v>
      </c>
      <c r="AN260" s="128" t="e">
        <f t="shared" si="1393"/>
        <v>#N/A</v>
      </c>
      <c r="AO260" s="128" t="e">
        <f t="shared" si="1393"/>
        <v>#N/A</v>
      </c>
      <c r="AP260" s="128" t="e">
        <f t="shared" si="1393"/>
        <v>#N/A</v>
      </c>
      <c r="AQ260" s="128" t="e">
        <f t="shared" si="1393"/>
        <v>#N/A</v>
      </c>
      <c r="AR260" s="128" t="e">
        <f t="shared" si="1393"/>
        <v>#N/A</v>
      </c>
      <c r="AS260" s="128" t="e">
        <f t="shared" si="1393"/>
        <v>#N/A</v>
      </c>
      <c r="AT260" s="128" t="e">
        <f t="shared" si="1393"/>
        <v>#N/A</v>
      </c>
      <c r="AU260" s="128" t="e">
        <f t="shared" si="1393"/>
        <v>#N/A</v>
      </c>
      <c r="AV260" s="128" t="e">
        <f t="shared" si="1393"/>
        <v>#N/A</v>
      </c>
      <c r="AW260" s="128" t="e">
        <f t="shared" si="1393"/>
        <v>#N/A</v>
      </c>
      <c r="AX260" s="128" t="e">
        <f t="shared" si="1393"/>
        <v>#N/A</v>
      </c>
      <c r="AY260" s="128" t="e">
        <f t="shared" si="1393"/>
        <v>#N/A</v>
      </c>
      <c r="AZ260" s="128" t="e">
        <f t="shared" si="1393"/>
        <v>#N/A</v>
      </c>
      <c r="BA260" s="128" t="e">
        <f t="shared" ref="BA260:BC260" si="1398">IF(BA256 = "Kit", BA10, IF(BA256 = "Weapon Proc", "Percentage", ""))</f>
        <v>#N/A</v>
      </c>
      <c r="BB260" s="128" t="e">
        <f t="shared" ref="BB260" si="1399">IF(BB256 = "Kit", BB10, IF(BB256 = "Weapon Proc", "Percentage", ""))</f>
        <v>#N/A</v>
      </c>
      <c r="BC260" s="128" t="e">
        <f t="shared" si="1398"/>
        <v>#N/A</v>
      </c>
      <c r="BD260" s="128" t="e">
        <f t="shared" ref="BD260:BE260" si="1400">IF(BD256 = "Kit", BD10, IF(BD256 = "Weapon Proc", "Percentage", ""))</f>
        <v>#N/A</v>
      </c>
      <c r="BE260" s="128" t="e">
        <f t="shared" si="1400"/>
        <v>#N/A</v>
      </c>
      <c r="BF260" s="128" t="e">
        <f t="shared" ref="BF260:BG260" si="1401">IF(BF256 = "Kit", BF10, IF(BF256 = "Weapon Proc", "Percentage", ""))</f>
        <v>#N/A</v>
      </c>
      <c r="BG260" s="128" t="e">
        <f t="shared" si="1401"/>
        <v>#N/A</v>
      </c>
      <c r="BH260" s="128" t="e">
        <f t="shared" ref="BH260" si="1402">IF(BH256 = "Kit", BH10, IF(BH256 = "Weapon Proc", "Percentage", ""))</f>
        <v>#N/A</v>
      </c>
      <c r="BI260" s="128"/>
      <c r="BJ260" s="128"/>
      <c r="BK260" s="128"/>
      <c r="BL260" s="128"/>
      <c r="BM260" s="128"/>
      <c r="BN260" s="128"/>
      <c r="BO260" s="128"/>
      <c r="BP260" s="128"/>
      <c r="BQ260" s="128"/>
      <c r="BR260" s="128"/>
      <c r="BS260" s="128"/>
      <c r="BT260" s="128"/>
      <c r="BU260" s="128"/>
      <c r="BV260" s="128"/>
      <c r="BW260" s="128"/>
      <c r="BX260" s="128"/>
      <c r="BY260" s="128"/>
      <c r="BZ260" s="128"/>
      <c r="CA260" s="128"/>
      <c r="CB260" s="128"/>
      <c r="CC260" s="128"/>
      <c r="CD260" s="128"/>
      <c r="CE260" s="128"/>
      <c r="CF260" s="128"/>
      <c r="CG260" s="128"/>
      <c r="CH260" s="128"/>
      <c r="CI260" s="128"/>
      <c r="CJ260" s="128"/>
      <c r="CK260" s="128"/>
      <c r="CL260" s="128"/>
      <c r="CM260" s="128"/>
      <c r="CN260" s="128"/>
      <c r="CO260" s="128"/>
      <c r="CP260" s="128"/>
      <c r="CQ260" s="128"/>
      <c r="CR260" s="128"/>
      <c r="CS260" s="128"/>
      <c r="CT260" s="128"/>
      <c r="CU260" s="128"/>
      <c r="CV260" s="128"/>
      <c r="CW260" s="128"/>
      <c r="CX260" s="128"/>
      <c r="CY260" s="128"/>
      <c r="CZ260" s="128"/>
      <c r="DA260" s="128"/>
      <c r="DB260" s="128"/>
      <c r="DC260" s="128"/>
    </row>
    <row r="261" spans="1:107" hidden="1" outlineLevel="1" x14ac:dyDescent="0.25">
      <c r="A261" s="110" t="s">
        <v>1031</v>
      </c>
      <c r="B261" s="128" t="str">
        <f t="shared" ref="B261:G261" si="1403">IF(B256 = "Kit", B30, IF(B256 = "Weapon Proc", B16, ""))</f>
        <v/>
      </c>
      <c r="C261" s="128" t="str">
        <f t="shared" si="1403"/>
        <v/>
      </c>
      <c r="D261" s="128" t="str">
        <f t="shared" si="1403"/>
        <v/>
      </c>
      <c r="E261" s="128" t="str">
        <f t="shared" ref="E261" si="1404">IF(E256 = "Kit", E30, IF(E256 = "Weapon Proc", E16, ""))</f>
        <v/>
      </c>
      <c r="F261" s="128" t="str">
        <f t="shared" si="1403"/>
        <v/>
      </c>
      <c r="G261" s="128" t="str">
        <f t="shared" si="1403"/>
        <v/>
      </c>
      <c r="H261" s="128" t="str">
        <f>IF(H256 = "Kit", H30, IF(H256 = "Weapon Proc", H16, ""))</f>
        <v/>
      </c>
      <c r="I261" s="128" t="str">
        <f t="shared" ref="I261:K261" si="1405">IF(I256 = "Kit", I30, IF(I256 = "Weapon Proc", I16, ""))</f>
        <v/>
      </c>
      <c r="J261" s="128" t="str">
        <f t="shared" si="1405"/>
        <v/>
      </c>
      <c r="K261" s="128" t="str">
        <f t="shared" si="1405"/>
        <v/>
      </c>
      <c r="L261" s="128" t="str">
        <f t="shared" ref="L261" si="1406">IF(L256 = "Kit", L30, IF(L256 = "Weapon Proc", L16, ""))</f>
        <v/>
      </c>
      <c r="M261" s="128" t="str">
        <f t="shared" ref="M261" si="1407">IF(M256 = "Kit", M30, IF(M256 = "Weapon Proc", M16, ""))</f>
        <v/>
      </c>
      <c r="N261" s="128" t="str">
        <f>IF(N256 = "Kit", N30, IF(N256 = "Weapon Proc", N16, ""))</f>
        <v/>
      </c>
      <c r="O261" s="128" t="str">
        <f>IF(O256 = "Kit", O30, IF(O256 = "Weapon Proc", O16, ""))</f>
        <v/>
      </c>
      <c r="P261" s="128" t="str">
        <f>IF(P256 = "Kit", P30, IF(P256 = "Weapon Proc", P16, ""))</f>
        <v/>
      </c>
      <c r="Q261" s="128" t="str">
        <f>IF(Q256 = "Kit", Q30, IF(Q256 = "Weapon Proc", Q16, ""))</f>
        <v/>
      </c>
      <c r="R261" s="128" t="str">
        <f t="shared" ref="R261:AZ261" si="1408">IF(R256 = "Kit", R30, IF(R256 = "Weapon Proc", R16, ""))</f>
        <v/>
      </c>
      <c r="S261" s="128" t="str">
        <f t="shared" si="1408"/>
        <v/>
      </c>
      <c r="T261" s="128" t="str">
        <f t="shared" si="1408"/>
        <v/>
      </c>
      <c r="U261" s="128" t="str">
        <f t="shared" si="1408"/>
        <v/>
      </c>
      <c r="V261" s="128" t="str">
        <f t="shared" ref="V261:W261" si="1409">IF(V256 = "Kit", V30, IF(V256 = "Weapon Proc", V16, ""))</f>
        <v/>
      </c>
      <c r="W261" s="128" t="str">
        <f t="shared" si="1409"/>
        <v/>
      </c>
      <c r="X261" s="128" t="str">
        <f t="shared" ref="X261:Y261" si="1410">IF(X256 = "Kit", X30, IF(X256 = "Weapon Proc", X16, ""))</f>
        <v/>
      </c>
      <c r="Y261" s="128" t="str">
        <f t="shared" si="1410"/>
        <v/>
      </c>
      <c r="Z261" s="128" t="str">
        <f t="shared" ref="Z261:AA261" si="1411">IF(Z256 = "Kit", Z30, IF(Z256 = "Weapon Proc", Z16, ""))</f>
        <v/>
      </c>
      <c r="AA261" s="128" t="str">
        <f t="shared" si="1411"/>
        <v/>
      </c>
      <c r="AB261" s="128" t="str">
        <f t="shared" si="1408"/>
        <v/>
      </c>
      <c r="AC261" s="128" t="str">
        <f t="shared" si="1408"/>
        <v/>
      </c>
      <c r="AD261" s="128" t="str">
        <f t="shared" si="1408"/>
        <v/>
      </c>
      <c r="AE261" s="128" t="str">
        <f t="shared" si="1408"/>
        <v/>
      </c>
      <c r="AF261" s="128" t="str">
        <f t="shared" si="1408"/>
        <v/>
      </c>
      <c r="AG261" s="128" t="str">
        <f t="shared" ref="AG261:AI261" si="1412">IF(AG256 = "Kit", AG30, IF(AG256 = "Weapon Proc", AG16, ""))</f>
        <v/>
      </c>
      <c r="AH261" s="128" t="str">
        <f t="shared" si="1412"/>
        <v/>
      </c>
      <c r="AI261" s="128" t="str">
        <f t="shared" si="1412"/>
        <v/>
      </c>
      <c r="AJ261" s="128" t="e">
        <f t="shared" si="1408"/>
        <v>#N/A</v>
      </c>
      <c r="AK261" s="128" t="e">
        <f t="shared" si="1408"/>
        <v>#N/A</v>
      </c>
      <c r="AL261" s="128" t="e">
        <f t="shared" si="1408"/>
        <v>#N/A</v>
      </c>
      <c r="AM261" s="128" t="e">
        <f t="shared" si="1408"/>
        <v>#N/A</v>
      </c>
      <c r="AN261" s="128" t="e">
        <f t="shared" si="1408"/>
        <v>#N/A</v>
      </c>
      <c r="AO261" s="128" t="e">
        <f t="shared" si="1408"/>
        <v>#N/A</v>
      </c>
      <c r="AP261" s="128" t="e">
        <f t="shared" si="1408"/>
        <v>#N/A</v>
      </c>
      <c r="AQ261" s="128" t="e">
        <f t="shared" si="1408"/>
        <v>#N/A</v>
      </c>
      <c r="AR261" s="128" t="e">
        <f t="shared" si="1408"/>
        <v>#N/A</v>
      </c>
      <c r="AS261" s="128" t="e">
        <f t="shared" si="1408"/>
        <v>#N/A</v>
      </c>
      <c r="AT261" s="128" t="e">
        <f t="shared" si="1408"/>
        <v>#N/A</v>
      </c>
      <c r="AU261" s="128" t="e">
        <f t="shared" si="1408"/>
        <v>#N/A</v>
      </c>
      <c r="AV261" s="128" t="e">
        <f t="shared" si="1408"/>
        <v>#N/A</v>
      </c>
      <c r="AW261" s="128" t="e">
        <f t="shared" si="1408"/>
        <v>#N/A</v>
      </c>
      <c r="AX261" s="128" t="e">
        <f t="shared" si="1408"/>
        <v>#N/A</v>
      </c>
      <c r="AY261" s="128" t="e">
        <f t="shared" si="1408"/>
        <v>#N/A</v>
      </c>
      <c r="AZ261" s="128" t="e">
        <f t="shared" si="1408"/>
        <v>#N/A</v>
      </c>
      <c r="BA261" s="128" t="e">
        <f t="shared" ref="BA261:BC261" si="1413">IF(BA256 = "Kit", BA30, IF(BA256 = "Weapon Proc", BA16, ""))</f>
        <v>#N/A</v>
      </c>
      <c r="BB261" s="128" t="e">
        <f t="shared" ref="BB261" si="1414">IF(BB256 = "Kit", BB30, IF(BB256 = "Weapon Proc", BB16, ""))</f>
        <v>#N/A</v>
      </c>
      <c r="BC261" s="128" t="e">
        <f t="shared" si="1413"/>
        <v>#N/A</v>
      </c>
      <c r="BD261" s="128" t="e">
        <f t="shared" ref="BD261:BE261" si="1415">IF(BD256 = "Kit", BD30, IF(BD256 = "Weapon Proc", BD16, ""))</f>
        <v>#N/A</v>
      </c>
      <c r="BE261" s="128" t="e">
        <f t="shared" si="1415"/>
        <v>#N/A</v>
      </c>
      <c r="BF261" s="128" t="e">
        <f t="shared" ref="BF261:BG261" si="1416">IF(BF256 = "Kit", BF30, IF(BF256 = "Weapon Proc", BF16, ""))</f>
        <v>#N/A</v>
      </c>
      <c r="BG261" s="128" t="e">
        <f t="shared" si="1416"/>
        <v>#N/A</v>
      </c>
      <c r="BH261" s="128" t="e">
        <f t="shared" ref="BH261" si="1417">IF(BH256 = "Kit", BH30, IF(BH256 = "Weapon Proc", BH16, ""))</f>
        <v>#N/A</v>
      </c>
      <c r="BI261" s="128"/>
      <c r="BJ261" s="128"/>
      <c r="BK261" s="128"/>
      <c r="BL261" s="128"/>
      <c r="BM261" s="128"/>
      <c r="BN261" s="128"/>
      <c r="BO261" s="128"/>
      <c r="BP261" s="128"/>
      <c r="BQ261" s="128"/>
      <c r="BR261" s="128"/>
      <c r="BS261" s="128"/>
      <c r="BT261" s="128"/>
      <c r="BU261" s="128"/>
      <c r="BV261" s="128"/>
      <c r="BW261" s="128"/>
      <c r="BX261" s="128"/>
      <c r="BY261" s="128"/>
      <c r="BZ261" s="128"/>
      <c r="CA261" s="128"/>
      <c r="CB261" s="128"/>
      <c r="CC261" s="128"/>
      <c r="CD261" s="128"/>
      <c r="CE261" s="128"/>
      <c r="CF261" s="128"/>
      <c r="CG261" s="128"/>
      <c r="CH261" s="128"/>
      <c r="CI261" s="128"/>
      <c r="CJ261" s="128"/>
      <c r="CK261" s="128"/>
      <c r="CL261" s="128"/>
      <c r="CM261" s="128"/>
      <c r="CN261" s="128"/>
      <c r="CO261" s="128"/>
      <c r="CP261" s="128"/>
      <c r="CQ261" s="128"/>
      <c r="CR261" s="128"/>
      <c r="CS261" s="128"/>
      <c r="CT261" s="128"/>
      <c r="CU261" s="128"/>
      <c r="CV261" s="128"/>
      <c r="CW261" s="128"/>
      <c r="CX261" s="128"/>
      <c r="CY261" s="128"/>
      <c r="CZ261" s="128"/>
      <c r="DA261" s="128"/>
      <c r="DB261" s="128"/>
      <c r="DC261" s="128"/>
    </row>
    <row r="262" spans="1:107" hidden="1" outlineLevel="1" x14ac:dyDescent="0.25">
      <c r="A262" s="110" t="s">
        <v>1032</v>
      </c>
      <c r="B262" s="128">
        <f>IFERROR(IF(B260="Percentage",B259*B261,IF(B260="Flat", B261, 0)),0)</f>
        <v>0</v>
      </c>
      <c r="C262" s="128">
        <f t="shared" ref="C262:K262" si="1418">IFERROR(IF(C260="Percentage",C259*C261,IF(C260="Flat", C261, 0)),0)</f>
        <v>0</v>
      </c>
      <c r="D262" s="128">
        <f t="shared" si="1418"/>
        <v>0</v>
      </c>
      <c r="E262" s="128">
        <f t="shared" ref="E262" si="1419">IFERROR(IF(E260="Percentage",E259*E261,IF(E260="Flat", E261, 0)),0)</f>
        <v>0</v>
      </c>
      <c r="F262" s="128">
        <f t="shared" si="1418"/>
        <v>0</v>
      </c>
      <c r="G262" s="128">
        <f t="shared" si="1418"/>
        <v>0</v>
      </c>
      <c r="H262" s="128">
        <f>IFERROR(IF(H260="Percentage",H259*H261,IF(H260="Flat", H261, 0)),0)</f>
        <v>0</v>
      </c>
      <c r="I262" s="128">
        <f t="shared" si="1418"/>
        <v>0</v>
      </c>
      <c r="J262" s="128">
        <f t="shared" si="1418"/>
        <v>0</v>
      </c>
      <c r="K262" s="128">
        <f t="shared" si="1418"/>
        <v>0</v>
      </c>
      <c r="L262" s="128">
        <f t="shared" ref="L262" si="1420">IFERROR(IF(L260="Percentage",L259*L261,IF(L260="Flat", L261, 0)),0)</f>
        <v>0</v>
      </c>
      <c r="M262" s="128">
        <f t="shared" ref="M262" si="1421">IFERROR(IF(M260="Percentage",M259*M261,IF(M260="Flat", M261, 0)),0)</f>
        <v>0</v>
      </c>
      <c r="N262" s="128">
        <f>IFERROR(IF(N260="Percentage",N259*N261,IF(N260="Flat", N261, 0)),0)</f>
        <v>0</v>
      </c>
      <c r="O262" s="128">
        <f>IFERROR(IF(O260="Percentage",O259*O261,IF(O260="Flat", O261, 0)),0)</f>
        <v>0</v>
      </c>
      <c r="P262" s="128">
        <f>IFERROR(IF(P260="Percentage",P259*P261,IF(P260="Flat", P261, 0)),0)</f>
        <v>0</v>
      </c>
      <c r="Q262" s="128">
        <f>IFERROR(IF(Q260="Percentage",Q259*Q261,IF(Q260="Flat", Q261, 0)),0)</f>
        <v>0</v>
      </c>
      <c r="R262" s="128">
        <f t="shared" ref="R262:AZ262" si="1422">IFERROR(IF(R260="Percentage",R259*R261,IF(R260="Flat", R261, 0)),0)</f>
        <v>0</v>
      </c>
      <c r="S262" s="128">
        <f t="shared" si="1422"/>
        <v>0</v>
      </c>
      <c r="T262" s="128">
        <f t="shared" si="1422"/>
        <v>0</v>
      </c>
      <c r="U262" s="128">
        <f t="shared" si="1422"/>
        <v>0</v>
      </c>
      <c r="V262" s="128">
        <f t="shared" ref="V262:W262" si="1423">IFERROR(IF(V260="Percentage",V259*V261,IF(V260="Flat", V261, 0)),0)</f>
        <v>0</v>
      </c>
      <c r="W262" s="128">
        <f t="shared" si="1423"/>
        <v>0</v>
      </c>
      <c r="X262" s="128">
        <f t="shared" ref="X262:Y262" si="1424">IFERROR(IF(X260="Percentage",X259*X261,IF(X260="Flat", X261, 0)),0)</f>
        <v>0</v>
      </c>
      <c r="Y262" s="128">
        <f t="shared" si="1424"/>
        <v>0</v>
      </c>
      <c r="Z262" s="128">
        <f t="shared" ref="Z262:AA262" si="1425">IFERROR(IF(Z260="Percentage",Z259*Z261,IF(Z260="Flat", Z261, 0)),0)</f>
        <v>0</v>
      </c>
      <c r="AA262" s="128">
        <f t="shared" si="1425"/>
        <v>0</v>
      </c>
      <c r="AB262" s="128">
        <f t="shared" si="1422"/>
        <v>0</v>
      </c>
      <c r="AC262" s="128">
        <f t="shared" si="1422"/>
        <v>0</v>
      </c>
      <c r="AD262" s="128">
        <f t="shared" si="1422"/>
        <v>0</v>
      </c>
      <c r="AE262" s="128">
        <f t="shared" si="1422"/>
        <v>0</v>
      </c>
      <c r="AF262" s="128">
        <f t="shared" si="1422"/>
        <v>0</v>
      </c>
      <c r="AG262" s="128">
        <f t="shared" ref="AG262:AI262" si="1426">IFERROR(IF(AG260="Percentage",AG259*AG261,IF(AG260="Flat", AG261, 0)),0)</f>
        <v>0</v>
      </c>
      <c r="AH262" s="128">
        <f t="shared" si="1426"/>
        <v>0</v>
      </c>
      <c r="AI262" s="128">
        <f t="shared" si="1426"/>
        <v>0</v>
      </c>
      <c r="AJ262" s="128">
        <f t="shared" si="1422"/>
        <v>0</v>
      </c>
      <c r="AK262" s="128">
        <f t="shared" si="1422"/>
        <v>0</v>
      </c>
      <c r="AL262" s="128">
        <f t="shared" si="1422"/>
        <v>0</v>
      </c>
      <c r="AM262" s="128">
        <f t="shared" si="1422"/>
        <v>0</v>
      </c>
      <c r="AN262" s="128">
        <f t="shared" si="1422"/>
        <v>0</v>
      </c>
      <c r="AO262" s="128">
        <f t="shared" si="1422"/>
        <v>0</v>
      </c>
      <c r="AP262" s="128">
        <f t="shared" si="1422"/>
        <v>0</v>
      </c>
      <c r="AQ262" s="128">
        <f t="shared" si="1422"/>
        <v>0</v>
      </c>
      <c r="AR262" s="128">
        <f t="shared" si="1422"/>
        <v>0</v>
      </c>
      <c r="AS262" s="128">
        <f t="shared" si="1422"/>
        <v>0</v>
      </c>
      <c r="AT262" s="128">
        <f t="shared" si="1422"/>
        <v>0</v>
      </c>
      <c r="AU262" s="128">
        <f t="shared" si="1422"/>
        <v>0</v>
      </c>
      <c r="AV262" s="128">
        <f t="shared" si="1422"/>
        <v>0</v>
      </c>
      <c r="AW262" s="128">
        <f t="shared" si="1422"/>
        <v>0</v>
      </c>
      <c r="AX262" s="128">
        <f t="shared" si="1422"/>
        <v>0</v>
      </c>
      <c r="AY262" s="128">
        <f t="shared" si="1422"/>
        <v>0</v>
      </c>
      <c r="AZ262" s="128">
        <f t="shared" si="1422"/>
        <v>0</v>
      </c>
      <c r="BA262" s="128">
        <f t="shared" ref="BA262:BC262" si="1427">IFERROR(BA259*BA261,0)</f>
        <v>0</v>
      </c>
      <c r="BB262" s="128">
        <f t="shared" ref="BB262" si="1428">IFERROR(BB259*BB261,0)</f>
        <v>0</v>
      </c>
      <c r="BC262" s="128">
        <f t="shared" si="1427"/>
        <v>0</v>
      </c>
      <c r="BD262" s="128">
        <f t="shared" ref="BD262:BE262" si="1429">IFERROR(BD259*BD261,0)</f>
        <v>0</v>
      </c>
      <c r="BE262" s="128">
        <f t="shared" si="1429"/>
        <v>0</v>
      </c>
      <c r="BF262" s="128">
        <f t="shared" ref="BF262:BG262" si="1430">IFERROR(BF259*BF261,0)</f>
        <v>0</v>
      </c>
      <c r="BG262" s="128">
        <f t="shared" si="1430"/>
        <v>0</v>
      </c>
      <c r="BH262" s="128">
        <f t="shared" ref="BH262" si="1431">IFERROR(BH259*BH261,0)</f>
        <v>0</v>
      </c>
      <c r="BI262" s="128"/>
      <c r="BJ262" s="128"/>
      <c r="BK262" s="128"/>
      <c r="BL262" s="128"/>
      <c r="BM262" s="128"/>
      <c r="BN262" s="128"/>
      <c r="BO262" s="128"/>
      <c r="BP262" s="128"/>
      <c r="BQ262" s="128"/>
      <c r="BR262" s="128"/>
      <c r="BS262" s="128"/>
      <c r="BT262" s="128"/>
      <c r="BU262" s="128"/>
      <c r="BV262" s="128"/>
      <c r="BW262" s="128"/>
      <c r="BX262" s="128"/>
      <c r="BY262" s="128"/>
      <c r="BZ262" s="128"/>
      <c r="CA262" s="128"/>
      <c r="CB262" s="128"/>
      <c r="CC262" s="128"/>
      <c r="CD262" s="128"/>
      <c r="CE262" s="128"/>
      <c r="CF262" s="128"/>
      <c r="CG262" s="128"/>
      <c r="CH262" s="128"/>
      <c r="CI262" s="128"/>
      <c r="CJ262" s="128"/>
      <c r="CK262" s="128"/>
      <c r="CL262" s="128"/>
      <c r="CM262" s="128"/>
      <c r="CN262" s="128"/>
      <c r="CO262" s="128"/>
      <c r="CP262" s="128"/>
      <c r="CQ262" s="128"/>
      <c r="CR262" s="128"/>
      <c r="CS262" s="128"/>
      <c r="CT262" s="128"/>
      <c r="CU262" s="128"/>
      <c r="CV262" s="128"/>
      <c r="CW262" s="128"/>
      <c r="CX262" s="128"/>
      <c r="CY262" s="128"/>
      <c r="CZ262" s="128"/>
      <c r="DA262" s="128"/>
      <c r="DB262" s="128"/>
      <c r="DC262" s="128"/>
    </row>
    <row r="263" spans="1:107" s="113" customFormat="1" collapsed="1" x14ac:dyDescent="0.25">
      <c r="A263" s="112" t="s">
        <v>671</v>
      </c>
    </row>
    <row r="264" spans="1:107" s="129" customFormat="1" hidden="1" outlineLevel="1" x14ac:dyDescent="0.25">
      <c r="A264" s="110" t="s">
        <v>672</v>
      </c>
      <c r="B264" s="208">
        <f t="shared" ref="B264:G264" si="1432">IFERROR(INDEX(B141:B143, MATCH(B5, $A$141:$A$143, 0), 1),0)</f>
        <v>2099.4830000000002</v>
      </c>
      <c r="C264" s="208">
        <f t="shared" si="1432"/>
        <v>1790.4756</v>
      </c>
      <c r="D264" s="208">
        <f t="shared" si="1432"/>
        <v>1631.2384</v>
      </c>
      <c r="E264" s="208">
        <f t="shared" ref="E264" si="1433">IFERROR(INDEX(E141:E143, MATCH(E5, $A$141:$A$143, 0), 1),0)</f>
        <v>0</v>
      </c>
      <c r="F264" s="208">
        <f t="shared" si="1432"/>
        <v>1631.2384</v>
      </c>
      <c r="G264" s="208">
        <f t="shared" si="1432"/>
        <v>1631.2384</v>
      </c>
      <c r="H264" s="208">
        <f ca="1">IFERROR(INDEX(H141:H143, MATCH(H5, $A$141:$A$143, 0), 1),0)</f>
        <v>2938.2187999999996</v>
      </c>
      <c r="I264" s="208">
        <f t="shared" ref="I264:K264" si="1434">IFERROR(INDEX(I141:I143, MATCH(I5, $A$141:$A$143, 0), 1),0)</f>
        <v>1631.2384</v>
      </c>
      <c r="J264" s="208">
        <f t="shared" si="1434"/>
        <v>1631.2384</v>
      </c>
      <c r="K264" s="208">
        <f t="shared" si="1434"/>
        <v>1631.2384</v>
      </c>
      <c r="L264" s="208">
        <f t="shared" ref="L264" si="1435">IFERROR(INDEX(L141:L143, MATCH(L5, $A$141:$A$143, 0), 1),0)</f>
        <v>1631.2384</v>
      </c>
      <c r="M264" s="208">
        <f t="shared" ref="M264" si="1436">IFERROR(INDEX(M141:M143, MATCH(M5, $A$141:$A$143, 0), 1),0)</f>
        <v>0</v>
      </c>
      <c r="N264" s="208">
        <f>IFERROR(INDEX(N141:N143, MATCH(N5, $A$141:$A$143, 0), 1),0)</f>
        <v>0</v>
      </c>
      <c r="O264" s="208">
        <f ca="1">IFERROR(INDEX(O141:O143, MATCH(O5, $A$141:$A$143, 0), 1),0)</f>
        <v>2938.2187999999996</v>
      </c>
      <c r="P264" s="208">
        <f ca="1">IFERROR(INDEX(P141:P143, MATCH(P5, $A$141:$A$143, 0), 1),0)</f>
        <v>3112.0187999999998</v>
      </c>
      <c r="Q264" s="208">
        <f ca="1">IFERROR(INDEX(Q141:Q143, MATCH(Q5, $A$141:$A$143, 0), 1),0)</f>
        <v>3112.0187999999998</v>
      </c>
      <c r="R264" s="208">
        <f t="shared" ref="R264:AZ264" ca="1" si="1437">IFERROR(INDEX(R141:R143, MATCH(R5, $A$141:$A$143, 0), 1),0)</f>
        <v>3112.0187999999998</v>
      </c>
      <c r="S264" s="208">
        <f t="shared" si="1437"/>
        <v>2099.4830000000002</v>
      </c>
      <c r="T264" s="208">
        <f t="shared" si="1437"/>
        <v>1631.0755999999999</v>
      </c>
      <c r="U264" s="208">
        <f t="shared" si="1437"/>
        <v>2437.4829999999997</v>
      </c>
      <c r="V264" s="208">
        <f t="shared" ref="V264:W264" si="1438">IFERROR(INDEX(V141:V143, MATCH(V5, $A$141:$A$143, 0), 1),0)</f>
        <v>2437.4829999999997</v>
      </c>
      <c r="W264" s="208">
        <f t="shared" si="1438"/>
        <v>2437.4829999999997</v>
      </c>
      <c r="X264" s="208">
        <f t="shared" ref="X264:Y264" si="1439">IFERROR(INDEX(X141:X143, MATCH(X5, $A$141:$A$143, 0), 1),0)</f>
        <v>2437.4829999999997</v>
      </c>
      <c r="Y264" s="208">
        <f t="shared" si="1439"/>
        <v>2437.4829999999997</v>
      </c>
      <c r="Z264" s="208">
        <f t="shared" ref="Z264:AA264" si="1440">IFERROR(INDEX(Z141:Z143, MATCH(Z5, $A$141:$A$143, 0), 1),0)</f>
        <v>2437.4829999999997</v>
      </c>
      <c r="AA264" s="208">
        <f t="shared" si="1440"/>
        <v>2437.4829999999997</v>
      </c>
      <c r="AB264" s="208">
        <f t="shared" si="1437"/>
        <v>1949.8756000000001</v>
      </c>
      <c r="AC264" s="208">
        <f t="shared" si="1437"/>
        <v>1631.2384</v>
      </c>
      <c r="AD264" s="208">
        <f t="shared" si="1437"/>
        <v>0</v>
      </c>
      <c r="AE264" s="208">
        <f t="shared" ca="1" si="1437"/>
        <v>2938.2187999999996</v>
      </c>
      <c r="AF264" s="208">
        <f t="shared" si="1437"/>
        <v>2268.4830000000002</v>
      </c>
      <c r="AG264" s="208">
        <f t="shared" ref="AG264:AI264" si="1441">IFERROR(INDEX(AG141:AG143, MATCH(AG5, $A$141:$A$143, 0), 1),0)</f>
        <v>2268.4830000000002</v>
      </c>
      <c r="AH264" s="208">
        <f t="shared" si="1441"/>
        <v>2099.4830000000002</v>
      </c>
      <c r="AI264" s="208">
        <f t="shared" si="1441"/>
        <v>2099.4830000000002</v>
      </c>
      <c r="AJ264" s="208">
        <f t="shared" si="1437"/>
        <v>0</v>
      </c>
      <c r="AK264" s="208">
        <f t="shared" si="1437"/>
        <v>0</v>
      </c>
      <c r="AL264" s="208">
        <f t="shared" si="1437"/>
        <v>0</v>
      </c>
      <c r="AM264" s="208">
        <f t="shared" si="1437"/>
        <v>0</v>
      </c>
      <c r="AN264" s="208">
        <f t="shared" si="1437"/>
        <v>0</v>
      </c>
      <c r="AO264" s="208">
        <f t="shared" si="1437"/>
        <v>0</v>
      </c>
      <c r="AP264" s="208">
        <f t="shared" si="1437"/>
        <v>0</v>
      </c>
      <c r="AQ264" s="208">
        <f t="shared" si="1437"/>
        <v>0</v>
      </c>
      <c r="AR264" s="208">
        <f t="shared" si="1437"/>
        <v>0</v>
      </c>
      <c r="AS264" s="208">
        <f t="shared" si="1437"/>
        <v>0</v>
      </c>
      <c r="AT264" s="208">
        <f t="shared" si="1437"/>
        <v>0</v>
      </c>
      <c r="AU264" s="208">
        <f t="shared" si="1437"/>
        <v>0</v>
      </c>
      <c r="AV264" s="208">
        <f t="shared" si="1437"/>
        <v>0</v>
      </c>
      <c r="AW264" s="208">
        <f t="shared" si="1437"/>
        <v>0</v>
      </c>
      <c r="AX264" s="208">
        <f t="shared" si="1437"/>
        <v>0</v>
      </c>
      <c r="AY264" s="208">
        <f t="shared" si="1437"/>
        <v>0</v>
      </c>
      <c r="AZ264" s="208">
        <f t="shared" si="1437"/>
        <v>0</v>
      </c>
      <c r="BA264" s="208">
        <f t="shared" ref="BA264:BC264" si="1442">IFERROR(INDEX(BA141:BA143, MATCH(BA5, $A$141:$A$143, 0), 1),0)</f>
        <v>0</v>
      </c>
      <c r="BB264" s="208">
        <f t="shared" ref="BB264" si="1443">IFERROR(INDEX(BB141:BB143, MATCH(BB5, $A$141:$A$143, 0), 1),0)</f>
        <v>0</v>
      </c>
      <c r="BC264" s="208">
        <f t="shared" si="1442"/>
        <v>0</v>
      </c>
      <c r="BD264" s="208">
        <f t="shared" ref="BD264:BE264" si="1444">IFERROR(INDEX(BD141:BD143, MATCH(BD5, $A$141:$A$143, 0), 1),0)</f>
        <v>0</v>
      </c>
      <c r="BE264" s="208">
        <f t="shared" si="1444"/>
        <v>0</v>
      </c>
      <c r="BF264" s="208">
        <f t="shared" ref="BF264:BG264" si="1445">IFERROR(INDEX(BF141:BF143, MATCH(BF5, $A$141:$A$143, 0), 1),0)</f>
        <v>0</v>
      </c>
      <c r="BG264" s="208">
        <f t="shared" si="1445"/>
        <v>0</v>
      </c>
      <c r="BH264" s="208">
        <f t="shared" ref="BH264" si="1446">IFERROR(INDEX(BH141:BH143, MATCH(BH5, $A$141:$A$143, 0), 1),0)</f>
        <v>0</v>
      </c>
      <c r="BI264" s="208"/>
      <c r="BJ264" s="208"/>
      <c r="BK264" s="208"/>
      <c r="BL264" s="208"/>
      <c r="BM264" s="208"/>
      <c r="BN264" s="208"/>
      <c r="BO264" s="208"/>
      <c r="BP264" s="208"/>
      <c r="BQ264" s="208"/>
      <c r="BR264" s="208"/>
      <c r="BS264" s="208"/>
      <c r="BT264" s="208"/>
      <c r="BU264" s="208"/>
      <c r="BV264" s="208"/>
      <c r="BW264" s="208"/>
      <c r="BX264" s="208"/>
      <c r="BY264" s="208"/>
      <c r="BZ264" s="208"/>
      <c r="CA264" s="208"/>
      <c r="CB264" s="208"/>
      <c r="CC264" s="208"/>
      <c r="CD264" s="208"/>
      <c r="CE264" s="208"/>
      <c r="CF264" s="208"/>
      <c r="CG264" s="208"/>
      <c r="CH264" s="208"/>
      <c r="CI264" s="208"/>
      <c r="CJ264" s="128"/>
      <c r="CK264" s="128"/>
      <c r="CL264" s="128"/>
      <c r="CM264" s="128"/>
      <c r="CN264" s="128"/>
      <c r="CO264" s="128"/>
      <c r="CP264" s="128"/>
      <c r="CQ264" s="128"/>
      <c r="CR264" s="128"/>
      <c r="CS264" s="128"/>
      <c r="CT264" s="128"/>
      <c r="CU264" s="128"/>
      <c r="CV264" s="128"/>
      <c r="CW264" s="128"/>
      <c r="CX264" s="128"/>
      <c r="CY264" s="128"/>
      <c r="CZ264" s="128"/>
      <c r="DA264" s="128"/>
      <c r="DB264" s="128"/>
      <c r="DC264" s="128"/>
    </row>
    <row r="265" spans="1:107" s="129" customFormat="1" hidden="1" outlineLevel="1" x14ac:dyDescent="0.25">
      <c r="A265" s="110" t="s">
        <v>1065</v>
      </c>
      <c r="B265" s="208">
        <f>B264*B30</f>
        <v>4711.2398520000006</v>
      </c>
      <c r="C265" s="208">
        <f t="shared" ref="C265:G265" si="1447">C264*C30</f>
        <v>974.01872640000011</v>
      </c>
      <c r="D265" s="208">
        <f t="shared" si="1447"/>
        <v>7653.7705728000001</v>
      </c>
      <c r="E265" s="208">
        <f t="shared" ref="E265" si="1448">E264*E30</f>
        <v>0</v>
      </c>
      <c r="F265" s="208">
        <f t="shared" si="1447"/>
        <v>1042.6875852799999</v>
      </c>
      <c r="G265" s="208">
        <f t="shared" si="1447"/>
        <v>521.34379263999995</v>
      </c>
      <c r="H265" s="208">
        <f ca="1">H264*H30</f>
        <v>6953.0009683199996</v>
      </c>
      <c r="I265" s="208">
        <f t="shared" ref="I265:K265" si="1449">I264*I30</f>
        <v>521.34379263999995</v>
      </c>
      <c r="J265" s="208">
        <f t="shared" si="1449"/>
        <v>521.34379263999995</v>
      </c>
      <c r="K265" s="208">
        <f t="shared" si="1449"/>
        <v>521.34379263999995</v>
      </c>
      <c r="L265" s="208">
        <f t="shared" ref="L265" si="1450">L264*L30</f>
        <v>1042.6875852799999</v>
      </c>
      <c r="M265" s="208">
        <f t="shared" ref="M265" si="1451">M264*M30</f>
        <v>0</v>
      </c>
      <c r="N265" s="208">
        <f>N264*N30</f>
        <v>0</v>
      </c>
      <c r="O265" s="208">
        <f ca="1">O264*O30</f>
        <v>5034.9317356799993</v>
      </c>
      <c r="P265" s="208">
        <f ca="1">P264*P30</f>
        <v>1752.0665843999998</v>
      </c>
      <c r="Q265" s="208">
        <f ca="1">Q264*Q30</f>
        <v>1752.0665843999998</v>
      </c>
      <c r="R265" s="208">
        <f t="shared" ref="R265:AZ265" ca="1" si="1452">R264*R30</f>
        <v>1752.0665843999998</v>
      </c>
      <c r="S265" s="208">
        <f t="shared" si="1452"/>
        <v>4711.2398520000006</v>
      </c>
      <c r="T265" s="208">
        <f t="shared" si="1452"/>
        <v>3682.3162745599998</v>
      </c>
      <c r="U265" s="208">
        <f t="shared" si="1452"/>
        <v>2911.8171917999998</v>
      </c>
      <c r="V265" s="208">
        <f t="shared" ref="V265:W265" si="1453">V264*V30</f>
        <v>2911.8171917999998</v>
      </c>
      <c r="W265" s="208">
        <f t="shared" si="1453"/>
        <v>2911.8171917999998</v>
      </c>
      <c r="X265" s="208">
        <f t="shared" ref="X265:Y265" si="1454">X264*X30</f>
        <v>2911.8171917999998</v>
      </c>
      <c r="Y265" s="208">
        <f t="shared" si="1454"/>
        <v>2911.8171917999998</v>
      </c>
      <c r="Z265" s="208">
        <f t="shared" ref="Z265:AA265" si="1455">Z264*Z30</f>
        <v>2911.8171917999998</v>
      </c>
      <c r="AA265" s="208">
        <f t="shared" si="1455"/>
        <v>2911.8171917999998</v>
      </c>
      <c r="AB265" s="208">
        <f t="shared" si="1452"/>
        <v>14664.624412480001</v>
      </c>
      <c r="AC265" s="208">
        <f t="shared" si="1452"/>
        <v>7653.7705728000001</v>
      </c>
      <c r="AD265" s="208">
        <f t="shared" si="1452"/>
        <v>0</v>
      </c>
      <c r="AE265" s="208">
        <f t="shared" ca="1" si="1452"/>
        <v>6953.0009683199996</v>
      </c>
      <c r="AF265" s="208">
        <f t="shared" si="1452"/>
        <v>4936.2190080000009</v>
      </c>
      <c r="AG265" s="208">
        <f t="shared" ref="AG265:AI265" si="1456">AG264*AG30</f>
        <v>8391.5723135999997</v>
      </c>
      <c r="AH265" s="208">
        <f t="shared" si="1456"/>
        <v>4568.4750080000003</v>
      </c>
      <c r="AI265" s="208">
        <f t="shared" si="1456"/>
        <v>7766.4075136000001</v>
      </c>
      <c r="AJ265" s="208" t="e">
        <f t="shared" si="1452"/>
        <v>#N/A</v>
      </c>
      <c r="AK265" s="208" t="e">
        <f t="shared" si="1452"/>
        <v>#N/A</v>
      </c>
      <c r="AL265" s="208" t="e">
        <f t="shared" si="1452"/>
        <v>#N/A</v>
      </c>
      <c r="AM265" s="208" t="e">
        <f t="shared" si="1452"/>
        <v>#N/A</v>
      </c>
      <c r="AN265" s="208" t="e">
        <f t="shared" si="1452"/>
        <v>#N/A</v>
      </c>
      <c r="AO265" s="208" t="e">
        <f t="shared" si="1452"/>
        <v>#N/A</v>
      </c>
      <c r="AP265" s="208" t="e">
        <f t="shared" si="1452"/>
        <v>#N/A</v>
      </c>
      <c r="AQ265" s="208" t="e">
        <f t="shared" si="1452"/>
        <v>#N/A</v>
      </c>
      <c r="AR265" s="208" t="e">
        <f t="shared" si="1452"/>
        <v>#N/A</v>
      </c>
      <c r="AS265" s="208" t="e">
        <f t="shared" si="1452"/>
        <v>#N/A</v>
      </c>
      <c r="AT265" s="208" t="e">
        <f t="shared" si="1452"/>
        <v>#N/A</v>
      </c>
      <c r="AU265" s="208" t="e">
        <f t="shared" si="1452"/>
        <v>#N/A</v>
      </c>
      <c r="AV265" s="208" t="e">
        <f t="shared" si="1452"/>
        <v>#N/A</v>
      </c>
      <c r="AW265" s="208" t="e">
        <f t="shared" si="1452"/>
        <v>#N/A</v>
      </c>
      <c r="AX265" s="208" t="e">
        <f t="shared" si="1452"/>
        <v>#N/A</v>
      </c>
      <c r="AY265" s="208" t="e">
        <f t="shared" si="1452"/>
        <v>#N/A</v>
      </c>
      <c r="AZ265" s="208" t="e">
        <f t="shared" si="1452"/>
        <v>#N/A</v>
      </c>
      <c r="BA265" s="208" t="e">
        <f t="shared" ref="BA265:BC265" si="1457">BA264*BA30</f>
        <v>#N/A</v>
      </c>
      <c r="BB265" s="208" t="e">
        <f t="shared" ref="BB265" si="1458">BB264*BB30</f>
        <v>#N/A</v>
      </c>
      <c r="BC265" s="208" t="e">
        <f t="shared" si="1457"/>
        <v>#N/A</v>
      </c>
      <c r="BD265" s="208" t="e">
        <f t="shared" ref="BD265:BE265" si="1459">BD264*BD30</f>
        <v>#N/A</v>
      </c>
      <c r="BE265" s="208" t="e">
        <f t="shared" si="1459"/>
        <v>#N/A</v>
      </c>
      <c r="BF265" s="208" t="e">
        <f t="shared" ref="BF265:BG265" si="1460">BF264*BF30</f>
        <v>#N/A</v>
      </c>
      <c r="BG265" s="208" t="e">
        <f t="shared" si="1460"/>
        <v>#N/A</v>
      </c>
      <c r="BH265" s="208" t="e">
        <f t="shared" ref="BH265" si="1461">BH264*BH30</f>
        <v>#N/A</v>
      </c>
      <c r="BI265" s="208"/>
      <c r="BJ265" s="208"/>
      <c r="BK265" s="208"/>
      <c r="BL265" s="208"/>
      <c r="BM265" s="208"/>
      <c r="BN265" s="208"/>
      <c r="BO265" s="208"/>
      <c r="BP265" s="208"/>
      <c r="BQ265" s="208"/>
      <c r="BR265" s="208"/>
      <c r="BS265" s="208"/>
      <c r="BT265" s="208"/>
      <c r="BU265" s="208"/>
      <c r="BV265" s="208"/>
      <c r="BW265" s="208"/>
      <c r="BX265" s="208"/>
      <c r="BY265" s="208"/>
      <c r="BZ265" s="208"/>
      <c r="CA265" s="208"/>
      <c r="CB265" s="208"/>
      <c r="CC265" s="208"/>
      <c r="CD265" s="208"/>
      <c r="CE265" s="208"/>
      <c r="CF265" s="208"/>
      <c r="CG265" s="208"/>
      <c r="CH265" s="208"/>
      <c r="CI265" s="208"/>
      <c r="CJ265" s="128"/>
      <c r="CK265" s="128"/>
      <c r="CL265" s="128"/>
      <c r="CM265" s="128"/>
      <c r="CN265" s="128"/>
      <c r="CO265" s="128"/>
      <c r="CP265" s="128"/>
      <c r="CQ265" s="128"/>
      <c r="CR265" s="128"/>
      <c r="CS265" s="128"/>
      <c r="CT265" s="128"/>
      <c r="CU265" s="128"/>
      <c r="CV265" s="128"/>
      <c r="CW265" s="128"/>
      <c r="CX265" s="128"/>
      <c r="CY265" s="128"/>
      <c r="CZ265" s="128"/>
      <c r="DA265" s="128"/>
      <c r="DB265" s="128"/>
      <c r="DC265" s="128"/>
    </row>
    <row r="266" spans="1:107" s="129" customFormat="1" hidden="1" outlineLevel="1" x14ac:dyDescent="0.25">
      <c r="A266" s="110" t="s">
        <v>1158</v>
      </c>
      <c r="B266" s="208">
        <f>IFERROR(VLOOKUP(B18, 'Data Val'!$A$63:$H$65, 8, 0), 0)</f>
        <v>0</v>
      </c>
      <c r="C266" s="208">
        <f>IFERROR(VLOOKUP(C18, 'Data Val'!$A$63:$H$65, 8, 0)*C19, 0)</f>
        <v>0</v>
      </c>
      <c r="D266" s="208">
        <f>IFERROR(VLOOKUP(D18, 'Data Val'!$A$63:$H$65, 8, 0)*D19, 0)</f>
        <v>0</v>
      </c>
      <c r="E266" s="208">
        <f>IFERROR(VLOOKUP(E18, 'Data Val'!$A$63:$H$65, 8, 0)*E19, 0)</f>
        <v>0</v>
      </c>
      <c r="F266" s="208">
        <f>IFERROR(VLOOKUP(F18, 'Data Val'!$A$63:$H$65, 8, 0)*F19, 0)</f>
        <v>0</v>
      </c>
      <c r="G266" s="208">
        <f>IFERROR(VLOOKUP(G18, 'Data Val'!$A$63:$H$65, 8, 0)*G19, 0)</f>
        <v>0</v>
      </c>
      <c r="H266" s="208">
        <f>IFERROR(VLOOKUP(H18, 'Data Val'!$A$63:$H$65, 8, 0)*H19, 0)</f>
        <v>869</v>
      </c>
      <c r="I266" s="208">
        <f>IFERROR(VLOOKUP(I18, 'Data Val'!$A$63:$H$65, 8, 0)*I19, 0)</f>
        <v>869</v>
      </c>
      <c r="J266" s="208">
        <f>IFERROR(VLOOKUP(J18, 'Data Val'!$A$63:$H$65, 8, 0)*J19, 0)</f>
        <v>869</v>
      </c>
      <c r="K266" s="208">
        <f>IFERROR(VLOOKUP(K18, 'Data Val'!$A$63:$H$65, 8, 0)*K19, 0)</f>
        <v>0</v>
      </c>
      <c r="L266" s="208">
        <f>IFERROR(VLOOKUP(L18, 'Data Val'!$A$63:$H$65, 8, 0)*L19, 0)</f>
        <v>0</v>
      </c>
      <c r="M266" s="208">
        <f>IFERROR(VLOOKUP(M18, 'Data Val'!$A$63:$H$65, 8, 0)*M19, 0)</f>
        <v>0</v>
      </c>
      <c r="N266" s="208">
        <f>IFERROR(VLOOKUP(N18, 'Data Val'!$A$63:$H$65, 8, 0)*N19, 0)</f>
        <v>0</v>
      </c>
      <c r="O266" s="208">
        <f>IFERROR(VLOOKUP(O18, 'Data Val'!$A$63:$H$65, 8, 0)*O19, 0)</f>
        <v>869</v>
      </c>
      <c r="P266" s="208">
        <f>IFERROR(VLOOKUP(P18, 'Data Val'!$A$63:$H$65, 8, 0)*P19, 0)</f>
        <v>869</v>
      </c>
      <c r="Q266" s="208">
        <f>IFERROR(VLOOKUP(Q18, 'Data Val'!$A$63:$H$65, 8, 0)*Q19, 0)</f>
        <v>0</v>
      </c>
      <c r="R266" s="208">
        <f>IFERROR(VLOOKUP(R18, 'Data Val'!$A$63:$H$65, 8, 0)*R19, 0)</f>
        <v>0</v>
      </c>
      <c r="S266" s="208">
        <f>IFERROR(VLOOKUP(S18, 'Data Val'!$A$63:$H$65, 8, 0)*S19, 0)</f>
        <v>869</v>
      </c>
      <c r="T266" s="208">
        <f>IFERROR(VLOOKUP(T18, 'Data Val'!$A$63:$H$65, 8, 0)*T19, 0)</f>
        <v>0</v>
      </c>
      <c r="U266" s="208">
        <f>IFERROR(VLOOKUP(U18, 'Data Val'!$A$63:$H$65, 8, 0)*U19, 0)</f>
        <v>869</v>
      </c>
      <c r="V266" s="208">
        <f>IFERROR(VLOOKUP(V18, 'Data Val'!$A$63:$H$65, 8, 0)*V19, 0)</f>
        <v>0</v>
      </c>
      <c r="W266" s="208">
        <f>IFERROR(VLOOKUP(W18, 'Data Val'!$A$63:$H$65, 8, 0)*W19, 0)</f>
        <v>0</v>
      </c>
      <c r="X266" s="208">
        <f>IFERROR(VLOOKUP(X18, 'Data Val'!$A$63:$H$65, 8, 0)*X19, 0)</f>
        <v>0</v>
      </c>
      <c r="Y266" s="208">
        <f>IFERROR(VLOOKUP(Y18, 'Data Val'!$A$63:$H$65, 8, 0)*Y19, 0)</f>
        <v>869</v>
      </c>
      <c r="Z266" s="208">
        <f>IFERROR(VLOOKUP(Z18, 'Data Val'!$A$63:$H$65, 8, 0)*Z19, 0)</f>
        <v>0</v>
      </c>
      <c r="AA266" s="208">
        <f>IFERROR(VLOOKUP(AA18, 'Data Val'!$A$63:$H$65, 8, 0)*AA19, 0)</f>
        <v>0</v>
      </c>
      <c r="AB266" s="208">
        <f>IFERROR(VLOOKUP(AB18, 'Data Val'!$A$63:$H$65, 8, 0)*AB19, 0)</f>
        <v>0</v>
      </c>
      <c r="AC266" s="208">
        <f>IFERROR(VLOOKUP(AC18, 'Data Val'!$A$63:$H$65, 8, 0)*AC19, 0)</f>
        <v>0</v>
      </c>
      <c r="AD266" s="208">
        <f>IFERROR(VLOOKUP(AD18, 'Data Val'!$A$63:$H$65, 8, 0)*AD19, 0)</f>
        <v>0</v>
      </c>
      <c r="AE266" s="208">
        <f>IFERROR(VLOOKUP(AE18, 'Data Val'!$A$63:$H$65, 8, 0)*AE19, 0)</f>
        <v>869</v>
      </c>
      <c r="AF266" s="208">
        <f>IFERROR(VLOOKUP(AF18, 'Data Val'!$A$63:$H$65, 8, 0)*AF19, 0)</f>
        <v>0</v>
      </c>
      <c r="AG266" s="208">
        <f>IFERROR(VLOOKUP(AG18, 'Data Val'!$A$63:$H$65, 8, 0)*AG19, 0)</f>
        <v>0</v>
      </c>
      <c r="AH266" s="208">
        <f>IFERROR(VLOOKUP(AH18, 'Data Val'!$A$63:$H$65, 8, 0)*AH19, 0)</f>
        <v>0</v>
      </c>
      <c r="AI266" s="208">
        <f>IFERROR(VLOOKUP(AI18, 'Data Val'!$A$63:$H$65, 8, 0)*AI19, 0)</f>
        <v>0</v>
      </c>
      <c r="AJ266" s="208">
        <f>IFERROR(VLOOKUP(AJ18, 'Data Val'!$A$63:$H$65, 8, 0)*AJ19, 0)</f>
        <v>0</v>
      </c>
      <c r="AK266" s="208">
        <f>IFERROR(VLOOKUP(AK18, 'Data Val'!$A$63:$H$65, 8, 0)*AK19, 0)</f>
        <v>0</v>
      </c>
      <c r="AL266" s="208">
        <f>IFERROR(VLOOKUP(AL18, 'Data Val'!$A$63:$H$65, 8, 0)*AL19, 0)</f>
        <v>0</v>
      </c>
      <c r="AM266" s="208">
        <f>IFERROR(VLOOKUP(AM18, 'Data Val'!$A$63:$H$65, 8, 0)*AM19, 0)</f>
        <v>0</v>
      </c>
      <c r="AN266" s="208">
        <f>IFERROR(VLOOKUP(AN18, 'Data Val'!$A$63:$H$65, 8, 0)*AN19, 0)</f>
        <v>0</v>
      </c>
      <c r="AO266" s="208">
        <f>IFERROR(VLOOKUP(AO18, 'Data Val'!$A$63:$H$65, 8, 0)*AO19, 0)</f>
        <v>0</v>
      </c>
      <c r="AP266" s="208">
        <f>IFERROR(VLOOKUP(AP18, 'Data Val'!$A$63:$H$65, 8, 0)*AP19, 0)</f>
        <v>0</v>
      </c>
      <c r="AQ266" s="208">
        <f>IFERROR(VLOOKUP(AQ18, 'Data Val'!$A$63:$H$65, 8, 0)*AQ19, 0)</f>
        <v>0</v>
      </c>
      <c r="AR266" s="208">
        <f>IFERROR(VLOOKUP(AR18, 'Data Val'!$A$63:$H$65, 8, 0)*AR19, 0)</f>
        <v>0</v>
      </c>
      <c r="AS266" s="208">
        <f>IFERROR(VLOOKUP(AS18, 'Data Val'!$A$63:$H$65, 8, 0)*AS19, 0)</f>
        <v>0</v>
      </c>
      <c r="AT266" s="208">
        <f>IFERROR(VLOOKUP(AT18, 'Data Val'!$A$63:$H$65, 8, 0)*AT19, 0)</f>
        <v>0</v>
      </c>
      <c r="AU266" s="208">
        <f>IFERROR(VLOOKUP(AU18, 'Data Val'!$A$63:$H$65, 8, 0)*AU19, 0)</f>
        <v>0</v>
      </c>
      <c r="AV266" s="208">
        <f>IFERROR(VLOOKUP(AV18, 'Data Val'!$A$63:$H$65, 8, 0)*AV19, 0)</f>
        <v>0</v>
      </c>
      <c r="AW266" s="208">
        <f>IFERROR(VLOOKUP(AW18, 'Data Val'!$A$63:$H$65, 8, 0)*AW19, 0)</f>
        <v>0</v>
      </c>
      <c r="AX266" s="208">
        <f>IFERROR(VLOOKUP(AX18, 'Data Val'!$A$63:$H$65, 8, 0)*AX19, 0)</f>
        <v>0</v>
      </c>
      <c r="AY266" s="208">
        <f>IFERROR(VLOOKUP(AY18, 'Data Val'!$A$63:$H$65, 8, 0)*AY19, 0)</f>
        <v>0</v>
      </c>
      <c r="AZ266" s="208">
        <f>IFERROR(VLOOKUP(AZ18, 'Data Val'!$A$63:$H$65, 8, 0)*AZ19, 0)</f>
        <v>0</v>
      </c>
      <c r="BA266" s="208">
        <f>IFERROR(VLOOKUP(BA18, 'Data Val'!$A$63:$G$65, 7, 0)*BA19, 0)</f>
        <v>0</v>
      </c>
      <c r="BB266" s="208">
        <f>IFERROR(VLOOKUP(BB18, 'Data Val'!$A$63:$G$65, 7, 0)*BB19, 0)</f>
        <v>0</v>
      </c>
      <c r="BC266" s="208">
        <f>IFERROR(VLOOKUP(BC18, 'Data Val'!$A$63:$G$65, 7, 0)*BC19, 0)</f>
        <v>0</v>
      </c>
      <c r="BD266" s="208">
        <f>IFERROR(VLOOKUP(BD18, 'Data Val'!$A$63:$G$65, 7, 0)*BD19, 0)</f>
        <v>0</v>
      </c>
      <c r="BE266" s="208">
        <f>IFERROR(VLOOKUP(BE18, 'Data Val'!$A$63:$G$65, 7, 0)*BE19, 0)</f>
        <v>0</v>
      </c>
      <c r="BF266" s="208">
        <f>IFERROR(VLOOKUP(BF18, 'Data Val'!$A$63:$G$65, 7, 0)*BF19, 0)</f>
        <v>0</v>
      </c>
      <c r="BG266" s="208">
        <f>IFERROR(VLOOKUP(BG18, 'Data Val'!$A$63:$G$65, 7, 0)*BG19, 0)</f>
        <v>0</v>
      </c>
      <c r="BH266" s="208">
        <f>IFERROR(VLOOKUP(BH18, 'Data Val'!$A$63:$G$65, 7, 0)*BH19, 0)</f>
        <v>0</v>
      </c>
      <c r="BI266" s="208"/>
      <c r="BJ266" s="208"/>
      <c r="BK266" s="208"/>
      <c r="BL266" s="208"/>
      <c r="BM266" s="208"/>
      <c r="BN266" s="208"/>
      <c r="BO266" s="208"/>
      <c r="BP266" s="208"/>
      <c r="BQ266" s="208"/>
      <c r="BR266" s="208"/>
      <c r="BS266" s="208"/>
      <c r="BT266" s="208"/>
      <c r="BU266" s="208"/>
      <c r="BV266" s="208"/>
      <c r="BW266" s="208"/>
      <c r="BX266" s="208"/>
      <c r="BY266" s="208"/>
      <c r="BZ266" s="208"/>
      <c r="CA266" s="208"/>
      <c r="CB266" s="208"/>
      <c r="CC266" s="208"/>
      <c r="CD266" s="208"/>
      <c r="CE266" s="208"/>
      <c r="CF266" s="208"/>
      <c r="CG266" s="208"/>
      <c r="CH266" s="208"/>
      <c r="CI266" s="208"/>
      <c r="CJ266" s="128"/>
      <c r="CK266" s="128"/>
      <c r="CL266" s="128"/>
      <c r="CM266" s="128"/>
      <c r="CN266" s="128"/>
      <c r="CO266" s="128"/>
      <c r="CP266" s="128"/>
      <c r="CQ266" s="128"/>
      <c r="CR266" s="128"/>
      <c r="CS266" s="128"/>
      <c r="CT266" s="128"/>
      <c r="CU266" s="128"/>
      <c r="CV266" s="128"/>
      <c r="CW266" s="128"/>
      <c r="CX266" s="128"/>
      <c r="CY266" s="128"/>
      <c r="CZ266" s="128"/>
      <c r="DA266" s="128"/>
      <c r="DB266" s="128"/>
      <c r="DC266" s="128"/>
    </row>
    <row r="267" spans="1:107" s="129" customFormat="1" hidden="1" outlineLevel="1" x14ac:dyDescent="0.25">
      <c r="A267" s="110" t="s">
        <v>1161</v>
      </c>
      <c r="B267" s="103">
        <f>IFERROR(VLOOKUP(B$32, 'Data Val'!$J$69:$N$73, 2, 0)+B20, 0)</f>
        <v>1.0773999999999999</v>
      </c>
      <c r="C267" s="103">
        <f>IFERROR(VLOOKUP(C$32, 'Data Val'!$J$69:$N$73, 2, 0)+C20, 0)</f>
        <v>0.61480000000000001</v>
      </c>
      <c r="D267" s="103">
        <f>IFERROR(VLOOKUP(D$32, 'Data Val'!$J$69:$N$73, 2, 0)+D20, 0)</f>
        <v>0.59519999999999995</v>
      </c>
      <c r="E267" s="103">
        <f>IFERROR(VLOOKUP(E$32, 'Data Val'!$J$69:$N$73, 2, 0)+E20, 0)</f>
        <v>0.59519999999999995</v>
      </c>
      <c r="F267" s="103">
        <f>IFERROR(VLOOKUP(F$32, 'Data Val'!$J$69:$N$73, 2, 0)+F20, 0)</f>
        <v>0.59519999999999995</v>
      </c>
      <c r="G267" s="103">
        <f>IFERROR(VLOOKUP(G$32, 'Data Val'!$J$69:$N$73, 2, 0)+G20, 0)</f>
        <v>0.59519999999999995</v>
      </c>
      <c r="H267" s="103">
        <f ca="1">IFERROR(VLOOKUP(H$32, 'Data Val'!$J$69:$N$73, 2, 0)+H20, 0)</f>
        <v>1.9852000000000001</v>
      </c>
      <c r="I267" s="103">
        <f>IFERROR(VLOOKUP(I$32, 'Data Val'!$J$69:$N$73, 2, 0)+I20, 0)</f>
        <v>0.79519999999999991</v>
      </c>
      <c r="J267" s="103">
        <f>IFERROR(VLOOKUP(J$32, 'Data Val'!$J$69:$N$73, 2, 0)+J20, 0)</f>
        <v>0.79519999999999991</v>
      </c>
      <c r="K267" s="103">
        <f>IFERROR(VLOOKUP(K$32, 'Data Val'!$J$69:$N$73, 2, 0)+K20, 0)</f>
        <v>0.59519999999999995</v>
      </c>
      <c r="L267" s="103">
        <f>IFERROR(VLOOKUP(L$32, 'Data Val'!$J$69:$N$73, 2, 0)+L20, 0)</f>
        <v>0.59519999999999995</v>
      </c>
      <c r="M267" s="103">
        <f>IFERROR(VLOOKUP(M$32, 'Data Val'!$J$69:$N$73, 2, 0)+M20, 0)</f>
        <v>0.59519999999999995</v>
      </c>
      <c r="N267" s="103">
        <f>IFERROR(VLOOKUP(N$32, 'Data Val'!$J$69:$N$73, 2, 0)+N20, 0)</f>
        <v>0.59519999999999995</v>
      </c>
      <c r="O267" s="103">
        <f ca="1">IFERROR(VLOOKUP(O$32, 'Data Val'!$J$69:$N$73, 2, 0)+O20, 0)</f>
        <v>1.9852000000000001</v>
      </c>
      <c r="P267" s="103">
        <f ca="1">IFERROR(VLOOKUP(P$32, 'Data Val'!$J$69:$N$73, 2, 0)+P20, 0)</f>
        <v>2.1852</v>
      </c>
      <c r="Q267" s="103">
        <f ca="1">IFERROR(VLOOKUP(Q$32, 'Data Val'!$J$69:$N$73, 2, 0)+Q20, 0)</f>
        <v>1.7852000000000001</v>
      </c>
      <c r="R267" s="103">
        <f ca="1">IFERROR(VLOOKUP(R$32, 'Data Val'!$J$69:$N$73, 2, 0)+R20, 0)</f>
        <v>1.7852000000000001</v>
      </c>
      <c r="S267" s="103">
        <f>IFERROR(VLOOKUP(S$32, 'Data Val'!$J$69:$N$73, 2, 0)+S20, 0)</f>
        <v>1.4773999999999998</v>
      </c>
      <c r="T267" s="103">
        <f>IFERROR(VLOOKUP(T$32, 'Data Val'!$J$69:$N$73, 2, 0)+T20, 0)</f>
        <v>0.61480000000000001</v>
      </c>
      <c r="U267" s="103">
        <f>IFERROR(VLOOKUP(U$32, 'Data Val'!$J$69:$N$73, 2, 0)+U20, 0)</f>
        <v>1.4773999999999998</v>
      </c>
      <c r="V267" s="103">
        <f>IFERROR(VLOOKUP(V$32, 'Data Val'!$J$69:$N$73, 2, 0)+V20, 0)</f>
        <v>1.0773999999999999</v>
      </c>
      <c r="W267" s="103">
        <f>IFERROR(VLOOKUP(W$32, 'Data Val'!$J$69:$N$73, 2, 0)+W20, 0)</f>
        <v>1.0773999999999999</v>
      </c>
      <c r="X267" s="103">
        <f>IFERROR(VLOOKUP(X$32, 'Data Val'!$J$69:$N$73, 2, 0)+X20, 0)</f>
        <v>1.0773999999999999</v>
      </c>
      <c r="Y267" s="103">
        <f>IFERROR(VLOOKUP(Y$32, 'Data Val'!$J$69:$N$73, 2, 0)+Y20, 0)</f>
        <v>1.2773999999999999</v>
      </c>
      <c r="Z267" s="103">
        <f>IFERROR(VLOOKUP(Z$32, 'Data Val'!$J$69:$N$73, 2, 0)+Z20, 0)</f>
        <v>1.0773999999999999</v>
      </c>
      <c r="AA267" s="103">
        <f>IFERROR(VLOOKUP(AA$32, 'Data Val'!$J$69:$N$73, 2, 0)+AA20, 0)</f>
        <v>1.0773999999999999</v>
      </c>
      <c r="AB267" s="103">
        <f>IFERROR(VLOOKUP(AB$32, 'Data Val'!$J$69:$N$73, 2, 0)+AB20, 0)</f>
        <v>0.61480000000000001</v>
      </c>
      <c r="AC267" s="103">
        <f>IFERROR(VLOOKUP(AC$32, 'Data Val'!$J$69:$N$73, 2, 0)+AC20, 0)</f>
        <v>0.59519999999999995</v>
      </c>
      <c r="AD267" s="103">
        <f>IFERROR(VLOOKUP(AD$32, 'Data Val'!$J$69:$N$73, 2, 0)+AD20, 0)</f>
        <v>0.59519999999999995</v>
      </c>
      <c r="AE267" s="103">
        <f ca="1">IFERROR(VLOOKUP(AE$32, 'Data Val'!$J$69:$N$73, 2, 0)+AE20, 0)</f>
        <v>1.9852000000000001</v>
      </c>
      <c r="AF267" s="103">
        <f>IFERROR(VLOOKUP(AF$32, 'Data Val'!$J$69:$N$73, 2, 0)+AF20, 0)</f>
        <v>1.0773999999999999</v>
      </c>
      <c r="AG267" s="103">
        <f>IFERROR(VLOOKUP(AG$32, 'Data Val'!$J$69:$N$73, 2, 0)+AG20, 0)</f>
        <v>1.0773999999999999</v>
      </c>
      <c r="AH267" s="103">
        <f>IFERROR(VLOOKUP(AH$32, 'Data Val'!$J$69:$N$73, 2, 0)+AH20, 0)</f>
        <v>1.0773999999999999</v>
      </c>
      <c r="AI267" s="103">
        <f>IFERROR(VLOOKUP(AI$32, 'Data Val'!$J$69:$N$73, 2, 0)+AI20, 0)</f>
        <v>1.0773999999999999</v>
      </c>
      <c r="AJ267" s="103">
        <f>IFERROR(VLOOKUP(AJ$32, 'Data Val'!$J$69:$N$73, 2, 0)+AJ20, 0)</f>
        <v>0</v>
      </c>
      <c r="AK267" s="103">
        <f>IFERROR(VLOOKUP(AK$32, 'Data Val'!$J$69:$N$73, 2, 0)+AK20, 0)</f>
        <v>0</v>
      </c>
      <c r="AL267" s="103">
        <f>IFERROR(VLOOKUP(AL$32, 'Data Val'!$J$69:$N$73, 2, 0)+AL20, 0)</f>
        <v>0</v>
      </c>
      <c r="AM267" s="103">
        <f>IFERROR(VLOOKUP(AM$32, 'Data Val'!$J$69:$N$73, 2, 0)+AM20, 0)</f>
        <v>0</v>
      </c>
      <c r="AN267" s="103">
        <f>IFERROR(VLOOKUP(AN$32, 'Data Val'!$J$69:$N$73, 2, 0)+AN20, 0)</f>
        <v>0</v>
      </c>
      <c r="AO267" s="103">
        <f>IFERROR(VLOOKUP(AO$32, 'Data Val'!$J$69:$N$73, 2, 0)+AO20, 0)</f>
        <v>0</v>
      </c>
      <c r="AP267" s="103">
        <f>IFERROR(VLOOKUP(AP$32, 'Data Val'!$J$69:$N$73, 2, 0)+AP20, 0)</f>
        <v>0</v>
      </c>
      <c r="AQ267" s="103">
        <f>IFERROR(VLOOKUP(AQ$32, 'Data Val'!$J$69:$N$73, 2, 0)+AQ20, 0)</f>
        <v>0</v>
      </c>
      <c r="AR267" s="103">
        <f>IFERROR(VLOOKUP(AR$32, 'Data Val'!$J$69:$N$73, 2, 0)+AR20, 0)</f>
        <v>0</v>
      </c>
      <c r="AS267" s="103">
        <f>IFERROR(VLOOKUP(AS$32, 'Data Val'!$J$69:$N$73, 2, 0)+AS20, 0)</f>
        <v>0</v>
      </c>
      <c r="AT267" s="103">
        <f>IFERROR(VLOOKUP(AT$32, 'Data Val'!$J$69:$N$73, 2, 0)+AT20, 0)</f>
        <v>0</v>
      </c>
      <c r="AU267" s="103">
        <f>IFERROR(VLOOKUP(AU$32, 'Data Val'!$J$69:$N$73, 2, 0)+AU20, 0)</f>
        <v>0</v>
      </c>
      <c r="AV267" s="103">
        <f>IFERROR(VLOOKUP(AV$32, 'Data Val'!$J$69:$N$73, 2, 0)+AV20, 0)</f>
        <v>0</v>
      </c>
      <c r="AW267" s="103">
        <f>IFERROR(VLOOKUP(AW$32, 'Data Val'!$J$69:$N$73, 2, 0)+AW20, 0)</f>
        <v>0</v>
      </c>
      <c r="AX267" s="103">
        <f>IFERROR(VLOOKUP(AX$32, 'Data Val'!$J$69:$N$73, 2, 0)+AX20, 0)</f>
        <v>0</v>
      </c>
      <c r="AY267" s="103">
        <f>IFERROR(VLOOKUP(AY$32, 'Data Val'!$J$69:$N$73, 2, 0)+AY20, 0)</f>
        <v>0</v>
      </c>
      <c r="AZ267" s="103">
        <f>IFERROR(VLOOKUP(AZ$32, 'Data Val'!$J$69:$N$73, 2, 0)+AZ20, 0)</f>
        <v>0</v>
      </c>
      <c r="BA267" s="103">
        <f>IFERROR(VLOOKUP(BA$32, 'Data Val'!$J$69:$N$73, 2, 0)+BA20, 0)</f>
        <v>0</v>
      </c>
      <c r="BB267" s="103">
        <f>IFERROR(VLOOKUP(BB$32, 'Data Val'!$J$69:$N$73, 2, 0)+BB20, 0)</f>
        <v>0</v>
      </c>
      <c r="BC267" s="103">
        <f>IFERROR(VLOOKUP(BC$32, 'Data Val'!$J$69:$N$73, 2, 0)+BC20, 0)</f>
        <v>0</v>
      </c>
      <c r="BD267" s="103">
        <f>IFERROR(VLOOKUP(BD$32, 'Data Val'!$J$69:$N$73, 2, 0)+BD20, 0)</f>
        <v>0</v>
      </c>
      <c r="BE267" s="103">
        <f>IFERROR(VLOOKUP(BE$32, 'Data Val'!$J$69:$N$73, 2, 0)+BE20, 0)</f>
        <v>0</v>
      </c>
      <c r="BF267" s="103">
        <f>IFERROR(VLOOKUP(BF$32, 'Data Val'!$J$69:$N$73, 2, 0)+BF20, 0)</f>
        <v>0</v>
      </c>
      <c r="BG267" s="103">
        <f>IFERROR(VLOOKUP(BG$32, 'Data Val'!$J$69:$N$73, 2, 0)+BG20, 0)</f>
        <v>0</v>
      </c>
      <c r="BH267" s="103">
        <f>IFERROR(VLOOKUP(BH$32, 'Data Val'!$J$69:$N$73, 2, 0)+BH20, 0)</f>
        <v>0</v>
      </c>
      <c r="BI267" s="208"/>
      <c r="BJ267" s="208"/>
      <c r="BK267" s="208"/>
      <c r="BL267" s="208"/>
      <c r="BM267" s="208"/>
      <c r="BN267" s="208"/>
      <c r="BO267" s="208"/>
      <c r="BP267" s="208"/>
      <c r="BQ267" s="208"/>
      <c r="BR267" s="208"/>
      <c r="BS267" s="208"/>
      <c r="BT267" s="208"/>
      <c r="BU267" s="208"/>
      <c r="BV267" s="208"/>
      <c r="BW267" s="208"/>
      <c r="BX267" s="208"/>
      <c r="BY267" s="208"/>
      <c r="BZ267" s="208"/>
      <c r="CA267" s="208"/>
      <c r="CB267" s="208"/>
      <c r="CC267" s="208"/>
      <c r="CD267" s="208"/>
      <c r="CE267" s="208"/>
      <c r="CF267" s="208"/>
      <c r="CG267" s="208"/>
      <c r="CH267" s="208"/>
      <c r="CI267" s="208"/>
      <c r="CJ267" s="128"/>
      <c r="CK267" s="128"/>
      <c r="CL267" s="128"/>
      <c r="CM267" s="128"/>
      <c r="CN267" s="128"/>
      <c r="CO267" s="128"/>
      <c r="CP267" s="128"/>
      <c r="CQ267" s="128"/>
      <c r="CR267" s="128"/>
      <c r="CS267" s="128"/>
      <c r="CT267" s="128"/>
      <c r="CU267" s="128"/>
      <c r="CV267" s="128"/>
      <c r="CW267" s="128"/>
      <c r="CX267" s="128"/>
      <c r="CY267" s="128"/>
      <c r="CZ267" s="128"/>
      <c r="DA267" s="128"/>
      <c r="DB267" s="128"/>
      <c r="DC267" s="128"/>
    </row>
    <row r="268" spans="1:107" s="129" customFormat="1" hidden="1" outlineLevel="1" x14ac:dyDescent="0.25">
      <c r="A268" s="110" t="s">
        <v>1162</v>
      </c>
      <c r="B268" s="208">
        <f>IFERROR(VLOOKUP(B$32, 'Data Val'!$J$69:$N$73, 3, 0)+B21, 0)</f>
        <v>344.08</v>
      </c>
      <c r="C268" s="208">
        <f>IFERROR(VLOOKUP(C$32, 'Data Val'!$J$69:$N$73, 3, 0)+C21, 0)</f>
        <v>344.08</v>
      </c>
      <c r="D268" s="208">
        <f>IFERROR(VLOOKUP(D$32, 'Data Val'!$J$69:$N$73, 3, 0)+D21, 0)</f>
        <v>344.08</v>
      </c>
      <c r="E268" s="208">
        <f>IFERROR(VLOOKUP(E$32, 'Data Val'!$J$69:$N$73, 3, 0)+E21, 0)</f>
        <v>344.08</v>
      </c>
      <c r="F268" s="208">
        <f>IFERROR(VLOOKUP(F$32, 'Data Val'!$J$69:$N$73, 3, 0)+F21, 0)</f>
        <v>344.08</v>
      </c>
      <c r="G268" s="208">
        <f>IFERROR(VLOOKUP(G$32, 'Data Val'!$J$69:$N$73, 3, 0)+G21, 0)</f>
        <v>344.08</v>
      </c>
      <c r="H268" s="208">
        <f>IFERROR(VLOOKUP(H$32, 'Data Val'!$J$69:$N$73, 3, 0)+H21, 0)</f>
        <v>344.08</v>
      </c>
      <c r="I268" s="208">
        <f>IFERROR(VLOOKUP(I$32, 'Data Val'!$J$69:$N$73, 3, 0)+I21, 0)</f>
        <v>344.08</v>
      </c>
      <c r="J268" s="208">
        <f>IFERROR(VLOOKUP(J$32, 'Data Val'!$J$69:$N$73, 3, 0)+J21, 0)</f>
        <v>344.08</v>
      </c>
      <c r="K268" s="208">
        <f>IFERROR(VLOOKUP(K$32, 'Data Val'!$J$69:$N$73, 3, 0)+K21, 0)</f>
        <v>344.08</v>
      </c>
      <c r="L268" s="208">
        <f>IFERROR(VLOOKUP(L$32, 'Data Val'!$J$69:$N$73, 3, 0)+L21, 0)</f>
        <v>344.08</v>
      </c>
      <c r="M268" s="208">
        <f>IFERROR(VLOOKUP(M$32, 'Data Val'!$J$69:$N$73, 3, 0)+M21, 0)</f>
        <v>344.08</v>
      </c>
      <c r="N268" s="208">
        <f>IFERROR(VLOOKUP(N$32, 'Data Val'!$J$69:$N$73, 3, 0)+N21, 0)</f>
        <v>344.08</v>
      </c>
      <c r="O268" s="208">
        <f>IFERROR(VLOOKUP(O$32, 'Data Val'!$J$69:$N$73, 3, 0)+O21, 0)</f>
        <v>344.08</v>
      </c>
      <c r="P268" s="208">
        <f>IFERROR(VLOOKUP(P$32, 'Data Val'!$J$69:$N$73, 3, 0)+P21, 0)</f>
        <v>344.08</v>
      </c>
      <c r="Q268" s="208">
        <f>IFERROR(VLOOKUP(Q$32, 'Data Val'!$J$69:$N$73, 3, 0)+Q21, 0)</f>
        <v>344.08</v>
      </c>
      <c r="R268" s="208">
        <f>IFERROR(VLOOKUP(R$32, 'Data Val'!$J$69:$N$73, 3, 0)+R21, 0)</f>
        <v>344.08</v>
      </c>
      <c r="S268" s="208">
        <f>IFERROR(VLOOKUP(S$32, 'Data Val'!$J$69:$N$73, 3, 0)+S21, 0)</f>
        <v>344.08</v>
      </c>
      <c r="T268" s="208">
        <f>IFERROR(VLOOKUP(T$32, 'Data Val'!$J$69:$N$73, 3, 0)+T21, 0)</f>
        <v>344.08</v>
      </c>
      <c r="U268" s="208">
        <f>IFERROR(VLOOKUP(U$32, 'Data Val'!$J$69:$N$73, 3, 0)+U21, 0)</f>
        <v>344.08</v>
      </c>
      <c r="V268" s="208">
        <f>IFERROR(VLOOKUP(V$32, 'Data Val'!$J$69:$N$73, 3, 0)+V21, 0)</f>
        <v>344.08</v>
      </c>
      <c r="W268" s="208">
        <f>IFERROR(VLOOKUP(W$32, 'Data Val'!$J$69:$N$73, 3, 0)+W21, 0)</f>
        <v>344.08</v>
      </c>
      <c r="X268" s="208">
        <f>IFERROR(VLOOKUP(X$32, 'Data Val'!$J$69:$N$73, 3, 0)+X21, 0)</f>
        <v>344.08</v>
      </c>
      <c r="Y268" s="208">
        <f>IFERROR(VLOOKUP(Y$32, 'Data Val'!$J$69:$N$73, 3, 0)+Y21, 0)</f>
        <v>344.08</v>
      </c>
      <c r="Z268" s="208">
        <f>IFERROR(VLOOKUP(Z$32, 'Data Val'!$J$69:$N$73, 3, 0)+Z21, 0)</f>
        <v>344.08</v>
      </c>
      <c r="AA268" s="208">
        <f>IFERROR(VLOOKUP(AA$32, 'Data Val'!$J$69:$N$73, 3, 0)+AA21, 0)</f>
        <v>344.08</v>
      </c>
      <c r="AB268" s="208">
        <f>IFERROR(VLOOKUP(AB$32, 'Data Val'!$J$69:$N$73, 3, 0)+AB21, 0)</f>
        <v>344.08</v>
      </c>
      <c r="AC268" s="208">
        <f>IFERROR(VLOOKUP(AC$32, 'Data Val'!$J$69:$N$73, 3, 0)+AC21, 0)</f>
        <v>344.08</v>
      </c>
      <c r="AD268" s="208">
        <f>IFERROR(VLOOKUP(AD$32, 'Data Val'!$J$69:$N$73, 3, 0)+AD21, 0)</f>
        <v>344.08</v>
      </c>
      <c r="AE268" s="208">
        <f>IFERROR(VLOOKUP(AE$32, 'Data Val'!$J$69:$N$73, 3, 0)+AE21, 0)</f>
        <v>344.08</v>
      </c>
      <c r="AF268" s="208">
        <f>IFERROR(VLOOKUP(AF$32, 'Data Val'!$J$69:$N$73, 3, 0)+AF21, 0)</f>
        <v>344.08</v>
      </c>
      <c r="AG268" s="208">
        <f>IFERROR(VLOOKUP(AG$32, 'Data Val'!$J$69:$N$73, 3, 0)+AG21, 0)</f>
        <v>344.08</v>
      </c>
      <c r="AH268" s="208">
        <f>IFERROR(VLOOKUP(AH$32, 'Data Val'!$J$69:$N$73, 3, 0)+AH21, 0)</f>
        <v>344.08</v>
      </c>
      <c r="AI268" s="208">
        <f>IFERROR(VLOOKUP(AI$32, 'Data Val'!$J$69:$N$73, 3, 0)+AI21, 0)</f>
        <v>344.08</v>
      </c>
      <c r="AJ268" s="208">
        <f>IFERROR(VLOOKUP(AJ$32, 'Data Val'!$J$69:$N$73, 3, 0)+AJ21, 0)</f>
        <v>0</v>
      </c>
      <c r="AK268" s="208">
        <f>IFERROR(VLOOKUP(AK$32, 'Data Val'!$J$69:$N$73, 3, 0)+AK21, 0)</f>
        <v>0</v>
      </c>
      <c r="AL268" s="208">
        <f>IFERROR(VLOOKUP(AL$32, 'Data Val'!$J$69:$N$73, 3, 0)+AL21, 0)</f>
        <v>0</v>
      </c>
      <c r="AM268" s="208">
        <f>IFERROR(VLOOKUP(AM$32, 'Data Val'!$J$69:$N$73, 3, 0)+AM21, 0)</f>
        <v>0</v>
      </c>
      <c r="AN268" s="208">
        <f>IFERROR(VLOOKUP(AN$32, 'Data Val'!$J$69:$N$73, 3, 0)+AN21, 0)</f>
        <v>0</v>
      </c>
      <c r="AO268" s="208">
        <f>IFERROR(VLOOKUP(AO$32, 'Data Val'!$J$69:$N$73, 3, 0)+AO21, 0)</f>
        <v>0</v>
      </c>
      <c r="AP268" s="208">
        <f>IFERROR(VLOOKUP(AP$32, 'Data Val'!$J$69:$N$73, 3, 0)+AP21, 0)</f>
        <v>0</v>
      </c>
      <c r="AQ268" s="208">
        <f>IFERROR(VLOOKUP(AQ$32, 'Data Val'!$J$69:$N$73, 3, 0)+AQ21, 0)</f>
        <v>0</v>
      </c>
      <c r="AR268" s="208">
        <f>IFERROR(VLOOKUP(AR$32, 'Data Val'!$J$69:$N$73, 3, 0)+AR21, 0)</f>
        <v>0</v>
      </c>
      <c r="AS268" s="208">
        <f>IFERROR(VLOOKUP(AS$32, 'Data Val'!$J$69:$N$73, 3, 0)+AS21, 0)</f>
        <v>0</v>
      </c>
      <c r="AT268" s="208">
        <f>IFERROR(VLOOKUP(AT$32, 'Data Val'!$J$69:$N$73, 3, 0)+AT21, 0)</f>
        <v>0</v>
      </c>
      <c r="AU268" s="208">
        <f>IFERROR(VLOOKUP(AU$32, 'Data Val'!$J$69:$N$73, 3, 0)+AU21, 0)</f>
        <v>0</v>
      </c>
      <c r="AV268" s="208">
        <f>IFERROR(VLOOKUP(AV$32, 'Data Val'!$J$69:$N$73, 3, 0)+AV21, 0)</f>
        <v>0</v>
      </c>
      <c r="AW268" s="208">
        <f>IFERROR(VLOOKUP(AW$32, 'Data Val'!$J$69:$N$73, 3, 0)+AW21, 0)</f>
        <v>0</v>
      </c>
      <c r="AX268" s="208">
        <f>IFERROR(VLOOKUP(AX$32, 'Data Val'!$J$69:$N$73, 3, 0)+AX21, 0)</f>
        <v>0</v>
      </c>
      <c r="AY268" s="208">
        <f>IFERROR(VLOOKUP(AY$32, 'Data Val'!$J$69:$N$73, 3, 0)+AY21, 0)</f>
        <v>0</v>
      </c>
      <c r="AZ268" s="208">
        <f>IFERROR(VLOOKUP(AZ$32, 'Data Val'!$J$69:$N$73, 3, 0)+AZ21, 0)</f>
        <v>0</v>
      </c>
      <c r="BA268" s="208">
        <f>IFERROR(VLOOKUP(BA$32, 'Data Val'!$J$69:$N$73, 3, 0)+BA21, 0)</f>
        <v>0</v>
      </c>
      <c r="BB268" s="208">
        <f>IFERROR(VLOOKUP(BB$32, 'Data Val'!$J$69:$N$73, 3, 0)+BB21, 0)</f>
        <v>0</v>
      </c>
      <c r="BC268" s="208">
        <f>IFERROR(VLOOKUP(BC$32, 'Data Val'!$J$69:$N$73, 3, 0)+BC21, 0)</f>
        <v>0</v>
      </c>
      <c r="BD268" s="208">
        <f>IFERROR(VLOOKUP(BD$32, 'Data Val'!$J$69:$N$73, 3, 0)+BD21, 0)</f>
        <v>0</v>
      </c>
      <c r="BE268" s="208">
        <f>IFERROR(VLOOKUP(BE$32, 'Data Val'!$J$69:$N$73, 3, 0)+BE21, 0)</f>
        <v>0</v>
      </c>
      <c r="BF268" s="208">
        <f>IFERROR(VLOOKUP(BF$32, 'Data Val'!$J$69:$N$73, 3, 0)+BF21, 0)</f>
        <v>0</v>
      </c>
      <c r="BG268" s="208">
        <f>IFERROR(VLOOKUP(BG$32, 'Data Val'!$J$69:$N$73, 3, 0)+BG21, 0)</f>
        <v>0</v>
      </c>
      <c r="BH268" s="208">
        <f>IFERROR(VLOOKUP(BH$32, 'Data Val'!$J$69:$N$73, 3, 0)+BH21, 0)</f>
        <v>0</v>
      </c>
      <c r="BI268" s="208"/>
      <c r="BJ268" s="208"/>
      <c r="BK268" s="208"/>
      <c r="BL268" s="208"/>
      <c r="BM268" s="208"/>
      <c r="BN268" s="208"/>
      <c r="BO268" s="208"/>
      <c r="BP268" s="208"/>
      <c r="BQ268" s="208"/>
      <c r="BR268" s="208"/>
      <c r="BS268" s="208"/>
      <c r="BT268" s="208"/>
      <c r="BU268" s="208"/>
      <c r="BV268" s="208"/>
      <c r="BW268" s="208"/>
      <c r="BX268" s="208"/>
      <c r="BY268" s="208"/>
      <c r="BZ268" s="208"/>
      <c r="CA268" s="208"/>
      <c r="CB268" s="208"/>
      <c r="CC268" s="208"/>
      <c r="CD268" s="208"/>
      <c r="CE268" s="208"/>
      <c r="CF268" s="208"/>
      <c r="CG268" s="208"/>
      <c r="CH268" s="208"/>
      <c r="CI268" s="208"/>
      <c r="CJ268" s="128"/>
      <c r="CK268" s="128"/>
      <c r="CL268" s="128"/>
      <c r="CM268" s="128"/>
      <c r="CN268" s="128"/>
      <c r="CO268" s="128"/>
      <c r="CP268" s="128"/>
      <c r="CQ268" s="128"/>
      <c r="CR268" s="128"/>
      <c r="CS268" s="128"/>
      <c r="CT268" s="128"/>
      <c r="CU268" s="128"/>
      <c r="CV268" s="128"/>
      <c r="CW268" s="128"/>
      <c r="CX268" s="128"/>
      <c r="CY268" s="128"/>
      <c r="CZ268" s="128"/>
      <c r="DA268" s="128"/>
      <c r="DB268" s="128"/>
      <c r="DC268" s="128"/>
    </row>
    <row r="269" spans="1:107" s="129" customFormat="1" hidden="1" outlineLevel="1" x14ac:dyDescent="0.25">
      <c r="A269" s="110" t="s">
        <v>1163</v>
      </c>
      <c r="B269" s="103">
        <f>IFERROR(VLOOKUP(B$32, 'Data Val'!$J$69:$N$73, 4, 0)+B22, 0)</f>
        <v>0.124</v>
      </c>
      <c r="C269" s="103">
        <f>IFERROR(VLOOKUP(C$32, 'Data Val'!$J$69:$N$73, 4, 0)+C22, 0)</f>
        <v>0.124</v>
      </c>
      <c r="D269" s="103">
        <f>IFERROR(VLOOKUP(D$32, 'Data Val'!$J$69:$N$73, 4, 0)+D22, 0)</f>
        <v>0.124</v>
      </c>
      <c r="E269" s="103">
        <f>IFERROR(VLOOKUP(E$32, 'Data Val'!$J$69:$N$73, 4, 0)+E22, 0)</f>
        <v>0.124</v>
      </c>
      <c r="F269" s="103">
        <f>IFERROR(VLOOKUP(F$32, 'Data Val'!$J$69:$N$73, 4, 0)+F22, 0)</f>
        <v>0.124</v>
      </c>
      <c r="G269" s="103">
        <f>IFERROR(VLOOKUP(G$32, 'Data Val'!$J$69:$N$73, 4, 0)+G22, 0)</f>
        <v>0.124</v>
      </c>
      <c r="H269" s="103">
        <f>IFERROR(VLOOKUP(H$32, 'Data Val'!$J$69:$N$73, 4, 0)+H22, 0)</f>
        <v>0.124</v>
      </c>
      <c r="I269" s="103">
        <f>IFERROR(VLOOKUP(I$32, 'Data Val'!$J$69:$N$73, 4, 0)+I22, 0)</f>
        <v>0.124</v>
      </c>
      <c r="J269" s="103">
        <f>IFERROR(VLOOKUP(J$32, 'Data Val'!$J$69:$N$73, 4, 0)+J22, 0)</f>
        <v>0.124</v>
      </c>
      <c r="K269" s="103">
        <f>IFERROR(VLOOKUP(K$32, 'Data Val'!$J$69:$N$73, 4, 0)+K22, 0)</f>
        <v>0.124</v>
      </c>
      <c r="L269" s="103">
        <f>IFERROR(VLOOKUP(L$32, 'Data Val'!$J$69:$N$73, 4, 0)+L22, 0)</f>
        <v>0.124</v>
      </c>
      <c r="M269" s="103">
        <f>IFERROR(VLOOKUP(M$32, 'Data Val'!$J$69:$N$73, 4, 0)+M22, 0)</f>
        <v>0.124</v>
      </c>
      <c r="N269" s="103">
        <f>IFERROR(VLOOKUP(N$32, 'Data Val'!$J$69:$N$73, 4, 0)+N22, 0)</f>
        <v>0.124</v>
      </c>
      <c r="O269" s="103">
        <f>IFERROR(VLOOKUP(O$32, 'Data Val'!$J$69:$N$73, 4, 0)+O22, 0)</f>
        <v>0.124</v>
      </c>
      <c r="P269" s="103">
        <f>IFERROR(VLOOKUP(P$32, 'Data Val'!$J$69:$N$73, 4, 0)+P22, 0)</f>
        <v>0.124</v>
      </c>
      <c r="Q269" s="103">
        <f>IFERROR(VLOOKUP(Q$32, 'Data Val'!$J$69:$N$73, 4, 0)+Q22, 0)</f>
        <v>0.124</v>
      </c>
      <c r="R269" s="103">
        <f>IFERROR(VLOOKUP(R$32, 'Data Val'!$J$69:$N$73, 4, 0)+R22, 0)</f>
        <v>0.124</v>
      </c>
      <c r="S269" s="103">
        <f>IFERROR(VLOOKUP(S$32, 'Data Val'!$J$69:$N$73, 4, 0)+S22, 0)</f>
        <v>0.124</v>
      </c>
      <c r="T269" s="103">
        <f>IFERROR(VLOOKUP(T$32, 'Data Val'!$J$69:$N$73, 4, 0)+T22, 0)</f>
        <v>0.124</v>
      </c>
      <c r="U269" s="103">
        <f>IFERROR(VLOOKUP(U$32, 'Data Val'!$J$69:$N$73, 4, 0)+U22, 0)</f>
        <v>0.124</v>
      </c>
      <c r="V269" s="103">
        <f>IFERROR(VLOOKUP(V$32, 'Data Val'!$J$69:$N$73, 4, 0)+V22, 0)</f>
        <v>0.124</v>
      </c>
      <c r="W269" s="103">
        <f>IFERROR(VLOOKUP(W$32, 'Data Val'!$J$69:$N$73, 4, 0)+W22, 0)</f>
        <v>0.124</v>
      </c>
      <c r="X269" s="103">
        <f>IFERROR(VLOOKUP(X$32, 'Data Val'!$J$69:$N$73, 4, 0)+X22, 0)</f>
        <v>0.124</v>
      </c>
      <c r="Y269" s="103">
        <f>IFERROR(VLOOKUP(Y$32, 'Data Val'!$J$69:$N$73, 4, 0)+Y22, 0)</f>
        <v>0.124</v>
      </c>
      <c r="Z269" s="103">
        <f>IFERROR(VLOOKUP(Z$32, 'Data Val'!$J$69:$N$73, 4, 0)+Z22, 0)</f>
        <v>0.124</v>
      </c>
      <c r="AA269" s="103">
        <f>IFERROR(VLOOKUP(AA$32, 'Data Val'!$J$69:$N$73, 4, 0)+AA22, 0)</f>
        <v>0.124</v>
      </c>
      <c r="AB269" s="103">
        <f>IFERROR(VLOOKUP(AB$32, 'Data Val'!$J$69:$N$73, 4, 0)+AB22, 0)</f>
        <v>0.124</v>
      </c>
      <c r="AC269" s="103">
        <f>IFERROR(VLOOKUP(AC$32, 'Data Val'!$J$69:$N$73, 4, 0)+AC22, 0)</f>
        <v>0.124</v>
      </c>
      <c r="AD269" s="103">
        <f>IFERROR(VLOOKUP(AD$32, 'Data Val'!$J$69:$N$73, 4, 0)+AD22, 0)</f>
        <v>0.124</v>
      </c>
      <c r="AE269" s="103">
        <f>IFERROR(VLOOKUP(AE$32, 'Data Val'!$J$69:$N$73, 4, 0)+AE22, 0)</f>
        <v>0.124</v>
      </c>
      <c r="AF269" s="103">
        <f>IFERROR(VLOOKUP(AF$32, 'Data Val'!$J$69:$N$73, 4, 0)+AF22, 0)</f>
        <v>0.124</v>
      </c>
      <c r="AG269" s="103">
        <f>IFERROR(VLOOKUP(AG$32, 'Data Val'!$J$69:$N$73, 4, 0)+AG22, 0)</f>
        <v>0.124</v>
      </c>
      <c r="AH269" s="103">
        <f>IFERROR(VLOOKUP(AH$32, 'Data Val'!$J$69:$N$73, 4, 0)+AH22, 0)</f>
        <v>0.124</v>
      </c>
      <c r="AI269" s="103">
        <f>IFERROR(VLOOKUP(AI$32, 'Data Val'!$J$69:$N$73, 4, 0)+AI22, 0)</f>
        <v>0.124</v>
      </c>
      <c r="AJ269" s="103">
        <f>IFERROR(VLOOKUP(AJ$32, 'Data Val'!$J$69:$N$73, 4, 0)+AJ22, 0)</f>
        <v>0</v>
      </c>
      <c r="AK269" s="103">
        <f>IFERROR(VLOOKUP(AK$32, 'Data Val'!$J$69:$N$73, 4, 0)+AK22, 0)</f>
        <v>0</v>
      </c>
      <c r="AL269" s="103">
        <f>IFERROR(VLOOKUP(AL$32, 'Data Val'!$J$69:$N$73, 4, 0)+AL22, 0)</f>
        <v>0</v>
      </c>
      <c r="AM269" s="103">
        <f>IFERROR(VLOOKUP(AM$32, 'Data Val'!$J$69:$N$73, 4, 0)+AM22, 0)</f>
        <v>0</v>
      </c>
      <c r="AN269" s="103">
        <f>IFERROR(VLOOKUP(AN$32, 'Data Val'!$J$69:$N$73, 4, 0)+AN22, 0)</f>
        <v>0</v>
      </c>
      <c r="AO269" s="103">
        <f>IFERROR(VLOOKUP(AO$32, 'Data Val'!$J$69:$N$73, 4, 0)+AO22, 0)</f>
        <v>0</v>
      </c>
      <c r="AP269" s="103">
        <f>IFERROR(VLOOKUP(AP$32, 'Data Val'!$J$69:$N$73, 4, 0)+AP22, 0)</f>
        <v>0</v>
      </c>
      <c r="AQ269" s="103">
        <f>IFERROR(VLOOKUP(AQ$32, 'Data Val'!$J$69:$N$73, 4, 0)+AQ22, 0)</f>
        <v>0</v>
      </c>
      <c r="AR269" s="103">
        <f>IFERROR(VLOOKUP(AR$32, 'Data Val'!$J$69:$N$73, 4, 0)+AR22, 0)</f>
        <v>0</v>
      </c>
      <c r="AS269" s="103">
        <f>IFERROR(VLOOKUP(AS$32, 'Data Val'!$J$69:$N$73, 4, 0)+AS22, 0)</f>
        <v>0</v>
      </c>
      <c r="AT269" s="103">
        <f>IFERROR(VLOOKUP(AT$32, 'Data Val'!$J$69:$N$73, 4, 0)+AT22, 0)</f>
        <v>0</v>
      </c>
      <c r="AU269" s="103">
        <f>IFERROR(VLOOKUP(AU$32, 'Data Val'!$J$69:$N$73, 4, 0)+AU22, 0)</f>
        <v>0</v>
      </c>
      <c r="AV269" s="103">
        <f>IFERROR(VLOOKUP(AV$32, 'Data Val'!$J$69:$N$73, 4, 0)+AV22, 0)</f>
        <v>0</v>
      </c>
      <c r="AW269" s="103">
        <f>IFERROR(VLOOKUP(AW$32, 'Data Val'!$J$69:$N$73, 4, 0)+AW22, 0)</f>
        <v>0</v>
      </c>
      <c r="AX269" s="103">
        <f>IFERROR(VLOOKUP(AX$32, 'Data Val'!$J$69:$N$73, 4, 0)+AX22, 0)</f>
        <v>0</v>
      </c>
      <c r="AY269" s="103">
        <f>IFERROR(VLOOKUP(AY$32, 'Data Val'!$J$69:$N$73, 4, 0)+AY22, 0)</f>
        <v>0</v>
      </c>
      <c r="AZ269" s="103">
        <f>IFERROR(VLOOKUP(AZ$32, 'Data Val'!$J$69:$N$73, 4, 0)+AZ22, 0)</f>
        <v>0</v>
      </c>
      <c r="BA269" s="103">
        <f>IFERROR(VLOOKUP(BA$32, 'Data Val'!$J$69:$N$73, 4, 0)+BA22, 0)</f>
        <v>0</v>
      </c>
      <c r="BB269" s="103">
        <f>IFERROR(VLOOKUP(BB$32, 'Data Val'!$J$69:$N$73, 4, 0)+BB22, 0)</f>
        <v>0</v>
      </c>
      <c r="BC269" s="103">
        <f>IFERROR(VLOOKUP(BC$32, 'Data Val'!$J$69:$N$73, 4, 0)+BC22, 0)</f>
        <v>0</v>
      </c>
      <c r="BD269" s="103">
        <f>IFERROR(VLOOKUP(BD$32, 'Data Val'!$J$69:$N$73, 4, 0)+BD22, 0)</f>
        <v>0</v>
      </c>
      <c r="BE269" s="103">
        <f>IFERROR(VLOOKUP(BE$32, 'Data Val'!$J$69:$N$73, 4, 0)+BE22, 0)</f>
        <v>0</v>
      </c>
      <c r="BF269" s="103">
        <f>IFERROR(VLOOKUP(BF$32, 'Data Val'!$J$69:$N$73, 4, 0)+BF22, 0)</f>
        <v>0</v>
      </c>
      <c r="BG269" s="103">
        <f>IFERROR(VLOOKUP(BG$32, 'Data Val'!$J$69:$N$73, 4, 0)+BG22, 0)</f>
        <v>0</v>
      </c>
      <c r="BH269" s="103">
        <f>IFERROR(VLOOKUP(BH$32, 'Data Val'!$J$69:$N$73, 4, 0)+BH22, 0)</f>
        <v>0</v>
      </c>
      <c r="BI269" s="208"/>
      <c r="BJ269" s="208"/>
      <c r="BK269" s="208"/>
      <c r="BL269" s="208"/>
      <c r="BM269" s="208"/>
      <c r="BN269" s="208"/>
      <c r="BO269" s="208"/>
      <c r="BP269" s="208"/>
      <c r="BQ269" s="208"/>
      <c r="BR269" s="208"/>
      <c r="BS269" s="208"/>
      <c r="BT269" s="208"/>
      <c r="BU269" s="208"/>
      <c r="BV269" s="208"/>
      <c r="BW269" s="208"/>
      <c r="BX269" s="208"/>
      <c r="BY269" s="208"/>
      <c r="BZ269" s="208"/>
      <c r="CA269" s="208"/>
      <c r="CB269" s="208"/>
      <c r="CC269" s="208"/>
      <c r="CD269" s="208"/>
      <c r="CE269" s="208"/>
      <c r="CF269" s="208"/>
      <c r="CG269" s="208"/>
      <c r="CH269" s="208"/>
      <c r="CI269" s="208"/>
      <c r="CJ269" s="128"/>
      <c r="CK269" s="128"/>
      <c r="CL269" s="128"/>
      <c r="CM269" s="128"/>
      <c r="CN269" s="128"/>
      <c r="CO269" s="128"/>
      <c r="CP269" s="128"/>
      <c r="CQ269" s="128"/>
      <c r="CR269" s="128"/>
      <c r="CS269" s="128"/>
      <c r="CT269" s="128"/>
      <c r="CU269" s="128"/>
      <c r="CV269" s="128"/>
      <c r="CW269" s="128"/>
      <c r="CX269" s="128"/>
      <c r="CY269" s="128"/>
      <c r="CZ269" s="128"/>
      <c r="DA269" s="128"/>
      <c r="DB269" s="128"/>
      <c r="DC269" s="128"/>
    </row>
    <row r="270" spans="1:107" s="129" customFormat="1" hidden="1" outlineLevel="1" x14ac:dyDescent="0.25">
      <c r="A270" s="110" t="s">
        <v>1164</v>
      </c>
      <c r="B270" s="208">
        <f>IFERROR(VLOOKUP(B$32, 'Data Val'!$J$69:$N$73, 5, 0)+B23, 0)</f>
        <v>39.36</v>
      </c>
      <c r="C270" s="208">
        <f>IFERROR(VLOOKUP(C$32, 'Data Val'!$J$69:$N$73, 5, 0)+C23, 0)</f>
        <v>39.36</v>
      </c>
      <c r="D270" s="208">
        <f>IFERROR(VLOOKUP(D$32, 'Data Val'!$J$69:$N$73, 5, 0)+D23, 0)</f>
        <v>39.36</v>
      </c>
      <c r="E270" s="208">
        <f>IFERROR(VLOOKUP(E$32, 'Data Val'!$J$69:$N$73, 5, 0)+E23, 0)</f>
        <v>39.36</v>
      </c>
      <c r="F270" s="208">
        <f>IFERROR(VLOOKUP(F$32, 'Data Val'!$J$69:$N$73, 5, 0)+F23, 0)</f>
        <v>39.36</v>
      </c>
      <c r="G270" s="208">
        <f>IFERROR(VLOOKUP(G$32, 'Data Val'!$J$69:$N$73, 5, 0)+G23, 0)</f>
        <v>39.36</v>
      </c>
      <c r="H270" s="208">
        <f>IFERROR(VLOOKUP(H$32, 'Data Val'!$J$69:$N$73, 5, 0)+H23, 0)</f>
        <v>39.36</v>
      </c>
      <c r="I270" s="208">
        <f>IFERROR(VLOOKUP(I$32, 'Data Val'!$J$69:$N$73, 5, 0)+I23, 0)</f>
        <v>39.36</v>
      </c>
      <c r="J270" s="208">
        <f>IFERROR(VLOOKUP(J$32, 'Data Val'!$J$69:$N$73, 5, 0)+J23, 0)</f>
        <v>39.36</v>
      </c>
      <c r="K270" s="208">
        <f>IFERROR(VLOOKUP(K$32, 'Data Val'!$J$69:$N$73, 5, 0)+K23, 0)</f>
        <v>39.36</v>
      </c>
      <c r="L270" s="208">
        <f>IFERROR(VLOOKUP(L$32, 'Data Val'!$J$69:$N$73, 5, 0)+L23, 0)</f>
        <v>39.36</v>
      </c>
      <c r="M270" s="208">
        <f>IFERROR(VLOOKUP(M$32, 'Data Val'!$J$69:$N$73, 5, 0)+M23, 0)</f>
        <v>39.36</v>
      </c>
      <c r="N270" s="208">
        <f>IFERROR(VLOOKUP(N$32, 'Data Val'!$J$69:$N$73, 5, 0)+N23, 0)</f>
        <v>39.36</v>
      </c>
      <c r="O270" s="208">
        <f>IFERROR(VLOOKUP(O$32, 'Data Val'!$J$69:$N$73, 5, 0)+O23, 0)</f>
        <v>39.36</v>
      </c>
      <c r="P270" s="208">
        <f>IFERROR(VLOOKUP(P$32, 'Data Val'!$J$69:$N$73, 5, 0)+P23, 0)</f>
        <v>39.36</v>
      </c>
      <c r="Q270" s="208">
        <f>IFERROR(VLOOKUP(Q$32, 'Data Val'!$J$69:$N$73, 5, 0)+Q23, 0)</f>
        <v>39.36</v>
      </c>
      <c r="R270" s="208">
        <f>IFERROR(VLOOKUP(R$32, 'Data Val'!$J$69:$N$73, 5, 0)+R23, 0)</f>
        <v>39.36</v>
      </c>
      <c r="S270" s="208">
        <f>IFERROR(VLOOKUP(S$32, 'Data Val'!$J$69:$N$73, 5, 0)+S23, 0)</f>
        <v>39.36</v>
      </c>
      <c r="T270" s="208">
        <f>IFERROR(VLOOKUP(T$32, 'Data Val'!$J$69:$N$73, 5, 0)+T23, 0)</f>
        <v>39.36</v>
      </c>
      <c r="U270" s="208">
        <f>IFERROR(VLOOKUP(U$32, 'Data Val'!$J$69:$N$73, 5, 0)+U23, 0)</f>
        <v>39.36</v>
      </c>
      <c r="V270" s="208">
        <f>IFERROR(VLOOKUP(V$32, 'Data Val'!$J$69:$N$73, 5, 0)+V23, 0)</f>
        <v>39.36</v>
      </c>
      <c r="W270" s="208">
        <f>IFERROR(VLOOKUP(W$32, 'Data Val'!$J$69:$N$73, 5, 0)+W23, 0)</f>
        <v>39.36</v>
      </c>
      <c r="X270" s="208">
        <f>IFERROR(VLOOKUP(X$32, 'Data Val'!$J$69:$N$73, 5, 0)+X23, 0)</f>
        <v>39.36</v>
      </c>
      <c r="Y270" s="208">
        <f>IFERROR(VLOOKUP(Y$32, 'Data Val'!$J$69:$N$73, 5, 0)+Y23, 0)</f>
        <v>39.36</v>
      </c>
      <c r="Z270" s="208">
        <f>IFERROR(VLOOKUP(Z$32, 'Data Val'!$J$69:$N$73, 5, 0)+Z23, 0)</f>
        <v>39.36</v>
      </c>
      <c r="AA270" s="208">
        <f>IFERROR(VLOOKUP(AA$32, 'Data Val'!$J$69:$N$73, 5, 0)+AA23, 0)</f>
        <v>39.36</v>
      </c>
      <c r="AB270" s="208">
        <f>IFERROR(VLOOKUP(AB$32, 'Data Val'!$J$69:$N$73, 5, 0)+AB23, 0)</f>
        <v>39.36</v>
      </c>
      <c r="AC270" s="208">
        <f>IFERROR(VLOOKUP(AC$32, 'Data Val'!$J$69:$N$73, 5, 0)+AC23, 0)</f>
        <v>39.36</v>
      </c>
      <c r="AD270" s="208">
        <f>IFERROR(VLOOKUP(AD$32, 'Data Val'!$J$69:$N$73, 5, 0)+AD23, 0)</f>
        <v>39.36</v>
      </c>
      <c r="AE270" s="208">
        <f>IFERROR(VLOOKUP(AE$32, 'Data Val'!$J$69:$N$73, 5, 0)+AE23, 0)</f>
        <v>39.36</v>
      </c>
      <c r="AF270" s="208">
        <f>IFERROR(VLOOKUP(AF$32, 'Data Val'!$J$69:$N$73, 5, 0)+AF23, 0)</f>
        <v>39.36</v>
      </c>
      <c r="AG270" s="208">
        <f>IFERROR(VLOOKUP(AG$32, 'Data Val'!$J$69:$N$73, 5, 0)+AG23, 0)</f>
        <v>39.36</v>
      </c>
      <c r="AH270" s="208">
        <f>IFERROR(VLOOKUP(AH$32, 'Data Val'!$J$69:$N$73, 5, 0)+AH23, 0)</f>
        <v>39.36</v>
      </c>
      <c r="AI270" s="208">
        <f>IFERROR(VLOOKUP(AI$32, 'Data Val'!$J$69:$N$73, 5, 0)+AI23, 0)</f>
        <v>39.36</v>
      </c>
      <c r="AJ270" s="208">
        <f>IFERROR(VLOOKUP(AJ$32, 'Data Val'!$J$69:$N$73, 5, 0)+AJ23, 0)</f>
        <v>0</v>
      </c>
      <c r="AK270" s="208">
        <f>IFERROR(VLOOKUP(AK$32, 'Data Val'!$J$69:$N$73, 5, 0)+AK23, 0)</f>
        <v>0</v>
      </c>
      <c r="AL270" s="208">
        <f>IFERROR(VLOOKUP(AL$32, 'Data Val'!$J$69:$N$73, 5, 0)+AL23, 0)</f>
        <v>0</v>
      </c>
      <c r="AM270" s="208">
        <f>IFERROR(VLOOKUP(AM$32, 'Data Val'!$J$69:$N$73, 5, 0)+AM23, 0)</f>
        <v>0</v>
      </c>
      <c r="AN270" s="208">
        <f>IFERROR(VLOOKUP(AN$32, 'Data Val'!$J$69:$N$73, 5, 0)+AN23, 0)</f>
        <v>0</v>
      </c>
      <c r="AO270" s="208">
        <f>IFERROR(VLOOKUP(AO$32, 'Data Val'!$J$69:$N$73, 5, 0)+AO23, 0)</f>
        <v>0</v>
      </c>
      <c r="AP270" s="208">
        <f>IFERROR(VLOOKUP(AP$32, 'Data Val'!$J$69:$N$73, 5, 0)+AP23, 0)</f>
        <v>0</v>
      </c>
      <c r="AQ270" s="208">
        <f>IFERROR(VLOOKUP(AQ$32, 'Data Val'!$J$69:$N$73, 5, 0)+AQ23, 0)</f>
        <v>0</v>
      </c>
      <c r="AR270" s="208">
        <f>IFERROR(VLOOKUP(AR$32, 'Data Val'!$J$69:$N$73, 5, 0)+AR23, 0)</f>
        <v>0</v>
      </c>
      <c r="AS270" s="208">
        <f>IFERROR(VLOOKUP(AS$32, 'Data Val'!$J$69:$N$73, 5, 0)+AS23, 0)</f>
        <v>0</v>
      </c>
      <c r="AT270" s="208">
        <f>IFERROR(VLOOKUP(AT$32, 'Data Val'!$J$69:$N$73, 5, 0)+AT23, 0)</f>
        <v>0</v>
      </c>
      <c r="AU270" s="208">
        <f>IFERROR(VLOOKUP(AU$32, 'Data Val'!$J$69:$N$73, 5, 0)+AU23, 0)</f>
        <v>0</v>
      </c>
      <c r="AV270" s="208">
        <f>IFERROR(VLOOKUP(AV$32, 'Data Val'!$J$69:$N$73, 5, 0)+AV23, 0)</f>
        <v>0</v>
      </c>
      <c r="AW270" s="208">
        <f>IFERROR(VLOOKUP(AW$32, 'Data Val'!$J$69:$N$73, 5, 0)+AW23, 0)</f>
        <v>0</v>
      </c>
      <c r="AX270" s="208">
        <f>IFERROR(VLOOKUP(AX$32, 'Data Val'!$J$69:$N$73, 5, 0)+AX23, 0)</f>
        <v>0</v>
      </c>
      <c r="AY270" s="208">
        <f>IFERROR(VLOOKUP(AY$32, 'Data Val'!$J$69:$N$73, 5, 0)+AY23, 0)</f>
        <v>0</v>
      </c>
      <c r="AZ270" s="208">
        <f>IFERROR(VLOOKUP(AZ$32, 'Data Val'!$J$69:$N$73, 5, 0)+AZ23, 0)</f>
        <v>0</v>
      </c>
      <c r="BA270" s="208">
        <f>IFERROR(VLOOKUP(BA$32, 'Data Val'!$J$69:$N$73, 5, 0)+BA23, 0)</f>
        <v>0</v>
      </c>
      <c r="BB270" s="208">
        <f>IFERROR(VLOOKUP(BB$32, 'Data Val'!$J$69:$N$73, 5, 0)+BB23, 0)</f>
        <v>0</v>
      </c>
      <c r="BC270" s="208">
        <f>IFERROR(VLOOKUP(BC$32, 'Data Val'!$J$69:$N$73, 5, 0)+BC23, 0)</f>
        <v>0</v>
      </c>
      <c r="BD270" s="208">
        <f>IFERROR(VLOOKUP(BD$32, 'Data Val'!$J$69:$N$73, 5, 0)+BD23, 0)</f>
        <v>0</v>
      </c>
      <c r="BE270" s="208">
        <f>IFERROR(VLOOKUP(BE$32, 'Data Val'!$J$69:$N$73, 5, 0)+BE23, 0)</f>
        <v>0</v>
      </c>
      <c r="BF270" s="208">
        <f>IFERROR(VLOOKUP(BF$32, 'Data Val'!$J$69:$N$73, 5, 0)+BF23, 0)</f>
        <v>0</v>
      </c>
      <c r="BG270" s="208">
        <f>IFERROR(VLOOKUP(BG$32, 'Data Val'!$J$69:$N$73, 5, 0)+BG23, 0)</f>
        <v>0</v>
      </c>
      <c r="BH270" s="208">
        <f>IFERROR(VLOOKUP(BH$32, 'Data Val'!$J$69:$N$73, 5, 0)+BH23, 0)</f>
        <v>0</v>
      </c>
      <c r="BI270" s="208"/>
      <c r="BJ270" s="208"/>
      <c r="BK270" s="208"/>
      <c r="BL270" s="208"/>
      <c r="BM270" s="208"/>
      <c r="BN270" s="208"/>
      <c r="BO270" s="208"/>
      <c r="BP270" s="208"/>
      <c r="BQ270" s="208"/>
      <c r="BR270" s="208"/>
      <c r="BS270" s="208"/>
      <c r="BT270" s="208"/>
      <c r="BU270" s="208"/>
      <c r="BV270" s="208"/>
      <c r="BW270" s="208"/>
      <c r="BX270" s="208"/>
      <c r="BY270" s="208"/>
      <c r="BZ270" s="208"/>
      <c r="CA270" s="208"/>
      <c r="CB270" s="208"/>
      <c r="CC270" s="208"/>
      <c r="CD270" s="208"/>
      <c r="CE270" s="208"/>
      <c r="CF270" s="208"/>
      <c r="CG270" s="208"/>
      <c r="CH270" s="208"/>
      <c r="CI270" s="208"/>
      <c r="CJ270" s="128"/>
      <c r="CK270" s="128"/>
      <c r="CL270" s="128"/>
      <c r="CM270" s="128"/>
      <c r="CN270" s="128"/>
      <c r="CO270" s="128"/>
      <c r="CP270" s="128"/>
      <c r="CQ270" s="128"/>
      <c r="CR270" s="128"/>
      <c r="CS270" s="128"/>
      <c r="CT270" s="128"/>
      <c r="CU270" s="128"/>
      <c r="CV270" s="128"/>
      <c r="CW270" s="128"/>
      <c r="CX270" s="128"/>
      <c r="CY270" s="128"/>
      <c r="CZ270" s="128"/>
      <c r="DA270" s="128"/>
      <c r="DB270" s="128"/>
      <c r="DC270" s="128"/>
    </row>
    <row r="271" spans="1:107" s="129" customFormat="1" hidden="1" outlineLevel="1" x14ac:dyDescent="0.25">
      <c r="A271" s="110" t="s">
        <v>124</v>
      </c>
      <c r="B271" s="208" t="str">
        <f>VLOOKUP(B18, 'Data Val'!$A$63:$H$65, 5, 0)</f>
        <v>DEF</v>
      </c>
      <c r="C271" s="208" t="e">
        <f>VLOOKUP(C18, 'Data Val'!$A$63:$H$65, 5, 0)</f>
        <v>#N/A</v>
      </c>
      <c r="D271" s="208" t="e">
        <f>VLOOKUP(D18, 'Data Val'!$A$63:$H$65, 5, 0)</f>
        <v>#N/A</v>
      </c>
      <c r="E271" s="208" t="e">
        <f>VLOOKUP(E18, 'Data Val'!$A$63:$H$65, 5, 0)</f>
        <v>#N/A</v>
      </c>
      <c r="F271" s="208" t="e">
        <f>VLOOKUP(F18, 'Data Val'!$A$63:$H$65, 5, 0)</f>
        <v>#N/A</v>
      </c>
      <c r="G271" s="208" t="str">
        <f>VLOOKUP(G18, 'Data Val'!$A$63:$H$65, 5, 0)</f>
        <v>DEF</v>
      </c>
      <c r="H271" s="208" t="str">
        <f>VLOOKUP(H18, 'Data Val'!$A$63:$H$65, 5, 0)</f>
        <v>ATK</v>
      </c>
      <c r="I271" s="208" t="str">
        <f>VLOOKUP(I18, 'Data Val'!$A$63:$H$65, 5, 0)</f>
        <v>ATK</v>
      </c>
      <c r="J271" s="208" t="str">
        <f>VLOOKUP(J18, 'Data Val'!$A$63:$H$65, 5, 0)</f>
        <v>ATK</v>
      </c>
      <c r="K271" s="208" t="e">
        <f>VLOOKUP(K18, 'Data Val'!$A$63:$H$65, 5, 0)</f>
        <v>#N/A</v>
      </c>
      <c r="L271" s="208" t="e">
        <f>VLOOKUP(L18, 'Data Val'!$A$63:$H$65, 5, 0)</f>
        <v>#N/A</v>
      </c>
      <c r="M271" s="208" t="e">
        <f>VLOOKUP(M18, 'Data Val'!$A$63:$H$65, 5, 0)</f>
        <v>#N/A</v>
      </c>
      <c r="N271" s="208" t="e">
        <f>VLOOKUP(N18, 'Data Val'!$A$63:$H$65, 5, 0)</f>
        <v>#N/A</v>
      </c>
      <c r="O271" s="208" t="str">
        <f>VLOOKUP(O18, 'Data Val'!$A$63:$H$65, 5, 0)</f>
        <v>ATK</v>
      </c>
      <c r="P271" s="208" t="str">
        <f>VLOOKUP(P18, 'Data Val'!$A$63:$H$65, 5, 0)</f>
        <v>ATK</v>
      </c>
      <c r="Q271" s="208" t="e">
        <f>VLOOKUP(Q18, 'Data Val'!$A$63:$H$65, 5, 0)</f>
        <v>#N/A</v>
      </c>
      <c r="R271" s="208" t="e">
        <f>VLOOKUP(R18, 'Data Val'!$A$63:$H$65, 5, 0)</f>
        <v>#N/A</v>
      </c>
      <c r="S271" s="208" t="str">
        <f>VLOOKUP(S18, 'Data Val'!$A$63:$H$65, 5, 0)</f>
        <v>ATK</v>
      </c>
      <c r="T271" s="208" t="e">
        <f>VLOOKUP(T18, 'Data Val'!$A$63:$H$65, 5, 0)</f>
        <v>#N/A</v>
      </c>
      <c r="U271" s="208" t="str">
        <f>VLOOKUP(U18, 'Data Val'!$A$63:$H$65, 5, 0)</f>
        <v>ATK</v>
      </c>
      <c r="V271" s="208" t="e">
        <f>VLOOKUP(V18, 'Data Val'!$A$63:$H$65, 5, 0)</f>
        <v>#N/A</v>
      </c>
      <c r="W271" s="208" t="e">
        <f>VLOOKUP(W18, 'Data Val'!$A$63:$H$65, 5, 0)</f>
        <v>#N/A</v>
      </c>
      <c r="X271" s="208" t="e">
        <f>VLOOKUP(X18, 'Data Val'!$A$63:$H$65, 5, 0)</f>
        <v>#N/A</v>
      </c>
      <c r="Y271" s="208" t="str">
        <f>VLOOKUP(Y18, 'Data Val'!$A$63:$H$65, 5, 0)</f>
        <v>ATK</v>
      </c>
      <c r="Z271" s="208" t="e">
        <f>VLOOKUP(Z18, 'Data Val'!$A$63:$H$65, 5, 0)</f>
        <v>#N/A</v>
      </c>
      <c r="AA271" s="208" t="e">
        <f>VLOOKUP(AA18, 'Data Val'!$A$63:$H$65, 5, 0)</f>
        <v>#N/A</v>
      </c>
      <c r="AB271" s="208" t="e">
        <f>VLOOKUP(AB18, 'Data Val'!$A$63:$H$65, 5, 0)</f>
        <v>#N/A</v>
      </c>
      <c r="AC271" s="208" t="e">
        <f>VLOOKUP(AC18, 'Data Val'!$A$63:$H$65, 5, 0)</f>
        <v>#N/A</v>
      </c>
      <c r="AD271" s="208" t="e">
        <f>VLOOKUP(AD18, 'Data Val'!$A$63:$H$65, 5, 0)</f>
        <v>#N/A</v>
      </c>
      <c r="AE271" s="208" t="str">
        <f>VLOOKUP(AE18, 'Data Val'!$A$63:$H$65, 5, 0)</f>
        <v>ATK</v>
      </c>
      <c r="AF271" s="208" t="e">
        <f>VLOOKUP(AF18, 'Data Val'!$A$63:$H$65, 5, 0)</f>
        <v>#N/A</v>
      </c>
      <c r="AG271" s="208" t="e">
        <f>VLOOKUP(AG18, 'Data Val'!$A$63:$H$65, 5, 0)</f>
        <v>#N/A</v>
      </c>
      <c r="AH271" s="208" t="e">
        <f>VLOOKUP(AH18, 'Data Val'!$A$63:$H$65, 5, 0)</f>
        <v>#N/A</v>
      </c>
      <c r="AI271" s="208" t="e">
        <f>VLOOKUP(AI18, 'Data Val'!$A$63:$H$65, 5, 0)</f>
        <v>#N/A</v>
      </c>
      <c r="AJ271" s="208" t="e">
        <f>VLOOKUP(AJ18, 'Data Val'!$A$63:$H$65, 5, 0)</f>
        <v>#N/A</v>
      </c>
      <c r="AK271" s="208" t="e">
        <f>VLOOKUP(AK18, 'Data Val'!$A$63:$H$65, 5, 0)</f>
        <v>#N/A</v>
      </c>
      <c r="AL271" s="208" t="e">
        <f>VLOOKUP(AL18, 'Data Val'!$A$63:$H$65, 5, 0)</f>
        <v>#N/A</v>
      </c>
      <c r="AM271" s="208" t="e">
        <f>VLOOKUP(AM18, 'Data Val'!$A$63:$H$65, 5, 0)</f>
        <v>#N/A</v>
      </c>
      <c r="AN271" s="208" t="e">
        <f>VLOOKUP(AN18, 'Data Val'!$A$63:$H$65, 5, 0)</f>
        <v>#N/A</v>
      </c>
      <c r="AO271" s="208" t="e">
        <f>VLOOKUP(AO18, 'Data Val'!$A$63:$H$65, 5, 0)</f>
        <v>#N/A</v>
      </c>
      <c r="AP271" s="208" t="e">
        <f>VLOOKUP(AP18, 'Data Val'!$A$63:$H$65, 5, 0)</f>
        <v>#N/A</v>
      </c>
      <c r="AQ271" s="208" t="e">
        <f>VLOOKUP(AQ18, 'Data Val'!$A$63:$H$65, 5, 0)</f>
        <v>#N/A</v>
      </c>
      <c r="AR271" s="208" t="e">
        <f>VLOOKUP(AR18, 'Data Val'!$A$63:$H$65, 5, 0)</f>
        <v>#N/A</v>
      </c>
      <c r="AS271" s="208" t="e">
        <f>VLOOKUP(AS18, 'Data Val'!$A$63:$H$65, 5, 0)</f>
        <v>#N/A</v>
      </c>
      <c r="AT271" s="208" t="e">
        <f>VLOOKUP(AT18, 'Data Val'!$A$63:$H$65, 5, 0)</f>
        <v>#N/A</v>
      </c>
      <c r="AU271" s="208" t="e">
        <f>VLOOKUP(AU18, 'Data Val'!$A$63:$H$65, 5, 0)</f>
        <v>#N/A</v>
      </c>
      <c r="AV271" s="208" t="e">
        <f>VLOOKUP(AV18, 'Data Val'!$A$63:$H$65, 5, 0)</f>
        <v>#N/A</v>
      </c>
      <c r="AW271" s="208" t="e">
        <f>VLOOKUP(AW18, 'Data Val'!$A$63:$H$65, 5, 0)</f>
        <v>#N/A</v>
      </c>
      <c r="AX271" s="208" t="e">
        <f>VLOOKUP(AX18, 'Data Val'!$A$63:$H$65, 5, 0)</f>
        <v>#N/A</v>
      </c>
      <c r="AY271" s="208" t="e">
        <f>VLOOKUP(AY18, 'Data Val'!$A$63:$H$65, 5, 0)</f>
        <v>#N/A</v>
      </c>
      <c r="AZ271" s="208" t="e">
        <f>VLOOKUP(AZ18, 'Data Val'!$A$63:$H$65, 5, 0)</f>
        <v>#N/A</v>
      </c>
      <c r="BA271" s="208" t="e">
        <f>VLOOKUP(BA18, 'Data Val'!$A$63:$H$65, 5, 0)</f>
        <v>#N/A</v>
      </c>
      <c r="BB271" s="208" t="e">
        <f>VLOOKUP(BB18, 'Data Val'!$A$63:$H$65, 5, 0)</f>
        <v>#N/A</v>
      </c>
      <c r="BC271" s="208" t="e">
        <f>VLOOKUP(BC18, 'Data Val'!$A$63:$H$65, 5, 0)</f>
        <v>#N/A</v>
      </c>
      <c r="BD271" s="208" t="e">
        <f>VLOOKUP(BD18, 'Data Val'!$A$63:$H$65, 5, 0)</f>
        <v>#N/A</v>
      </c>
      <c r="BE271" s="208" t="e">
        <f>VLOOKUP(BE18, 'Data Val'!$A$63:$H$65, 5, 0)</f>
        <v>#N/A</v>
      </c>
      <c r="BF271" s="208" t="e">
        <f>VLOOKUP(BF18, 'Data Val'!$A$63:$H$65, 5, 0)</f>
        <v>#N/A</v>
      </c>
      <c r="BG271" s="208" t="e">
        <f>VLOOKUP(BG18, 'Data Val'!$A$63:$H$65, 5, 0)</f>
        <v>#N/A</v>
      </c>
      <c r="BH271" s="208" t="e">
        <f>VLOOKUP(BH18, 'Data Val'!$A$63:$H$65, 5, 0)</f>
        <v>#N/A</v>
      </c>
      <c r="BI271" s="208"/>
      <c r="BJ271" s="208"/>
      <c r="BK271" s="208"/>
      <c r="BL271" s="208"/>
      <c r="BM271" s="208"/>
      <c r="BN271" s="208"/>
      <c r="BO271" s="208"/>
      <c r="BP271" s="208"/>
      <c r="BQ271" s="208"/>
      <c r="BR271" s="208"/>
      <c r="BS271" s="208"/>
      <c r="BT271" s="208"/>
      <c r="BU271" s="208"/>
      <c r="BV271" s="208"/>
      <c r="BW271" s="208"/>
      <c r="BX271" s="208"/>
      <c r="BY271" s="208"/>
      <c r="BZ271" s="208"/>
      <c r="CA271" s="208"/>
      <c r="CB271" s="208"/>
      <c r="CC271" s="208"/>
      <c r="CD271" s="208"/>
      <c r="CE271" s="208"/>
      <c r="CF271" s="208"/>
      <c r="CG271" s="208"/>
      <c r="CH271" s="208"/>
      <c r="CI271" s="208"/>
      <c r="CJ271" s="128"/>
      <c r="CK271" s="128"/>
      <c r="CL271" s="128"/>
      <c r="CM271" s="128"/>
      <c r="CN271" s="128"/>
      <c r="CO271" s="128"/>
      <c r="CP271" s="128"/>
      <c r="CQ271" s="128"/>
      <c r="CR271" s="128"/>
      <c r="CS271" s="128"/>
      <c r="CT271" s="128"/>
      <c r="CU271" s="128"/>
      <c r="CV271" s="128"/>
      <c r="CW271" s="128"/>
      <c r="CX271" s="128"/>
      <c r="CY271" s="128"/>
      <c r="CZ271" s="128"/>
      <c r="DA271" s="128"/>
      <c r="DB271" s="128"/>
      <c r="DC271" s="128"/>
    </row>
    <row r="272" spans="1:107" s="129" customFormat="1" hidden="1" outlineLevel="1" x14ac:dyDescent="0.25">
      <c r="A272" s="110" t="s">
        <v>1167</v>
      </c>
      <c r="B272" s="208">
        <f>IFERROR(IF(B271="ATK", B266*(1+B267)+B268, IF(B271 = "DEF", B266*(1+B269)+B270, 0))*VLOOKUP(B18, 'Data Val'!$A$63:$H$65, 4, 0),0)</f>
        <v>0</v>
      </c>
      <c r="C272" s="208">
        <f>IFERROR(IF(C271="ATK", C266*(1+C267)+C268, IF(C271 = "DEF", C266*(1+C269)+C270, 0))*VLOOKUP(C18, 'Data Val'!$A$63:$H$65, 4, 0),0)</f>
        <v>0</v>
      </c>
      <c r="D272" s="208">
        <f>IFERROR(IF(D271="ATK", D266*(1+D267)+D268, IF(D271 = "DEF", D266*(1+D269)+D270, 0))*VLOOKUP(D18, 'Data Val'!$A$63:$H$65, 4, 0),0)</f>
        <v>0</v>
      </c>
      <c r="E272" s="208">
        <f>IFERROR(IF(E271="ATK", E266*(1+E267)+E268, IF(E271 = "DEF", E266*(1+E269)+E270, 0))*VLOOKUP(E18, 'Data Val'!$A$63:$H$65, 4, 0),0)</f>
        <v>0</v>
      </c>
      <c r="F272" s="208">
        <f>IFERROR(IF(F271="ATK", F266*(1+F267)+F268, IF(F271 = "DEF", F266*(1+F269)+F270, 0))*VLOOKUP(F18, 'Data Val'!$A$63:$H$65, 4, 0),0)</f>
        <v>0</v>
      </c>
      <c r="G272" s="208">
        <f>IFERROR(IF(G271="ATK", G266*(1+G267)+G268, IF(G271 = "DEF", G266*(1+G269)+G270, 0))*VLOOKUP(G18, 'Data Val'!$A$63:$H$65, 4, 0),0)</f>
        <v>0</v>
      </c>
      <c r="H272" s="208">
        <f ca="1">IFERROR(IF(H271="ATK", H266*(1+H267)+H268, IF(H271 = "DEF", H266*(1+H269)+H270, 0))*VLOOKUP(H18, 'Data Val'!$A$63:$H$65, 4, 0),0)</f>
        <v>2280.6454325599998</v>
      </c>
      <c r="I272" s="208">
        <f>IFERROR(IF(I271="ATK", I266*(1+I267)+I268, IF(I271 = "DEF", I266*(1+I269)+I270, 0))*VLOOKUP(I18, 'Data Val'!$A$63:$H$65, 4, 0),0)</f>
        <v>1477.9692505599999</v>
      </c>
      <c r="J272" s="208">
        <f>IFERROR(IF(J271="ATK", J266*(1+J267)+J268, IF(J271 = "DEF", J266*(1+J269)+J270, 0))*VLOOKUP(J18, 'Data Val'!$A$63:$H$65, 4, 0),0)</f>
        <v>1477.9692505599999</v>
      </c>
      <c r="K272" s="208">
        <f>IFERROR(IF(K271="ATK", K266*(1+K267)+K268, IF(K271 = "DEF", K266*(1+K269)+K270, 0))*VLOOKUP(K18, 'Data Val'!$A$63:$H$65, 4, 0),0)</f>
        <v>0</v>
      </c>
      <c r="L272" s="208">
        <f>IFERROR(IF(L271="ATK", L266*(1+L267)+L268, IF(L271 = "DEF", L266*(1+L269)+L270, 0))*VLOOKUP(L18, 'Data Val'!$A$63:$H$65, 4, 0),0)</f>
        <v>0</v>
      </c>
      <c r="M272" s="208">
        <f>IFERROR(IF(M271="ATK", M266*(1+M267)+M268, IF(M271 = "DEF", M266*(1+M269)+M270, 0))*VLOOKUP(M18, 'Data Val'!$A$63:$H$65, 4, 0),0)</f>
        <v>0</v>
      </c>
      <c r="N272" s="208">
        <f>IFERROR(IF(N271="ATK", N266*(1+N267)+N268, IF(N271 = "DEF", N266*(1+N269)+N270, 0))*VLOOKUP(N18, 'Data Val'!$A$63:$H$65, 4, 0),0)</f>
        <v>0</v>
      </c>
      <c r="O272" s="208">
        <f ca="1">IFERROR(IF(O271="ATK", O266*(1+O267)+O268, IF(O271 = "DEF", O266*(1+O269)+O270, 0))*VLOOKUP(O18, 'Data Val'!$A$63:$H$65, 4, 0),0)</f>
        <v>2280.6454325599998</v>
      </c>
      <c r="P272" s="208">
        <f ca="1">IFERROR(IF(P271="ATK", P266*(1+P267)+P268, IF(P271 = "DEF", P266*(1+P269)+P270, 0))*VLOOKUP(P18, 'Data Val'!$A$63:$H$65, 4, 0),0)</f>
        <v>2415.54899256</v>
      </c>
      <c r="Q272" s="208">
        <f>IFERROR(IF(Q271="ATK", Q266*(1+Q267)+Q268, IF(Q271 = "DEF", Q266*(1+Q269)+Q270, 0))*VLOOKUP(Q18, 'Data Val'!$A$63:$H$65, 4, 0),0)</f>
        <v>0</v>
      </c>
      <c r="R272" s="208">
        <f>IFERROR(IF(R271="ATK", R266*(1+R267)+R268, IF(R271 = "DEF", R266*(1+R269)+R270, 0))*VLOOKUP(R18, 'Data Val'!$A$63:$H$65, 4, 0),0)</f>
        <v>0</v>
      </c>
      <c r="S272" s="208">
        <f>IFERROR(IF(S271="ATK", S266*(1+S267)+S268, IF(S271 = "DEF", S266*(1+S269)+S270, 0))*VLOOKUP(S18, 'Data Val'!$A$63:$H$65, 4, 0),0)</f>
        <v>1938.1252937199999</v>
      </c>
      <c r="T272" s="208">
        <f>IFERROR(IF(T271="ATK", T266*(1+T267)+T268, IF(T271 = "DEF", T266*(1+T269)+T270, 0))*VLOOKUP(T18, 'Data Val'!$A$63:$H$65, 4, 0),0)</f>
        <v>0</v>
      </c>
      <c r="U272" s="208">
        <f>IFERROR(IF(U271="ATK", U266*(1+U267)+U268, IF(U271 = "DEF", U266*(1+U269)+U270, 0))*VLOOKUP(U18, 'Data Val'!$A$63:$H$65, 4, 0),0)</f>
        <v>1938.1252937199999</v>
      </c>
      <c r="V272" s="208">
        <f>IFERROR(IF(V271="ATK", V266*(1+V267)+V268, IF(V271 = "DEF", V266*(1+V269)+V270, 0))*VLOOKUP(V18, 'Data Val'!$A$63:$H$65, 4, 0),0)</f>
        <v>0</v>
      </c>
      <c r="W272" s="208">
        <f>IFERROR(IF(W271="ATK", W266*(1+W267)+W268, IF(W271 = "DEF", W266*(1+W269)+W270, 0))*VLOOKUP(W18, 'Data Val'!$A$63:$H$65, 4, 0),0)</f>
        <v>0</v>
      </c>
      <c r="X272" s="208">
        <f>IFERROR(IF(X271="ATK", X266*(1+X267)+X268, IF(X271 = "DEF", X266*(1+X269)+X270, 0))*VLOOKUP(X18, 'Data Val'!$A$63:$H$65, 4, 0),0)</f>
        <v>0</v>
      </c>
      <c r="Y272" s="208">
        <f>IFERROR(IF(Y271="ATK", Y266*(1+Y267)+Y268, IF(Y271 = "DEF", Y266*(1+Y269)+Y270, 0))*VLOOKUP(Y18, 'Data Val'!$A$63:$H$65, 4, 0),0)</f>
        <v>1803.2217337200002</v>
      </c>
      <c r="Z272" s="208">
        <f>IFERROR(IF(Z271="ATK", Z266*(1+Z267)+Z268, IF(Z271 = "DEF", Z266*(1+Z269)+Z270, 0))*VLOOKUP(Z18, 'Data Val'!$A$63:$H$65, 4, 0),0)</f>
        <v>0</v>
      </c>
      <c r="AA272" s="208">
        <f>IFERROR(IF(AA271="ATK", AA266*(1+AA267)+AA268, IF(AA271 = "DEF", AA266*(1+AA269)+AA270, 0))*VLOOKUP(AA18, 'Data Val'!$A$63:$H$65, 4, 0),0)</f>
        <v>0</v>
      </c>
      <c r="AB272" s="208">
        <f>IFERROR(IF(AB271="ATK", AB266*(1+AB267)+AB268, IF(AB271 = "DEF", AB266*(1+AB269)+AB270, 0))*VLOOKUP(AB18, 'Data Val'!$A$63:$H$65, 4, 0),0)</f>
        <v>0</v>
      </c>
      <c r="AC272" s="208">
        <f>IFERROR(IF(AC271="ATK", AC266*(1+AC267)+AC268, IF(AC271 = "DEF", AC266*(1+AC269)+AC270, 0))*VLOOKUP(AC18, 'Data Val'!$A$63:$H$65, 4, 0),0)</f>
        <v>0</v>
      </c>
      <c r="AD272" s="208">
        <f>IFERROR(IF(AD271="ATK", AD266*(1+AD267)+AD268, IF(AD271 = "DEF", AD266*(1+AD269)+AD270, 0))*VLOOKUP(AD18, 'Data Val'!$A$63:$H$65, 4, 0),0)</f>
        <v>0</v>
      </c>
      <c r="AE272" s="208">
        <f ca="1">IFERROR(IF(AE271="ATK", AE266*(1+AE267)+AE268, IF(AE271 = "DEF", AE266*(1+AE269)+AE270, 0))*VLOOKUP(AE18, 'Data Val'!$A$63:$H$65, 4, 0),0)</f>
        <v>2280.6454325599998</v>
      </c>
      <c r="AF272" s="208">
        <f>IFERROR(IF(AF271="ATK", AF266*(1+AF267)+AF268, IF(AF271 = "DEF", AF266*(1+AF269)+AF270, 0))*VLOOKUP(AF18, 'Data Val'!$A$63:$H$65, 4, 0),0)</f>
        <v>0</v>
      </c>
      <c r="AG272" s="208">
        <f>IFERROR(IF(AG271="ATK", AG266*(1+AG267)+AG268, IF(AG271 = "DEF", AG266*(1+AG269)+AG270, 0))*VLOOKUP(AG18, 'Data Val'!$A$63:$H$65, 4, 0),0)</f>
        <v>0</v>
      </c>
      <c r="AH272" s="208">
        <f>IFERROR(IF(AH271="ATK", AH266*(1+AH267)+AH268, IF(AH271 = "DEF", AH266*(1+AH269)+AH270, 0))*VLOOKUP(AH18, 'Data Val'!$A$63:$H$65, 4, 0),0)</f>
        <v>0</v>
      </c>
      <c r="AI272" s="208">
        <f>IFERROR(IF(AI271="ATK", AI266*(1+AI267)+AI268, IF(AI271 = "DEF", AI266*(1+AI269)+AI270, 0))*VLOOKUP(AI18, 'Data Val'!$A$63:$H$65, 4, 0),0)</f>
        <v>0</v>
      </c>
      <c r="AJ272" s="208">
        <f>IFERROR(IF(AJ271="ATK", AJ266*(1+AJ267)+AJ268, IF(AJ271 = "DEF", AJ266*(1+AJ269)+AJ270, 0))*VLOOKUP(AJ18, 'Data Val'!$A$63:$H$65, 4, 0),0)</f>
        <v>0</v>
      </c>
      <c r="AK272" s="208">
        <f>IFERROR(IF(AK271="ATK", AK266*(1+AK267)+AK268, IF(AK271 = "DEF", AK266*(1+AK269)+AK270, 0))*VLOOKUP(AK18, 'Data Val'!$A$63:$H$65, 4, 0),0)</f>
        <v>0</v>
      </c>
      <c r="AL272" s="208">
        <f>IFERROR(IF(AL271="ATK", AL266*(1+AL267)+AL268, IF(AL271 = "DEF", AL266*(1+AL269)+AL270, 0))*VLOOKUP(AL18, 'Data Val'!$A$63:$H$65, 4, 0),0)</f>
        <v>0</v>
      </c>
      <c r="AM272" s="208">
        <f>IFERROR(IF(AM271="ATK", AM266*(1+AM267)+AM268, IF(AM271 = "DEF", AM266*(1+AM269)+AM270, 0))*VLOOKUP(AM18, 'Data Val'!$A$63:$H$65, 4, 0),0)</f>
        <v>0</v>
      </c>
      <c r="AN272" s="208">
        <f>IFERROR(IF(AN271="ATK", AN266*(1+AN267)+AN268, IF(AN271 = "DEF", AN266*(1+AN269)+AN270, 0))*VLOOKUP(AN18, 'Data Val'!$A$63:$H$65, 4, 0),0)</f>
        <v>0</v>
      </c>
      <c r="AO272" s="208">
        <f>IFERROR(IF(AO271="ATK", AO266*(1+AO267)+AO268, IF(AO271 = "DEF", AO266*(1+AO269)+AO270, 0))*VLOOKUP(AO18, 'Data Val'!$A$63:$H$65, 4, 0),0)</f>
        <v>0</v>
      </c>
      <c r="AP272" s="208">
        <f>IFERROR(IF(AP271="ATK", AP266*(1+AP267)+AP268, IF(AP271 = "DEF", AP266*(1+AP269)+AP270, 0))*VLOOKUP(AP18, 'Data Val'!$A$63:$H$65, 4, 0),0)</f>
        <v>0</v>
      </c>
      <c r="AQ272" s="208">
        <f>IFERROR(IF(AQ271="ATK", AQ266*(1+AQ267)+AQ268, IF(AQ271 = "DEF", AQ266*(1+AQ269)+AQ270, 0))*VLOOKUP(AQ18, 'Data Val'!$A$63:$H$65, 4, 0),0)</f>
        <v>0</v>
      </c>
      <c r="AR272" s="208">
        <f>IFERROR(IF(AR271="ATK", AR266*(1+AR267)+AR268, IF(AR271 = "DEF", AR266*(1+AR269)+AR270, 0))*VLOOKUP(AR18, 'Data Val'!$A$63:$H$65, 4, 0),0)</f>
        <v>0</v>
      </c>
      <c r="AS272" s="208">
        <f>IFERROR(IF(AS271="ATK", AS266*(1+AS267)+AS268, IF(AS271 = "DEF", AS266*(1+AS269)+AS270, 0))*VLOOKUP(AS18, 'Data Val'!$A$63:$H$65, 4, 0),0)</f>
        <v>0</v>
      </c>
      <c r="AT272" s="208">
        <f>IFERROR(IF(AT271="ATK", AT266*(1+AT267)+AT268, IF(AT271 = "DEF", AT266*(1+AT269)+AT270, 0))*VLOOKUP(AT18, 'Data Val'!$A$63:$H$65, 4, 0),0)</f>
        <v>0</v>
      </c>
      <c r="AU272" s="208">
        <f>IFERROR(IF(AU271="ATK", AU266*(1+AU267)+AU268, IF(AU271 = "DEF", AU266*(1+AU269)+AU270, 0))*VLOOKUP(AU18, 'Data Val'!$A$63:$H$65, 4, 0),0)</f>
        <v>0</v>
      </c>
      <c r="AV272" s="208">
        <f>IFERROR(IF(AV271="ATK", AV266*(1+AV267)+AV268, IF(AV271 = "DEF", AV266*(1+AV269)+AV270, 0))*VLOOKUP(AV18, 'Data Val'!$A$63:$H$65, 4, 0),0)</f>
        <v>0</v>
      </c>
      <c r="AW272" s="208">
        <f>IFERROR(IF(AW271="ATK", AW266*(1+AW267)+AW268, IF(AW271 = "DEF", AW266*(1+AW269)+AW270, 0))*VLOOKUP(AW18, 'Data Val'!$A$63:$H$65, 4, 0),0)</f>
        <v>0</v>
      </c>
      <c r="AX272" s="208">
        <f>IFERROR(IF(AX271="ATK", AX266*(1+AX267)+AX268, IF(AX271 = "DEF", AX266*(1+AX269)+AX270, 0))*VLOOKUP(AX18, 'Data Val'!$A$63:$H$65, 4, 0),0)</f>
        <v>0</v>
      </c>
      <c r="AY272" s="208">
        <f>IFERROR(IF(AY271="ATK", AY266*(1+AY267)+AY268, IF(AY271 = "DEF", AY266*(1+AY269)+AY270, 0))*VLOOKUP(AY18, 'Data Val'!$A$63:$H$65, 4, 0),0)</f>
        <v>0</v>
      </c>
      <c r="AZ272" s="208">
        <f>IFERROR(IF(AZ271="ATK", AZ266*(1+AZ267)+AZ268, IF(AZ271 = "DEF", AZ266*(1+AZ269)+AZ270, 0))*VLOOKUP(AZ18, 'Data Val'!$A$63:$H$65, 4, 0),0)</f>
        <v>0</v>
      </c>
      <c r="BA272" s="208">
        <f>IFERROR(IF(BA271="ATK", BA266*(1+BA267)+BA268, IF(BA271 = "DEF", BA266*(1+BA269)+BA270, 0))*VLOOKUP(BA18, 'Data Val'!$A$63:$H$65, 4, 0),0)</f>
        <v>0</v>
      </c>
      <c r="BB272" s="208">
        <f>IFERROR(IF(BB271="ATK", BB266*(1+BB267)+BB268, IF(BB271 = "DEF", BB266*(1+BB269)+BB270, 0))*VLOOKUP(BB18, 'Data Val'!$A$63:$H$65, 4, 0),0)</f>
        <v>0</v>
      </c>
      <c r="BC272" s="208">
        <f>IFERROR(IF(BC271="ATK", BC266*(1+BC267)+BC268, IF(BC271 = "DEF", BC266*(1+BC269)+BC270, 0))*VLOOKUP(BC18, 'Data Val'!$A$63:$H$65, 4, 0),0)</f>
        <v>0</v>
      </c>
      <c r="BD272" s="208">
        <f>IFERROR(IF(BD271="ATK", BD266*(1+BD267)+BD268, IF(BD271 = "DEF", BD266*(1+BD269)+BD270, 0))*VLOOKUP(BD18, 'Data Val'!$A$63:$H$65, 4, 0),0)</f>
        <v>0</v>
      </c>
      <c r="BE272" s="208">
        <f>IFERROR(IF(BE271="ATK", BE266*(1+BE267)+BE268, IF(BE271 = "DEF", BE266*(1+BE269)+BE270, 0))*VLOOKUP(BE18, 'Data Val'!$A$63:$H$65, 4, 0),0)</f>
        <v>0</v>
      </c>
      <c r="BF272" s="208">
        <f>IFERROR(IF(BF271="ATK", BF266*(1+BF267)+BF268, IF(BF271 = "DEF", BF266*(1+BF269)+BF270, 0))*VLOOKUP(BF18, 'Data Val'!$A$63:$H$65, 4, 0),0)</f>
        <v>0</v>
      </c>
      <c r="BG272" s="208">
        <f>IFERROR(IF(BG271="ATK", BG266*(1+BG267)+BG268, IF(BG271 = "DEF", BG266*(1+BG269)+BG270, 0))*VLOOKUP(BG18, 'Data Val'!$A$63:$H$65, 4, 0),0)</f>
        <v>0</v>
      </c>
      <c r="BH272" s="208">
        <f>IFERROR(IF(BH271="ATK", BH266*(1+BH267)+BH268, IF(BH271 = "DEF", BH266*(1+BH269)+BH270, 0))*VLOOKUP(BH18, 'Data Val'!$A$63:$H$65, 4, 0),0)</f>
        <v>0</v>
      </c>
      <c r="BI272" s="208"/>
      <c r="BJ272" s="208"/>
      <c r="BK272" s="208"/>
      <c r="BL272" s="208"/>
      <c r="BM272" s="208"/>
      <c r="BN272" s="208"/>
      <c r="BO272" s="208"/>
      <c r="BP272" s="208"/>
      <c r="BQ272" s="208"/>
      <c r="BR272" s="208"/>
      <c r="BS272" s="208"/>
      <c r="BT272" s="208"/>
      <c r="BU272" s="208"/>
      <c r="BV272" s="208"/>
      <c r="BW272" s="208"/>
      <c r="BX272" s="208"/>
      <c r="BY272" s="208"/>
      <c r="BZ272" s="208"/>
      <c r="CA272" s="208"/>
      <c r="CB272" s="208"/>
      <c r="CC272" s="208"/>
      <c r="CD272" s="208"/>
      <c r="CE272" s="208"/>
      <c r="CF272" s="208"/>
      <c r="CG272" s="208"/>
      <c r="CH272" s="208"/>
      <c r="CI272" s="208"/>
      <c r="CJ272" s="128"/>
      <c r="CK272" s="128"/>
      <c r="CL272" s="128"/>
      <c r="CM272" s="128"/>
      <c r="CN272" s="128"/>
      <c r="CO272" s="128"/>
      <c r="CP272" s="128"/>
      <c r="CQ272" s="128"/>
      <c r="CR272" s="128"/>
      <c r="CS272" s="128"/>
      <c r="CT272" s="128"/>
      <c r="CU272" s="128"/>
      <c r="CV272" s="128"/>
      <c r="CW272" s="128"/>
      <c r="CX272" s="128"/>
      <c r="CY272" s="128"/>
      <c r="CZ272" s="128"/>
      <c r="DA272" s="128"/>
      <c r="DB272" s="128"/>
      <c r="DC272" s="128"/>
    </row>
    <row r="273" spans="1:107" s="129" customFormat="1" hidden="1" outlineLevel="1" x14ac:dyDescent="0.25">
      <c r="A273" s="110" t="s">
        <v>1066</v>
      </c>
      <c r="B273" s="208">
        <f>B265+B272</f>
        <v>4711.2398520000006</v>
      </c>
      <c r="C273" s="208">
        <f t="shared" ref="C273:BH273" si="1462">C265+C272</f>
        <v>974.01872640000011</v>
      </c>
      <c r="D273" s="208">
        <f t="shared" si="1462"/>
        <v>7653.7705728000001</v>
      </c>
      <c r="E273" s="208">
        <f t="shared" si="1462"/>
        <v>0</v>
      </c>
      <c r="F273" s="208">
        <f t="shared" si="1462"/>
        <v>1042.6875852799999</v>
      </c>
      <c r="G273" s="208">
        <f t="shared" si="1462"/>
        <v>521.34379263999995</v>
      </c>
      <c r="H273" s="208">
        <f ca="1">H265+H272</f>
        <v>9233.6464008799994</v>
      </c>
      <c r="I273" s="208">
        <f t="shared" si="1462"/>
        <v>1999.3130431999998</v>
      </c>
      <c r="J273" s="208">
        <f t="shared" si="1462"/>
        <v>1999.3130431999998</v>
      </c>
      <c r="K273" s="208">
        <f t="shared" si="1462"/>
        <v>521.34379263999995</v>
      </c>
      <c r="L273" s="208">
        <f t="shared" ref="L273" si="1463">L265+L272</f>
        <v>1042.6875852799999</v>
      </c>
      <c r="M273" s="208">
        <f>M265+M272</f>
        <v>0</v>
      </c>
      <c r="N273" s="208">
        <f>N265+N272</f>
        <v>0</v>
      </c>
      <c r="O273" s="208">
        <f ca="1">O265+O272</f>
        <v>7315.5771682399991</v>
      </c>
      <c r="P273" s="208">
        <f ca="1">P265+P272</f>
        <v>4167.61557696</v>
      </c>
      <c r="Q273" s="208">
        <f ca="1">Q265+Q272</f>
        <v>1752.0665843999998</v>
      </c>
      <c r="R273" s="208">
        <f t="shared" ca="1" si="1462"/>
        <v>1752.0665843999998</v>
      </c>
      <c r="S273" s="208">
        <f t="shared" si="1462"/>
        <v>6649.3651457200003</v>
      </c>
      <c r="T273" s="208">
        <f t="shared" si="1462"/>
        <v>3682.3162745599998</v>
      </c>
      <c r="U273" s="208">
        <f t="shared" si="1462"/>
        <v>4849.9424855199995</v>
      </c>
      <c r="V273" s="208">
        <f t="shared" ref="V273:W273" si="1464">V265+V272</f>
        <v>2911.8171917999998</v>
      </c>
      <c r="W273" s="208">
        <f t="shared" si="1464"/>
        <v>2911.8171917999998</v>
      </c>
      <c r="X273" s="208">
        <f t="shared" ref="X273:Y273" si="1465">X265+X272</f>
        <v>2911.8171917999998</v>
      </c>
      <c r="Y273" s="208">
        <f t="shared" si="1465"/>
        <v>4715.0389255199998</v>
      </c>
      <c r="Z273" s="208">
        <f t="shared" ref="Z273:AA273" si="1466">Z265+Z272</f>
        <v>2911.8171917999998</v>
      </c>
      <c r="AA273" s="208">
        <f t="shared" si="1466"/>
        <v>2911.8171917999998</v>
      </c>
      <c r="AB273" s="208">
        <f t="shared" si="1462"/>
        <v>14664.624412480001</v>
      </c>
      <c r="AC273" s="208">
        <f t="shared" si="1462"/>
        <v>7653.7705728000001</v>
      </c>
      <c r="AD273" s="208">
        <f t="shared" si="1462"/>
        <v>0</v>
      </c>
      <c r="AE273" s="208">
        <f t="shared" ca="1" si="1462"/>
        <v>9233.6464008799994</v>
      </c>
      <c r="AF273" s="208">
        <f t="shared" si="1462"/>
        <v>4936.2190080000009</v>
      </c>
      <c r="AG273" s="208">
        <f t="shared" ref="AG273:AI273" si="1467">AG265+AG272</f>
        <v>8391.5723135999997</v>
      </c>
      <c r="AH273" s="208">
        <f t="shared" si="1467"/>
        <v>4568.4750080000003</v>
      </c>
      <c r="AI273" s="208">
        <f t="shared" si="1467"/>
        <v>7766.4075136000001</v>
      </c>
      <c r="AJ273" s="208" t="e">
        <f t="shared" si="1462"/>
        <v>#N/A</v>
      </c>
      <c r="AK273" s="208" t="e">
        <f t="shared" si="1462"/>
        <v>#N/A</v>
      </c>
      <c r="AL273" s="208" t="e">
        <f t="shared" si="1462"/>
        <v>#N/A</v>
      </c>
      <c r="AM273" s="208" t="e">
        <f t="shared" si="1462"/>
        <v>#N/A</v>
      </c>
      <c r="AN273" s="208" t="e">
        <f t="shared" si="1462"/>
        <v>#N/A</v>
      </c>
      <c r="AO273" s="208" t="e">
        <f t="shared" si="1462"/>
        <v>#N/A</v>
      </c>
      <c r="AP273" s="208" t="e">
        <f t="shared" si="1462"/>
        <v>#N/A</v>
      </c>
      <c r="AQ273" s="208" t="e">
        <f t="shared" si="1462"/>
        <v>#N/A</v>
      </c>
      <c r="AR273" s="208" t="e">
        <f t="shared" si="1462"/>
        <v>#N/A</v>
      </c>
      <c r="AS273" s="208" t="e">
        <f t="shared" si="1462"/>
        <v>#N/A</v>
      </c>
      <c r="AT273" s="208" t="e">
        <f t="shared" si="1462"/>
        <v>#N/A</v>
      </c>
      <c r="AU273" s="208" t="e">
        <f t="shared" si="1462"/>
        <v>#N/A</v>
      </c>
      <c r="AV273" s="208" t="e">
        <f t="shared" si="1462"/>
        <v>#N/A</v>
      </c>
      <c r="AW273" s="208" t="e">
        <f t="shared" si="1462"/>
        <v>#N/A</v>
      </c>
      <c r="AX273" s="208" t="e">
        <f t="shared" si="1462"/>
        <v>#N/A</v>
      </c>
      <c r="AY273" s="208" t="e">
        <f t="shared" si="1462"/>
        <v>#N/A</v>
      </c>
      <c r="AZ273" s="208" t="e">
        <f t="shared" si="1462"/>
        <v>#N/A</v>
      </c>
      <c r="BA273" s="208" t="e">
        <f t="shared" si="1462"/>
        <v>#N/A</v>
      </c>
      <c r="BB273" s="208" t="e">
        <f t="shared" si="1462"/>
        <v>#N/A</v>
      </c>
      <c r="BC273" s="208" t="e">
        <f t="shared" si="1462"/>
        <v>#N/A</v>
      </c>
      <c r="BD273" s="208" t="e">
        <f t="shared" si="1462"/>
        <v>#N/A</v>
      </c>
      <c r="BE273" s="208" t="e">
        <f t="shared" si="1462"/>
        <v>#N/A</v>
      </c>
      <c r="BF273" s="208" t="e">
        <f t="shared" si="1462"/>
        <v>#N/A</v>
      </c>
      <c r="BG273" s="208" t="e">
        <f t="shared" si="1462"/>
        <v>#N/A</v>
      </c>
      <c r="BH273" s="208" t="e">
        <f t="shared" si="1462"/>
        <v>#N/A</v>
      </c>
      <c r="BI273" s="208"/>
      <c r="BJ273" s="208"/>
      <c r="BK273" s="208"/>
      <c r="BL273" s="208"/>
      <c r="BM273" s="208"/>
      <c r="BN273" s="208"/>
      <c r="BO273" s="208"/>
      <c r="BP273" s="208"/>
      <c r="BQ273" s="208"/>
      <c r="BR273" s="208"/>
      <c r="BS273" s="208"/>
      <c r="BT273" s="208"/>
      <c r="BU273" s="208"/>
      <c r="BV273" s="208"/>
      <c r="BW273" s="208"/>
      <c r="BX273" s="208"/>
      <c r="BY273" s="208"/>
      <c r="BZ273" s="208"/>
      <c r="CA273" s="208"/>
      <c r="CB273" s="208"/>
      <c r="CC273" s="208"/>
      <c r="CD273" s="208"/>
      <c r="CE273" s="208"/>
      <c r="CF273" s="208"/>
      <c r="CG273" s="208"/>
      <c r="CH273" s="208"/>
      <c r="CI273" s="208"/>
      <c r="CJ273" s="128"/>
      <c r="CK273" s="128"/>
      <c r="CL273" s="128"/>
      <c r="CM273" s="128"/>
      <c r="CN273" s="128"/>
      <c r="CO273" s="128"/>
      <c r="CP273" s="128"/>
      <c r="CQ273" s="128"/>
      <c r="CR273" s="128"/>
      <c r="CS273" s="128"/>
      <c r="CT273" s="128"/>
      <c r="CU273" s="128"/>
      <c r="CV273" s="128"/>
      <c r="CW273" s="128"/>
      <c r="CX273" s="128"/>
      <c r="CY273" s="128"/>
      <c r="CZ273" s="128"/>
      <c r="DA273" s="128"/>
      <c r="DB273" s="128"/>
      <c r="DC273" s="128"/>
    </row>
    <row r="274" spans="1:107" hidden="1" outlineLevel="1" x14ac:dyDescent="0.25">
      <c r="A274" s="110" t="s">
        <v>673</v>
      </c>
      <c r="B274" s="103">
        <f t="shared" ref="B274:BH274" si="1468">IFERROR(INDEX(B$238:B$244, MATCH(B$3, $A$238:$A$244, 0), 1),0)</f>
        <v>0.61599999999999999</v>
      </c>
      <c r="C274" s="103">
        <f t="shared" ca="1" si="1468"/>
        <v>0.80713999999999997</v>
      </c>
      <c r="D274" s="103">
        <f t="shared" si="1468"/>
        <v>0.15</v>
      </c>
      <c r="E274" s="103">
        <f t="shared" si="1468"/>
        <v>0</v>
      </c>
      <c r="F274" s="103">
        <f t="shared" si="1468"/>
        <v>0.15</v>
      </c>
      <c r="G274" s="103">
        <f t="shared" si="1468"/>
        <v>0.15</v>
      </c>
      <c r="H274" s="103">
        <f>IFERROR(INDEX(H$238:H$244, MATCH(H$3, $A$238:$A$244, 0), 1),0)</f>
        <v>0</v>
      </c>
      <c r="I274" s="103">
        <f t="shared" si="1468"/>
        <v>0.15</v>
      </c>
      <c r="J274" s="103">
        <f t="shared" si="1468"/>
        <v>0.15</v>
      </c>
      <c r="K274" s="103">
        <f t="shared" si="1468"/>
        <v>0.15</v>
      </c>
      <c r="L274" s="103">
        <f t="shared" si="1468"/>
        <v>0.73</v>
      </c>
      <c r="M274" s="103">
        <f>IFERROR(INDEX(M$238:M$244, MATCH(M$3, $A$238:$A$244, 0), 1),0)</f>
        <v>0</v>
      </c>
      <c r="N274" s="103">
        <f>IFERROR(INDEX(N$238:N$244, MATCH(N$3, $A$238:$A$244, 0), 1),0)</f>
        <v>0</v>
      </c>
      <c r="O274" s="103">
        <f>IFERROR(INDEX(O$238:O$244, MATCH(O$3, $A$238:$A$244, 0), 1),0)</f>
        <v>0.35</v>
      </c>
      <c r="P274" s="103">
        <f>IFERROR(INDEX(P$238:P$244, MATCH(P$3, $A$238:$A$244, 0), 1),0)</f>
        <v>0.35</v>
      </c>
      <c r="Q274" s="103">
        <f>IFERROR(INDEX(Q$238:Q$244, MATCH(Q$3, $A$238:$A$244, 0), 1),0)</f>
        <v>0.92999999999999994</v>
      </c>
      <c r="R274" s="103">
        <f t="shared" si="1468"/>
        <v>0.35</v>
      </c>
      <c r="S274" s="103">
        <f t="shared" si="1468"/>
        <v>0.76600000000000001</v>
      </c>
      <c r="T274" s="103">
        <f t="shared" ca="1" si="1468"/>
        <v>0.95713999999999999</v>
      </c>
      <c r="U274" s="103">
        <f t="shared" si="1468"/>
        <v>0.91600000000000004</v>
      </c>
      <c r="V274" s="103">
        <f t="shared" si="1468"/>
        <v>0.91600000000000004</v>
      </c>
      <c r="W274" s="103">
        <f t="shared" si="1468"/>
        <v>1.496</v>
      </c>
      <c r="X274" s="103">
        <f t="shared" si="1468"/>
        <v>1.496</v>
      </c>
      <c r="Y274" s="103">
        <f t="shared" si="1468"/>
        <v>1.496</v>
      </c>
      <c r="Z274" s="103">
        <f t="shared" si="1468"/>
        <v>1.496</v>
      </c>
      <c r="AA274" s="103">
        <f t="shared" si="1468"/>
        <v>0.91600000000000004</v>
      </c>
      <c r="AB274" s="103">
        <f t="shared" ca="1" si="1468"/>
        <v>1.53714</v>
      </c>
      <c r="AC274" s="103">
        <f t="shared" si="1468"/>
        <v>0.88</v>
      </c>
      <c r="AD274" s="103">
        <f t="shared" si="1468"/>
        <v>0</v>
      </c>
      <c r="AE274" s="103">
        <f t="shared" si="1468"/>
        <v>1.0799999999999998</v>
      </c>
      <c r="AF274" s="103">
        <f t="shared" si="1468"/>
        <v>1.5459999999999998</v>
      </c>
      <c r="AG274" s="103">
        <f t="shared" si="1468"/>
        <v>1.5459999999999998</v>
      </c>
      <c r="AH274" s="103">
        <f t="shared" si="1468"/>
        <v>0.96599999999999997</v>
      </c>
      <c r="AI274" s="103">
        <f t="shared" si="1468"/>
        <v>0.96599999999999997</v>
      </c>
      <c r="AJ274" s="103">
        <f t="shared" si="1468"/>
        <v>0</v>
      </c>
      <c r="AK274" s="103">
        <f t="shared" si="1468"/>
        <v>0</v>
      </c>
      <c r="AL274" s="103">
        <f t="shared" si="1468"/>
        <v>0</v>
      </c>
      <c r="AM274" s="103">
        <f t="shared" si="1468"/>
        <v>0</v>
      </c>
      <c r="AN274" s="103">
        <f t="shared" si="1468"/>
        <v>0</v>
      </c>
      <c r="AO274" s="103">
        <f t="shared" si="1468"/>
        <v>0</v>
      </c>
      <c r="AP274" s="103">
        <f t="shared" si="1468"/>
        <v>0</v>
      </c>
      <c r="AQ274" s="103">
        <f t="shared" si="1468"/>
        <v>0</v>
      </c>
      <c r="AR274" s="103">
        <f t="shared" si="1468"/>
        <v>0</v>
      </c>
      <c r="AS274" s="103">
        <f t="shared" si="1468"/>
        <v>0</v>
      </c>
      <c r="AT274" s="103">
        <f t="shared" si="1468"/>
        <v>0</v>
      </c>
      <c r="AU274" s="103">
        <f t="shared" si="1468"/>
        <v>0</v>
      </c>
      <c r="AV274" s="103">
        <f t="shared" si="1468"/>
        <v>0</v>
      </c>
      <c r="AW274" s="103">
        <f t="shared" si="1468"/>
        <v>0</v>
      </c>
      <c r="AX274" s="103">
        <f t="shared" si="1468"/>
        <v>0</v>
      </c>
      <c r="AY274" s="103">
        <f t="shared" si="1468"/>
        <v>0</v>
      </c>
      <c r="AZ274" s="103">
        <f t="shared" si="1468"/>
        <v>0</v>
      </c>
      <c r="BA274" s="103">
        <f t="shared" si="1468"/>
        <v>0</v>
      </c>
      <c r="BB274" s="103">
        <f t="shared" si="1468"/>
        <v>0</v>
      </c>
      <c r="BC274" s="103">
        <f t="shared" si="1468"/>
        <v>0</v>
      </c>
      <c r="BD274" s="103">
        <f t="shared" si="1468"/>
        <v>0</v>
      </c>
      <c r="BE274" s="103">
        <f t="shared" si="1468"/>
        <v>0</v>
      </c>
      <c r="BF274" s="103">
        <f t="shared" si="1468"/>
        <v>0</v>
      </c>
      <c r="BG274" s="103">
        <f t="shared" si="1468"/>
        <v>0</v>
      </c>
      <c r="BH274" s="103">
        <f t="shared" si="1468"/>
        <v>0</v>
      </c>
      <c r="BI274" s="103"/>
      <c r="BJ274" s="103"/>
      <c r="BK274" s="103"/>
      <c r="BL274" s="103"/>
      <c r="BM274" s="103"/>
      <c r="BN274" s="103"/>
      <c r="BO274" s="103"/>
      <c r="BP274" s="103"/>
      <c r="BQ274" s="103"/>
      <c r="BR274" s="103"/>
      <c r="BS274" s="103"/>
      <c r="BT274" s="103"/>
      <c r="BU274" s="103"/>
      <c r="BV274" s="103"/>
      <c r="BW274" s="103"/>
      <c r="BX274" s="103"/>
      <c r="BY274" s="103"/>
      <c r="BZ274" s="103"/>
      <c r="CA274" s="103"/>
      <c r="CB274" s="103"/>
      <c r="CC274" s="103"/>
      <c r="CD274" s="103"/>
      <c r="CE274" s="103"/>
      <c r="CF274" s="103"/>
      <c r="CG274" s="103"/>
      <c r="CH274" s="103"/>
      <c r="CI274" s="103"/>
      <c r="CJ274" s="103"/>
      <c r="CK274" s="103"/>
      <c r="CL274" s="103"/>
      <c r="CM274" s="103"/>
      <c r="CN274" s="103"/>
      <c r="CO274" s="103"/>
      <c r="CP274" s="103"/>
      <c r="CQ274" s="103"/>
      <c r="CR274" s="103"/>
      <c r="CS274" s="103"/>
      <c r="CT274" s="103"/>
      <c r="CU274" s="103"/>
      <c r="CV274" s="103"/>
      <c r="CW274" s="103"/>
      <c r="CX274" s="103"/>
      <c r="CY274" s="103"/>
      <c r="CZ274" s="103"/>
      <c r="DA274" s="103"/>
      <c r="DB274" s="103"/>
      <c r="DC274" s="103"/>
    </row>
    <row r="275" spans="1:107" hidden="1" outlineLevel="1" x14ac:dyDescent="0.25">
      <c r="A275" s="110" t="s">
        <v>674</v>
      </c>
      <c r="B275" s="103">
        <f t="shared" ref="B275:G275" ca="1" si="1469">IFERROR(1+(B151+IF(B3="Burst", B186, 0)+IF(B3 = "Skill", B187))*(B152+IF(B3="Burst", B188, 0)+IF(B3 = "Skill", B189, 0)),0)</f>
        <v>2.2947296000000001</v>
      </c>
      <c r="C275" s="103">
        <f t="shared" ca="1" si="1469"/>
        <v>1.9185062400000001</v>
      </c>
      <c r="D275" s="103">
        <f t="shared" ca="1" si="1469"/>
        <v>1.30484928</v>
      </c>
      <c r="E275" s="103">
        <f t="shared" ref="E275" ca="1" si="1470">IFERROR(1+(E151+IF(E3="Burst", E186, 0)+IF(E3 = "Skill", E187))*(E152+IF(E3="Burst", E188, 0)+IF(E3 = "Skill", E189, 0)),0)</f>
        <v>1.30484928</v>
      </c>
      <c r="F275" s="103">
        <f t="shared" ca="1" si="1469"/>
        <v>1.30484928</v>
      </c>
      <c r="G275" s="103">
        <f t="shared" ca="1" si="1469"/>
        <v>1.30484928</v>
      </c>
      <c r="H275" s="103">
        <f ca="1">IFERROR(1+(H151+IF(H3="Burst", H186, 0)+IF(H3 = "Skill", H187))*(H152+IF(H3="Burst", H188, 0)+IF(H3 = "Skill", H189, 0)),0)</f>
        <v>1.6181407800000001</v>
      </c>
      <c r="I275" s="103">
        <f t="shared" ref="I275:K275" ca="1" si="1471">IFERROR(1+(I151+IF(I3="Burst", I186, 0)+IF(I3 = "Skill", I187))*(I152+IF(I3="Burst", I188, 0)+IF(I3 = "Skill", I189, 0)),0)</f>
        <v>1.30484928</v>
      </c>
      <c r="J275" s="103">
        <f t="shared" ca="1" si="1471"/>
        <v>1.30484928</v>
      </c>
      <c r="K275" s="103">
        <f t="shared" ca="1" si="1471"/>
        <v>1.30484928</v>
      </c>
      <c r="L275" s="103">
        <f t="shared" ref="L275" ca="1" si="1472">IFERROR(1+(L151+IF(L3="Burst", L186, 0)+IF(L3 = "Skill", L187))*(L152+IF(L3="Burst", L188, 0)+IF(L3 = "Skill", L189, 0)),0)</f>
        <v>1.30484928</v>
      </c>
      <c r="M275" s="103">
        <f t="shared" ref="M275" ca="1" si="1473">IFERROR(1+(M151+IF(M3="Burst", M186, 0)+IF(M3 = "Skill", M187))*(M152+IF(M3="Burst", M188, 0)+IF(M3 = "Skill", M189, 0)),0)</f>
        <v>1.30484928</v>
      </c>
      <c r="N275" s="103">
        <f ca="1">IFERROR(1+(N151+IF(N3="Burst", N186, 0)+IF(N3 = "Skill", N187))*(N152+IF(N3="Burst", N188, 0)+IF(N3 = "Skill", N189, 0)),0)</f>
        <v>1.30484928</v>
      </c>
      <c r="O275" s="103">
        <f ca="1">IFERROR(1+(O151+IF(O3="Burst", O186, 0)+IF(O3 = "Skill", O187))*(O152+IF(O3="Burst", O188, 0)+IF(O3 = "Skill", O189, 0)),0)</f>
        <v>1.6181407800000001</v>
      </c>
      <c r="P275" s="103">
        <f ca="1">IFERROR(1+(P151+IF(P3="Burst", P186, 0)+IF(P3 = "Skill", P187))*(P152+IF(P3="Burst", P188, 0)+IF(P3 = "Skill", P189, 0)),0)</f>
        <v>1.6181407800000001</v>
      </c>
      <c r="Q275" s="103">
        <f ca="1">IFERROR(1+(Q151+IF(Q3="Burst", Q186, 0)+IF(Q3 = "Skill", Q187))*(Q152+IF(Q3="Burst", Q188, 0)+IF(Q3 = "Skill", Q189, 0)),0)</f>
        <v>1.6181407800000001</v>
      </c>
      <c r="R275" s="103">
        <f t="shared" ref="R275:AZ275" ca="1" si="1474">IFERROR(1+(R151+IF(R3="Burst", R186, 0)+IF(R3 = "Skill", R187))*(R152+IF(R3="Burst", R188, 0)+IF(R3 = "Skill", R189, 0)),0)</f>
        <v>1.6181407800000001</v>
      </c>
      <c r="S275" s="103">
        <f t="shared" ca="1" si="1474"/>
        <v>3.1619296000000001</v>
      </c>
      <c r="T275" s="103">
        <f t="shared" ca="1" si="1474"/>
        <v>1.9185062400000001</v>
      </c>
      <c r="U275" s="103">
        <f t="shared" ca="1" si="1474"/>
        <v>3.1619296000000001</v>
      </c>
      <c r="V275" s="103">
        <f t="shared" ref="V275:W275" ca="1" si="1475">IFERROR(1+(V151+IF(V3="Burst", V186, 0)+IF(V3 = "Skill", V187))*(V152+IF(V3="Burst", V188, 0)+IF(V3 = "Skill", V189, 0)),0)</f>
        <v>3.1619296000000001</v>
      </c>
      <c r="W275" s="103">
        <f t="shared" ca="1" si="1475"/>
        <v>3.1619296000000001</v>
      </c>
      <c r="X275" s="103">
        <f t="shared" ref="X275:Y275" ca="1" si="1476">IFERROR(1+(X151+IF(X3="Burst", X186, 0)+IF(X3 = "Skill", X187))*(X152+IF(X3="Burst", X188, 0)+IF(X3 = "Skill", X189, 0)),0)</f>
        <v>2.7283295999999999</v>
      </c>
      <c r="Y275" s="103">
        <f t="shared" ca="1" si="1476"/>
        <v>2.7283295999999999</v>
      </c>
      <c r="Z275" s="103">
        <f t="shared" ref="Z275:AA275" ca="1" si="1477">IFERROR(1+(Z151+IF(Z3="Burst", Z186, 0)+IF(Z3 = "Skill", Z187))*(Z152+IF(Z3="Burst", Z188, 0)+IF(Z3 = "Skill", Z189, 0)),0)</f>
        <v>2.7283295999999999</v>
      </c>
      <c r="AA275" s="103">
        <f t="shared" ca="1" si="1477"/>
        <v>2.7283295999999999</v>
      </c>
      <c r="AB275" s="103">
        <f t="shared" ca="1" si="1474"/>
        <v>1.9185062400000001</v>
      </c>
      <c r="AC275" s="103">
        <f t="shared" ca="1" si="1474"/>
        <v>1.30484928</v>
      </c>
      <c r="AD275" s="103">
        <f t="shared" ca="1" si="1474"/>
        <v>1.30484928</v>
      </c>
      <c r="AE275" s="103">
        <f t="shared" ca="1" si="1474"/>
        <v>1.6181407800000001</v>
      </c>
      <c r="AF275" s="103">
        <f t="shared" ca="1" si="1474"/>
        <v>2.7283295999999999</v>
      </c>
      <c r="AG275" s="103">
        <f t="shared" ref="AG275:AI275" ca="1" si="1478">IFERROR(1+(AG151+IF(AG3="Burst", AG186, 0)+IF(AG3 = "Skill", AG187))*(AG152+IF(AG3="Burst", AG188, 0)+IF(AG3 = "Skill", AG189, 0)),0)</f>
        <v>2.7283295999999999</v>
      </c>
      <c r="AH275" s="103">
        <f t="shared" ca="1" si="1478"/>
        <v>2.7283295999999999</v>
      </c>
      <c r="AI275" s="103">
        <f t="shared" ca="1" si="1478"/>
        <v>2.7283295999999999</v>
      </c>
      <c r="AJ275" s="103">
        <f t="shared" si="1474"/>
        <v>0</v>
      </c>
      <c r="AK275" s="103">
        <f t="shared" si="1474"/>
        <v>0</v>
      </c>
      <c r="AL275" s="103">
        <f t="shared" si="1474"/>
        <v>0</v>
      </c>
      <c r="AM275" s="103">
        <f t="shared" si="1474"/>
        <v>0</v>
      </c>
      <c r="AN275" s="103">
        <f t="shared" si="1474"/>
        <v>0</v>
      </c>
      <c r="AO275" s="103">
        <f t="shared" si="1474"/>
        <v>0</v>
      </c>
      <c r="AP275" s="103">
        <f t="shared" si="1474"/>
        <v>0</v>
      </c>
      <c r="AQ275" s="103">
        <f t="shared" si="1474"/>
        <v>0</v>
      </c>
      <c r="AR275" s="103">
        <f t="shared" si="1474"/>
        <v>0</v>
      </c>
      <c r="AS275" s="103">
        <f t="shared" si="1474"/>
        <v>0</v>
      </c>
      <c r="AT275" s="103">
        <f t="shared" si="1474"/>
        <v>0</v>
      </c>
      <c r="AU275" s="103">
        <f t="shared" si="1474"/>
        <v>0</v>
      </c>
      <c r="AV275" s="103">
        <f t="shared" si="1474"/>
        <v>0</v>
      </c>
      <c r="AW275" s="103">
        <f t="shared" si="1474"/>
        <v>0</v>
      </c>
      <c r="AX275" s="103">
        <f t="shared" si="1474"/>
        <v>0</v>
      </c>
      <c r="AY275" s="103">
        <f t="shared" si="1474"/>
        <v>0</v>
      </c>
      <c r="AZ275" s="103">
        <f t="shared" si="1474"/>
        <v>0</v>
      </c>
      <c r="BA275" s="103">
        <f t="shared" ref="BA275:BC275" si="1479">IFERROR(1+(BA151+IF(BA3="Burst", BA186, 0)+IF(BA3 = "Skill", BA187))*(BA152+IF(BA3="Burst", BA188, 0)+IF(BA3 = "Skill", BA189, 0)),0)</f>
        <v>0</v>
      </c>
      <c r="BB275" s="103">
        <f t="shared" ref="BB275" si="1480">IFERROR(1+(BB151+IF(BB3="Burst", BB186, 0)+IF(BB3 = "Skill", BB187))*(BB152+IF(BB3="Burst", BB188, 0)+IF(BB3 = "Skill", BB189, 0)),0)</f>
        <v>0</v>
      </c>
      <c r="BC275" s="103">
        <f t="shared" si="1479"/>
        <v>0</v>
      </c>
      <c r="BD275" s="103">
        <f t="shared" ref="BD275:BE275" si="1481">IFERROR(1+(BD151+IF(BD3="Burst", BD186, 0)+IF(BD3 = "Skill", BD187))*(BD152+IF(BD3="Burst", BD188, 0)+IF(BD3 = "Skill", BD189, 0)),0)</f>
        <v>0</v>
      </c>
      <c r="BE275" s="103">
        <f t="shared" si="1481"/>
        <v>0</v>
      </c>
      <c r="BF275" s="103">
        <f t="shared" ref="BF275:BG275" si="1482">IFERROR(1+(BF151+IF(BF3="Burst", BF186, 0)+IF(BF3 = "Skill", BF187))*(BF152+IF(BF3="Burst", BF188, 0)+IF(BF3 = "Skill", BF189, 0)),0)</f>
        <v>0</v>
      </c>
      <c r="BG275" s="103">
        <f t="shared" si="1482"/>
        <v>0</v>
      </c>
      <c r="BH275" s="103">
        <f t="shared" ref="BH275" si="1483">IFERROR(1+(BH151+IF(BH3="Burst", BH186, 0)+IF(BH3 = "Skill", BH187))*(BH152+IF(BH3="Burst", BH188, 0)+IF(BH3 = "Skill", BH189, 0)),0)</f>
        <v>0</v>
      </c>
      <c r="BI275" s="103"/>
      <c r="BJ275" s="103"/>
      <c r="BK275" s="103"/>
      <c r="BL275" s="103"/>
      <c r="BM275" s="103"/>
      <c r="BN275" s="103"/>
      <c r="BO275" s="103"/>
      <c r="BP275" s="103"/>
      <c r="BQ275" s="103"/>
      <c r="BR275" s="103"/>
      <c r="BS275" s="103"/>
      <c r="BT275" s="103"/>
      <c r="BU275" s="103"/>
      <c r="BV275" s="103"/>
      <c r="BW275" s="103"/>
      <c r="BX275" s="103"/>
      <c r="BY275" s="103"/>
      <c r="BZ275" s="103"/>
      <c r="CA275" s="103"/>
      <c r="CB275" s="103"/>
      <c r="CC275" s="103"/>
      <c r="CD275" s="103"/>
      <c r="CE275" s="103"/>
      <c r="CF275" s="103"/>
      <c r="CG275" s="103"/>
      <c r="CH275" s="103"/>
      <c r="CI275" s="103"/>
      <c r="CJ275" s="103"/>
      <c r="CK275" s="103"/>
      <c r="CL275" s="103"/>
      <c r="CM275" s="103"/>
      <c r="CN275" s="103"/>
      <c r="CO275" s="103"/>
      <c r="CP275" s="103"/>
      <c r="CQ275" s="103"/>
      <c r="CR275" s="103"/>
      <c r="CS275" s="103"/>
      <c r="CT275" s="103"/>
      <c r="CU275" s="103"/>
      <c r="CV275" s="103"/>
      <c r="CW275" s="103"/>
      <c r="CX275" s="103"/>
      <c r="CY275" s="103"/>
      <c r="CZ275" s="103"/>
      <c r="DA275" s="103"/>
      <c r="DB275" s="103"/>
      <c r="DC275" s="103"/>
    </row>
    <row r="276" spans="1:107" hidden="1" outlineLevel="1" x14ac:dyDescent="0.25">
      <c r="A276" s="110" t="s">
        <v>676</v>
      </c>
      <c r="B276" s="103">
        <f>(100+VLOOKUP(B32, 'Data Val'!$O$13:$Q$17, 2, 0))/((VLOOKUP(B32, 'Data Val'!$O$13:$Q$17, 2, 0)+100)+(enemyLevel+100)*(1-B175))</f>
        <v>0.48717948717948717</v>
      </c>
      <c r="C276" s="103">
        <f>(100+VLOOKUP(C32, 'Data Val'!$O$13:$Q$17, 2, 0))/((VLOOKUP(C32, 'Data Val'!$O$13:$Q$17, 2, 0)+100)+(enemyLevel+100)*(1-C175))</f>
        <v>0.48717948717948717</v>
      </c>
      <c r="D276" s="103">
        <f>(100+VLOOKUP(D32, 'Data Val'!$O$13:$Q$17, 2, 0))/((VLOOKUP(D32, 'Data Val'!$O$13:$Q$17, 2, 0)+100)+(enemyLevel+100)*(1-D175))</f>
        <v>0.48717948717948717</v>
      </c>
      <c r="E276" s="103">
        <f>(100+VLOOKUP(E32, 'Data Val'!$O$13:$Q$17, 2, 0))/((VLOOKUP(E32, 'Data Val'!$O$13:$Q$17, 2, 0)+100)+(enemyLevel+100)*(1-E175))</f>
        <v>0.48717948717948717</v>
      </c>
      <c r="F276" s="103">
        <f>(100+VLOOKUP(F32, 'Data Val'!$O$13:$Q$17, 2, 0))/((VLOOKUP(F32, 'Data Val'!$O$13:$Q$17, 2, 0)+100)+(enemyLevel+100)*(1-F175))</f>
        <v>0.48717948717948717</v>
      </c>
      <c r="G276" s="103">
        <f>(100+VLOOKUP(G32, 'Data Val'!$O$13:$Q$17, 2, 0))/((VLOOKUP(G32, 'Data Val'!$O$13:$Q$17, 2, 0)+100)+(enemyLevel+100)*(1-G175))</f>
        <v>0.48717948717948717</v>
      </c>
      <c r="H276" s="103">
        <f>(100+VLOOKUP(H32, 'Data Val'!$O$13:$Q$17, 2, 0))/((VLOOKUP(H32, 'Data Val'!$O$13:$Q$17, 2, 0)+100)+(enemyLevel+100)*(1-H175))</f>
        <v>0.48717948717948717</v>
      </c>
      <c r="I276" s="103">
        <f>(100+VLOOKUP(I32, 'Data Val'!$O$13:$Q$17, 2, 0))/((VLOOKUP(I32, 'Data Val'!$O$13:$Q$17, 2, 0)+100)+(enemyLevel+100)*(1-I175))</f>
        <v>0.48717948717948717</v>
      </c>
      <c r="J276" s="103">
        <f>(100+VLOOKUP(J32, 'Data Val'!$O$13:$Q$17, 2, 0))/((VLOOKUP(J32, 'Data Val'!$O$13:$Q$17, 2, 0)+100)+(enemyLevel+100)*(1-J175))</f>
        <v>0.48717948717948717</v>
      </c>
      <c r="K276" s="103">
        <f>(100+VLOOKUP(K32, 'Data Val'!$O$13:$Q$17, 2, 0))/((VLOOKUP(K32, 'Data Val'!$O$13:$Q$17, 2, 0)+100)+(enemyLevel+100)*(1-K175))</f>
        <v>0.48717948717948717</v>
      </c>
      <c r="L276" s="103">
        <f>(100+VLOOKUP(L32, 'Data Val'!$O$13:$Q$17, 2, 0))/((VLOOKUP(L32, 'Data Val'!$O$13:$Q$17, 2, 0)+100)+(enemyLevel+100)*(1-L175))</f>
        <v>0.48717948717948717</v>
      </c>
      <c r="M276" s="103">
        <f>(100+VLOOKUP(M32, 'Data Val'!$O$13:$Q$17, 2, 0))/((VLOOKUP(M32, 'Data Val'!$O$13:$Q$17, 2, 0)+100)+(enemyLevel+100)*(1-M175))</f>
        <v>0.48717948717948717</v>
      </c>
      <c r="N276" s="103">
        <f>(100+VLOOKUP(N32, 'Data Val'!$O$13:$Q$17, 2, 0))/((VLOOKUP(N32, 'Data Val'!$O$13:$Q$17, 2, 0)+100)+(enemyLevel+100)*(1-N175))</f>
        <v>0.48717948717948717</v>
      </c>
      <c r="O276" s="103">
        <f>(100+VLOOKUP(O32, 'Data Val'!$O$13:$Q$17, 2, 0))/((VLOOKUP(O32, 'Data Val'!$O$13:$Q$17, 2, 0)+100)+(enemyLevel+100)*(1-O175))</f>
        <v>0.48717948717948717</v>
      </c>
      <c r="P276" s="103">
        <f>(100+VLOOKUP(P32, 'Data Val'!$O$13:$Q$17, 2, 0))/((VLOOKUP(P32, 'Data Val'!$O$13:$Q$17, 2, 0)+100)+(enemyLevel+100)*(1-P175))</f>
        <v>0.48717948717948717</v>
      </c>
      <c r="Q276" s="103">
        <f>(100+VLOOKUP(Q32, 'Data Val'!$O$13:$Q$17, 2, 0))/((VLOOKUP(Q32, 'Data Val'!$O$13:$Q$17, 2, 0)+100)+(enemyLevel+100)*(1-Q175))</f>
        <v>0.48717948717948717</v>
      </c>
      <c r="R276" s="103">
        <f>(100+VLOOKUP(R32, 'Data Val'!$O$13:$Q$17, 2, 0))/((VLOOKUP(R32, 'Data Val'!$O$13:$Q$17, 2, 0)+100)+(enemyLevel+100)*(1-R175))</f>
        <v>0.48717948717948717</v>
      </c>
      <c r="S276" s="103">
        <f>(100+VLOOKUP(S32, 'Data Val'!$O$13:$Q$17, 2, 0))/((VLOOKUP(S32, 'Data Val'!$O$13:$Q$17, 2, 0)+100)+(enemyLevel+100)*(1-S175))</f>
        <v>0.48717948717948717</v>
      </c>
      <c r="T276" s="103">
        <f>(100+VLOOKUP(T32, 'Data Val'!$O$13:$Q$17, 2, 0))/((VLOOKUP(T32, 'Data Val'!$O$13:$Q$17, 2, 0)+100)+(enemyLevel+100)*(1-T175))</f>
        <v>0.48717948717948717</v>
      </c>
      <c r="U276" s="103">
        <f>(100+VLOOKUP(U32, 'Data Val'!$O$13:$Q$17, 2, 0))/((VLOOKUP(U32, 'Data Val'!$O$13:$Q$17, 2, 0)+100)+(enemyLevel+100)*(1-U175))</f>
        <v>0.48717948717948717</v>
      </c>
      <c r="V276" s="103">
        <f>(100+VLOOKUP(V32, 'Data Val'!$O$13:$Q$17, 2, 0))/((VLOOKUP(V32, 'Data Val'!$O$13:$Q$17, 2, 0)+100)+(enemyLevel+100)*(1-V175))</f>
        <v>0.48717948717948717</v>
      </c>
      <c r="W276" s="103">
        <f>(100+VLOOKUP(W32, 'Data Val'!$O$13:$Q$17, 2, 0))/((VLOOKUP(W32, 'Data Val'!$O$13:$Q$17, 2, 0)+100)+(enemyLevel+100)*(1-W175))</f>
        <v>0.48717948717948717</v>
      </c>
      <c r="X276" s="103">
        <f>(100+VLOOKUP(X32, 'Data Val'!$O$13:$Q$17, 2, 0))/((VLOOKUP(X32, 'Data Val'!$O$13:$Q$17, 2, 0)+100)+(enemyLevel+100)*(1-X175))</f>
        <v>0.48717948717948717</v>
      </c>
      <c r="Y276" s="103">
        <f>(100+VLOOKUP(Y32, 'Data Val'!$O$13:$Q$17, 2, 0))/((VLOOKUP(Y32, 'Data Val'!$O$13:$Q$17, 2, 0)+100)+(enemyLevel+100)*(1-Y175))</f>
        <v>0.48717948717948717</v>
      </c>
      <c r="Z276" s="103">
        <f>(100+VLOOKUP(Z32, 'Data Val'!$O$13:$Q$17, 2, 0))/((VLOOKUP(Z32, 'Data Val'!$O$13:$Q$17, 2, 0)+100)+(enemyLevel+100)*(1-Z175))</f>
        <v>0.48717948717948717</v>
      </c>
      <c r="AA276" s="103">
        <f>(100+VLOOKUP(AA32, 'Data Val'!$O$13:$Q$17, 2, 0))/((VLOOKUP(AA32, 'Data Val'!$O$13:$Q$17, 2, 0)+100)+(enemyLevel+100)*(1-AA175))</f>
        <v>0.48717948717948717</v>
      </c>
      <c r="AB276" s="103">
        <f>(100+VLOOKUP(AB32, 'Data Val'!$O$13:$Q$17, 2, 0))/((VLOOKUP(AB32, 'Data Val'!$O$13:$Q$17, 2, 0)+100)+(enemyLevel+100)*(1-AB175))</f>
        <v>0.48717948717948717</v>
      </c>
      <c r="AC276" s="103">
        <f>(100+VLOOKUP(AC32, 'Data Val'!$O$13:$Q$17, 2, 0))/((VLOOKUP(AC32, 'Data Val'!$O$13:$Q$17, 2, 0)+100)+(enemyLevel+100)*(1-AC175))</f>
        <v>0.48717948717948717</v>
      </c>
      <c r="AD276" s="103">
        <f>(100+VLOOKUP(AD32, 'Data Val'!$O$13:$Q$17, 2, 0))/((VLOOKUP(AD32, 'Data Val'!$O$13:$Q$17, 2, 0)+100)+(enemyLevel+100)*(1-AD175))</f>
        <v>0.48717948717948717</v>
      </c>
      <c r="AE276" s="103">
        <f>(100+VLOOKUP(AE32, 'Data Val'!$O$13:$Q$17, 2, 0))/((VLOOKUP(AE32, 'Data Val'!$O$13:$Q$17, 2, 0)+100)+(enemyLevel+100)*(1-AE175))</f>
        <v>0.48717948717948717</v>
      </c>
      <c r="AF276" s="103">
        <f>(100+VLOOKUP(AF32, 'Data Val'!$O$13:$Q$17, 2, 0))/((VLOOKUP(AF32, 'Data Val'!$O$13:$Q$17, 2, 0)+100)+(enemyLevel+100)*(1-AF175))</f>
        <v>0.48717948717948717</v>
      </c>
      <c r="AG276" s="103">
        <f>(100+VLOOKUP(AG32, 'Data Val'!$O$13:$Q$17, 2, 0))/((VLOOKUP(AG32, 'Data Val'!$O$13:$Q$17, 2, 0)+100)+(enemyLevel+100)*(1-AG175))</f>
        <v>0.48717948717948717</v>
      </c>
      <c r="AH276" s="103">
        <f>(100+VLOOKUP(AH32, 'Data Val'!$O$13:$Q$17, 2, 0))/((VLOOKUP(AH32, 'Data Val'!$O$13:$Q$17, 2, 0)+100)+(enemyLevel+100)*(1-AH175))</f>
        <v>0.48717948717948717</v>
      </c>
      <c r="AI276" s="103">
        <f>(100+VLOOKUP(AI32, 'Data Val'!$O$13:$Q$17, 2, 0))/((VLOOKUP(AI32, 'Data Val'!$O$13:$Q$17, 2, 0)+100)+(enemyLevel+100)*(1-AI175))</f>
        <v>0.48717948717948717</v>
      </c>
      <c r="AJ276" s="103" t="e">
        <f>(100+VLOOKUP(AJ32, 'Data Val'!$O$13:$Q$17, 2, 0))/((VLOOKUP(AJ32, 'Data Val'!$O$13:$Q$17, 2, 0)+100)+(enemyLevel+100)*(1-AJ175))</f>
        <v>#N/A</v>
      </c>
      <c r="AK276" s="103" t="e">
        <f>(100+VLOOKUP(AK32, 'Data Val'!$O$13:$Q$17, 2, 0))/((VLOOKUP(AK32, 'Data Val'!$O$13:$Q$17, 2, 0)+100)+(enemyLevel+100)*(1-AK175))</f>
        <v>#N/A</v>
      </c>
      <c r="AL276" s="103" t="e">
        <f>(100+VLOOKUP(AL32, 'Data Val'!$O$13:$Q$17, 2, 0))/((VLOOKUP(AL32, 'Data Val'!$O$13:$Q$17, 2, 0)+100)+(enemyLevel+100)*(1-AL175))</f>
        <v>#N/A</v>
      </c>
      <c r="AM276" s="103" t="e">
        <f>(100+VLOOKUP(AM32, 'Data Val'!$O$13:$Q$17, 2, 0))/((VLOOKUP(AM32, 'Data Val'!$O$13:$Q$17, 2, 0)+100)+(enemyLevel+100)*(1-AM175))</f>
        <v>#N/A</v>
      </c>
      <c r="AN276" s="103" t="e">
        <f>(100+VLOOKUP(AN32, 'Data Val'!$O$13:$Q$17, 2, 0))/((VLOOKUP(AN32, 'Data Val'!$O$13:$Q$17, 2, 0)+100)+(enemyLevel+100)*(1-AN175))</f>
        <v>#N/A</v>
      </c>
      <c r="AO276" s="103" t="e">
        <f>(100+VLOOKUP(AO32, 'Data Val'!$O$13:$Q$17, 2, 0))/((VLOOKUP(AO32, 'Data Val'!$O$13:$Q$17, 2, 0)+100)+(enemyLevel+100)*(1-AO175))</f>
        <v>#N/A</v>
      </c>
      <c r="AP276" s="103" t="e">
        <f>(100+VLOOKUP(AP32, 'Data Val'!$O$13:$Q$17, 2, 0))/((VLOOKUP(AP32, 'Data Val'!$O$13:$Q$17, 2, 0)+100)+(enemyLevel+100)*(1-AP175))</f>
        <v>#N/A</v>
      </c>
      <c r="AQ276" s="103" t="e">
        <f>(100+VLOOKUP(AQ32, 'Data Val'!$O$13:$Q$17, 2, 0))/((VLOOKUP(AQ32, 'Data Val'!$O$13:$Q$17, 2, 0)+100)+(enemyLevel+100)*(1-AQ175))</f>
        <v>#N/A</v>
      </c>
      <c r="AR276" s="103" t="e">
        <f>(100+VLOOKUP(AR32, 'Data Val'!$O$13:$Q$17, 2, 0))/((VLOOKUP(AR32, 'Data Val'!$O$13:$Q$17, 2, 0)+100)+(enemyLevel+100)*(1-AR175))</f>
        <v>#N/A</v>
      </c>
      <c r="AS276" s="103" t="e">
        <f>(100+VLOOKUP(AS32, 'Data Val'!$O$13:$Q$17, 2, 0))/((VLOOKUP(AS32, 'Data Val'!$O$13:$Q$17, 2, 0)+100)+(enemyLevel+100)*(1-AS175))</f>
        <v>#N/A</v>
      </c>
      <c r="AT276" s="103" t="e">
        <f>(100+VLOOKUP(AT32, 'Data Val'!$O$13:$Q$17, 2, 0))/((VLOOKUP(AT32, 'Data Val'!$O$13:$Q$17, 2, 0)+100)+(enemyLevel+100)*(1-AT175))</f>
        <v>#N/A</v>
      </c>
      <c r="AU276" s="103" t="e">
        <f>(100+VLOOKUP(AU32, 'Data Val'!$O$13:$Q$17, 2, 0))/((VLOOKUP(AU32, 'Data Val'!$O$13:$Q$17, 2, 0)+100)+(enemyLevel+100)*(1-AU175))</f>
        <v>#N/A</v>
      </c>
      <c r="AV276" s="103" t="e">
        <f>(100+VLOOKUP(AV32, 'Data Val'!$O$13:$Q$17, 2, 0))/((VLOOKUP(AV32, 'Data Val'!$O$13:$Q$17, 2, 0)+100)+(enemyLevel+100)*(1-AV175))</f>
        <v>#N/A</v>
      </c>
      <c r="AW276" s="103" t="e">
        <f>(100+VLOOKUP(AW32, 'Data Val'!$O$13:$Q$17, 2, 0))/((VLOOKUP(AW32, 'Data Val'!$O$13:$Q$17, 2, 0)+100)+(enemyLevel+100)*(1-AW175))</f>
        <v>#N/A</v>
      </c>
      <c r="AX276" s="103" t="e">
        <f>(100+VLOOKUP(AX32, 'Data Val'!$O$13:$Q$17, 2, 0))/((VLOOKUP(AX32, 'Data Val'!$O$13:$Q$17, 2, 0)+100)+(enemyLevel+100)*(1-AX175))</f>
        <v>#N/A</v>
      </c>
      <c r="AY276" s="103" t="e">
        <f>(100+VLOOKUP(AY32, 'Data Val'!$O$13:$Q$17, 2, 0))/((VLOOKUP(AY32, 'Data Val'!$O$13:$Q$17, 2, 0)+100)+(enemyLevel+100)*(1-AY175))</f>
        <v>#N/A</v>
      </c>
      <c r="AZ276" s="103" t="e">
        <f>(100+VLOOKUP(AZ32, 'Data Val'!$O$13:$Q$17, 2, 0))/((VLOOKUP(AZ32, 'Data Val'!$O$13:$Q$17, 2, 0)+100)+(enemyLevel+100)*(1-AZ175))</f>
        <v>#N/A</v>
      </c>
      <c r="BA276" s="103" t="e">
        <f>(100+VLOOKUP(BA32, 'Data Val'!$O$13:$Q$17, 2, 0))/((VLOOKUP(BA32, 'Data Val'!$O$13:$Q$17, 2, 0)+100)+(enemyLevel+100)*(1-BA175))</f>
        <v>#N/A</v>
      </c>
      <c r="BB276" s="103" t="e">
        <f>(100+VLOOKUP(BB32, 'Data Val'!$O$13:$Q$17, 2, 0))/((VLOOKUP(BB32, 'Data Val'!$O$13:$Q$17, 2, 0)+100)+(enemyLevel+100)*(1-BB175))</f>
        <v>#N/A</v>
      </c>
      <c r="BC276" s="103" t="e">
        <f>(100+VLOOKUP(BC32, 'Data Val'!$O$13:$Q$17, 2, 0))/((VLOOKUP(BC32, 'Data Val'!$O$13:$Q$17, 2, 0)+100)+(enemyLevel+100)*(1-BC175))</f>
        <v>#N/A</v>
      </c>
      <c r="BD276" s="103" t="e">
        <f>(100+VLOOKUP(BD32, 'Data Val'!$O$13:$Q$17, 2, 0))/((VLOOKUP(BD32, 'Data Val'!$O$13:$Q$17, 2, 0)+100)+(enemyLevel+100)*(1-BD175))</f>
        <v>#N/A</v>
      </c>
      <c r="BE276" s="103" t="e">
        <f>(100+VLOOKUP(BE32, 'Data Val'!$O$13:$Q$17, 2, 0))/((VLOOKUP(BE32, 'Data Val'!$O$13:$Q$17, 2, 0)+100)+(enemyLevel+100)*(1-BE175))</f>
        <v>#N/A</v>
      </c>
      <c r="BF276" s="103" t="e">
        <f>(100+VLOOKUP(BF32, 'Data Val'!$O$13:$Q$17, 2, 0))/((VLOOKUP(BF32, 'Data Val'!$O$13:$Q$17, 2, 0)+100)+(enemyLevel+100)*(1-BF175))</f>
        <v>#N/A</v>
      </c>
      <c r="BG276" s="103" t="e">
        <f>(100+VLOOKUP(BG32, 'Data Val'!$O$13:$Q$17, 2, 0))/((VLOOKUP(BG32, 'Data Val'!$O$13:$Q$17, 2, 0)+100)+(enemyLevel+100)*(1-BG175))</f>
        <v>#N/A</v>
      </c>
      <c r="BH276" s="103" t="e">
        <f>(100+VLOOKUP(BH32, 'Data Val'!$O$13:$Q$17, 2, 0))/((VLOOKUP(BH32, 'Data Val'!$O$13:$Q$17, 2, 0)+100)+(enemyLevel+100)*(1-BH175))</f>
        <v>#N/A</v>
      </c>
      <c r="BI276" s="103"/>
      <c r="BJ276" s="103"/>
      <c r="BK276" s="103"/>
      <c r="BL276" s="103"/>
      <c r="BM276" s="103"/>
      <c r="BN276" s="103"/>
      <c r="BO276" s="103"/>
      <c r="BP276" s="103"/>
      <c r="BQ276" s="103"/>
      <c r="BR276" s="103"/>
      <c r="BS276" s="103"/>
      <c r="BT276" s="103"/>
      <c r="BU276" s="103"/>
      <c r="BV276" s="103"/>
      <c r="BW276" s="103"/>
      <c r="BX276" s="103"/>
      <c r="BY276" s="103"/>
      <c r="BZ276" s="103"/>
      <c r="CA276" s="103"/>
      <c r="CB276" s="103"/>
      <c r="CC276" s="103"/>
      <c r="CD276" s="103"/>
      <c r="CE276" s="103"/>
      <c r="CF276" s="103"/>
      <c r="CG276" s="103"/>
      <c r="CH276" s="103"/>
      <c r="CI276" s="103"/>
      <c r="CJ276" s="103"/>
      <c r="CK276" s="103"/>
      <c r="CL276" s="103"/>
      <c r="CM276" s="103"/>
      <c r="CN276" s="103"/>
      <c r="CO276" s="103"/>
      <c r="CP276" s="103"/>
      <c r="CQ276" s="103"/>
      <c r="CR276" s="103"/>
      <c r="CS276" s="103"/>
      <c r="CT276" s="103"/>
      <c r="CU276" s="103"/>
      <c r="CV276" s="103"/>
      <c r="CW276" s="103"/>
      <c r="CX276" s="103"/>
      <c r="CY276" s="103"/>
      <c r="CZ276" s="103"/>
      <c r="DA276" s="103"/>
      <c r="DB276" s="103"/>
      <c r="DC276" s="103"/>
    </row>
    <row r="277" spans="1:107" hidden="1" outlineLevel="1" x14ac:dyDescent="0.25">
      <c r="A277" s="110" t="s">
        <v>677</v>
      </c>
      <c r="B277" s="103">
        <f>IFERROR(IF(NOT(B3 = "Transformative"), 1-INDEX(B224:B230,MATCH(B3,$A$224:$A$230,0)), 1-INDEX(B198:B204, MATCH("Effective "&amp;VLOOKUP(B2, 'Data Val'!$I$50:$J$57, 2, 0)&amp;" Res", $A$198:$A$204, 0), 1)),100%)</f>
        <v>0.9</v>
      </c>
      <c r="C277" s="103">
        <f>IFERROR(IF(NOT(C3 = "Transformative"), 1-INDEX(C224:C230,MATCH(C3,$A$224:$A$230,0)), 1-INDEX(C198:C204, MATCH("Effective "&amp;VLOOKUP(C2, 'Data Val'!$I$50:$J$57, 2, 0)&amp;" Res", $A$198:$A$204, 0), 1)),100%)</f>
        <v>0.9</v>
      </c>
      <c r="D277" s="103">
        <f>IFERROR(IF(NOT(D3 = "Transformative"), 1-INDEX(D224:D230,MATCH(D3,$A$224:$A$230,0)), 1-INDEX(D198:D204, MATCH("Effective "&amp;VLOOKUP(D2, 'Data Val'!$I$50:$J$57, 2, 0)&amp;" Res", $A$198:$A$204, 0), 1)),100%)</f>
        <v>0.9</v>
      </c>
      <c r="E277" s="103">
        <f>IFERROR(IF(NOT(E3 = "Transformative"), 1-INDEX(E224:E230,MATCH(E3,$A$224:$A$230,0)), 1-INDEX(E198:E204, MATCH("Effective "&amp;VLOOKUP(E2, 'Data Val'!$I$50:$J$57, 2, 0)&amp;" Res", $A$198:$A$204, 0), 1)),100%)</f>
        <v>1.1499999999999999</v>
      </c>
      <c r="F277" s="103">
        <f>IFERROR(IF(NOT(F3 = "Transformative"), 1-INDEX(F224:F230,MATCH(F3,$A$224:$A$230,0)), 1-INDEX(F198:F204, MATCH("Effective "&amp;VLOOKUP(F2, 'Data Val'!$I$50:$J$57, 2, 0)&amp;" Res", $A$198:$A$204, 0), 1)),100%)</f>
        <v>0.9</v>
      </c>
      <c r="G277" s="103">
        <f>IFERROR(IF(NOT(G3 = "Transformative"), 1-INDEX(G224:G230,MATCH(G3,$A$224:$A$230,0)), 1-INDEX(G198:G204, MATCH("Effective "&amp;VLOOKUP(G2, 'Data Val'!$I$50:$J$57, 2, 0)&amp;" Res", $A$198:$A$204, 0), 1)),100%)</f>
        <v>0.9</v>
      </c>
      <c r="H277" s="103">
        <f>IFERROR(IF(NOT(H3 = "Transformative"), 1-INDEX(H224:H230,MATCH(H3,$A$224:$A$230,0)), 1-INDEX(H198:H204, MATCH("Effective "&amp;VLOOKUP(H2, 'Data Val'!$I$50:$J$57, 2, 0)&amp;" Res", $A$198:$A$204, 0), 1)),100%)</f>
        <v>1.1499999999999999</v>
      </c>
      <c r="I277" s="103">
        <f>IFERROR(IF(NOT(I3 = "Transformative"), 1-INDEX(I224:I230,MATCH(I3,$A$224:$A$230,0)), 1-INDEX(I198:I204, MATCH("Effective "&amp;VLOOKUP(I2, 'Data Val'!$I$50:$J$57, 2, 0)&amp;" Res", $A$198:$A$204, 0), 1)),100%)</f>
        <v>0.9</v>
      </c>
      <c r="J277" s="103">
        <f>IFERROR(IF(NOT(J3 = "Transformative"), 1-INDEX(J224:J230,MATCH(J3,$A$224:$A$230,0)), 1-INDEX(J198:J204, MATCH("Effective "&amp;VLOOKUP(J2, 'Data Val'!$I$50:$J$57, 2, 0)&amp;" Res", $A$198:$A$204, 0), 1)),100%)</f>
        <v>0.9</v>
      </c>
      <c r="K277" s="103">
        <f>IFERROR(IF(NOT(K3 = "Transformative"), 1-INDEX(K224:K230,MATCH(K3,$A$224:$A$230,0)), 1-INDEX(K198:K204, MATCH("Effective "&amp;VLOOKUP(K2, 'Data Val'!$I$50:$J$57, 2, 0)&amp;" Res", $A$198:$A$204, 0), 1)),100%)</f>
        <v>0.9</v>
      </c>
      <c r="L277" s="103">
        <f>IFERROR(IF(NOT(L3 = "Transformative"), 1-INDEX(L224:L230,MATCH(L3,$A$224:$A$230,0)), 1-INDEX(L198:L204, MATCH("Effective "&amp;VLOOKUP(L2, 'Data Val'!$I$50:$J$57, 2, 0)&amp;" Res", $A$198:$A$204, 0), 1)),100%)</f>
        <v>0.9</v>
      </c>
      <c r="M277" s="103">
        <f>IFERROR(IF(NOT(M3 = "Transformative"), 1-INDEX(M224:M230,MATCH(M3,$A$224:$A$230,0)), 1-INDEX(M198:M204, MATCH("Effective "&amp;VLOOKUP(M2, 'Data Val'!$I$50:$J$57, 2, 0)&amp;" Res", $A$198:$A$204, 0), 1)),100%)</f>
        <v>1.22</v>
      </c>
      <c r="N277" s="103">
        <f>IFERROR(IF(NOT(N3 = "Transformative"), 1-INDEX(N224:N230,MATCH(N3,$A$224:$A$230,0)), 1-INDEX(N198:N204, MATCH("Effective "&amp;VLOOKUP(N2, 'Data Val'!$I$50:$J$57, 2, 0)&amp;" Res", $A$198:$A$204, 0), 1)),100%)</f>
        <v>1.1499999999999999</v>
      </c>
      <c r="O277" s="103">
        <f>IFERROR(IF(NOT(O3 = "Transformative"), 1-INDEX(O224:O230,MATCH(O3,$A$224:$A$230,0)), 1-INDEX(O198:O204, MATCH("Effective "&amp;VLOOKUP(O2, 'Data Val'!$I$50:$J$57, 2, 0)&amp;" Res", $A$198:$A$204, 0), 1)),100%)</f>
        <v>1.22</v>
      </c>
      <c r="P277" s="103">
        <f>IFERROR(IF(NOT(P3 = "Transformative"), 1-INDEX(P224:P230,MATCH(P3,$A$224:$A$230,0)), 1-INDEX(P198:P204, MATCH("Effective "&amp;VLOOKUP(P2, 'Data Val'!$I$50:$J$57, 2, 0)&amp;" Res", $A$198:$A$204, 0), 1)),100%)</f>
        <v>1.22</v>
      </c>
      <c r="Q277" s="103">
        <f>IFERROR(IF(NOT(Q3 = "Transformative"), 1-INDEX(Q224:Q230,MATCH(Q3,$A$224:$A$230,0)), 1-INDEX(Q198:Q204, MATCH("Effective "&amp;VLOOKUP(Q2, 'Data Val'!$I$50:$J$57, 2, 0)&amp;" Res", $A$198:$A$204, 0), 1)),100%)</f>
        <v>1.22</v>
      </c>
      <c r="R277" s="103">
        <f>IFERROR(IF(NOT(R3 = "Transformative"), 1-INDEX(R224:R230,MATCH(R3,$A$224:$A$230,0)), 1-INDEX(R198:R204, MATCH("Effective "&amp;VLOOKUP(R2, 'Data Val'!$I$50:$J$57, 2, 0)&amp;" Res", $A$198:$A$204, 0), 1)),100%)</f>
        <v>0.9</v>
      </c>
      <c r="S277" s="103">
        <f>IFERROR(IF(NOT(S3 = "Transformative"), 1-INDEX(S224:S230,MATCH(S3,$A$224:$A$230,0)), 1-INDEX(S198:S204, MATCH("Effective "&amp;VLOOKUP(S2, 'Data Val'!$I$50:$J$57, 2, 0)&amp;" Res", $A$198:$A$204, 0), 1)),100%)</f>
        <v>1.22</v>
      </c>
      <c r="T277" s="103">
        <f>IFERROR(IF(NOT(T3 = "Transformative"), 1-INDEX(T224:T230,MATCH(T3,$A$224:$A$230,0)), 1-INDEX(T198:T204, MATCH("Effective "&amp;VLOOKUP(T2, 'Data Val'!$I$50:$J$57, 2, 0)&amp;" Res", $A$198:$A$204, 0), 1)),100%)</f>
        <v>0.9</v>
      </c>
      <c r="U277" s="103">
        <f>IFERROR(IF(NOT(U3 = "Transformative"), 1-INDEX(U224:U230,MATCH(U3,$A$224:$A$230,0)), 1-INDEX(U198:U204, MATCH("Effective "&amp;VLOOKUP(U2, 'Data Val'!$I$50:$J$57, 2, 0)&amp;" Res", $A$198:$A$204, 0), 1)),100%)</f>
        <v>1.22</v>
      </c>
      <c r="V277" s="103">
        <f>IFERROR(IF(NOT(V3 = "Transformative"), 1-INDEX(V224:V230,MATCH(V3,$A$224:$A$230,0)), 1-INDEX(V198:V204, MATCH("Effective "&amp;VLOOKUP(V2, 'Data Val'!$I$50:$J$57, 2, 0)&amp;" Res", $A$198:$A$204, 0), 1)),100%)</f>
        <v>1.22</v>
      </c>
      <c r="W277" s="103">
        <f>IFERROR(IF(NOT(W3 = "Transformative"), 1-INDEX(W224:W230,MATCH(W3,$A$224:$A$230,0)), 1-INDEX(W198:W204, MATCH("Effective "&amp;VLOOKUP(W2, 'Data Val'!$I$50:$J$57, 2, 0)&amp;" Res", $A$198:$A$204, 0), 1)),100%)</f>
        <v>1.22</v>
      </c>
      <c r="X277" s="103">
        <f>IFERROR(IF(NOT(X3 = "Transformative"), 1-INDEX(X224:X230,MATCH(X3,$A$224:$A$230,0)), 1-INDEX(X198:X204, MATCH("Effective "&amp;VLOOKUP(X2, 'Data Val'!$I$50:$J$57, 2, 0)&amp;" Res", $A$198:$A$204, 0), 1)),100%)</f>
        <v>1.22</v>
      </c>
      <c r="Y277" s="103">
        <f>IFERROR(IF(NOT(Y3 = "Transformative"), 1-INDEX(Y224:Y230,MATCH(Y3,$A$224:$A$230,0)), 1-INDEX(Y198:Y204, MATCH("Effective "&amp;VLOOKUP(Y2, 'Data Val'!$I$50:$J$57, 2, 0)&amp;" Res", $A$198:$A$204, 0), 1)),100%)</f>
        <v>1.22</v>
      </c>
      <c r="Z277" s="103">
        <f>IFERROR(IF(NOT(Z3 = "Transformative"), 1-INDEX(Z224:Z230,MATCH(Z3,$A$224:$A$230,0)), 1-INDEX(Z198:Z204, MATCH("Effective "&amp;VLOOKUP(Z2, 'Data Val'!$I$50:$J$57, 2, 0)&amp;" Res", $A$198:$A$204, 0), 1)),100%)</f>
        <v>1.1499999999999999</v>
      </c>
      <c r="AA277" s="103">
        <f>IFERROR(IF(NOT(AA3 = "Transformative"), 1-INDEX(AA224:AA230,MATCH(AA3,$A$224:$A$230,0)), 1-INDEX(AA198:AA204, MATCH("Effective "&amp;VLOOKUP(AA2, 'Data Val'!$I$50:$J$57, 2, 0)&amp;" Res", $A$198:$A$204, 0), 1)),100%)</f>
        <v>1.1499999999999999</v>
      </c>
      <c r="AB277" s="103">
        <f>IFERROR(IF(NOT(AB3 = "Transformative"), 1-INDEX(AB224:AB230,MATCH(AB3,$A$224:$A$230,0)), 1-INDEX(AB198:AB204, MATCH("Effective "&amp;VLOOKUP(AB2, 'Data Val'!$I$50:$J$57, 2, 0)&amp;" Res", $A$198:$A$204, 0), 1)),100%)</f>
        <v>0.9</v>
      </c>
      <c r="AC277" s="103">
        <f>IFERROR(IF(NOT(AC3 = "Transformative"), 1-INDEX(AC224:AC230,MATCH(AC3,$A$224:$A$230,0)), 1-INDEX(AC198:AC204, MATCH("Effective "&amp;VLOOKUP(AC2, 'Data Val'!$I$50:$J$57, 2, 0)&amp;" Res", $A$198:$A$204, 0), 1)),100%)</f>
        <v>0.9</v>
      </c>
      <c r="AD277" s="103">
        <f>IFERROR(IF(NOT(AD3 = "Transformative"), 1-INDEX(AD224:AD230,MATCH(AD3,$A$224:$A$230,0)), 1-INDEX(AD198:AD204, MATCH("Effective "&amp;VLOOKUP(AD2, 'Data Val'!$I$50:$J$57, 2, 0)&amp;" Res", $A$198:$A$204, 0), 1)),100%)</f>
        <v>1.22</v>
      </c>
      <c r="AE277" s="103">
        <f>IFERROR(IF(NOT(AE3 = "Transformative"), 1-INDEX(AE224:AE230,MATCH(AE3,$A$224:$A$230,0)), 1-INDEX(AE198:AE204, MATCH("Effective "&amp;VLOOKUP(AE2, 'Data Val'!$I$50:$J$57, 2, 0)&amp;" Res", $A$198:$A$204, 0), 1)),100%)</f>
        <v>1.22</v>
      </c>
      <c r="AF277" s="103">
        <f>IFERROR(IF(NOT(AF3 = "Transformative"), 1-INDEX(AF224:AF230,MATCH(AF3,$A$224:$A$230,0)), 1-INDEX(AF198:AF204, MATCH("Effective "&amp;VLOOKUP(AF2, 'Data Val'!$I$50:$J$57, 2, 0)&amp;" Res", $A$198:$A$204, 0), 1)),100%)</f>
        <v>1.1499999999999999</v>
      </c>
      <c r="AG277" s="103">
        <f>IFERROR(IF(NOT(AG3 = "Transformative"), 1-INDEX(AG224:AG230,MATCH(AG3,$A$224:$A$230,0)), 1-INDEX(AG198:AG204, MATCH("Effective "&amp;VLOOKUP(AG2, 'Data Val'!$I$50:$J$57, 2, 0)&amp;" Res", $A$198:$A$204, 0), 1)),100%)</f>
        <v>1.1499999999999999</v>
      </c>
      <c r="AH277" s="103">
        <f>IFERROR(IF(NOT(AH3 = "Transformative"), 1-INDEX(AH224:AH230,MATCH(AH3,$A$224:$A$230,0)), 1-INDEX(AH198:AH204, MATCH("Effective "&amp;VLOOKUP(AH2, 'Data Val'!$I$50:$J$57, 2, 0)&amp;" Res", $A$198:$A$204, 0), 1)),100%)</f>
        <v>1.1499999999999999</v>
      </c>
      <c r="AI277" s="103">
        <f>IFERROR(IF(NOT(AI3 = "Transformative"), 1-INDEX(AI224:AI230,MATCH(AI3,$A$224:$A$230,0)), 1-INDEX(AI198:AI204, MATCH("Effective "&amp;VLOOKUP(AI2, 'Data Val'!$I$50:$J$57, 2, 0)&amp;" Res", $A$198:$A$204, 0), 1)),100%)</f>
        <v>1.1499999999999999</v>
      </c>
      <c r="AJ277" s="103">
        <f>IFERROR(IF(NOT(AJ3 = "Transformative"), 1-INDEX(AJ224:AJ230,MATCH(AJ3,$A$224:$A$230,0)), 1-INDEX(AJ198:AJ204, MATCH("Effective "&amp;VLOOKUP(AJ2, 'Data Val'!$I$50:$J$57, 2, 0)&amp;" Res", $A$198:$A$204, 0), 1)),100%)</f>
        <v>1</v>
      </c>
      <c r="AK277" s="103">
        <f>IFERROR(IF(NOT(AK3 = "Transformative"), 1-INDEX(AK224:AK230,MATCH(AK3,$A$224:$A$230,0)), 1-INDEX(AK198:AK204, MATCH("Effective "&amp;VLOOKUP(AK2, 'Data Val'!$I$50:$J$57, 2, 0)&amp;" Res", $A$198:$A$204, 0), 1)),100%)</f>
        <v>1</v>
      </c>
      <c r="AL277" s="103">
        <f>IFERROR(IF(NOT(AL3 = "Transformative"), 1-INDEX(AL224:AL230,MATCH(AL3,$A$224:$A$230,0)), 1-INDEX(AL198:AL204, MATCH("Effective "&amp;VLOOKUP(AL2, 'Data Val'!$I$50:$J$57, 2, 0)&amp;" Res", $A$198:$A$204, 0), 1)),100%)</f>
        <v>1</v>
      </c>
      <c r="AM277" s="103">
        <f>IFERROR(IF(NOT(AM3 = "Transformative"), 1-INDEX(AM224:AM230,MATCH(AM3,$A$224:$A$230,0)), 1-INDEX(AM198:AM204, MATCH("Effective "&amp;VLOOKUP(AM2, 'Data Val'!$I$50:$J$57, 2, 0)&amp;" Res", $A$198:$A$204, 0), 1)),100%)</f>
        <v>1</v>
      </c>
      <c r="AN277" s="103">
        <f>IFERROR(IF(NOT(AN3 = "Transformative"), 1-INDEX(AN224:AN230,MATCH(AN3,$A$224:$A$230,0)), 1-INDEX(AN198:AN204, MATCH("Effective "&amp;VLOOKUP(AN2, 'Data Val'!$I$50:$J$57, 2, 0)&amp;" Res", $A$198:$A$204, 0), 1)),100%)</f>
        <v>1</v>
      </c>
      <c r="AO277" s="103">
        <f>IFERROR(IF(NOT(AO3 = "Transformative"), 1-INDEX(AO224:AO230,MATCH(AO3,$A$224:$A$230,0)), 1-INDEX(AO198:AO204, MATCH("Effective "&amp;VLOOKUP(AO2, 'Data Val'!$I$50:$J$57, 2, 0)&amp;" Res", $A$198:$A$204, 0), 1)),100%)</f>
        <v>1</v>
      </c>
      <c r="AP277" s="103">
        <f>IFERROR(IF(NOT(AP3 = "Transformative"), 1-INDEX(AP224:AP230,MATCH(AP3,$A$224:$A$230,0)), 1-INDEX(AP198:AP204, MATCH("Effective "&amp;VLOOKUP(AP2, 'Data Val'!$I$50:$J$57, 2, 0)&amp;" Res", $A$198:$A$204, 0), 1)),100%)</f>
        <v>1</v>
      </c>
      <c r="AQ277" s="103">
        <f>IFERROR(IF(NOT(AQ3 = "Transformative"), 1-INDEX(AQ224:AQ230,MATCH(AQ3,$A$224:$A$230,0)), 1-INDEX(AQ198:AQ204, MATCH("Effective "&amp;VLOOKUP(AQ2, 'Data Val'!$I$50:$J$57, 2, 0)&amp;" Res", $A$198:$A$204, 0), 1)),100%)</f>
        <v>1</v>
      </c>
      <c r="AR277" s="103">
        <f>IFERROR(IF(NOT(AR3 = "Transformative"), 1-INDEX(AR224:AR230,MATCH(AR3,$A$224:$A$230,0)), 1-INDEX(AR198:AR204, MATCH("Effective "&amp;VLOOKUP(AR2, 'Data Val'!$I$50:$J$57, 2, 0)&amp;" Res", $A$198:$A$204, 0), 1)),100%)</f>
        <v>1</v>
      </c>
      <c r="AS277" s="103">
        <f>IFERROR(IF(NOT(AS3 = "Transformative"), 1-INDEX(AS224:AS230,MATCH(AS3,$A$224:$A$230,0)), 1-INDEX(AS198:AS204, MATCH("Effective "&amp;VLOOKUP(AS2, 'Data Val'!$I$50:$J$57, 2, 0)&amp;" Res", $A$198:$A$204, 0), 1)),100%)</f>
        <v>1</v>
      </c>
      <c r="AT277" s="103">
        <f>IFERROR(IF(NOT(AT3 = "Transformative"), 1-INDEX(AT224:AT230,MATCH(AT3,$A$224:$A$230,0)), 1-INDEX(AT198:AT204, MATCH("Effective "&amp;VLOOKUP(AT2, 'Data Val'!$I$50:$J$57, 2, 0)&amp;" Res", $A$198:$A$204, 0), 1)),100%)</f>
        <v>1</v>
      </c>
      <c r="AU277" s="103">
        <f>IFERROR(IF(NOT(AU3 = "Transformative"), 1-INDEX(AU224:AU230,MATCH(AU3,$A$224:$A$230,0)), 1-INDEX(AU198:AU204, MATCH("Effective "&amp;VLOOKUP(AU2, 'Data Val'!$I$50:$J$57, 2, 0)&amp;" Res", $A$198:$A$204, 0), 1)),100%)</f>
        <v>1</v>
      </c>
      <c r="AV277" s="103">
        <f>IFERROR(IF(NOT(AV3 = "Transformative"), 1-INDEX(AV224:AV230,MATCH(AV3,$A$224:$A$230,0)), 1-INDEX(AV198:AV204, MATCH("Effective "&amp;VLOOKUP(AV2, 'Data Val'!$I$50:$J$57, 2, 0)&amp;" Res", $A$198:$A$204, 0), 1)),100%)</f>
        <v>1</v>
      </c>
      <c r="AW277" s="103">
        <f>IFERROR(IF(NOT(AW3 = "Transformative"), 1-INDEX(AW224:AW230,MATCH(AW3,$A$224:$A$230,0)), 1-INDEX(AW198:AW204, MATCH("Effective "&amp;VLOOKUP(AW2, 'Data Val'!$I$50:$J$57, 2, 0)&amp;" Res", $A$198:$A$204, 0), 1)),100%)</f>
        <v>1</v>
      </c>
      <c r="AX277" s="103">
        <f>IFERROR(IF(NOT(AX3 = "Transformative"), 1-INDEX(AX224:AX230,MATCH(AX3,$A$224:$A$230,0)), 1-INDEX(AX198:AX204, MATCH("Effective "&amp;VLOOKUP(AX2, 'Data Val'!$I$50:$J$57, 2, 0)&amp;" Res", $A$198:$A$204, 0), 1)),100%)</f>
        <v>1</v>
      </c>
      <c r="AY277" s="103">
        <f>IFERROR(IF(NOT(AY3 = "Transformative"), 1-INDEX(AY224:AY230,MATCH(AY3,$A$224:$A$230,0)), 1-INDEX(AY198:AY204, MATCH("Effective "&amp;VLOOKUP(AY2, 'Data Val'!$I$50:$J$57, 2, 0)&amp;" Res", $A$198:$A$204, 0), 1)),100%)</f>
        <v>1</v>
      </c>
      <c r="AZ277" s="103">
        <f>IFERROR(IF(NOT(AZ3 = "Transformative"), 1-INDEX(AZ224:AZ230,MATCH(AZ3,$A$224:$A$230,0)), 1-INDEX(AZ198:AZ204, MATCH("Effective "&amp;VLOOKUP(AZ2, 'Data Val'!$I$50:$J$57, 2, 0)&amp;" Res", $A$198:$A$204, 0), 1)),100%)</f>
        <v>1</v>
      </c>
      <c r="BA277" s="103">
        <f>IFERROR(IF(NOT(BA3 = "Transformative"), 1-INDEX(BA224:BA230,MATCH(BA3,$A$224:$A$230,0)), 1-INDEX(BA198:BA204, MATCH("Effective "&amp;VLOOKUP(BA2, 'Data Val'!$I$50:$J$57, 2, 0)&amp;" Res", $A$198:$A$204, 0), 1)),100%)</f>
        <v>1</v>
      </c>
      <c r="BB277" s="103">
        <f>IFERROR(IF(NOT(BB3 = "Transformative"), 1-INDEX(BB224:BB230,MATCH(BB3,$A$224:$A$230,0)), 1-INDEX(BB198:BB204, MATCH("Effective "&amp;VLOOKUP(BB2, 'Data Val'!$I$50:$J$57, 2, 0)&amp;" Res", $A$198:$A$204, 0), 1)),100%)</f>
        <v>1</v>
      </c>
      <c r="BC277" s="103">
        <f>IFERROR(IF(NOT(BC3 = "Transformative"), 1-INDEX(BC224:BC230,MATCH(BC3,$A$224:$A$230,0)), 1-INDEX(BC198:BC204, MATCH("Effective "&amp;VLOOKUP(BC2, 'Data Val'!$I$50:$J$57, 2, 0)&amp;" Res", $A$198:$A$204, 0), 1)),100%)</f>
        <v>1</v>
      </c>
      <c r="BD277" s="103">
        <f>IFERROR(IF(NOT(BD3 = "Transformative"), 1-INDEX(BD224:BD230,MATCH(BD3,$A$224:$A$230,0)), 1-INDEX(BD198:BD204, MATCH("Effective "&amp;VLOOKUP(BD2, 'Data Val'!$I$50:$J$57, 2, 0)&amp;" Res", $A$198:$A$204, 0), 1)),100%)</f>
        <v>1</v>
      </c>
      <c r="BE277" s="103">
        <f>IFERROR(IF(NOT(BE3 = "Transformative"), 1-INDEX(BE224:BE230,MATCH(BE3,$A$224:$A$230,0)), 1-INDEX(BE198:BE204, MATCH("Effective "&amp;VLOOKUP(BE2, 'Data Val'!$I$50:$J$57, 2, 0)&amp;" Res", $A$198:$A$204, 0), 1)),100%)</f>
        <v>1</v>
      </c>
      <c r="BF277" s="103">
        <f>IFERROR(IF(NOT(BF3 = "Transformative"), 1-INDEX(BF224:BF230,MATCH(BF3,$A$224:$A$230,0)), 1-INDEX(BF198:BF204, MATCH("Effective "&amp;VLOOKUP(BF2, 'Data Val'!$I$50:$J$57, 2, 0)&amp;" Res", $A$198:$A$204, 0), 1)),100%)</f>
        <v>1</v>
      </c>
      <c r="BG277" s="103">
        <f>IFERROR(IF(NOT(BG3 = "Transformative"), 1-INDEX(BG224:BG230,MATCH(BG3,$A$224:$A$230,0)), 1-INDEX(BG198:BG204, MATCH("Effective "&amp;VLOOKUP(BG2, 'Data Val'!$I$50:$J$57, 2, 0)&amp;" Res", $A$198:$A$204, 0), 1)),100%)</f>
        <v>1</v>
      </c>
      <c r="BH277" s="103">
        <f>IFERROR(IF(NOT(BH3 = "Transformative"), 1-INDEX(BH224:BH230,MATCH(BH3,$A$224:$A$230,0)), 1-INDEX(BH198:BH204, MATCH("Effective "&amp;VLOOKUP(BH2, 'Data Val'!$I$50:$J$57, 2, 0)&amp;" Res", $A$198:$A$204, 0), 1)),100%)</f>
        <v>1</v>
      </c>
      <c r="BI277" s="103"/>
      <c r="BJ277" s="103"/>
      <c r="BK277" s="103"/>
      <c r="BL277" s="103"/>
      <c r="BM277" s="103"/>
      <c r="BN277" s="103"/>
      <c r="BO277" s="103"/>
      <c r="BP277" s="103"/>
      <c r="BQ277" s="103"/>
      <c r="BR277" s="103"/>
      <c r="BS277" s="103"/>
      <c r="BT277" s="103"/>
      <c r="BU277" s="103"/>
      <c r="BV277" s="103"/>
      <c r="BW277" s="103"/>
      <c r="BX277" s="103"/>
      <c r="BY277" s="103"/>
      <c r="BZ277" s="103"/>
      <c r="CA277" s="103"/>
      <c r="CB277" s="103"/>
      <c r="CC277" s="103"/>
      <c r="CD277" s="103"/>
      <c r="CE277" s="103"/>
      <c r="CF277" s="103"/>
      <c r="CG277" s="103"/>
      <c r="CH277" s="103"/>
      <c r="CI277" s="103"/>
      <c r="CJ277" s="103"/>
      <c r="CK277" s="103"/>
      <c r="CL277" s="103"/>
      <c r="CM277" s="103"/>
      <c r="CN277" s="103"/>
      <c r="CO277" s="103"/>
      <c r="CP277" s="103"/>
      <c r="CQ277" s="103"/>
      <c r="CR277" s="103"/>
      <c r="CS277" s="103"/>
      <c r="CT277" s="103"/>
      <c r="CU277" s="103"/>
      <c r="CV277" s="103"/>
      <c r="CW277" s="103"/>
      <c r="CX277" s="103"/>
      <c r="CY277" s="103"/>
      <c r="CZ277" s="103"/>
      <c r="DA277" s="103"/>
      <c r="DB277" s="103"/>
      <c r="DC277" s="103"/>
    </row>
    <row r="278" spans="1:107" s="129" customFormat="1" hidden="1" outlineLevel="1" x14ac:dyDescent="0.25">
      <c r="A278" s="110" t="s">
        <v>678</v>
      </c>
      <c r="B278" s="128">
        <f>VLOOKUP(B6, 'Data Val'!$D$2:$E$6, 2, 0)</f>
        <v>1</v>
      </c>
      <c r="C278" s="128">
        <f>VLOOKUP(C6, 'Data Val'!$D$2:$E$6, 2, 0)</f>
        <v>1</v>
      </c>
      <c r="D278" s="128">
        <f>VLOOKUP(D6, 'Data Val'!$D$2:$E$6, 2, 0)</f>
        <v>1</v>
      </c>
      <c r="E278" s="128">
        <f>VLOOKUP(E6, 'Data Val'!$D$2:$E$6, 2, 0)</f>
        <v>1</v>
      </c>
      <c r="F278" s="128">
        <f>VLOOKUP(F6, 'Data Val'!$D$2:$E$6, 2, 0)</f>
        <v>1</v>
      </c>
      <c r="G278" s="128">
        <f>VLOOKUP(G6, 'Data Val'!$D$2:$E$6, 2, 0)</f>
        <v>1</v>
      </c>
      <c r="H278" s="128">
        <f>VLOOKUP(H6, 'Data Val'!$D$2:$E$6, 2, 0)</f>
        <v>1</v>
      </c>
      <c r="I278" s="128">
        <f>VLOOKUP(I6, 'Data Val'!$D$2:$E$6, 2, 0)</f>
        <v>1</v>
      </c>
      <c r="J278" s="128">
        <f>VLOOKUP(J6, 'Data Val'!$D$2:$E$6, 2, 0)</f>
        <v>1</v>
      </c>
      <c r="K278" s="128">
        <f>VLOOKUP(K6, 'Data Val'!$D$2:$E$6, 2, 0)</f>
        <v>1</v>
      </c>
      <c r="L278" s="128">
        <f>VLOOKUP(L6, 'Data Val'!$D$2:$E$6, 2, 0)</f>
        <v>1</v>
      </c>
      <c r="M278" s="128">
        <f>VLOOKUP(M6, 'Data Val'!$D$2:$E$6, 2, 0)</f>
        <v>1</v>
      </c>
      <c r="N278" s="128">
        <f>VLOOKUP(N6, 'Data Val'!$D$2:$E$6, 2, 0)</f>
        <v>1</v>
      </c>
      <c r="O278" s="128">
        <f>VLOOKUP(O6, 'Data Val'!$D$2:$E$6, 2, 0)</f>
        <v>1</v>
      </c>
      <c r="P278" s="128">
        <f>VLOOKUP(P6, 'Data Val'!$D$2:$E$6, 2, 0)</f>
        <v>1</v>
      </c>
      <c r="Q278" s="128">
        <f>VLOOKUP(Q6, 'Data Val'!$D$2:$E$6, 2, 0)</f>
        <v>1</v>
      </c>
      <c r="R278" s="128">
        <f>VLOOKUP(R6, 'Data Val'!$D$2:$E$6, 2, 0)</f>
        <v>1</v>
      </c>
      <c r="S278" s="128">
        <f>VLOOKUP(S6, 'Data Val'!$D$2:$E$6, 2, 0)</f>
        <v>1</v>
      </c>
      <c r="T278" s="128">
        <f>VLOOKUP(T6, 'Data Val'!$D$2:$E$6, 2, 0)</f>
        <v>1</v>
      </c>
      <c r="U278" s="128">
        <f>VLOOKUP(U6, 'Data Val'!$D$2:$E$6, 2, 0)</f>
        <v>1</v>
      </c>
      <c r="V278" s="128">
        <f>VLOOKUP(V6, 'Data Val'!$D$2:$E$6, 2, 0)</f>
        <v>1</v>
      </c>
      <c r="W278" s="128">
        <f>VLOOKUP(W6, 'Data Val'!$D$2:$E$6, 2, 0)</f>
        <v>1</v>
      </c>
      <c r="X278" s="128">
        <f>VLOOKUP(X6, 'Data Val'!$D$2:$E$6, 2, 0)</f>
        <v>1</v>
      </c>
      <c r="Y278" s="128">
        <f>VLOOKUP(Y6, 'Data Val'!$D$2:$E$6, 2, 0)</f>
        <v>1</v>
      </c>
      <c r="Z278" s="128">
        <f>VLOOKUP(Z6, 'Data Val'!$D$2:$E$6, 2, 0)</f>
        <v>1</v>
      </c>
      <c r="AA278" s="128">
        <f>VLOOKUP(AA6, 'Data Val'!$D$2:$E$6, 2, 0)</f>
        <v>1</v>
      </c>
      <c r="AB278" s="128">
        <f>VLOOKUP(AB6, 'Data Val'!$D$2:$E$6, 2, 0)</f>
        <v>1</v>
      </c>
      <c r="AC278" s="128">
        <f>VLOOKUP(AC6, 'Data Val'!$D$2:$E$6, 2, 0)</f>
        <v>1</v>
      </c>
      <c r="AD278" s="128">
        <f>VLOOKUP(AD6, 'Data Val'!$D$2:$E$6, 2, 0)</f>
        <v>1</v>
      </c>
      <c r="AE278" s="128">
        <f>VLOOKUP(AE6, 'Data Val'!$D$2:$E$6, 2, 0)</f>
        <v>1</v>
      </c>
      <c r="AF278" s="128">
        <f>VLOOKUP(AF6, 'Data Val'!$D$2:$E$6, 2, 0)</f>
        <v>1</v>
      </c>
      <c r="AG278" s="128">
        <f>VLOOKUP(AG6, 'Data Val'!$D$2:$E$6, 2, 0)</f>
        <v>1</v>
      </c>
      <c r="AH278" s="128">
        <f>VLOOKUP(AH6, 'Data Val'!$D$2:$E$6, 2, 0)</f>
        <v>1</v>
      </c>
      <c r="AI278" s="128">
        <f>VLOOKUP(AI6, 'Data Val'!$D$2:$E$6, 2, 0)</f>
        <v>1</v>
      </c>
      <c r="AJ278" s="128">
        <f>VLOOKUP(AJ6, 'Data Val'!$D$2:$E$6, 2, 0)</f>
        <v>1</v>
      </c>
      <c r="AK278" s="128">
        <f>VLOOKUP(AK6, 'Data Val'!$D$2:$E$6, 2, 0)</f>
        <v>1</v>
      </c>
      <c r="AL278" s="128">
        <f>VLOOKUP(AL6, 'Data Val'!$D$2:$E$6, 2, 0)</f>
        <v>1</v>
      </c>
      <c r="AM278" s="128">
        <f>VLOOKUP(AM6, 'Data Val'!$D$2:$E$6, 2, 0)</f>
        <v>1</v>
      </c>
      <c r="AN278" s="128">
        <f>VLOOKUP(AN6, 'Data Val'!$D$2:$E$6, 2, 0)</f>
        <v>1</v>
      </c>
      <c r="AO278" s="128">
        <f>VLOOKUP(AO6, 'Data Val'!$D$2:$E$6, 2, 0)</f>
        <v>1</v>
      </c>
      <c r="AP278" s="128">
        <f>VLOOKUP(AP6, 'Data Val'!$D$2:$E$6, 2, 0)</f>
        <v>1</v>
      </c>
      <c r="AQ278" s="128">
        <f>VLOOKUP(AQ6, 'Data Val'!$D$2:$E$6, 2, 0)</f>
        <v>1</v>
      </c>
      <c r="AR278" s="128">
        <f>VLOOKUP(AR6, 'Data Val'!$D$2:$E$6, 2, 0)</f>
        <v>1</v>
      </c>
      <c r="AS278" s="128">
        <f>VLOOKUP(AS6, 'Data Val'!$D$2:$E$6, 2, 0)</f>
        <v>1</v>
      </c>
      <c r="AT278" s="128">
        <f>VLOOKUP(AT6, 'Data Val'!$D$2:$E$6, 2, 0)</f>
        <v>1</v>
      </c>
      <c r="AU278" s="128">
        <f>VLOOKUP(AU6, 'Data Val'!$D$2:$E$6, 2, 0)</f>
        <v>1</v>
      </c>
      <c r="AV278" s="128">
        <f>VLOOKUP(AV6, 'Data Val'!$D$2:$E$6, 2, 0)</f>
        <v>1</v>
      </c>
      <c r="AW278" s="128">
        <f>VLOOKUP(AW6, 'Data Val'!$D$2:$E$6, 2, 0)</f>
        <v>1</v>
      </c>
      <c r="AX278" s="128">
        <f>VLOOKUP(AX6, 'Data Val'!$D$2:$E$6, 2, 0)</f>
        <v>1</v>
      </c>
      <c r="AY278" s="128">
        <f>VLOOKUP(AY6, 'Data Val'!$D$2:$E$6, 2, 0)</f>
        <v>1</v>
      </c>
      <c r="AZ278" s="128">
        <f>VLOOKUP(AZ6, 'Data Val'!$D$2:$E$6, 2, 0)</f>
        <v>1</v>
      </c>
      <c r="BA278" s="128" t="e">
        <f>VLOOKUP(BA6, 'Data Val'!$D$2:$E$6, 2, 0)</f>
        <v>#N/A</v>
      </c>
      <c r="BB278" s="128" t="e">
        <f>VLOOKUP(BB6, 'Data Val'!$D$2:$E$6, 2, 0)</f>
        <v>#N/A</v>
      </c>
      <c r="BC278" s="128" t="e">
        <f>VLOOKUP(BC6, 'Data Val'!$D$2:$E$6, 2, 0)</f>
        <v>#N/A</v>
      </c>
      <c r="BD278" s="128" t="e">
        <f>VLOOKUP(BD6, 'Data Val'!$D$2:$E$6, 2, 0)</f>
        <v>#N/A</v>
      </c>
      <c r="BE278" s="128" t="e">
        <f>VLOOKUP(BE6, 'Data Val'!$D$2:$E$6, 2, 0)</f>
        <v>#N/A</v>
      </c>
      <c r="BF278" s="128" t="e">
        <f>VLOOKUP(BF6, 'Data Val'!$D$2:$E$6, 2, 0)</f>
        <v>#N/A</v>
      </c>
      <c r="BG278" s="128" t="e">
        <f>VLOOKUP(BG6, 'Data Val'!$D$2:$E$6, 2, 0)</f>
        <v>#N/A</v>
      </c>
      <c r="BH278" s="128" t="e">
        <f>VLOOKUP(BH6, 'Data Val'!$D$2:$E$6, 2, 0)</f>
        <v>#N/A</v>
      </c>
      <c r="BI278" s="128"/>
      <c r="BJ278" s="128"/>
      <c r="BK278" s="128"/>
      <c r="BL278" s="128"/>
      <c r="BM278" s="128"/>
      <c r="BN278" s="128"/>
      <c r="BO278" s="128"/>
      <c r="BP278" s="128"/>
      <c r="BQ278" s="128"/>
      <c r="BR278" s="128"/>
      <c r="BS278" s="128"/>
      <c r="BT278" s="128"/>
      <c r="BU278" s="128"/>
      <c r="BV278" s="128"/>
      <c r="BW278" s="128"/>
      <c r="BX278" s="128"/>
      <c r="BY278" s="128"/>
      <c r="BZ278" s="128"/>
      <c r="CA278" s="128"/>
      <c r="CB278" s="128"/>
      <c r="CC278" s="128"/>
      <c r="CD278" s="128"/>
      <c r="CE278" s="128"/>
      <c r="CF278" s="128"/>
      <c r="CG278" s="128"/>
      <c r="CH278" s="128"/>
      <c r="CI278" s="128"/>
      <c r="CJ278" s="128"/>
      <c r="CK278" s="128"/>
      <c r="CL278" s="128"/>
      <c r="CM278" s="128"/>
      <c r="CN278" s="128"/>
      <c r="CO278" s="128"/>
      <c r="CP278" s="128"/>
      <c r="CQ278" s="128"/>
      <c r="CR278" s="128"/>
      <c r="CS278" s="128"/>
      <c r="CT278" s="128"/>
      <c r="CU278" s="128"/>
      <c r="CV278" s="128"/>
      <c r="CW278" s="128"/>
      <c r="CX278" s="128"/>
      <c r="CY278" s="128"/>
      <c r="CZ278" s="128"/>
      <c r="DA278" s="128"/>
      <c r="DB278" s="128"/>
      <c r="DC278" s="128"/>
    </row>
    <row r="279" spans="1:107" s="129" customFormat="1" hidden="1" outlineLevel="1" x14ac:dyDescent="0.25">
      <c r="A279" s="110" t="s">
        <v>774</v>
      </c>
      <c r="B279" s="128">
        <f t="shared" ref="B279:G279" si="1484">IF(OR(B6 = "Vape", B6 = "Reverse Vape"), B174, IF(OR(B6 = "Melt", B6 = "Reverse Melt"), B173, 0))</f>
        <v>0</v>
      </c>
      <c r="C279" s="128">
        <f t="shared" si="1484"/>
        <v>0</v>
      </c>
      <c r="D279" s="128">
        <f t="shared" si="1484"/>
        <v>0</v>
      </c>
      <c r="E279" s="128">
        <f t="shared" ref="E279" si="1485">IF(OR(E6 = "Vape", E6 = "Reverse Vape"), E174, IF(OR(E6 = "Melt", E6 = "Reverse Melt"), E173, 0))</f>
        <v>0</v>
      </c>
      <c r="F279" s="128">
        <f t="shared" si="1484"/>
        <v>0</v>
      </c>
      <c r="G279" s="128">
        <f t="shared" si="1484"/>
        <v>0</v>
      </c>
      <c r="H279" s="128">
        <f>IF(OR(H6 = "Vape", H6 = "Reverse Vape"), H174, IF(OR(H6 = "Melt", H6 = "Reverse Melt"), H173, 0))</f>
        <v>0</v>
      </c>
      <c r="I279" s="128">
        <f t="shared" ref="I279:K279" si="1486">IF(OR(I6 = "Vape", I6 = "Reverse Vape"), I174, IF(OR(I6 = "Melt", I6 = "Reverse Melt"), I173, 0))</f>
        <v>0</v>
      </c>
      <c r="J279" s="128">
        <f t="shared" si="1486"/>
        <v>0</v>
      </c>
      <c r="K279" s="128">
        <f t="shared" si="1486"/>
        <v>0</v>
      </c>
      <c r="L279" s="128">
        <f t="shared" ref="L279" si="1487">IF(OR(L6 = "Vape", L6 = "Reverse Vape"), L174, IF(OR(L6 = "Melt", L6 = "Reverse Melt"), L173, 0))</f>
        <v>0</v>
      </c>
      <c r="M279" s="128">
        <f t="shared" ref="M279" si="1488">IF(OR(M6 = "Vape", M6 = "Reverse Vape"), M174, IF(OR(M6 = "Melt", M6 = "Reverse Melt"), M173, 0))</f>
        <v>0</v>
      </c>
      <c r="N279" s="128">
        <f>IF(OR(N6 = "Vape", N6 = "Reverse Vape"), N174, IF(OR(N6 = "Melt", N6 = "Reverse Melt"), N173, 0))</f>
        <v>0</v>
      </c>
      <c r="O279" s="128">
        <f>IF(OR(O6 = "Vape", O6 = "Reverse Vape"), O174, IF(OR(O6 = "Melt", O6 = "Reverse Melt"), O173, 0))</f>
        <v>0</v>
      </c>
      <c r="P279" s="128">
        <f>IF(OR(P6 = "Vape", P6 = "Reverse Vape"), P174, IF(OR(P6 = "Melt", P6 = "Reverse Melt"), P173, 0))</f>
        <v>0</v>
      </c>
      <c r="Q279" s="128">
        <f>IF(OR(Q6 = "Vape", Q6 = "Reverse Vape"), Q174, IF(OR(Q6 = "Melt", Q6 = "Reverse Melt"), Q173, 0))</f>
        <v>0</v>
      </c>
      <c r="R279" s="128">
        <f t="shared" ref="R279:AZ279" si="1489">IF(OR(R6 = "Vape", R6 = "Reverse Vape"), R174, IF(OR(R6 = "Melt", R6 = "Reverse Melt"), R173, 0))</f>
        <v>0</v>
      </c>
      <c r="S279" s="128">
        <f t="shared" si="1489"/>
        <v>0</v>
      </c>
      <c r="T279" s="128">
        <f t="shared" si="1489"/>
        <v>0</v>
      </c>
      <c r="U279" s="128">
        <f t="shared" si="1489"/>
        <v>0</v>
      </c>
      <c r="V279" s="128">
        <f t="shared" ref="V279:W279" si="1490">IF(OR(V6 = "Vape", V6 = "Reverse Vape"), V174, IF(OR(V6 = "Melt", V6 = "Reverse Melt"), V173, 0))</f>
        <v>0</v>
      </c>
      <c r="W279" s="128">
        <f t="shared" si="1490"/>
        <v>0</v>
      </c>
      <c r="X279" s="128">
        <f t="shared" ref="X279:Y279" si="1491">IF(OR(X6 = "Vape", X6 = "Reverse Vape"), X174, IF(OR(X6 = "Melt", X6 = "Reverse Melt"), X173, 0))</f>
        <v>0</v>
      </c>
      <c r="Y279" s="128">
        <f t="shared" si="1491"/>
        <v>0</v>
      </c>
      <c r="Z279" s="128">
        <f t="shared" ref="Z279:AA279" si="1492">IF(OR(Z6 = "Vape", Z6 = "Reverse Vape"), Z174, IF(OR(Z6 = "Melt", Z6 = "Reverse Melt"), Z173, 0))</f>
        <v>0</v>
      </c>
      <c r="AA279" s="128">
        <f t="shared" si="1492"/>
        <v>0</v>
      </c>
      <c r="AB279" s="128">
        <f t="shared" si="1489"/>
        <v>0</v>
      </c>
      <c r="AC279" s="128">
        <f t="shared" si="1489"/>
        <v>0</v>
      </c>
      <c r="AD279" s="128">
        <f t="shared" si="1489"/>
        <v>0</v>
      </c>
      <c r="AE279" s="128">
        <f t="shared" si="1489"/>
        <v>0</v>
      </c>
      <c r="AF279" s="128">
        <f t="shared" si="1489"/>
        <v>0</v>
      </c>
      <c r="AG279" s="128">
        <f t="shared" ref="AG279:AI279" si="1493">IF(OR(AG6 = "Vape", AG6 = "Reverse Vape"), AG174, IF(OR(AG6 = "Melt", AG6 = "Reverse Melt"), AG173, 0))</f>
        <v>0</v>
      </c>
      <c r="AH279" s="128">
        <f t="shared" si="1493"/>
        <v>0</v>
      </c>
      <c r="AI279" s="128">
        <f t="shared" si="1493"/>
        <v>0</v>
      </c>
      <c r="AJ279" s="128">
        <f t="shared" si="1489"/>
        <v>0</v>
      </c>
      <c r="AK279" s="128">
        <f t="shared" si="1489"/>
        <v>0</v>
      </c>
      <c r="AL279" s="128">
        <f t="shared" si="1489"/>
        <v>0</v>
      </c>
      <c r="AM279" s="128">
        <f t="shared" si="1489"/>
        <v>0</v>
      </c>
      <c r="AN279" s="128">
        <f t="shared" si="1489"/>
        <v>0</v>
      </c>
      <c r="AO279" s="128">
        <f t="shared" si="1489"/>
        <v>0</v>
      </c>
      <c r="AP279" s="128">
        <f t="shared" si="1489"/>
        <v>0</v>
      </c>
      <c r="AQ279" s="128">
        <f t="shared" si="1489"/>
        <v>0</v>
      </c>
      <c r="AR279" s="128">
        <f t="shared" si="1489"/>
        <v>0</v>
      </c>
      <c r="AS279" s="128">
        <f t="shared" si="1489"/>
        <v>0</v>
      </c>
      <c r="AT279" s="128">
        <f t="shared" si="1489"/>
        <v>0</v>
      </c>
      <c r="AU279" s="128">
        <f t="shared" si="1489"/>
        <v>0</v>
      </c>
      <c r="AV279" s="128">
        <f t="shared" si="1489"/>
        <v>0</v>
      </c>
      <c r="AW279" s="128">
        <f t="shared" si="1489"/>
        <v>0</v>
      </c>
      <c r="AX279" s="128">
        <f t="shared" si="1489"/>
        <v>0</v>
      </c>
      <c r="AY279" s="128">
        <f t="shared" si="1489"/>
        <v>0</v>
      </c>
      <c r="AZ279" s="128">
        <f t="shared" si="1489"/>
        <v>0</v>
      </c>
      <c r="BA279" s="128">
        <f t="shared" ref="BA279:BC279" si="1494">IF(OR(BA6 = "Vape", BA6 = "Reverse Vape"), BA174, IF(OR(BA6 = "Melt", BA6 = "Reverse Melt"), BA173, 0))</f>
        <v>0</v>
      </c>
      <c r="BB279" s="128">
        <f t="shared" ref="BB279" si="1495">IF(OR(BB6 = "Vape", BB6 = "Reverse Vape"), BB174, IF(OR(BB6 = "Melt", BB6 = "Reverse Melt"), BB173, 0))</f>
        <v>0</v>
      </c>
      <c r="BC279" s="128">
        <f t="shared" si="1494"/>
        <v>0</v>
      </c>
      <c r="BD279" s="128">
        <f t="shared" ref="BD279:BE279" si="1496">IF(OR(BD6 = "Vape", BD6 = "Reverse Vape"), BD174, IF(OR(BD6 = "Melt", BD6 = "Reverse Melt"), BD173, 0))</f>
        <v>0</v>
      </c>
      <c r="BE279" s="128">
        <f t="shared" si="1496"/>
        <v>0</v>
      </c>
      <c r="BF279" s="128">
        <f t="shared" ref="BF279:BG279" si="1497">IF(OR(BF6 = "Vape", BF6 = "Reverse Vape"), BF174, IF(OR(BF6 = "Melt", BF6 = "Reverse Melt"), BF173, 0))</f>
        <v>0</v>
      </c>
      <c r="BG279" s="128">
        <f t="shared" si="1497"/>
        <v>0</v>
      </c>
      <c r="BH279" s="128">
        <f t="shared" ref="BH279" si="1498">IF(OR(BH6 = "Vape", BH6 = "Reverse Vape"), BH174, IF(OR(BH6 = "Melt", BH6 = "Reverse Melt"), BH173, 0))</f>
        <v>0</v>
      </c>
      <c r="BI279" s="128"/>
      <c r="BJ279" s="128"/>
      <c r="BK279" s="128"/>
      <c r="BL279" s="128"/>
      <c r="BM279" s="128"/>
      <c r="BN279" s="128"/>
      <c r="BO279" s="128"/>
      <c r="BP279" s="128"/>
      <c r="BQ279" s="128"/>
      <c r="BR279" s="128"/>
      <c r="BS279" s="128"/>
      <c r="BT279" s="128"/>
      <c r="BU279" s="128"/>
      <c r="BV279" s="128"/>
      <c r="BW279" s="128"/>
      <c r="BX279" s="128"/>
      <c r="BY279" s="128"/>
      <c r="BZ279" s="128"/>
      <c r="CA279" s="128"/>
      <c r="CB279" s="128"/>
      <c r="CC279" s="128"/>
      <c r="CD279" s="128"/>
      <c r="CE279" s="128"/>
      <c r="CF279" s="128"/>
      <c r="CG279" s="128"/>
      <c r="CH279" s="128"/>
      <c r="CI279" s="128"/>
      <c r="CJ279" s="128"/>
      <c r="CK279" s="128"/>
      <c r="CL279" s="128"/>
      <c r="CM279" s="128"/>
      <c r="CN279" s="128"/>
      <c r="CO279" s="128"/>
      <c r="CP279" s="128"/>
      <c r="CQ279" s="128"/>
      <c r="CR279" s="128"/>
      <c r="CS279" s="128"/>
      <c r="CT279" s="128"/>
      <c r="CU279" s="128"/>
      <c r="CV279" s="128"/>
      <c r="CW279" s="128"/>
      <c r="CX279" s="128"/>
      <c r="CY279" s="128"/>
      <c r="CZ279" s="128"/>
      <c r="DA279" s="128"/>
      <c r="DB279" s="128"/>
      <c r="DC279" s="128"/>
    </row>
    <row r="280" spans="1:107" s="129" customFormat="1" hidden="1" outlineLevel="1" x14ac:dyDescent="0.25">
      <c r="A280" s="110" t="s">
        <v>679</v>
      </c>
      <c r="B280" s="208">
        <f t="shared" ref="B280:G280" si="1499">IF(B278=1, 1, B278*(1+(2.78*B147)/(1400+B147)+B279))</f>
        <v>1</v>
      </c>
      <c r="C280" s="208">
        <f t="shared" si="1499"/>
        <v>1</v>
      </c>
      <c r="D280" s="208">
        <f t="shared" si="1499"/>
        <v>1</v>
      </c>
      <c r="E280" s="208">
        <f t="shared" ref="E280" si="1500">IF(E278=1, 1, E278*(1+(2.78*E147)/(1400+E147)+E279))</f>
        <v>1</v>
      </c>
      <c r="F280" s="208">
        <f t="shared" si="1499"/>
        <v>1</v>
      </c>
      <c r="G280" s="208">
        <f t="shared" si="1499"/>
        <v>1</v>
      </c>
      <c r="H280" s="208">
        <f>IF(H278=1, 1, H278*(1+(2.78*H147)/(1400+H147)+H279))</f>
        <v>1</v>
      </c>
      <c r="I280" s="208">
        <f t="shared" ref="I280:K280" si="1501">IF(I278=1, 1, I278*(1+(2.78*I147)/(1400+I147)+I279))</f>
        <v>1</v>
      </c>
      <c r="J280" s="208">
        <f t="shared" si="1501"/>
        <v>1</v>
      </c>
      <c r="K280" s="208">
        <f t="shared" si="1501"/>
        <v>1</v>
      </c>
      <c r="L280" s="208">
        <f t="shared" ref="L280" si="1502">IF(L278=1, 1, L278*(1+(2.78*L147)/(1400+L147)+L279))</f>
        <v>1</v>
      </c>
      <c r="M280" s="208">
        <f t="shared" ref="M280" si="1503">IF(M278=1, 1, M278*(1+(2.78*M147)/(1400+M147)+M279))</f>
        <v>1</v>
      </c>
      <c r="N280" s="208">
        <f>IF(N278=1, 1, N278*(1+(2.78*N147)/(1400+N147)+N279))</f>
        <v>1</v>
      </c>
      <c r="O280" s="208">
        <f>IF(O278=1, 1, O278*(1+(2.78*O147)/(1400+O147)+O279))</f>
        <v>1</v>
      </c>
      <c r="P280" s="208">
        <f>IF(P278=1, 1, P278*(1+(2.78*P147)/(1400+P147)+P279))</f>
        <v>1</v>
      </c>
      <c r="Q280" s="208">
        <f>IF(Q278=1, 1, Q278*(1+(2.78*Q147)/(1400+Q147)+Q279))</f>
        <v>1</v>
      </c>
      <c r="R280" s="208">
        <f t="shared" ref="R280:AZ280" si="1504">IF(R278=1, 1, R278*(1+(2.78*R147)/(1400+R147)+R279))</f>
        <v>1</v>
      </c>
      <c r="S280" s="208">
        <f t="shared" si="1504"/>
        <v>1</v>
      </c>
      <c r="T280" s="208">
        <f t="shared" si="1504"/>
        <v>1</v>
      </c>
      <c r="U280" s="208">
        <f t="shared" si="1504"/>
        <v>1</v>
      </c>
      <c r="V280" s="208">
        <f t="shared" ref="V280:W280" si="1505">IF(V278=1, 1, V278*(1+(2.78*V147)/(1400+V147)+V279))</f>
        <v>1</v>
      </c>
      <c r="W280" s="208">
        <f t="shared" si="1505"/>
        <v>1</v>
      </c>
      <c r="X280" s="208">
        <f t="shared" ref="X280:Y280" si="1506">IF(X278=1, 1, X278*(1+(2.78*X147)/(1400+X147)+X279))</f>
        <v>1</v>
      </c>
      <c r="Y280" s="208">
        <f t="shared" si="1506"/>
        <v>1</v>
      </c>
      <c r="Z280" s="208">
        <f t="shared" ref="Z280:AA280" si="1507">IF(Z278=1, 1, Z278*(1+(2.78*Z147)/(1400+Z147)+Z279))</f>
        <v>1</v>
      </c>
      <c r="AA280" s="208">
        <f t="shared" si="1507"/>
        <v>1</v>
      </c>
      <c r="AB280" s="208">
        <f t="shared" si="1504"/>
        <v>1</v>
      </c>
      <c r="AC280" s="208">
        <f t="shared" si="1504"/>
        <v>1</v>
      </c>
      <c r="AD280" s="208">
        <f t="shared" si="1504"/>
        <v>1</v>
      </c>
      <c r="AE280" s="208">
        <f t="shared" si="1504"/>
        <v>1</v>
      </c>
      <c r="AF280" s="208">
        <f t="shared" si="1504"/>
        <v>1</v>
      </c>
      <c r="AG280" s="208">
        <f t="shared" ref="AG280:AI280" si="1508">IF(AG278=1, 1, AG278*(1+(2.78*AG147)/(1400+AG147)+AG279))</f>
        <v>1</v>
      </c>
      <c r="AH280" s="208">
        <f t="shared" si="1508"/>
        <v>1</v>
      </c>
      <c r="AI280" s="208">
        <f t="shared" si="1508"/>
        <v>1</v>
      </c>
      <c r="AJ280" s="208">
        <f t="shared" si="1504"/>
        <v>1</v>
      </c>
      <c r="AK280" s="208">
        <f t="shared" si="1504"/>
        <v>1</v>
      </c>
      <c r="AL280" s="208">
        <f t="shared" si="1504"/>
        <v>1</v>
      </c>
      <c r="AM280" s="208">
        <f t="shared" si="1504"/>
        <v>1</v>
      </c>
      <c r="AN280" s="208">
        <f t="shared" si="1504"/>
        <v>1</v>
      </c>
      <c r="AO280" s="208">
        <f t="shared" si="1504"/>
        <v>1</v>
      </c>
      <c r="AP280" s="208">
        <f t="shared" si="1504"/>
        <v>1</v>
      </c>
      <c r="AQ280" s="208">
        <f t="shared" si="1504"/>
        <v>1</v>
      </c>
      <c r="AR280" s="208">
        <f t="shared" si="1504"/>
        <v>1</v>
      </c>
      <c r="AS280" s="208">
        <f t="shared" si="1504"/>
        <v>1</v>
      </c>
      <c r="AT280" s="208">
        <f t="shared" si="1504"/>
        <v>1</v>
      </c>
      <c r="AU280" s="208">
        <f t="shared" si="1504"/>
        <v>1</v>
      </c>
      <c r="AV280" s="208">
        <f t="shared" si="1504"/>
        <v>1</v>
      </c>
      <c r="AW280" s="208">
        <f t="shared" si="1504"/>
        <v>1</v>
      </c>
      <c r="AX280" s="208">
        <f t="shared" si="1504"/>
        <v>1</v>
      </c>
      <c r="AY280" s="208">
        <f t="shared" si="1504"/>
        <v>1</v>
      </c>
      <c r="AZ280" s="208">
        <f t="shared" si="1504"/>
        <v>1</v>
      </c>
      <c r="BA280" s="208" t="e">
        <f t="shared" ref="BA280:BC280" si="1509">IF(BA278=1, 1, BA278*(1+(2.78*BA147)/(1400+BA147)+BA279))</f>
        <v>#N/A</v>
      </c>
      <c r="BB280" s="208" t="e">
        <f t="shared" ref="BB280" si="1510">IF(BB278=1, 1, BB278*(1+(2.78*BB147)/(1400+BB147)+BB279))</f>
        <v>#N/A</v>
      </c>
      <c r="BC280" s="208" t="e">
        <f t="shared" si="1509"/>
        <v>#N/A</v>
      </c>
      <c r="BD280" s="208" t="e">
        <f t="shared" ref="BD280:BE280" si="1511">IF(BD278=1, 1, BD278*(1+(2.78*BD147)/(1400+BD147)+BD279))</f>
        <v>#N/A</v>
      </c>
      <c r="BE280" s="208" t="e">
        <f t="shared" si="1511"/>
        <v>#N/A</v>
      </c>
      <c r="BF280" s="208" t="e">
        <f t="shared" ref="BF280:BG280" si="1512">IF(BF278=1, 1, BF278*(1+(2.78*BF147)/(1400+BF147)+BF279))</f>
        <v>#N/A</v>
      </c>
      <c r="BG280" s="208" t="e">
        <f t="shared" si="1512"/>
        <v>#N/A</v>
      </c>
      <c r="BH280" s="208" t="e">
        <f t="shared" ref="BH280" si="1513">IF(BH278=1, 1, BH278*(1+(2.78*BH147)/(1400+BH147)+BH279))</f>
        <v>#N/A</v>
      </c>
      <c r="BI280" s="208"/>
      <c r="BJ280" s="208"/>
      <c r="BK280" s="208"/>
      <c r="BL280" s="208"/>
      <c r="BM280" s="208"/>
      <c r="BN280" s="208"/>
      <c r="BO280" s="208"/>
      <c r="BP280" s="208"/>
      <c r="BQ280" s="208"/>
      <c r="BR280" s="208"/>
      <c r="BS280" s="208"/>
      <c r="BT280" s="208"/>
      <c r="BU280" s="208"/>
      <c r="BV280" s="208"/>
      <c r="BW280" s="208"/>
      <c r="BX280" s="208"/>
      <c r="BY280" s="208"/>
      <c r="BZ280" s="208"/>
      <c r="CA280" s="208"/>
      <c r="CB280" s="208"/>
      <c r="CC280" s="208"/>
      <c r="CD280" s="208"/>
      <c r="CE280" s="208"/>
      <c r="CF280" s="208"/>
      <c r="CG280" s="208"/>
      <c r="CH280" s="208"/>
      <c r="CI280" s="208"/>
      <c r="CJ280" s="128"/>
      <c r="CK280" s="128"/>
      <c r="CL280" s="128"/>
      <c r="CM280" s="128"/>
      <c r="CN280" s="128"/>
      <c r="CO280" s="128"/>
      <c r="CP280" s="128"/>
      <c r="CQ280" s="128"/>
      <c r="CR280" s="128"/>
      <c r="CS280" s="128"/>
      <c r="CT280" s="128"/>
      <c r="CU280" s="128"/>
      <c r="CV280" s="128"/>
      <c r="CW280" s="128"/>
      <c r="CX280" s="128"/>
      <c r="CY280" s="128"/>
      <c r="CZ280" s="128"/>
      <c r="DA280" s="128"/>
      <c r="DB280" s="128"/>
      <c r="DC280" s="128"/>
    </row>
    <row r="281" spans="1:107" s="129" customFormat="1" hidden="1" outlineLevel="1" x14ac:dyDescent="0.25">
      <c r="A281" s="110" t="s">
        <v>688</v>
      </c>
      <c r="B281" s="103">
        <f>IF(B30="",0,B30)</f>
        <v>2.2440000000000002</v>
      </c>
      <c r="C281" s="103">
        <f t="shared" ref="C281:G281" si="1514">IFERROR(IF(C30="",0,C30),0)</f>
        <v>0.54400000000000004</v>
      </c>
      <c r="D281" s="103">
        <f t="shared" si="1514"/>
        <v>4.6920000000000002</v>
      </c>
      <c r="E281" s="103">
        <f t="shared" ref="E281" si="1515">IFERROR(IF(E30="",0,E30),0)</f>
        <v>0</v>
      </c>
      <c r="F281" s="103">
        <f t="shared" si="1514"/>
        <v>0.63919999999999999</v>
      </c>
      <c r="G281" s="103">
        <f t="shared" si="1514"/>
        <v>0.3196</v>
      </c>
      <c r="H281" s="103">
        <f>IFERROR(IF(H30="",0,H30),0)</f>
        <v>2.3664000000000001</v>
      </c>
      <c r="I281" s="103">
        <f t="shared" ref="I281:K281" si="1516">IFERROR(IF(I30="",0,I30),0)</f>
        <v>0.3196</v>
      </c>
      <c r="J281" s="103">
        <f t="shared" si="1516"/>
        <v>0.3196</v>
      </c>
      <c r="K281" s="103">
        <f t="shared" si="1516"/>
        <v>0.3196</v>
      </c>
      <c r="L281" s="103">
        <f t="shared" ref="L281" si="1517">IFERROR(IF(L30="",0,L30),0)</f>
        <v>0.63919999999999999</v>
      </c>
      <c r="M281" s="103">
        <f t="shared" ref="M281" si="1518">IFERROR(IF(M30="",0,M30),0)</f>
        <v>0</v>
      </c>
      <c r="N281" s="103">
        <f>IFERROR(IF(N30="",0,N30),0)</f>
        <v>0</v>
      </c>
      <c r="O281" s="103">
        <f>IFERROR(IF(O30="",0,O30),0)</f>
        <v>1.7136</v>
      </c>
      <c r="P281" s="103">
        <f>IFERROR(IF(P30="",0,P30),0)</f>
        <v>0.56299999999999994</v>
      </c>
      <c r="Q281" s="103">
        <f>IFERROR(IF(Q30="",0,Q30),0)</f>
        <v>0.56299999999999994</v>
      </c>
      <c r="R281" s="103">
        <f t="shared" ref="R281:AZ281" si="1519">IFERROR(IF(R30="",0,R30),0)</f>
        <v>0.56299999999999994</v>
      </c>
      <c r="S281" s="103">
        <f t="shared" si="1519"/>
        <v>2.2440000000000002</v>
      </c>
      <c r="T281" s="103">
        <f t="shared" si="1519"/>
        <v>2.2576000000000001</v>
      </c>
      <c r="U281" s="103">
        <f t="shared" si="1519"/>
        <v>1.1946000000000001</v>
      </c>
      <c r="V281" s="103">
        <f t="shared" ref="V281:W281" si="1520">IFERROR(IF(V30="",0,V30),0)</f>
        <v>1.1946000000000001</v>
      </c>
      <c r="W281" s="103">
        <f t="shared" si="1520"/>
        <v>1.1946000000000001</v>
      </c>
      <c r="X281" s="103">
        <f t="shared" ref="X281:Y281" si="1521">IFERROR(IF(X30="",0,X30),0)</f>
        <v>1.1946000000000001</v>
      </c>
      <c r="Y281" s="103">
        <f t="shared" si="1521"/>
        <v>1.1946000000000001</v>
      </c>
      <c r="Z281" s="103">
        <f t="shared" ref="Z281:AA281" si="1522">IFERROR(IF(Z30="",0,Z30),0)</f>
        <v>1.1946000000000001</v>
      </c>
      <c r="AA281" s="103">
        <f t="shared" si="1522"/>
        <v>1.1946000000000001</v>
      </c>
      <c r="AB281" s="103">
        <f t="shared" si="1519"/>
        <v>7.5208000000000004</v>
      </c>
      <c r="AC281" s="103">
        <f t="shared" si="1519"/>
        <v>4.6920000000000002</v>
      </c>
      <c r="AD281" s="103">
        <f t="shared" si="1519"/>
        <v>0</v>
      </c>
      <c r="AE281" s="103">
        <f t="shared" si="1519"/>
        <v>2.3664000000000001</v>
      </c>
      <c r="AF281" s="103">
        <f t="shared" si="1519"/>
        <v>2.1760000000000002</v>
      </c>
      <c r="AG281" s="103">
        <f t="shared" ref="AG281:AI281" si="1523">IFERROR(IF(AG30="",0,AG30),0)</f>
        <v>3.6991999999999998</v>
      </c>
      <c r="AH281" s="103">
        <f t="shared" si="1523"/>
        <v>2.1760000000000002</v>
      </c>
      <c r="AI281" s="103">
        <f t="shared" si="1523"/>
        <v>3.6991999999999998</v>
      </c>
      <c r="AJ281" s="103">
        <f t="shared" si="1519"/>
        <v>0</v>
      </c>
      <c r="AK281" s="103">
        <f t="shared" si="1519"/>
        <v>0</v>
      </c>
      <c r="AL281" s="103">
        <f t="shared" si="1519"/>
        <v>0</v>
      </c>
      <c r="AM281" s="103">
        <f t="shared" si="1519"/>
        <v>0</v>
      </c>
      <c r="AN281" s="103">
        <f t="shared" si="1519"/>
        <v>0</v>
      </c>
      <c r="AO281" s="103">
        <f t="shared" si="1519"/>
        <v>0</v>
      </c>
      <c r="AP281" s="103">
        <f t="shared" si="1519"/>
        <v>0</v>
      </c>
      <c r="AQ281" s="103">
        <f t="shared" si="1519"/>
        <v>0</v>
      </c>
      <c r="AR281" s="103">
        <f t="shared" si="1519"/>
        <v>0</v>
      </c>
      <c r="AS281" s="103">
        <f t="shared" si="1519"/>
        <v>0</v>
      </c>
      <c r="AT281" s="103">
        <f t="shared" si="1519"/>
        <v>0</v>
      </c>
      <c r="AU281" s="103">
        <f t="shared" si="1519"/>
        <v>0</v>
      </c>
      <c r="AV281" s="103">
        <f t="shared" si="1519"/>
        <v>0</v>
      </c>
      <c r="AW281" s="103">
        <f t="shared" si="1519"/>
        <v>0</v>
      </c>
      <c r="AX281" s="103">
        <f t="shared" si="1519"/>
        <v>0</v>
      </c>
      <c r="AY281" s="103">
        <f t="shared" si="1519"/>
        <v>0</v>
      </c>
      <c r="AZ281" s="103">
        <f t="shared" si="1519"/>
        <v>0</v>
      </c>
      <c r="BA281" s="103">
        <f t="shared" ref="BA281:BC281" si="1524">IFERROR(IF(BA30="",0,BA30),0)</f>
        <v>0</v>
      </c>
      <c r="BB281" s="103">
        <f t="shared" ref="BB281" si="1525">IFERROR(IF(BB30="",0,BB30),0)</f>
        <v>0</v>
      </c>
      <c r="BC281" s="103">
        <f t="shared" si="1524"/>
        <v>0</v>
      </c>
      <c r="BD281" s="103">
        <f t="shared" ref="BD281:BE281" si="1526">IFERROR(IF(BD30="",0,BD30),0)</f>
        <v>0</v>
      </c>
      <c r="BE281" s="103">
        <f t="shared" si="1526"/>
        <v>0</v>
      </c>
      <c r="BF281" s="103">
        <f t="shared" ref="BF281:BG281" si="1527">IFERROR(IF(BF30="",0,BF30),0)</f>
        <v>0</v>
      </c>
      <c r="BG281" s="103">
        <f t="shared" si="1527"/>
        <v>0</v>
      </c>
      <c r="BH281" s="103">
        <f t="shared" ref="BH281" si="1528">IFERROR(IF(BH30="",0,BH30),0)</f>
        <v>0</v>
      </c>
      <c r="BI281" s="103"/>
      <c r="BJ281" s="103"/>
      <c r="BK281" s="103"/>
      <c r="BL281" s="103"/>
      <c r="BM281" s="103"/>
      <c r="BN281" s="103"/>
      <c r="BO281" s="103"/>
      <c r="BP281" s="103"/>
      <c r="BQ281" s="103"/>
      <c r="BR281" s="103"/>
      <c r="BS281" s="103"/>
      <c r="BT281" s="103"/>
      <c r="BU281" s="103"/>
      <c r="BV281" s="103"/>
      <c r="BW281" s="103"/>
      <c r="BX281" s="103"/>
      <c r="BY281" s="103"/>
      <c r="BZ281" s="103"/>
      <c r="CA281" s="103"/>
      <c r="CB281" s="103"/>
      <c r="CC281" s="103"/>
      <c r="CD281" s="103"/>
      <c r="CE281" s="103"/>
      <c r="CF281" s="103"/>
      <c r="CG281" s="103"/>
      <c r="CH281" s="103"/>
      <c r="CI281" s="103"/>
      <c r="CJ281" s="103"/>
      <c r="CK281" s="103"/>
      <c r="CL281" s="103"/>
      <c r="CM281" s="103"/>
      <c r="CN281" s="103"/>
      <c r="CO281" s="103"/>
      <c r="CP281" s="103"/>
      <c r="CQ281" s="103"/>
      <c r="CR281" s="103"/>
      <c r="CS281" s="103"/>
      <c r="CT281" s="103"/>
      <c r="CU281" s="103"/>
      <c r="CV281" s="103"/>
      <c r="CW281" s="103"/>
      <c r="CX281" s="103"/>
      <c r="CY281" s="103"/>
      <c r="CZ281" s="103"/>
      <c r="DA281" s="103"/>
      <c r="DB281" s="103"/>
      <c r="DC281" s="103"/>
    </row>
    <row r="282" spans="1:107" s="113" customFormat="1" collapsed="1" x14ac:dyDescent="0.25">
      <c r="A282" s="112" t="s">
        <v>1071</v>
      </c>
    </row>
    <row r="283" spans="1:107" x14ac:dyDescent="0.25">
      <c r="A283" s="110" t="s">
        <v>119</v>
      </c>
      <c r="B283" s="38">
        <f ca="1">IF(B9=TRUE, 0, IF(ISBLANK(B26), IF(B3 = "Transformative", INDEX(B206:B214, MATCH(B2,$A$206:$A$214, 0), 1)*B280*B25,IF(B3 = "Weapon Proc", B254, B273*(1+B274)*B275*B276*B277*B280*B25)), B26))</f>
        <v>7660.190893787164</v>
      </c>
      <c r="C283" s="38">
        <f t="shared" ref="C283:G283" ca="1" si="1529">IF(C9=TRUE, 0, IF(ISBLANK(C26), IF(C3 = "Transformative", INDEX(C206:C214, MATCH(C2,$A$206:$A$214, 0), 1)*C280*C25,IF(C3 = "Weapon Proc", C254, C273*(1+C274)*C275*C276*C277*C280*C25)), C26))</f>
        <v>7403.2741044139348</v>
      </c>
      <c r="D283" s="38">
        <f t="shared" ca="1" si="1529"/>
        <v>5035.7612749221089</v>
      </c>
      <c r="E283" s="38">
        <f t="shared" ref="E283" si="1530">IF(E9=TRUE, 0, IF(ISBLANK(E26), IF(E3 = "Transformative", INDEX(E206:E214, MATCH(E2,$A$206:$A$214, 0), 1)*E280*E25,IF(E3 = "Weapon Proc", E254, E273*(1+E274)*E275*E276*E277*E280*E25)), E26))</f>
        <v>11329.972580454338</v>
      </c>
      <c r="F283" s="38">
        <f t="shared" ca="1" si="1529"/>
        <v>12348.562430678561</v>
      </c>
      <c r="G283" s="38">
        <f t="shared" ca="1" si="1529"/>
        <v>686.03124614880892</v>
      </c>
      <c r="H283" s="38">
        <f ca="1">IF(H9=TRUE, 0, IF(ISBLANK(H26), IF(H3 = "Transformative", INDEX(H206:H214, MATCH(H2,$A$206:$A$214, 0), 1)*H280*H25,IF(H3 = "Weapon Proc", H254, H273*(1+H274)*H275*H276*H277*H280*H25)), H26))</f>
        <v>8370.9813948104311</v>
      </c>
      <c r="I283" s="38">
        <f t="shared" ref="I283:K283" ca="1" si="1531">IF(I9=TRUE, 0, IF(ISBLANK(I26), IF(I3 = "Transformative", INDEX(I206:I214, MATCH(I2,$A$206:$A$214, 0), 1)*I280*I25,IF(I3 = "Weapon Proc", I254, I273*(1+I274)*I275*I276*I277*I280*I25)), I26))</f>
        <v>2630.8766649403251</v>
      </c>
      <c r="J283" s="38">
        <f t="shared" ca="1" si="1531"/>
        <v>1315.4383324701625</v>
      </c>
      <c r="K283" s="38">
        <f t="shared" ca="1" si="1531"/>
        <v>3430.1562307440445</v>
      </c>
      <c r="L283" s="38">
        <f t="shared" ref="L283" ca="1" si="1532">IF(L9=TRUE, 0, IF(ISBLANK(L26), IF(L3 = "Transformative", INDEX(L206:L214, MATCH(L2,$A$206:$A$214, 0), 1)*L280*L25,IF(L3 = "Weapon Proc", L254, L273*(1+L274)*L275*L276*L277*L280*L25)), L26))</f>
        <v>2064.0592275433733</v>
      </c>
      <c r="M283" s="38">
        <f t="shared" ref="M283" si="1533">IF(M9=TRUE, 0, IF(ISBLANK(M26), IF(M3 = "Transformative", INDEX(M206:M214, MATCH(M2,$A$206:$A$214, 0), 1)*M280*M25,IF(M3 = "Weapon Proc", M254, M273*(1+M274)*M275*M276*M277*M280*M25)), M26))</f>
        <v>72117.738512109354</v>
      </c>
      <c r="N283" s="38">
        <f>IF(N9=TRUE, 0, IF(ISBLANK(N26), IF(N3 = "Transformative", INDEX(N206:N214, MATCH(N2,$A$206:$A$214, 0), 1)*N280*N25,IF(N3 = "Weapon Proc", N254, N273*(1+N274)*N275*N276*N277*N280*N25)), N26))</f>
        <v>11329.972580454338</v>
      </c>
      <c r="O283" s="38">
        <f ca="1">IF(O9=TRUE, 0, IF(ISBLANK(O26), IF(O3 = "Transformative", INDEX(O206:O214, MATCH(O2,$A$206:$A$214, 0), 1)*O280*O25,IF(O3 = "Weapon Proc", O254, O273*(1+O274)*O275*O276*O277*O280*O25)), O26))</f>
        <v>9498.335199679017</v>
      </c>
      <c r="P283" s="38">
        <f ca="1">IF(P9=TRUE, 0, IF(ISBLANK(P26), IF(P3 = "Transformative", INDEX(P206:P214, MATCH(P2,$A$206:$A$214, 0), 1)*P280*P25,IF(P3 = "Weapon Proc", P254, P273*(1+P274)*P275*P276*P277*P280*P25)), P26))</f>
        <v>5411.1123186871255</v>
      </c>
      <c r="Q283" s="38">
        <f ca="1">IF(Q9=TRUE, 0, IF(ISBLANK(Q26), IF(Q3 = "Transformative", INDEX(Q206:Q214, MATCH(Q2,$A$206:$A$214, 0), 1)*Q280*Q25,IF(Q3 = "Weapon Proc", Q254, Q273*(1+Q274)*Q275*Q276*Q277*Q280*Q25)), Q26))</f>
        <v>19513.011198600303</v>
      </c>
      <c r="R283" s="38">
        <f t="shared" ref="R283:AZ283" ca="1" si="1534">IF(R9=TRUE, 0, IF(ISBLANK(R26), IF(R3 = "Transformative", INDEX(R206:R214, MATCH(R2,$A$206:$A$214, 0), 1)*R280*R25,IF(R3 = "Weapon Proc", R254, R273*(1+R274)*R275*R276*R277*R280*R25)), R26))</f>
        <v>5034.4662801111381</v>
      </c>
      <c r="S283" s="38">
        <f t="shared" ca="1" si="1534"/>
        <v>22068.453634577156</v>
      </c>
      <c r="T283" s="38">
        <f t="shared" ca="1" si="1534"/>
        <v>6062.3038503314883</v>
      </c>
      <c r="U283" s="38">
        <f t="shared" ca="1" si="1534"/>
        <v>34927.146805170596</v>
      </c>
      <c r="V283" s="38">
        <f t="shared" ref="V283:W283" ca="1" si="1535">IF(V9=TRUE, 0, IF(ISBLANK(V26), IF(V3 = "Transformative", INDEX(V206:V214, MATCH(V2,$A$206:$A$214, 0), 1)*V280*V25,IF(V3 = "Weapon Proc", V254, V273*(1+V274)*V275*V276*V277*V280*V25)), V26))</f>
        <v>20969.623213359399</v>
      </c>
      <c r="W283" s="38">
        <f t="shared" ca="1" si="1535"/>
        <v>68293.55368025192</v>
      </c>
      <c r="X283" s="38">
        <f t="shared" ref="X283:Y283" ca="1" si="1536">IF(X9=TRUE, 0, IF(ISBLANK(X26), IF(X3 = "Transformative", INDEX(X206:X214, MATCH(X2,$A$206:$A$214, 0), 1)*X280*X25,IF(X3 = "Weapon Proc", X254, X273*(1+X274)*X275*X276*X277*X280*X25)), X26))</f>
        <v>70714.031328851939</v>
      </c>
      <c r="Y283" s="38">
        <f t="shared" ca="1" si="1536"/>
        <v>57252.806123084185</v>
      </c>
      <c r="Z283" s="38">
        <f t="shared" ref="Z283:AA283" ca="1" si="1537">IF(Z9=TRUE, 0, IF(ISBLANK(Z26), IF(Z3 = "Transformative", INDEX(Z206:Z214, MATCH(Z2,$A$206:$A$214, 0), 1)*Z280*Z25,IF(Z3 = "Weapon Proc", Z254, Z273*(1+Z274)*Z275*Z276*Z277*Z280*Z25)), Z26))</f>
        <v>11109.444812592861</v>
      </c>
      <c r="AA283" s="38">
        <f t="shared" ca="1" si="1537"/>
        <v>59695.462270230535</v>
      </c>
      <c r="AB283" s="38">
        <f t="shared" ca="1" si="1534"/>
        <v>31297.53229280694</v>
      </c>
      <c r="AC283" s="38">
        <f t="shared" ca="1" si="1534"/>
        <v>8232.3749537857093</v>
      </c>
      <c r="AD283" s="38">
        <f t="shared" si="1534"/>
        <v>12019.623085351559</v>
      </c>
      <c r="AE283" s="38">
        <f t="shared" ca="1" si="1534"/>
        <v>18471.480336931261</v>
      </c>
      <c r="AF283" s="38">
        <f t="shared" ca="1" si="1534"/>
        <v>19210.403562401381</v>
      </c>
      <c r="AG283" s="38">
        <f t="shared" ref="AG283:AI283" ca="1" si="1538">IF(AG9=TRUE, 0, IF(ISBLANK(AG26), IF(AG3 = "Transformative", INDEX(AG206:AG214, MATCH(AG2,$A$206:$A$214, 0), 1)*AG280*AG25,IF(AG3 = "Weapon Proc", AG254, AG273*(1+AG274)*AG275*AG276*AG277*AG280*AG25)), AG26))</f>
        <v>32657.686056082337</v>
      </c>
      <c r="AH283" s="38">
        <f t="shared" ca="1" si="1538"/>
        <v>13728.985172081113</v>
      </c>
      <c r="AI283" s="38">
        <f t="shared" ca="1" si="1538"/>
        <v>23339.27479253789</v>
      </c>
      <c r="AJ283" s="38">
        <f t="shared" si="1534"/>
        <v>0</v>
      </c>
      <c r="AK283" s="38">
        <f t="shared" si="1534"/>
        <v>0</v>
      </c>
      <c r="AL283" s="38">
        <f t="shared" si="1534"/>
        <v>0</v>
      </c>
      <c r="AM283" s="38">
        <f t="shared" si="1534"/>
        <v>0</v>
      </c>
      <c r="AN283" s="38">
        <f t="shared" si="1534"/>
        <v>0</v>
      </c>
      <c r="AO283" s="38">
        <f t="shared" si="1534"/>
        <v>0</v>
      </c>
      <c r="AP283" s="38">
        <f t="shared" si="1534"/>
        <v>0</v>
      </c>
      <c r="AQ283" s="38">
        <f t="shared" si="1534"/>
        <v>0</v>
      </c>
      <c r="AR283" s="38">
        <f t="shared" si="1534"/>
        <v>0</v>
      </c>
      <c r="AS283" s="38">
        <f t="shared" si="1534"/>
        <v>0</v>
      </c>
      <c r="AT283" s="38">
        <f t="shared" si="1534"/>
        <v>0</v>
      </c>
      <c r="AU283" s="38">
        <f t="shared" si="1534"/>
        <v>0</v>
      </c>
      <c r="AV283" s="38">
        <f t="shared" si="1534"/>
        <v>0</v>
      </c>
      <c r="AW283" s="38">
        <f t="shared" si="1534"/>
        <v>0</v>
      </c>
      <c r="AX283" s="38">
        <f t="shared" si="1534"/>
        <v>0</v>
      </c>
      <c r="AY283" s="38">
        <f t="shared" si="1534"/>
        <v>0</v>
      </c>
      <c r="AZ283" s="38">
        <f t="shared" si="1534"/>
        <v>0</v>
      </c>
      <c r="BA283" s="38">
        <f t="shared" ref="BA283:BC283" si="1539">IF(BA9=TRUE, 0, IF(ISBLANK(BA26), IF(BA3 = "Transformative", INDEX(BA206:BA214, MATCH(BA2,$A$206:$A$214, 0), 1)*BA280*BA25,IF(BA3 = "Weapon Proc", BA254, BA273*(1+BA274)*BA275*BA276*BA277*BA280*BA25)), BA26))</f>
        <v>0</v>
      </c>
      <c r="BB283" s="38">
        <f t="shared" ref="BB283" si="1540">IF(BB9=TRUE, 0, IF(ISBLANK(BB26), IF(BB3 = "Transformative", INDEX(BB206:BB214, MATCH(BB2,$A$206:$A$214, 0), 1)*BB280*BB25,IF(BB3 = "Weapon Proc", BB254, BB273*(1+BB274)*BB275*BB276*BB277*BB280*BB25)), BB26))</f>
        <v>0</v>
      </c>
      <c r="BC283" s="38">
        <f t="shared" si="1539"/>
        <v>0</v>
      </c>
      <c r="BD283" s="38">
        <f t="shared" ref="BD283:BE283" si="1541">IF(BD9=TRUE, 0, IF(ISBLANK(BD26), IF(BD3 = "Transformative", INDEX(BD206:BD214, MATCH(BD2,$A$206:$A$214, 0), 1)*BD280*BD25,IF(BD3 = "Weapon Proc", BD254, BD273*(1+BD274)*BD275*BD276*BD277*BD280*BD25)), BD26))</f>
        <v>0</v>
      </c>
      <c r="BE283" s="38">
        <f t="shared" si="1541"/>
        <v>0</v>
      </c>
      <c r="BF283" s="38">
        <f t="shared" ref="BF283:BG283" si="1542">IF(BF9=TRUE, 0, IF(ISBLANK(BF26), IF(BF3 = "Transformative", INDEX(BF206:BF214, MATCH(BF2,$A$206:$A$214, 0), 1)*BF280*BF25,IF(BF3 = "Weapon Proc", BF254, BF273*(1+BF274)*BF275*BF276*BF277*BF280*BF25)), BF26))</f>
        <v>0</v>
      </c>
      <c r="BG283" s="38">
        <f t="shared" si="1542"/>
        <v>0</v>
      </c>
      <c r="BH283" s="38">
        <f t="shared" ref="BH283" si="1543">IF(BH9=TRUE, 0, IF(ISBLANK(BH26), IF(BH3 = "Transformative", INDEX(BH206:BH214, MATCH(BH2,$A$206:$A$214, 0), 1)*BH280*BH25,IF(BH3 = "Weapon Proc", BH254, BH273*(1+BH274)*BH275*BH276*BH277*BH280*BH25)), BH26))</f>
        <v>0</v>
      </c>
      <c r="BI283" s="38"/>
      <c r="BJ283" s="38"/>
      <c r="BK283" s="38"/>
      <c r="BL283" s="38"/>
      <c r="BM283" s="38"/>
      <c r="BN283" s="38"/>
      <c r="BO283" s="38"/>
      <c r="BP283" s="38"/>
      <c r="BQ283" s="38"/>
      <c r="BR283" s="38"/>
      <c r="BS283" s="38"/>
      <c r="BT283" s="38"/>
      <c r="BU283" s="38"/>
      <c r="BV283" s="38"/>
      <c r="BW283" s="38"/>
      <c r="BX283" s="38"/>
      <c r="BY283" s="38"/>
      <c r="BZ283" s="38"/>
      <c r="CA283" s="38"/>
      <c r="CB283" s="38"/>
      <c r="CC283" s="38"/>
      <c r="CD283" s="38"/>
      <c r="CE283" s="38"/>
      <c r="CF283" s="38"/>
      <c r="CG283" s="38"/>
      <c r="CH283" s="38"/>
      <c r="CI283" s="38"/>
    </row>
    <row r="284" spans="1:107" x14ac:dyDescent="0.25">
      <c r="A284" s="110" t="s">
        <v>947</v>
      </c>
      <c r="B284" s="38">
        <f>B262</f>
        <v>0</v>
      </c>
      <c r="C284" s="38">
        <f t="shared" ref="C284:G284" si="1544">C262</f>
        <v>0</v>
      </c>
      <c r="D284" s="38">
        <f t="shared" si="1544"/>
        <v>0</v>
      </c>
      <c r="E284" s="38">
        <f t="shared" ref="E284" si="1545">E262</f>
        <v>0</v>
      </c>
      <c r="F284" s="38">
        <f t="shared" si="1544"/>
        <v>0</v>
      </c>
      <c r="G284" s="38">
        <f t="shared" si="1544"/>
        <v>0</v>
      </c>
      <c r="H284" s="38">
        <f>H262</f>
        <v>0</v>
      </c>
      <c r="I284" s="38">
        <f t="shared" ref="I284:K284" si="1546">I262</f>
        <v>0</v>
      </c>
      <c r="J284" s="38">
        <f t="shared" si="1546"/>
        <v>0</v>
      </c>
      <c r="K284" s="38">
        <f t="shared" si="1546"/>
        <v>0</v>
      </c>
      <c r="L284" s="38">
        <f t="shared" ref="L284" si="1547">L262</f>
        <v>0</v>
      </c>
      <c r="M284" s="38">
        <f t="shared" ref="M284" si="1548">M262</f>
        <v>0</v>
      </c>
      <c r="N284" s="38">
        <f>N262</f>
        <v>0</v>
      </c>
      <c r="O284" s="38">
        <f>O262</f>
        <v>0</v>
      </c>
      <c r="P284" s="38">
        <f>P262</f>
        <v>0</v>
      </c>
      <c r="Q284" s="38">
        <f>Q262</f>
        <v>0</v>
      </c>
      <c r="R284" s="38">
        <f t="shared" ref="R284:AZ284" si="1549">R262</f>
        <v>0</v>
      </c>
      <c r="S284" s="38">
        <f t="shared" si="1549"/>
        <v>0</v>
      </c>
      <c r="T284" s="38">
        <f t="shared" si="1549"/>
        <v>0</v>
      </c>
      <c r="U284" s="38">
        <f t="shared" si="1549"/>
        <v>0</v>
      </c>
      <c r="V284" s="38">
        <f t="shared" ref="V284:W284" si="1550">V262</f>
        <v>0</v>
      </c>
      <c r="W284" s="38">
        <f t="shared" si="1550"/>
        <v>0</v>
      </c>
      <c r="X284" s="38">
        <f t="shared" ref="X284:Y284" si="1551">X262</f>
        <v>0</v>
      </c>
      <c r="Y284" s="38">
        <f t="shared" si="1551"/>
        <v>0</v>
      </c>
      <c r="Z284" s="38">
        <f t="shared" ref="Z284:AA284" si="1552">Z262</f>
        <v>0</v>
      </c>
      <c r="AA284" s="38">
        <f t="shared" si="1552"/>
        <v>0</v>
      </c>
      <c r="AB284" s="38">
        <f t="shared" si="1549"/>
        <v>0</v>
      </c>
      <c r="AC284" s="38">
        <f t="shared" si="1549"/>
        <v>0</v>
      </c>
      <c r="AD284" s="38">
        <f t="shared" si="1549"/>
        <v>0</v>
      </c>
      <c r="AE284" s="38">
        <f t="shared" si="1549"/>
        <v>0</v>
      </c>
      <c r="AF284" s="38">
        <f t="shared" si="1549"/>
        <v>0</v>
      </c>
      <c r="AG284" s="38">
        <f t="shared" ref="AG284:AI284" si="1553">AG262</f>
        <v>0</v>
      </c>
      <c r="AH284" s="38">
        <f t="shared" si="1553"/>
        <v>0</v>
      </c>
      <c r="AI284" s="38">
        <f t="shared" si="1553"/>
        <v>0</v>
      </c>
      <c r="AJ284" s="38">
        <f t="shared" si="1549"/>
        <v>0</v>
      </c>
      <c r="AK284" s="38">
        <f t="shared" si="1549"/>
        <v>0</v>
      </c>
      <c r="AL284" s="38">
        <f t="shared" si="1549"/>
        <v>0</v>
      </c>
      <c r="AM284" s="38">
        <f t="shared" si="1549"/>
        <v>0</v>
      </c>
      <c r="AN284" s="38">
        <f t="shared" si="1549"/>
        <v>0</v>
      </c>
      <c r="AO284" s="38">
        <f t="shared" si="1549"/>
        <v>0</v>
      </c>
      <c r="AP284" s="38">
        <f t="shared" si="1549"/>
        <v>0</v>
      </c>
      <c r="AQ284" s="38">
        <f t="shared" si="1549"/>
        <v>0</v>
      </c>
      <c r="AR284" s="38">
        <f t="shared" si="1549"/>
        <v>0</v>
      </c>
      <c r="AS284" s="38">
        <f t="shared" si="1549"/>
        <v>0</v>
      </c>
      <c r="AT284" s="38">
        <f t="shared" si="1549"/>
        <v>0</v>
      </c>
      <c r="AU284" s="38">
        <f t="shared" si="1549"/>
        <v>0</v>
      </c>
      <c r="AV284" s="38">
        <f t="shared" si="1549"/>
        <v>0</v>
      </c>
      <c r="AW284" s="38">
        <f t="shared" si="1549"/>
        <v>0</v>
      </c>
      <c r="AX284" s="38">
        <f t="shared" si="1549"/>
        <v>0</v>
      </c>
      <c r="AY284" s="38">
        <f t="shared" si="1549"/>
        <v>0</v>
      </c>
      <c r="AZ284" s="38">
        <f t="shared" si="1549"/>
        <v>0</v>
      </c>
      <c r="BA284" s="38">
        <f t="shared" ref="BA284:BC284" si="1554">BA262</f>
        <v>0</v>
      </c>
      <c r="BB284" s="38">
        <f t="shared" ref="BB284" si="1555">BB262</f>
        <v>0</v>
      </c>
      <c r="BC284" s="38">
        <f t="shared" si="1554"/>
        <v>0</v>
      </c>
      <c r="BD284" s="38">
        <f t="shared" ref="BD284:BE284" si="1556">BD262</f>
        <v>0</v>
      </c>
      <c r="BE284" s="38">
        <f t="shared" si="1556"/>
        <v>0</v>
      </c>
      <c r="BF284" s="38">
        <f t="shared" ref="BF284:BG284" si="1557">BF262</f>
        <v>0</v>
      </c>
      <c r="BG284" s="38">
        <f t="shared" si="1557"/>
        <v>0</v>
      </c>
      <c r="BH284" s="38">
        <f t="shared" ref="BH284" si="1558">BH262</f>
        <v>0</v>
      </c>
      <c r="BI284" s="38"/>
      <c r="BJ284" s="38"/>
      <c r="BK284" s="38"/>
      <c r="BL284" s="38"/>
      <c r="BM284" s="38"/>
      <c r="BN284" s="38"/>
      <c r="BO284" s="38"/>
      <c r="BP284" s="38"/>
      <c r="BQ284" s="38"/>
      <c r="BR284" s="38"/>
      <c r="BS284" s="38"/>
      <c r="BT284" s="38"/>
      <c r="BU284" s="38"/>
      <c r="BV284" s="38"/>
      <c r="BW284" s="38"/>
      <c r="BX284" s="38"/>
      <c r="BY284" s="38"/>
      <c r="BZ284" s="38"/>
      <c r="CA284" s="38"/>
      <c r="CB284" s="38"/>
      <c r="CC284" s="38"/>
      <c r="CD284" s="38"/>
      <c r="CE284" s="38"/>
      <c r="CF284" s="38"/>
      <c r="CG284" s="38"/>
      <c r="CH284" s="38"/>
      <c r="CI284" s="38"/>
    </row>
    <row r="285" spans="1:107" x14ac:dyDescent="0.25">
      <c r="A285" s="110"/>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c r="BP285" s="38"/>
      <c r="BQ285" s="38"/>
      <c r="BR285" s="38"/>
      <c r="BS285" s="38"/>
      <c r="BT285" s="38"/>
      <c r="BU285" s="38"/>
      <c r="BV285" s="38"/>
      <c r="BW285" s="38"/>
      <c r="BX285" s="38"/>
      <c r="BY285" s="38"/>
      <c r="BZ285" s="38"/>
      <c r="CA285" s="38"/>
      <c r="CB285" s="38"/>
      <c r="CC285" s="38"/>
      <c r="CD285" s="38"/>
      <c r="CE285" s="38"/>
      <c r="CF285" s="38"/>
      <c r="CG285" s="38"/>
      <c r="CH285" s="38"/>
      <c r="CI285" s="38"/>
    </row>
    <row r="286" spans="1:107" x14ac:dyDescent="0.25">
      <c r="A286" s="110"/>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c r="BP286" s="38"/>
      <c r="BQ286" s="38"/>
      <c r="BR286" s="38"/>
      <c r="BS286" s="38"/>
      <c r="BT286" s="38"/>
      <c r="BU286" s="38"/>
      <c r="BV286" s="38"/>
      <c r="BW286" s="38"/>
      <c r="BX286" s="38"/>
      <c r="BY286" s="38"/>
      <c r="BZ286" s="38"/>
      <c r="CA286" s="38"/>
      <c r="CB286" s="38"/>
      <c r="CC286" s="38"/>
      <c r="CD286" s="38"/>
      <c r="CE286" s="38"/>
      <c r="CF286" s="38"/>
      <c r="CG286" s="38"/>
      <c r="CH286" s="38"/>
      <c r="CI286" s="38"/>
    </row>
    <row r="287" spans="1:107" s="113" customFormat="1" x14ac:dyDescent="0.25">
      <c r="A287" s="112" t="s">
        <v>952</v>
      </c>
      <c r="B287" s="210"/>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D287" s="210"/>
      <c r="AE287" s="210"/>
      <c r="AF287" s="210"/>
      <c r="AG287" s="210"/>
      <c r="AH287" s="210"/>
      <c r="AI287" s="210"/>
      <c r="AJ287" s="210"/>
      <c r="AK287" s="210"/>
      <c r="AL287" s="210"/>
      <c r="AM287" s="210"/>
      <c r="AN287" s="210"/>
      <c r="AO287" s="210"/>
      <c r="AP287" s="210"/>
      <c r="AQ287" s="210"/>
      <c r="AR287" s="210"/>
      <c r="AS287" s="210"/>
      <c r="AT287" s="210"/>
      <c r="AU287" s="210"/>
      <c r="AV287" s="210"/>
      <c r="AW287" s="210"/>
      <c r="AX287" s="210"/>
      <c r="AY287" s="210"/>
      <c r="AZ287" s="210"/>
      <c r="BA287" s="210"/>
      <c r="BB287" s="210"/>
      <c r="BC287" s="210"/>
      <c r="BD287" s="210"/>
      <c r="BE287" s="210"/>
      <c r="BF287" s="210"/>
      <c r="BG287" s="210"/>
      <c r="BH287" s="210"/>
      <c r="BI287" s="210"/>
      <c r="BJ287" s="210"/>
      <c r="BK287" s="210"/>
      <c r="BL287" s="210"/>
      <c r="BM287" s="210"/>
      <c r="BN287" s="210"/>
      <c r="BO287" s="210"/>
      <c r="BP287" s="210"/>
      <c r="BQ287" s="210"/>
      <c r="BR287" s="210"/>
      <c r="BS287" s="210"/>
      <c r="BT287" s="210"/>
      <c r="BU287" s="210"/>
      <c r="BV287" s="210"/>
      <c r="BW287" s="210"/>
      <c r="BX287" s="210"/>
      <c r="BY287" s="210"/>
      <c r="BZ287" s="210"/>
      <c r="CA287" s="210"/>
      <c r="CB287" s="210"/>
      <c r="CC287" s="210"/>
      <c r="CD287" s="210"/>
      <c r="CE287" s="210"/>
      <c r="CF287" s="210"/>
      <c r="CG287" s="210"/>
      <c r="CH287" s="210"/>
      <c r="CI287" s="210"/>
    </row>
    <row r="288" spans="1:107" hidden="1" outlineLevel="1" x14ac:dyDescent="0.25">
      <c r="A288" s="110" t="s">
        <v>954</v>
      </c>
      <c r="B288" s="38">
        <f t="shared" ref="B288:K288" si="1559">B198</f>
        <v>0.1</v>
      </c>
      <c r="C288" s="38">
        <f t="shared" si="1559"/>
        <v>0.1</v>
      </c>
      <c r="D288" s="38">
        <f t="shared" si="1559"/>
        <v>0.1</v>
      </c>
      <c r="E288" s="38">
        <f t="shared" ref="E288" si="1560">E198</f>
        <v>0.1</v>
      </c>
      <c r="F288" s="38">
        <f t="shared" si="1559"/>
        <v>0.1</v>
      </c>
      <c r="G288" s="38">
        <f t="shared" si="1559"/>
        <v>0.1</v>
      </c>
      <c r="H288" s="38">
        <f>H198</f>
        <v>0.1</v>
      </c>
      <c r="I288" s="38">
        <f t="shared" si="1559"/>
        <v>0.1</v>
      </c>
      <c r="J288" s="38">
        <f t="shared" si="1559"/>
        <v>0.1</v>
      </c>
      <c r="K288" s="38">
        <f t="shared" si="1559"/>
        <v>0.1</v>
      </c>
      <c r="L288" s="38">
        <f t="shared" ref="L288" si="1561">L198</f>
        <v>0.1</v>
      </c>
      <c r="M288" s="38">
        <f t="shared" ref="M288" si="1562">M198</f>
        <v>0.1</v>
      </c>
      <c r="N288" s="38">
        <f>N198</f>
        <v>0.1</v>
      </c>
      <c r="O288" s="38">
        <f>O198</f>
        <v>0.1</v>
      </c>
      <c r="P288" s="38">
        <f>P198</f>
        <v>0.1</v>
      </c>
      <c r="Q288" s="38">
        <f>Q198</f>
        <v>0.1</v>
      </c>
      <c r="R288" s="38">
        <f t="shared" ref="R288:AZ288" si="1563">R198</f>
        <v>0.1</v>
      </c>
      <c r="S288" s="38">
        <f t="shared" si="1563"/>
        <v>0.1</v>
      </c>
      <c r="T288" s="38">
        <f t="shared" si="1563"/>
        <v>0.1</v>
      </c>
      <c r="U288" s="38">
        <f t="shared" si="1563"/>
        <v>0.1</v>
      </c>
      <c r="V288" s="38">
        <f t="shared" ref="V288:W288" si="1564">V198</f>
        <v>0.1</v>
      </c>
      <c r="W288" s="38">
        <f t="shared" si="1564"/>
        <v>0.1</v>
      </c>
      <c r="X288" s="38">
        <f t="shared" ref="X288:Y288" si="1565">X198</f>
        <v>0.1</v>
      </c>
      <c r="Y288" s="38">
        <f t="shared" si="1565"/>
        <v>0.1</v>
      </c>
      <c r="Z288" s="38">
        <f t="shared" ref="Z288:AA288" si="1566">Z198</f>
        <v>0.1</v>
      </c>
      <c r="AA288" s="38">
        <f t="shared" si="1566"/>
        <v>0.1</v>
      </c>
      <c r="AB288" s="38">
        <f t="shared" si="1563"/>
        <v>0.1</v>
      </c>
      <c r="AC288" s="38">
        <f t="shared" si="1563"/>
        <v>0.1</v>
      </c>
      <c r="AD288" s="38">
        <f t="shared" si="1563"/>
        <v>0.1</v>
      </c>
      <c r="AE288" s="38">
        <f t="shared" si="1563"/>
        <v>0.1</v>
      </c>
      <c r="AF288" s="38">
        <f t="shared" si="1563"/>
        <v>0.1</v>
      </c>
      <c r="AG288" s="38">
        <f t="shared" ref="AG288:AI288" si="1567">AG198</f>
        <v>0.1</v>
      </c>
      <c r="AH288" s="38">
        <f t="shared" si="1567"/>
        <v>0.1</v>
      </c>
      <c r="AI288" s="38">
        <f t="shared" si="1567"/>
        <v>0.1</v>
      </c>
      <c r="AJ288" s="38">
        <f t="shared" si="1563"/>
        <v>0.1</v>
      </c>
      <c r="AK288" s="38">
        <f t="shared" si="1563"/>
        <v>0.1</v>
      </c>
      <c r="AL288" s="38">
        <f t="shared" si="1563"/>
        <v>0.1</v>
      </c>
      <c r="AM288" s="38">
        <f t="shared" si="1563"/>
        <v>0.1</v>
      </c>
      <c r="AN288" s="38">
        <f t="shared" si="1563"/>
        <v>0.1</v>
      </c>
      <c r="AO288" s="38">
        <f t="shared" si="1563"/>
        <v>0.1</v>
      </c>
      <c r="AP288" s="38">
        <f t="shared" si="1563"/>
        <v>0.1</v>
      </c>
      <c r="AQ288" s="38">
        <f t="shared" si="1563"/>
        <v>0.1</v>
      </c>
      <c r="AR288" s="38">
        <f t="shared" si="1563"/>
        <v>0.1</v>
      </c>
      <c r="AS288" s="38">
        <f t="shared" si="1563"/>
        <v>0.1</v>
      </c>
      <c r="AT288" s="38">
        <f t="shared" si="1563"/>
        <v>0.1</v>
      </c>
      <c r="AU288" s="38">
        <f t="shared" si="1563"/>
        <v>0.1</v>
      </c>
      <c r="AV288" s="38">
        <f t="shared" si="1563"/>
        <v>0.1</v>
      </c>
      <c r="AW288" s="38">
        <f t="shared" si="1563"/>
        <v>0.1</v>
      </c>
      <c r="AX288" s="38">
        <f t="shared" si="1563"/>
        <v>0.1</v>
      </c>
      <c r="AY288" s="38">
        <f t="shared" si="1563"/>
        <v>0.1</v>
      </c>
      <c r="AZ288" s="38">
        <f t="shared" si="1563"/>
        <v>0.1</v>
      </c>
      <c r="BA288" s="38">
        <f t="shared" ref="BA288:CI288" si="1568">BA198</f>
        <v>0.1</v>
      </c>
      <c r="BB288" s="38">
        <f t="shared" si="1568"/>
        <v>0.1</v>
      </c>
      <c r="BC288" s="38">
        <f t="shared" si="1568"/>
        <v>0.1</v>
      </c>
      <c r="BD288" s="38">
        <f t="shared" si="1568"/>
        <v>0.1</v>
      </c>
      <c r="BE288" s="38">
        <f t="shared" si="1568"/>
        <v>0.1</v>
      </c>
      <c r="BF288" s="38">
        <f t="shared" si="1568"/>
        <v>0.1</v>
      </c>
      <c r="BG288" s="38">
        <f t="shared" si="1568"/>
        <v>0.1</v>
      </c>
      <c r="BH288" s="38">
        <f t="shared" si="1568"/>
        <v>0.1</v>
      </c>
      <c r="BI288" s="38">
        <f t="shared" si="1568"/>
        <v>0</v>
      </c>
      <c r="BJ288" s="38">
        <f t="shared" si="1568"/>
        <v>0</v>
      </c>
      <c r="BK288" s="38">
        <f t="shared" si="1568"/>
        <v>0</v>
      </c>
      <c r="BL288" s="38">
        <f t="shared" si="1568"/>
        <v>0</v>
      </c>
      <c r="BM288" s="38">
        <f t="shared" si="1568"/>
        <v>0</v>
      </c>
      <c r="BN288" s="38">
        <f t="shared" si="1568"/>
        <v>0</v>
      </c>
      <c r="BO288" s="38">
        <f t="shared" si="1568"/>
        <v>0</v>
      </c>
      <c r="BP288" s="38">
        <f t="shared" si="1568"/>
        <v>0</v>
      </c>
      <c r="BQ288" s="38">
        <f t="shared" si="1568"/>
        <v>0</v>
      </c>
      <c r="BR288" s="38">
        <f t="shared" si="1568"/>
        <v>0</v>
      </c>
      <c r="BS288" s="38">
        <f t="shared" si="1568"/>
        <v>0</v>
      </c>
      <c r="BT288" s="38">
        <f t="shared" si="1568"/>
        <v>0</v>
      </c>
      <c r="BU288" s="38">
        <f t="shared" si="1568"/>
        <v>0</v>
      </c>
      <c r="BV288" s="38">
        <f t="shared" si="1568"/>
        <v>0</v>
      </c>
      <c r="BW288" s="38">
        <f t="shared" si="1568"/>
        <v>0</v>
      </c>
      <c r="BX288" s="38">
        <f t="shared" si="1568"/>
        <v>0</v>
      </c>
      <c r="BY288" s="38">
        <f t="shared" si="1568"/>
        <v>0</v>
      </c>
      <c r="BZ288" s="38">
        <f t="shared" si="1568"/>
        <v>0</v>
      </c>
      <c r="CA288" s="38">
        <f t="shared" si="1568"/>
        <v>0</v>
      </c>
      <c r="CB288" s="38">
        <f t="shared" si="1568"/>
        <v>0</v>
      </c>
      <c r="CC288" s="38">
        <f t="shared" si="1568"/>
        <v>0</v>
      </c>
      <c r="CD288" s="38">
        <f t="shared" si="1568"/>
        <v>0</v>
      </c>
      <c r="CE288" s="38">
        <f t="shared" si="1568"/>
        <v>0</v>
      </c>
      <c r="CF288" s="38">
        <f t="shared" si="1568"/>
        <v>0</v>
      </c>
      <c r="CG288" s="38">
        <f t="shared" si="1568"/>
        <v>0</v>
      </c>
      <c r="CH288" s="38">
        <f t="shared" si="1568"/>
        <v>0</v>
      </c>
      <c r="CI288" s="38">
        <f t="shared" si="1568"/>
        <v>0</v>
      </c>
    </row>
    <row r="289" spans="1:87" hidden="1" outlineLevel="1" x14ac:dyDescent="0.25">
      <c r="A289" s="110" t="s">
        <v>956</v>
      </c>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c r="BN289" s="38"/>
      <c r="BO289" s="38"/>
      <c r="BP289" s="38"/>
      <c r="BQ289" s="38"/>
      <c r="BR289" s="38"/>
      <c r="BS289" s="38"/>
      <c r="BT289" s="38"/>
      <c r="BU289" s="38"/>
      <c r="BV289" s="38"/>
      <c r="BW289" s="38"/>
      <c r="BX289" s="38"/>
      <c r="BY289" s="38"/>
      <c r="BZ289" s="38"/>
      <c r="CA289" s="38"/>
      <c r="CB289" s="38"/>
      <c r="CC289" s="38"/>
      <c r="CD289" s="38"/>
      <c r="CE289" s="38"/>
      <c r="CF289" s="38"/>
      <c r="CG289" s="38"/>
      <c r="CH289" s="38"/>
      <c r="CI289" s="38"/>
    </row>
    <row r="290" spans="1:87" hidden="1" outlineLevel="1" x14ac:dyDescent="0.25">
      <c r="A290" s="110" t="s">
        <v>955</v>
      </c>
      <c r="B290" s="38">
        <f t="shared" ref="B290:G290" si="1569">B288*B289</f>
        <v>0</v>
      </c>
      <c r="C290" s="38">
        <f t="shared" si="1569"/>
        <v>0</v>
      </c>
      <c r="D290" s="38">
        <f t="shared" si="1569"/>
        <v>0</v>
      </c>
      <c r="E290" s="38">
        <f t="shared" ref="E290" si="1570">E288*E289</f>
        <v>0</v>
      </c>
      <c r="F290" s="38">
        <f t="shared" si="1569"/>
        <v>0</v>
      </c>
      <c r="G290" s="38">
        <f t="shared" si="1569"/>
        <v>0</v>
      </c>
      <c r="H290" s="38">
        <f>H288*H289</f>
        <v>0</v>
      </c>
      <c r="I290" s="38">
        <f t="shared" ref="I290:K290" si="1571">I288*I289</f>
        <v>0</v>
      </c>
      <c r="J290" s="38">
        <f t="shared" si="1571"/>
        <v>0</v>
      </c>
      <c r="K290" s="38">
        <f t="shared" si="1571"/>
        <v>0</v>
      </c>
      <c r="L290" s="38">
        <f t="shared" ref="L290" si="1572">L288*L289</f>
        <v>0</v>
      </c>
      <c r="M290" s="38">
        <f t="shared" ref="M290" si="1573">M288*M289</f>
        <v>0</v>
      </c>
      <c r="N290" s="38">
        <f>N288*N289</f>
        <v>0</v>
      </c>
      <c r="O290" s="38">
        <f>O288*O289</f>
        <v>0</v>
      </c>
      <c r="P290" s="38">
        <f>P288*P289</f>
        <v>0</v>
      </c>
      <c r="Q290" s="38">
        <f>Q288*Q289</f>
        <v>0</v>
      </c>
      <c r="R290" s="38">
        <f t="shared" ref="R290:AZ290" si="1574">R288*R289</f>
        <v>0</v>
      </c>
      <c r="S290" s="38">
        <f t="shared" si="1574"/>
        <v>0</v>
      </c>
      <c r="T290" s="38">
        <f t="shared" si="1574"/>
        <v>0</v>
      </c>
      <c r="U290" s="38">
        <f t="shared" si="1574"/>
        <v>0</v>
      </c>
      <c r="V290" s="38">
        <f t="shared" ref="V290:W290" si="1575">V288*V289</f>
        <v>0</v>
      </c>
      <c r="W290" s="38">
        <f t="shared" si="1575"/>
        <v>0</v>
      </c>
      <c r="X290" s="38">
        <f t="shared" ref="X290:Y290" si="1576">X288*X289</f>
        <v>0</v>
      </c>
      <c r="Y290" s="38">
        <f t="shared" si="1576"/>
        <v>0</v>
      </c>
      <c r="Z290" s="38">
        <f t="shared" ref="Z290:AA290" si="1577">Z288*Z289</f>
        <v>0</v>
      </c>
      <c r="AA290" s="38">
        <f t="shared" si="1577"/>
        <v>0</v>
      </c>
      <c r="AB290" s="38">
        <f t="shared" si="1574"/>
        <v>0</v>
      </c>
      <c r="AC290" s="38">
        <f t="shared" si="1574"/>
        <v>0</v>
      </c>
      <c r="AD290" s="38">
        <f t="shared" si="1574"/>
        <v>0</v>
      </c>
      <c r="AE290" s="38">
        <f t="shared" si="1574"/>
        <v>0</v>
      </c>
      <c r="AF290" s="38">
        <f t="shared" si="1574"/>
        <v>0</v>
      </c>
      <c r="AG290" s="38">
        <f t="shared" ref="AG290:AI290" si="1578">AG288*AG289</f>
        <v>0</v>
      </c>
      <c r="AH290" s="38">
        <f t="shared" si="1578"/>
        <v>0</v>
      </c>
      <c r="AI290" s="38">
        <f t="shared" si="1578"/>
        <v>0</v>
      </c>
      <c r="AJ290" s="38">
        <f t="shared" si="1574"/>
        <v>0</v>
      </c>
      <c r="AK290" s="38">
        <f t="shared" si="1574"/>
        <v>0</v>
      </c>
      <c r="AL290" s="38">
        <f t="shared" si="1574"/>
        <v>0</v>
      </c>
      <c r="AM290" s="38">
        <f t="shared" si="1574"/>
        <v>0</v>
      </c>
      <c r="AN290" s="38">
        <f t="shared" si="1574"/>
        <v>0</v>
      </c>
      <c r="AO290" s="38">
        <f t="shared" si="1574"/>
        <v>0</v>
      </c>
      <c r="AP290" s="38">
        <f t="shared" si="1574"/>
        <v>0</v>
      </c>
      <c r="AQ290" s="38">
        <f t="shared" si="1574"/>
        <v>0</v>
      </c>
      <c r="AR290" s="38">
        <f t="shared" si="1574"/>
        <v>0</v>
      </c>
      <c r="AS290" s="38">
        <f t="shared" si="1574"/>
        <v>0</v>
      </c>
      <c r="AT290" s="38">
        <f t="shared" si="1574"/>
        <v>0</v>
      </c>
      <c r="AU290" s="38">
        <f t="shared" si="1574"/>
        <v>0</v>
      </c>
      <c r="AV290" s="38">
        <f t="shared" si="1574"/>
        <v>0</v>
      </c>
      <c r="AW290" s="38">
        <f t="shared" si="1574"/>
        <v>0</v>
      </c>
      <c r="AX290" s="38">
        <f t="shared" si="1574"/>
        <v>0</v>
      </c>
      <c r="AY290" s="38">
        <f t="shared" si="1574"/>
        <v>0</v>
      </c>
      <c r="AZ290" s="38">
        <f t="shared" si="1574"/>
        <v>0</v>
      </c>
      <c r="BA290" s="38">
        <f t="shared" ref="BA290:BC290" si="1579">BA288*BA289</f>
        <v>0</v>
      </c>
      <c r="BB290" s="38">
        <f t="shared" ref="BB290" si="1580">BB288*BB289</f>
        <v>0</v>
      </c>
      <c r="BC290" s="38">
        <f t="shared" si="1579"/>
        <v>0</v>
      </c>
      <c r="BD290" s="38">
        <f t="shared" ref="BD290:BE290" si="1581">BD288*BD289</f>
        <v>0</v>
      </c>
      <c r="BE290" s="38">
        <f t="shared" si="1581"/>
        <v>0</v>
      </c>
      <c r="BF290" s="38">
        <f t="shared" ref="BF290:BG290" si="1582">BF288*BF289</f>
        <v>0</v>
      </c>
      <c r="BG290" s="38">
        <f t="shared" si="1582"/>
        <v>0</v>
      </c>
      <c r="BH290" s="38">
        <f t="shared" ref="BH290" si="1583">BH288*BH289</f>
        <v>0</v>
      </c>
      <c r="BI290" s="38">
        <f t="shared" ref="BI290:BN290" si="1584">BI288*BI289</f>
        <v>0</v>
      </c>
      <c r="BJ290" s="38">
        <f t="shared" si="1584"/>
        <v>0</v>
      </c>
      <c r="BK290" s="38">
        <f t="shared" si="1584"/>
        <v>0</v>
      </c>
      <c r="BL290" s="38">
        <f t="shared" si="1584"/>
        <v>0</v>
      </c>
      <c r="BM290" s="38">
        <f t="shared" si="1584"/>
        <v>0</v>
      </c>
      <c r="BN290" s="38">
        <f t="shared" si="1584"/>
        <v>0</v>
      </c>
      <c r="BO290" s="38">
        <f t="shared" ref="BO290" si="1585">BO288*BO289</f>
        <v>0</v>
      </c>
      <c r="BP290" s="38">
        <f t="shared" ref="BP290:CI290" si="1586">BP288*BP289</f>
        <v>0</v>
      </c>
      <c r="BQ290" s="38">
        <f t="shared" si="1586"/>
        <v>0</v>
      </c>
      <c r="BR290" s="38">
        <f>BR288*BR289</f>
        <v>0</v>
      </c>
      <c r="BS290" s="38">
        <f t="shared" si="1586"/>
        <v>0</v>
      </c>
      <c r="BT290" s="38">
        <f t="shared" si="1586"/>
        <v>0</v>
      </c>
      <c r="BU290" s="38">
        <f t="shared" si="1586"/>
        <v>0</v>
      </c>
      <c r="BV290" s="38">
        <f t="shared" si="1586"/>
        <v>0</v>
      </c>
      <c r="BW290" s="38">
        <f t="shared" si="1586"/>
        <v>0</v>
      </c>
      <c r="BX290" s="38">
        <f t="shared" si="1586"/>
        <v>0</v>
      </c>
      <c r="BY290" s="38">
        <f t="shared" si="1586"/>
        <v>0</v>
      </c>
      <c r="BZ290" s="38">
        <f t="shared" si="1586"/>
        <v>0</v>
      </c>
      <c r="CA290" s="38">
        <f t="shared" si="1586"/>
        <v>0</v>
      </c>
      <c r="CB290" s="38">
        <f t="shared" si="1586"/>
        <v>0</v>
      </c>
      <c r="CC290" s="38">
        <f t="shared" si="1586"/>
        <v>0</v>
      </c>
      <c r="CD290" s="38">
        <f t="shared" si="1586"/>
        <v>0</v>
      </c>
      <c r="CE290" s="38">
        <f t="shared" si="1586"/>
        <v>0</v>
      </c>
      <c r="CF290" s="38">
        <f t="shared" si="1586"/>
        <v>0</v>
      </c>
      <c r="CG290" s="38">
        <f t="shared" si="1586"/>
        <v>0</v>
      </c>
      <c r="CH290" s="38">
        <f t="shared" si="1586"/>
        <v>0</v>
      </c>
      <c r="CI290" s="38">
        <f t="shared" si="1586"/>
        <v>0</v>
      </c>
    </row>
    <row r="291" spans="1:87" hidden="1" outlineLevel="1" x14ac:dyDescent="0.25">
      <c r="A291" s="110" t="s">
        <v>953</v>
      </c>
      <c r="B291" s="38">
        <f>SUM(290:290)</f>
        <v>0</v>
      </c>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c r="BP291" s="38"/>
      <c r="BQ291" s="38"/>
      <c r="BR291" s="38"/>
      <c r="BS291" s="38"/>
      <c r="BT291" s="38"/>
      <c r="BU291" s="38"/>
      <c r="BV291" s="38"/>
      <c r="BW291" s="38"/>
      <c r="BX291" s="38"/>
      <c r="BY291" s="38"/>
      <c r="BZ291" s="38"/>
      <c r="CA291" s="38"/>
      <c r="CB291" s="38"/>
      <c r="CC291" s="38"/>
      <c r="CD291" s="38"/>
      <c r="CE291" s="38"/>
      <c r="CF291" s="38"/>
      <c r="CG291" s="38"/>
      <c r="CH291" s="38"/>
      <c r="CI291" s="38"/>
    </row>
    <row r="292" spans="1:87" collapsed="1" x14ac:dyDescent="0.25">
      <c r="A292" s="110"/>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c r="BP292" s="38"/>
      <c r="BQ292" s="38"/>
      <c r="BR292" s="38"/>
      <c r="BS292" s="38"/>
      <c r="BT292" s="38"/>
      <c r="BU292" s="38"/>
      <c r="BV292" s="38"/>
      <c r="BW292" s="38"/>
      <c r="BX292" s="38"/>
      <c r="BY292" s="38"/>
      <c r="BZ292" s="38"/>
      <c r="CA292" s="38"/>
      <c r="CB292" s="38"/>
      <c r="CC292" s="38"/>
      <c r="CD292" s="38"/>
      <c r="CE292" s="38"/>
      <c r="CF292" s="38"/>
      <c r="CG292" s="38"/>
      <c r="CH292" s="38"/>
      <c r="CI292" s="38"/>
    </row>
    <row r="293" spans="1:87" x14ac:dyDescent="0.25">
      <c r="A293" s="7" t="s">
        <v>950</v>
      </c>
      <c r="B293" s="38">
        <f ca="1">SUM(B283:XFD283)+B291</f>
        <v>695230.12644098292</v>
      </c>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row>
    <row r="294" spans="1:87" x14ac:dyDescent="0.25">
      <c r="A294" s="7" t="s">
        <v>951</v>
      </c>
      <c r="B294" s="38">
        <f>SUM(B284:XFD284)</f>
        <v>0</v>
      </c>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row>
    <row r="295" spans="1:87" x14ac:dyDescent="0.25">
      <c r="A295" s="7" t="s">
        <v>959</v>
      </c>
      <c r="B295" s="7">
        <v>21</v>
      </c>
    </row>
    <row r="296" spans="1:87" x14ac:dyDescent="0.25">
      <c r="A296" s="7" t="s">
        <v>960</v>
      </c>
      <c r="B296" s="7">
        <f ca="1">SUM(B299:B302)/B295</f>
        <v>33106.19649718966</v>
      </c>
    </row>
    <row r="298" spans="1:87" x14ac:dyDescent="0.25">
      <c r="A298" s="110" t="s">
        <v>686</v>
      </c>
      <c r="B298" s="110" t="s">
        <v>119</v>
      </c>
      <c r="C298" s="110" t="s">
        <v>781</v>
      </c>
    </row>
    <row r="299" spans="1:87" x14ac:dyDescent="0.25">
      <c r="A299" s="40" t="str">
        <f>IFERROR("Total "&amp;char1Name&amp;" Damage", "No Char 1")</f>
        <v>Total Shenhe Damage</v>
      </c>
      <c r="B299" s="7">
        <f ca="1">SUMIF(B1:CD1, char1Name, B283:CD283)</f>
        <v>66299.386728819285</v>
      </c>
      <c r="C299" s="103">
        <f ca="1">B299/B293</f>
        <v>9.5363224646519029E-2</v>
      </c>
    </row>
    <row r="300" spans="1:87" x14ac:dyDescent="0.25">
      <c r="A300" s="40" t="str">
        <f>IFERROR("Total "&amp;char2Name&amp;" Damage", "No Char 2")</f>
        <v>Total Ganyu Damage</v>
      </c>
      <c r="B300" s="7">
        <f ca="1">SUMIF(B1:CD1, char2Name, B283:CD283)</f>
        <v>441627.06234500848</v>
      </c>
      <c r="C300" s="103">
        <f ca="1">B300/B293</f>
        <v>0.63522428840329836</v>
      </c>
    </row>
    <row r="301" spans="1:87" x14ac:dyDescent="0.25">
      <c r="A301" s="40" t="str">
        <f>IFERROR("Total "&amp;char3Name&amp;" Damage", "No Char 3")</f>
        <v>Total Mona Damage</v>
      </c>
      <c r="B301" s="7">
        <f ca="1">SUMIF(B1:CD1, char3Name, B283:CD283)</f>
        <v>44763.110247552366</v>
      </c>
      <c r="C301" s="103">
        <f ca="1">B301/B293</f>
        <v>6.4386033552233074E-2</v>
      </c>
    </row>
    <row r="302" spans="1:87" x14ac:dyDescent="0.25">
      <c r="A302" s="40" t="str">
        <f>IFERROR("Total "&amp;char4Name&amp;" Damage", "No Char 4")</f>
        <v>Total Venti Damage</v>
      </c>
      <c r="B302" s="7">
        <f ca="1">SUMIF(B1:CD1, char4Name, B283:CD283)</f>
        <v>142540.5671196027</v>
      </c>
      <c r="C302" s="103">
        <f ca="1">B302/B293</f>
        <v>0.20502645339794945</v>
      </c>
    </row>
    <row r="303" spans="1:87" x14ac:dyDescent="0.25">
      <c r="B303" s="7">
        <f ca="1">SUM(B299/20)</f>
        <v>3314.9693364409641</v>
      </c>
    </row>
    <row r="304" spans="1:87" x14ac:dyDescent="0.25">
      <c r="B304" s="7">
        <f ca="1">SUM(B300/20)</f>
        <v>22081.353117250423</v>
      </c>
    </row>
    <row r="305" spans="2:17" x14ac:dyDescent="0.25">
      <c r="B305" s="7">
        <f ca="1">SUM(B301/20)</f>
        <v>2238.1555123776184</v>
      </c>
      <c r="G305" s="17"/>
      <c r="K305" s="17"/>
      <c r="L305" s="17"/>
      <c r="M305" s="17"/>
    </row>
    <row r="306" spans="2:17" x14ac:dyDescent="0.25">
      <c r="B306" s="7">
        <f ca="1">SUM(B302/20)</f>
        <v>7127.0283559801346</v>
      </c>
      <c r="D306" s="103"/>
      <c r="E306" s="103"/>
      <c r="I306" s="103"/>
      <c r="O306" s="103"/>
      <c r="P306" s="103"/>
      <c r="Q306" s="103"/>
    </row>
    <row r="307" spans="2:17" x14ac:dyDescent="0.25">
      <c r="D307" s="103"/>
      <c r="E307" s="103"/>
      <c r="I307" s="103"/>
      <c r="O307" s="103"/>
      <c r="P307" s="103"/>
      <c r="Q307" s="103"/>
    </row>
    <row r="308" spans="2:17" x14ac:dyDescent="0.25">
      <c r="D308" s="103"/>
      <c r="E308" s="103"/>
      <c r="I308" s="103"/>
      <c r="O308" s="103"/>
      <c r="P308" s="103"/>
      <c r="Q308" s="103"/>
    </row>
    <row r="309" spans="2:17" x14ac:dyDescent="0.25">
      <c r="D309" s="103"/>
      <c r="E309" s="103"/>
      <c r="I309" s="103"/>
      <c r="O309" s="103"/>
      <c r="P309" s="103"/>
      <c r="Q309" s="103"/>
    </row>
    <row r="311" spans="2:17" x14ac:dyDescent="0.25">
      <c r="B311" s="17"/>
      <c r="G311" s="17"/>
      <c r="K311" s="17"/>
      <c r="L311" s="17"/>
      <c r="M311" s="17"/>
    </row>
    <row r="312" spans="2:17" x14ac:dyDescent="0.25">
      <c r="D312" s="103"/>
      <c r="E312" s="103"/>
      <c r="I312" s="103"/>
      <c r="O312" s="103"/>
      <c r="P312" s="103"/>
      <c r="Q312" s="103"/>
    </row>
    <row r="313" spans="2:17" x14ac:dyDescent="0.25">
      <c r="B313" s="244" t="s">
        <v>1202</v>
      </c>
      <c r="C313" s="244" t="s">
        <v>747</v>
      </c>
      <c r="D313" s="244" t="s">
        <v>1089</v>
      </c>
      <c r="E313" s="244" t="s">
        <v>1090</v>
      </c>
      <c r="F313" s="244" t="s">
        <v>1095</v>
      </c>
      <c r="G313" s="244" t="s">
        <v>1096</v>
      </c>
      <c r="H313" s="244" t="s">
        <v>1101</v>
      </c>
      <c r="I313" s="244" t="s">
        <v>100</v>
      </c>
      <c r="J313" s="244" t="s">
        <v>1105</v>
      </c>
      <c r="K313" s="244" t="s">
        <v>802</v>
      </c>
      <c r="L313" s="244" t="s">
        <v>417</v>
      </c>
      <c r="M313" s="244" t="s">
        <v>1107</v>
      </c>
      <c r="N313" s="244" t="s">
        <v>1108</v>
      </c>
      <c r="O313" s="103"/>
      <c r="P313" s="103"/>
      <c r="Q313" s="103"/>
    </row>
    <row r="314" spans="2:17" x14ac:dyDescent="0.25">
      <c r="B314" s="211" t="s">
        <v>556</v>
      </c>
      <c r="C314" s="211" t="s">
        <v>1042</v>
      </c>
      <c r="D314" s="211">
        <v>66299.386728819285</v>
      </c>
      <c r="E314" s="211">
        <f>D314/D320</f>
        <v>3157.1136537532993</v>
      </c>
      <c r="F314" s="213">
        <f>E314/C320</f>
        <v>9.5363224646519043E-2</v>
      </c>
      <c r="G314" s="211" t="s">
        <v>1219</v>
      </c>
      <c r="H314" s="211" t="s">
        <v>1141</v>
      </c>
      <c r="I314" s="247">
        <v>1.79</v>
      </c>
      <c r="J314" s="211">
        <v>0</v>
      </c>
      <c r="K314" s="211" t="s">
        <v>1106</v>
      </c>
      <c r="L314" s="211">
        <v>90</v>
      </c>
      <c r="M314" s="211">
        <v>20</v>
      </c>
      <c r="N314" s="211">
        <v>20</v>
      </c>
      <c r="O314" s="103"/>
      <c r="P314" s="103"/>
      <c r="Q314" s="103"/>
    </row>
    <row r="315" spans="2:17" x14ac:dyDescent="0.25">
      <c r="B315" s="211" t="s">
        <v>737</v>
      </c>
      <c r="C315" s="211" t="s">
        <v>213</v>
      </c>
      <c r="D315" s="211">
        <v>441627.06234500848</v>
      </c>
      <c r="E315" s="211">
        <f>D315/D320</f>
        <v>21029.860111667069</v>
      </c>
      <c r="F315" s="213">
        <f>E315/C320</f>
        <v>0.63522428840329836</v>
      </c>
      <c r="G315" s="211" t="s">
        <v>1203</v>
      </c>
      <c r="H315" s="211" t="s">
        <v>1102</v>
      </c>
      <c r="I315" s="247">
        <v>1.1599999999999999</v>
      </c>
      <c r="J315" s="211">
        <v>0</v>
      </c>
      <c r="K315" s="211" t="s">
        <v>1106</v>
      </c>
      <c r="L315" s="211">
        <v>90</v>
      </c>
      <c r="M315" s="211">
        <v>20</v>
      </c>
      <c r="N315" s="211">
        <v>20</v>
      </c>
      <c r="O315" s="103"/>
      <c r="P315" s="103"/>
      <c r="Q315" s="103"/>
    </row>
    <row r="316" spans="2:17" x14ac:dyDescent="0.25">
      <c r="B316" s="211" t="s">
        <v>739</v>
      </c>
      <c r="C316" s="211" t="s">
        <v>261</v>
      </c>
      <c r="D316" s="211">
        <v>44763.110247552366</v>
      </c>
      <c r="E316" s="211">
        <f>D316/D320</f>
        <v>2131.5766784548746</v>
      </c>
      <c r="F316" s="213">
        <f>E316/C320</f>
        <v>6.4386033552233074E-2</v>
      </c>
      <c r="G316" s="211" t="s">
        <v>1217</v>
      </c>
      <c r="H316" s="211" t="s">
        <v>1103</v>
      </c>
      <c r="I316" s="247">
        <v>1.83</v>
      </c>
      <c r="J316" s="211">
        <v>0</v>
      </c>
      <c r="K316" s="211" t="s">
        <v>1106</v>
      </c>
      <c r="L316" s="211">
        <v>90</v>
      </c>
      <c r="M316" s="211">
        <v>20</v>
      </c>
      <c r="N316" s="211">
        <v>20</v>
      </c>
    </row>
    <row r="317" spans="2:17" x14ac:dyDescent="0.25">
      <c r="B317" s="211" t="s">
        <v>738</v>
      </c>
      <c r="C317" s="211" t="s">
        <v>333</v>
      </c>
      <c r="D317" s="211">
        <v>142540.5671196027</v>
      </c>
      <c r="E317" s="211">
        <f>D317/D320</f>
        <v>6787.6460533144145</v>
      </c>
      <c r="F317" s="213">
        <f>E317/C320</f>
        <v>0.2050264533979495</v>
      </c>
      <c r="G317" s="211" t="s">
        <v>1218</v>
      </c>
      <c r="H317" s="211" t="s">
        <v>1104</v>
      </c>
      <c r="I317" s="247">
        <v>1.55</v>
      </c>
      <c r="J317" s="211">
        <v>0</v>
      </c>
      <c r="K317" s="211" t="s">
        <v>1106</v>
      </c>
      <c r="L317" s="211">
        <v>90</v>
      </c>
      <c r="M317" s="211">
        <v>20</v>
      </c>
      <c r="N317" s="211">
        <v>20</v>
      </c>
    </row>
    <row r="318" spans="2:17" x14ac:dyDescent="0.25">
      <c r="B318" s="211"/>
      <c r="C318" s="211"/>
      <c r="D318" s="211"/>
      <c r="E318" s="211"/>
      <c r="F318" s="211"/>
      <c r="G318" s="211"/>
      <c r="H318" s="211"/>
      <c r="I318" s="211"/>
      <c r="J318" s="211"/>
      <c r="K318" s="211"/>
      <c r="L318" s="211"/>
      <c r="M318" s="211"/>
      <c r="N318" s="211"/>
      <c r="O318" s="103"/>
      <c r="P318" s="103"/>
      <c r="Q318" s="103"/>
    </row>
    <row r="319" spans="2:17" x14ac:dyDescent="0.25">
      <c r="B319" s="211" t="s">
        <v>1137</v>
      </c>
      <c r="C319" s="211" t="s">
        <v>1129</v>
      </c>
      <c r="D319" s="211" t="s">
        <v>1128</v>
      </c>
      <c r="E319" s="211" t="s">
        <v>1204</v>
      </c>
      <c r="F319" s="211"/>
      <c r="G319" s="211"/>
      <c r="H319" s="211" t="s">
        <v>1212</v>
      </c>
      <c r="I319" s="211"/>
      <c r="J319" s="211"/>
      <c r="K319" s="211"/>
      <c r="L319" s="211"/>
      <c r="M319" s="211"/>
      <c r="N319" s="211"/>
      <c r="O319" s="103"/>
      <c r="P319" s="103"/>
      <c r="Q319" s="103"/>
    </row>
    <row r="320" spans="2:17" ht="75" x14ac:dyDescent="0.25">
      <c r="B320" s="254" t="s">
        <v>1205</v>
      </c>
      <c r="C320" s="246">
        <f>SUM(D314:D317)/D320</f>
        <v>33106.19649718966</v>
      </c>
      <c r="D320" s="246">
        <v>21</v>
      </c>
      <c r="E320" s="255" t="s">
        <v>1206</v>
      </c>
      <c r="F320" s="211"/>
      <c r="G320" s="211"/>
      <c r="H320" s="255" t="s">
        <v>1216</v>
      </c>
      <c r="I320" s="211"/>
      <c r="J320" s="211"/>
      <c r="K320" s="211"/>
      <c r="L320" s="211"/>
      <c r="M320" s="211"/>
      <c r="N320" s="211"/>
      <c r="O320" s="103"/>
      <c r="P320" s="103"/>
      <c r="Q320" s="103"/>
    </row>
    <row r="321" spans="2:17" x14ac:dyDescent="0.25">
      <c r="B321" s="211"/>
      <c r="C321" s="211"/>
      <c r="D321" s="211"/>
      <c r="E321" s="211"/>
      <c r="F321" s="211"/>
      <c r="G321" s="211"/>
      <c r="H321" s="211"/>
      <c r="I321" s="211"/>
      <c r="J321" s="211"/>
      <c r="K321" s="211"/>
      <c r="L321" s="211"/>
      <c r="M321" s="211"/>
      <c r="N321" s="211"/>
      <c r="O321" s="103"/>
      <c r="P321" s="103"/>
      <c r="Q321" s="103"/>
    </row>
    <row r="322" spans="2:17" x14ac:dyDescent="0.25">
      <c r="B322" s="211"/>
      <c r="C322" s="211"/>
      <c r="D322" s="211"/>
      <c r="E322" s="211"/>
      <c r="F322" s="211"/>
      <c r="G322" s="211"/>
      <c r="H322" s="211"/>
      <c r="I322" s="211"/>
      <c r="J322" s="211"/>
      <c r="K322" s="211"/>
      <c r="L322" s="211"/>
      <c r="M322" s="211"/>
      <c r="N322" s="211"/>
    </row>
    <row r="323" spans="2:17" x14ac:dyDescent="0.25">
      <c r="B323" s="254" t="s">
        <v>1207</v>
      </c>
      <c r="C323" s="211"/>
      <c r="D323" s="211"/>
      <c r="E323" s="211"/>
      <c r="F323" s="211"/>
      <c r="G323" s="211"/>
      <c r="H323" s="211"/>
      <c r="I323" s="211"/>
      <c r="J323" s="211"/>
      <c r="K323" s="211"/>
      <c r="L323" s="211"/>
      <c r="M323" s="211"/>
      <c r="N323" s="211"/>
    </row>
    <row r="324" spans="2:17" x14ac:dyDescent="0.25">
      <c r="B324" s="211" t="s">
        <v>1215</v>
      </c>
      <c r="C324" s="211"/>
      <c r="D324" s="211"/>
      <c r="E324" s="211"/>
      <c r="F324" s="211"/>
      <c r="G324" s="211"/>
      <c r="H324" s="211"/>
      <c r="I324" s="211"/>
      <c r="J324" s="211"/>
      <c r="K324" s="211"/>
      <c r="L324" s="211"/>
      <c r="M324" s="211"/>
      <c r="N324" s="211"/>
      <c r="O324" s="103"/>
      <c r="P324" s="103"/>
      <c r="Q324" s="103"/>
    </row>
    <row r="325" spans="2:17" x14ac:dyDescent="0.25">
      <c r="B325" s="211" t="s">
        <v>1208</v>
      </c>
      <c r="C325" s="211"/>
      <c r="D325" s="211"/>
      <c r="E325" s="211"/>
      <c r="F325" s="211"/>
      <c r="G325" s="211"/>
      <c r="H325" s="211"/>
      <c r="I325" s="211"/>
      <c r="J325" s="211"/>
      <c r="K325" s="211"/>
      <c r="L325" s="211"/>
      <c r="M325" s="211"/>
      <c r="N325" s="211"/>
      <c r="O325" s="103"/>
      <c r="P325" s="103"/>
      <c r="Q325" s="103"/>
    </row>
    <row r="326" spans="2:17" x14ac:dyDescent="0.25">
      <c r="B326" s="211" t="s">
        <v>1209</v>
      </c>
      <c r="C326" s="211"/>
      <c r="D326" s="211"/>
      <c r="E326" s="211"/>
      <c r="F326" s="211"/>
      <c r="G326" s="211"/>
      <c r="H326" s="211"/>
      <c r="I326" s="211"/>
      <c r="J326" s="211"/>
      <c r="K326" s="211"/>
      <c r="L326" s="211"/>
      <c r="M326" s="211"/>
      <c r="N326" s="211"/>
      <c r="O326" s="103"/>
      <c r="P326" s="103"/>
      <c r="Q326" s="103"/>
    </row>
    <row r="327" spans="2:17" x14ac:dyDescent="0.25">
      <c r="B327" s="211" t="s">
        <v>1210</v>
      </c>
      <c r="C327" s="211"/>
      <c r="D327" s="211"/>
      <c r="E327" s="211"/>
      <c r="F327" s="211"/>
      <c r="G327" s="211"/>
      <c r="H327" s="211"/>
      <c r="I327" s="211"/>
      <c r="J327" s="211"/>
      <c r="K327" s="211"/>
      <c r="L327" s="211"/>
      <c r="M327" s="211"/>
      <c r="N327" s="211"/>
      <c r="O327" s="103"/>
      <c r="P327" s="103"/>
      <c r="Q327" s="103"/>
    </row>
    <row r="328" spans="2:17" x14ac:dyDescent="0.25">
      <c r="B328" s="211" t="s">
        <v>1211</v>
      </c>
      <c r="C328" s="211"/>
      <c r="D328" s="211"/>
      <c r="E328" s="211"/>
      <c r="F328" s="211"/>
      <c r="G328" s="211"/>
      <c r="H328" s="211"/>
      <c r="I328" s="211"/>
      <c r="J328" s="211"/>
      <c r="K328" s="211"/>
      <c r="L328" s="211"/>
      <c r="M328" s="211"/>
      <c r="N328" s="211"/>
    </row>
    <row r="329" spans="2:17" x14ac:dyDescent="0.25">
      <c r="B329" s="211" t="s">
        <v>1214</v>
      </c>
      <c r="C329" s="211"/>
      <c r="D329" s="211"/>
      <c r="E329" s="211"/>
      <c r="F329" s="211"/>
      <c r="G329" s="211"/>
      <c r="H329" s="211"/>
      <c r="I329" s="211"/>
      <c r="J329" s="211"/>
      <c r="K329" s="211"/>
      <c r="L329" s="211"/>
      <c r="M329" s="211"/>
      <c r="N329" s="211"/>
    </row>
    <row r="330" spans="2:17" x14ac:dyDescent="0.25">
      <c r="B330" s="211" t="s">
        <v>1213</v>
      </c>
      <c r="C330" s="211"/>
      <c r="D330" s="211"/>
      <c r="E330" s="211"/>
      <c r="F330" s="211"/>
      <c r="G330" s="211"/>
      <c r="H330" s="211"/>
      <c r="I330" s="211"/>
      <c r="J330" s="211"/>
      <c r="K330" s="211"/>
      <c r="L330" s="211"/>
      <c r="M330" s="211"/>
      <c r="N330" s="211"/>
    </row>
    <row r="331" spans="2:17" x14ac:dyDescent="0.25">
      <c r="F331" s="211"/>
      <c r="G331" s="211"/>
      <c r="H331" s="211"/>
      <c r="I331" s="211"/>
      <c r="J331" s="211"/>
      <c r="K331" s="211"/>
      <c r="L331" s="211"/>
      <c r="M331" s="211"/>
      <c r="N331" s="211"/>
    </row>
  </sheetData>
  <dataConsolidate link="1"/>
  <dataValidations count="2">
    <dataValidation type="list" allowBlank="1" showInputMessage="1" showErrorMessage="1" sqref="B12:AZ12" xr:uid="{9759C21E-9B14-4AC7-8B62-DDC3FF474767}">
      <formula1>OFFSET(INDEX(weapProcTable, 0, MATCH(B$32, INDEX(weapProcTable, 1, 0), 0)), 1, 0, 3)</formula1>
    </dataValidation>
    <dataValidation type="list" allowBlank="1" showInputMessage="1" showErrorMessage="1" sqref="B2:AZ2" xr:uid="{C74E43D7-5D16-4E49-B3F9-45410FBC189B}">
      <formula1>OFFSET(INDEX(INDIRECT(B1&amp;"TalentScalings"), 0, 1), 1, 0, ROWS(INDEX(INDIRECT(B1&amp;"TalentScalings"), 0, 1))-1)</formula1>
    </dataValidation>
  </dataValidations>
  <hyperlinks>
    <hyperlink ref="E320" r:id="rId1" xr:uid="{FF68807A-686C-4AC0-A4C9-1CD45B49E818}"/>
    <hyperlink ref="H320" r:id="rId2" xr:uid="{D99CA32F-224E-4722-912F-34402AD7C679}"/>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3">
        <x14:dataValidation type="list" allowBlank="1" showInputMessage="1" showErrorMessage="1" xr:uid="{D0ECFD81-2D21-47B0-AE9B-10EA84983DE3}">
          <x14:formula1>
            <xm:f>'Data Val'!$A$2:$A$5</xm:f>
          </x14:formula1>
          <xm:sqref>B1:AZ1 B8:AZ8</xm:sqref>
        </x14:dataValidation>
        <x14:dataValidation type="list" allowBlank="1" showInputMessage="1" showErrorMessage="1" xr:uid="{1CA024A7-69B8-40C2-810B-491562B7F7AC}">
          <x14:formula1>
            <xm:f>'Data Val'!$D$2:$D$6</xm:f>
          </x14:formula1>
          <xm:sqref>B6:AZ7</xm:sqref>
        </x14:dataValidation>
        <x14:dataValidation type="list" allowBlank="1" showInputMessage="1" showErrorMessage="1" xr:uid="{C2B912F5-65A5-41EF-B630-BFE513855DA2}">
          <x14:formula1>
            <xm:f>'Data Val'!$A$64:$A$65</xm:f>
          </x14:formula1>
          <xm:sqref>B18:AZ18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E288-45D2-4F30-8228-DBC1A36958C7}">
  <sheetPr codeName="Sheet8"/>
  <dimension ref="B2:AH212"/>
  <sheetViews>
    <sheetView topLeftCell="A85" zoomScale="70" zoomScaleNormal="70" workbookViewId="0">
      <selection activeCell="H142" sqref="H142"/>
    </sheetView>
  </sheetViews>
  <sheetFormatPr defaultColWidth="9.140625" defaultRowHeight="15" x14ac:dyDescent="0.25"/>
  <cols>
    <col min="1" max="2" width="2.7109375" style="7" customWidth="1"/>
    <col min="3" max="11" width="20.7109375" style="7" customWidth="1"/>
    <col min="12" max="14" width="2.7109375" style="7" customWidth="1"/>
    <col min="15" max="17" width="9.140625" style="7"/>
    <col min="18" max="19" width="2.7109375" style="7" customWidth="1"/>
    <col min="20" max="20" width="9.140625" style="7" customWidth="1"/>
    <col min="21" max="21" width="10.140625" style="7" bestFit="1" customWidth="1"/>
    <col min="22" max="27" width="9.140625" style="7"/>
    <col min="28" max="28" width="2.7109375" style="7" customWidth="1"/>
    <col min="29" max="33" width="9.140625" style="7"/>
    <col min="34" max="34" width="2.7109375" style="7" customWidth="1"/>
    <col min="35" max="16384" width="9.140625" style="7"/>
  </cols>
  <sheetData>
    <row r="2" spans="2:34" x14ac:dyDescent="0.25">
      <c r="B2" s="33"/>
      <c r="C2" s="33"/>
      <c r="D2" s="33"/>
      <c r="E2" s="33"/>
      <c r="F2" s="33"/>
      <c r="G2" s="33"/>
      <c r="H2" s="33"/>
      <c r="I2" s="33"/>
      <c r="J2" s="33"/>
      <c r="K2" s="33"/>
      <c r="L2" s="33"/>
      <c r="N2" s="33"/>
      <c r="O2" s="33"/>
      <c r="P2" s="33"/>
      <c r="Q2" s="33"/>
      <c r="R2" s="33"/>
      <c r="T2" s="205"/>
      <c r="U2" s="205" t="s">
        <v>397</v>
      </c>
      <c r="V2" s="205" t="s">
        <v>51</v>
      </c>
      <c r="W2" s="205" t="s">
        <v>796</v>
      </c>
      <c r="X2" s="205" t="s">
        <v>785</v>
      </c>
      <c r="AB2" s="33"/>
      <c r="AC2" s="33"/>
      <c r="AD2" s="33"/>
      <c r="AE2" s="33"/>
      <c r="AF2" s="33"/>
      <c r="AG2" s="33"/>
      <c r="AH2" s="33"/>
    </row>
    <row r="3" spans="2:34" x14ac:dyDescent="0.25">
      <c r="B3" s="33"/>
      <c r="C3" s="282" t="s">
        <v>404</v>
      </c>
      <c r="D3" s="282"/>
      <c r="E3" s="282"/>
      <c r="F3" s="282"/>
      <c r="G3" s="282"/>
      <c r="H3" s="282"/>
      <c r="I3" s="282"/>
      <c r="J3" s="282"/>
      <c r="K3" s="282"/>
      <c r="L3" s="33"/>
      <c r="N3" s="33"/>
      <c r="O3" s="280" t="s">
        <v>416</v>
      </c>
      <c r="P3" s="280"/>
      <c r="Q3" s="280"/>
      <c r="R3" s="33"/>
      <c r="T3" s="7" t="s">
        <v>783</v>
      </c>
      <c r="U3" s="7" t="s">
        <v>64</v>
      </c>
      <c r="V3" s="7">
        <f>'Char 1'!$L$23</f>
        <v>20</v>
      </c>
      <c r="W3" s="7">
        <f>MATCH('Char 1'!$L$24, 'Artifact Database'!$F$1:$F$66, 0)+1</f>
        <v>2</v>
      </c>
      <c r="X3" s="7" cm="1">
        <f t="array" ref="X3">INDEX('Artifact Database'!$F$1:$W$66, Calcs!W3+V3, MATCH(Calcs!U3,'Artifact Database'!$F$1:$W$1, 0))</f>
        <v>4780</v>
      </c>
      <c r="AB3" s="33"/>
      <c r="AC3" s="279" t="s">
        <v>782</v>
      </c>
      <c r="AD3" s="279"/>
      <c r="AE3" s="279"/>
      <c r="AF3" s="279"/>
      <c r="AG3" s="279"/>
      <c r="AH3" s="33"/>
    </row>
    <row r="4" spans="2:34" x14ac:dyDescent="0.25">
      <c r="B4" s="33"/>
      <c r="C4" s="282"/>
      <c r="D4" s="282"/>
      <c r="E4" s="282"/>
      <c r="F4" s="282"/>
      <c r="G4" s="282"/>
      <c r="H4" s="282"/>
      <c r="I4" s="282"/>
      <c r="J4" s="282"/>
      <c r="K4" s="282"/>
      <c r="L4" s="33"/>
      <c r="N4" s="33"/>
      <c r="O4" s="280"/>
      <c r="P4" s="280"/>
      <c r="Q4" s="280"/>
      <c r="R4" s="33"/>
      <c r="T4" s="7" t="s">
        <v>784</v>
      </c>
      <c r="U4" s="7" t="s">
        <v>62</v>
      </c>
      <c r="V4" s="7">
        <f>'Char 1'!$L$25</f>
        <v>20</v>
      </c>
      <c r="W4" s="7">
        <f>MATCH('Char 1'!$L$26, 'Artifact Database'!$F$1:$F$66, 0)+1</f>
        <v>2</v>
      </c>
      <c r="X4" s="7" cm="1">
        <f t="array" ref="X4">INDEX('Artifact Database'!$F$1:$W$66, Calcs!W4+V4, MATCH(Calcs!U4,'Artifact Database'!$F$1:$W$1, 0))</f>
        <v>311</v>
      </c>
      <c r="AB4" s="33"/>
      <c r="AC4" s="279"/>
      <c r="AD4" s="279"/>
      <c r="AE4" s="279"/>
      <c r="AF4" s="279"/>
      <c r="AG4" s="279"/>
      <c r="AH4" s="33"/>
    </row>
    <row r="5" spans="2:34" x14ac:dyDescent="0.25">
      <c r="B5" s="33"/>
      <c r="C5" s="37" t="s">
        <v>397</v>
      </c>
      <c r="D5" s="36" t="s">
        <v>398</v>
      </c>
      <c r="E5" s="35" t="s">
        <v>399</v>
      </c>
      <c r="F5" s="36" t="s">
        <v>400</v>
      </c>
      <c r="G5" s="35" t="s">
        <v>401</v>
      </c>
      <c r="H5" s="36" t="s">
        <v>402</v>
      </c>
      <c r="I5" s="35" t="s">
        <v>61</v>
      </c>
      <c r="J5" s="36" t="s">
        <v>563</v>
      </c>
      <c r="K5" s="35" t="s">
        <v>403</v>
      </c>
      <c r="L5" s="33"/>
      <c r="N5" s="33"/>
      <c r="O5" s="281" t="s">
        <v>417</v>
      </c>
      <c r="P5" s="281"/>
      <c r="Q5" s="38">
        <f>char1Level</f>
        <v>90</v>
      </c>
      <c r="R5" s="33"/>
      <c r="T5" s="7" t="s">
        <v>436</v>
      </c>
      <c r="U5" s="7" t="str">
        <f>'Char 1'!$L$28</f>
        <v>ATK%</v>
      </c>
      <c r="V5" s="7">
        <f>'Char 1'!$L$27</f>
        <v>20</v>
      </c>
      <c r="W5" s="7">
        <f>MATCH('Char 1'!$L$29, 'Artifact Database'!$F$1:$F$66, 0)+1</f>
        <v>2</v>
      </c>
      <c r="X5" s="7" cm="1">
        <f t="array" ref="X5">INDEX('Artifact Database'!$F$1:$W$66, Calcs!W5+V5, MATCH(Calcs!U5,'Artifact Database'!$F$1:$W$1, 0))</f>
        <v>46.6</v>
      </c>
      <c r="AB5" s="33"/>
      <c r="AC5" s="37" t="s">
        <v>397</v>
      </c>
      <c r="AD5" s="7" t="s">
        <v>624</v>
      </c>
      <c r="AE5" s="7" t="s">
        <v>625</v>
      </c>
      <c r="AF5" s="7" t="s">
        <v>626</v>
      </c>
      <c r="AG5" s="7" t="s">
        <v>627</v>
      </c>
      <c r="AH5" s="33"/>
    </row>
    <row r="6" spans="2:34" x14ac:dyDescent="0.25">
      <c r="B6" s="33"/>
      <c r="C6" s="34" t="s">
        <v>62</v>
      </c>
      <c r="D6" s="36">
        <f>X4</f>
        <v>311</v>
      </c>
      <c r="E6" s="45">
        <v>0</v>
      </c>
      <c r="F6" s="36">
        <f>IFERROR(INDEX(char1Weapons, MATCH(C6, weapons!$A$1:$A$47, 0), MATCH(char1WeaponName, weapons!$A$1:$CV$1, 0)),0)</f>
        <v>0</v>
      </c>
      <c r="G6" s="35">
        <f>IFERROR(INDEX(char1ArtiSetStats, MATCH('Char 1'!$L$14, artisDB!$A$1:$A$53, 0), MATCH(Calcs!C6, artisDB!$A$1:$AP$1, 0))+INDEX(char1ArtiSetStats, MATCH('Char 1'!$L$15, artisDB!$A$1:$A$53, 0), MATCH(Calcs!C6, artisDB!$A$1:$AP$1, 0)),0)</f>
        <v>0</v>
      </c>
      <c r="H6" s="36">
        <f>IFERROR(INDEX('Char 1'!$X$26:$Z$35, MATCH(C6, 'Char 1'!$X$26:$X$35, 0), 3)*HLOOKUP('Char 1'!$Z$7, artifactSubstatValues, MATCH(Calcs!C6, 'Artifact Database'!$A$1:$A$11, 0)),0)</f>
        <v>33.08</v>
      </c>
      <c r="I6" s="35">
        <f>VLOOKUP(C6, 'Char 1'!$R$5:$T$50, 3,0)</f>
        <v>0</v>
      </c>
      <c r="J6" s="36"/>
      <c r="K6" s="35">
        <f>SUM(D6:J6)</f>
        <v>344.08</v>
      </c>
      <c r="L6" s="33"/>
      <c r="N6" s="33"/>
      <c r="O6" s="33"/>
      <c r="P6" s="33"/>
      <c r="Q6" s="33"/>
      <c r="R6" s="33"/>
      <c r="T6" s="7" t="s">
        <v>435</v>
      </c>
      <c r="U6" s="7" t="str">
        <f>'Char 1'!$L$31</f>
        <v>ATK%</v>
      </c>
      <c r="V6" s="7">
        <f>'Char 1'!$L$30</f>
        <v>20</v>
      </c>
      <c r="W6" s="7">
        <f>MATCH('Char 1'!$L$32, 'Artifact Database'!$F$1:$F$66, 0)+1</f>
        <v>2</v>
      </c>
      <c r="X6" s="7" cm="1">
        <f t="array" ref="X6">INDEX('Artifact Database'!$F$1:$W$66, Calcs!W6+V6, MATCH(Calcs!U6,'Artifact Database'!$F$1:$W$1, 0))</f>
        <v>46.6</v>
      </c>
      <c r="AB6" s="33"/>
      <c r="AC6" s="34" t="s">
        <v>62</v>
      </c>
      <c r="AD6" s="7">
        <f t="shared" ref="AD6:AD51" si="0">K6</f>
        <v>344.08</v>
      </c>
      <c r="AE6" s="7">
        <f t="shared" ref="AE6:AE51" si="1">K58</f>
        <v>344.08</v>
      </c>
      <c r="AF6" s="7">
        <f t="shared" ref="AF6:AF51" si="2">K110</f>
        <v>344.08</v>
      </c>
      <c r="AG6" s="7">
        <f t="shared" ref="AG6:AG51" si="3">K162</f>
        <v>344.08</v>
      </c>
      <c r="AH6" s="33"/>
    </row>
    <row r="7" spans="2:34" x14ac:dyDescent="0.25">
      <c r="B7" s="33"/>
      <c r="C7" s="34" t="s">
        <v>63</v>
      </c>
      <c r="D7" s="36">
        <v>0</v>
      </c>
      <c r="E7" s="45">
        <v>0</v>
      </c>
      <c r="F7" s="36">
        <f>IFERROR(INDEX(char1Weapons, MATCH(C7, weapons!$A$1:$A$47, 0), MATCH(char1WeaponName, weapons!$A$1:$CV$1, 0)),0)</f>
        <v>0</v>
      </c>
      <c r="G7" s="35">
        <f>IFERROR(INDEX(char1ArtiSetStats, MATCH('Char 1'!$L$14, artisDB!$A$1:$A$53, 0), MATCH(Calcs!C7, artisDB!$A$1:$AP$1, 0))+INDEX(char1ArtiSetStats, MATCH('Char 1'!$L$15, artisDB!$A$1:$A$53, 0), MATCH(Calcs!C7, artisDB!$A$1:$AP$1, 0)),0)</f>
        <v>0</v>
      </c>
      <c r="H7" s="36">
        <f>IFERROR(INDEX('Char 1'!$X$26:$Z$35, MATCH(Calcs!C7, 'Char 1'!$X$26:$X$35, 0), 3)*HLOOKUP('Char 1'!$Z$7, artifactSubstatValues, MATCH(Calcs!C7, 'Artifact Database'!$A$1:$A$11, 0)),0)</f>
        <v>39.36</v>
      </c>
      <c r="I7" s="35">
        <f>VLOOKUP(C7, 'Char 1'!$R$5:$T$50, 3,0)</f>
        <v>0</v>
      </c>
      <c r="J7" s="36"/>
      <c r="K7" s="35">
        <f t="shared" ref="K7:K51" si="4">SUM(D7:J7)</f>
        <v>39.36</v>
      </c>
      <c r="L7" s="33"/>
      <c r="T7" s="7" t="s">
        <v>437</v>
      </c>
      <c r="U7" s="7" t="str">
        <f>'Char 1'!$L$34</f>
        <v>ATK%</v>
      </c>
      <c r="V7" s="7">
        <f>'Char 1'!$L$33</f>
        <v>20</v>
      </c>
      <c r="W7" s="7">
        <f>MATCH('Char 1'!$L$35, 'Artifact Database'!$F$1:$F$66, 0)+1</f>
        <v>2</v>
      </c>
      <c r="X7" s="7" cm="1">
        <f t="array" ref="X7">INDEX('Artifact Database'!$F$1:$W$66, Calcs!W7+V7, MATCH(Calcs!U7,'Artifact Database'!$F$1:$W$1, 0))</f>
        <v>46.6</v>
      </c>
      <c r="AB7" s="33"/>
      <c r="AC7" s="34" t="s">
        <v>63</v>
      </c>
      <c r="AD7" s="7">
        <f t="shared" si="0"/>
        <v>39.36</v>
      </c>
      <c r="AE7" s="7">
        <f t="shared" si="1"/>
        <v>39.36</v>
      </c>
      <c r="AF7" s="7">
        <f t="shared" si="2"/>
        <v>39.36</v>
      </c>
      <c r="AG7" s="7">
        <f t="shared" si="3"/>
        <v>39.36</v>
      </c>
      <c r="AH7" s="33"/>
    </row>
    <row r="8" spans="2:34" x14ac:dyDescent="0.25">
      <c r="B8" s="33"/>
      <c r="C8" s="34" t="s">
        <v>64</v>
      </c>
      <c r="D8" s="36">
        <f>X3</f>
        <v>4780</v>
      </c>
      <c r="E8" s="45">
        <v>0</v>
      </c>
      <c r="F8" s="36">
        <f>IFERROR(INDEX(char1Weapons, MATCH(C8, weapons!$A$1:$A$47, 0), MATCH(char1WeaponName, weapons!$A$1:$CV$1, 0)),0)</f>
        <v>0</v>
      </c>
      <c r="G8" s="35">
        <f>IFERROR(INDEX(char1ArtiSetStats, MATCH('Char 1'!$L$14, artisDB!$A$1:$A$53, 0), MATCH(Calcs!C8, artisDB!$A$1:$AP$1, 0))+INDEX(char1ArtiSetStats, MATCH('Char 1'!$L$15, artisDB!$A$1:$A$53, 0), MATCH(Calcs!C8, artisDB!$A$1:$AP$1, 0)),0)</f>
        <v>0</v>
      </c>
      <c r="H8" s="36">
        <f>IFERROR(INDEX('Char 1'!$X$26:$Z$35, MATCH(Calcs!C8, 'Char 1'!$X$26:$X$35, 0), 3)*HLOOKUP('Char 1'!$Z$7, artifactSubstatValues, MATCH(Calcs!C8, 'Artifact Database'!$A$1:$A$11, 0)),0)</f>
        <v>507.88</v>
      </c>
      <c r="I8" s="35">
        <f>VLOOKUP(C8, 'Char 1'!$R$5:$T$50, 3,0)</f>
        <v>0</v>
      </c>
      <c r="J8" s="36"/>
      <c r="K8" s="35">
        <f t="shared" si="4"/>
        <v>5287.88</v>
      </c>
      <c r="L8" s="33"/>
      <c r="AB8" s="33"/>
      <c r="AC8" s="34" t="s">
        <v>64</v>
      </c>
      <c r="AD8" s="7">
        <f t="shared" si="0"/>
        <v>5287.88</v>
      </c>
      <c r="AE8" s="7">
        <f t="shared" si="1"/>
        <v>5287.88</v>
      </c>
      <c r="AF8" s="7">
        <f t="shared" si="2"/>
        <v>5287.88</v>
      </c>
      <c r="AG8" s="7">
        <f t="shared" si="3"/>
        <v>5287.88</v>
      </c>
      <c r="AH8" s="33"/>
    </row>
    <row r="9" spans="2:34" x14ac:dyDescent="0.25">
      <c r="B9" s="33"/>
      <c r="C9" s="34" t="s">
        <v>69</v>
      </c>
      <c r="D9" s="36">
        <f>IF(C9=$U$5, $X$5, 0)+IF(C9=$U$6, $X$6, 0)+IF(C9 = $U$7, $X$7, 0)</f>
        <v>0</v>
      </c>
      <c r="E9" s="45">
        <f>IFERROR(VLOOKUP(C9,$T$10:$U$15, 2, 0), 0)</f>
        <v>0</v>
      </c>
      <c r="F9" s="36">
        <f>IFERROR(INDEX(char1Weapons, MATCH(C9, weapons!$A$1:$A$47, 0), MATCH(char1WeaponName, weapons!$A$1:$CV$1, 0)),0)</f>
        <v>0</v>
      </c>
      <c r="G9" s="35">
        <f>IFERROR(INDEX(char1ArtiSetStats, MATCH('Char 1'!$L$14, artisDB!$A$1:$A$53, 0), MATCH(Calcs!C9, artisDB!$A$1:$AP$1, 0))+INDEX(char1ArtiSetStats, MATCH('Char 1'!$L$15, artisDB!$A$1:$A$53, 0), MATCH(Calcs!C9, artisDB!$A$1:$AP$1, 0)),0)</f>
        <v>0</v>
      </c>
      <c r="H9" s="46">
        <f>IFERROR(INDEX('Char 1'!$X$26:$Z$35, MATCH(Calcs!C9, 'Char 1'!$X$26:$X$35, 0), 3)*HLOOKUP('Char 1'!$Z$7, artifactSubstatValues, MATCH(Calcs!C9, 'Artifact Database'!$A$1:$A$11, 0)),0)</f>
        <v>39.64</v>
      </c>
      <c r="I9" s="35">
        <f>VLOOKUP(C9, 'Char 1'!$R$5:$T$50, 3,0)</f>
        <v>0</v>
      </c>
      <c r="J9" s="36"/>
      <c r="K9" s="35">
        <f t="shared" si="4"/>
        <v>39.64</v>
      </c>
      <c r="L9" s="33"/>
      <c r="T9" s="7" t="s">
        <v>796</v>
      </c>
      <c r="U9" s="7">
        <f>MATCH(char1Name, 'Char Stats'!$A$1:$A$735, 0)</f>
        <v>661</v>
      </c>
      <c r="AB9" s="33"/>
      <c r="AC9" s="34" t="s">
        <v>69</v>
      </c>
      <c r="AD9" s="7">
        <f t="shared" si="0"/>
        <v>39.64</v>
      </c>
      <c r="AE9" s="7">
        <f t="shared" si="1"/>
        <v>39.64</v>
      </c>
      <c r="AF9" s="7">
        <f t="shared" si="2"/>
        <v>39.64</v>
      </c>
      <c r="AG9" s="7">
        <f t="shared" si="3"/>
        <v>679.92</v>
      </c>
      <c r="AH9" s="33"/>
    </row>
    <row r="10" spans="2:34" x14ac:dyDescent="0.25">
      <c r="B10" s="33"/>
      <c r="C10" s="34" t="s">
        <v>65</v>
      </c>
      <c r="D10" s="43">
        <f t="shared" ref="D10:D51" si="5">(IF(C10=$U$5, $X$5, 0)+IF(C10=$U$6, $X$6, 0)+IF(C10 = $U$7, $X$7, 0))/100</f>
        <v>1.3980000000000001</v>
      </c>
      <c r="E10" s="39">
        <f ca="1">IFERROR(VLOOKUP(C10,$T$10:$U$15, 2, 0), 0)</f>
        <v>0.28800000000000003</v>
      </c>
      <c r="F10" s="43">
        <f>IFERROR(INDEX(char1Weapons, MATCH(C10, weapons!$A$1:$A$47, 0), MATCH(char1WeaponName, weapons!$A$1:$CV$1, 0)),0)</f>
        <v>0</v>
      </c>
      <c r="G10" s="81">
        <f>IFERROR(INDEX(char1ArtiSetStats, MATCH('Char 1'!$L$14, artisDB!$A$1:$A$53, 0), MATCH(Calcs!C10, artisDB!$A$1:$AP$1, 0))+INDEX(char1ArtiSetStats, MATCH('Char 1'!$L$15, artisDB!$A$1:$A$53, 0), MATCH(Calcs!C10, artisDB!$A$1:$AP$1, 0)),0)</f>
        <v>0</v>
      </c>
      <c r="H10" s="43">
        <f>IFERROR(INDEX('Char 1'!$X$26:$Z$35, MATCH(Calcs!C10, 'Char 1'!$X$26:$X$35, 0), 3)*HLOOKUP('Char 1'!$Z$7, artifactSubstatValues, MATCH(Calcs!C10, 'Artifact Database'!$A$1:$A$11, 0)),0)</f>
        <v>9.9199999999999997E-2</v>
      </c>
      <c r="I10" s="81">
        <f>VLOOKUP(C10, 'Char 1'!$R$5:$T$50, 3,0)</f>
        <v>0</v>
      </c>
      <c r="J10" s="36"/>
      <c r="K10" s="81">
        <f t="shared" ca="1" si="4"/>
        <v>1.7852000000000001</v>
      </c>
      <c r="L10" s="33"/>
      <c r="T10" s="7" t="s">
        <v>405</v>
      </c>
      <c r="U10" s="7" cm="1">
        <f t="array" ref="U10">INDEX('Char Stats'!$A$1:$G$735, MATCH(Calcs!$Q$5, 'Char Stats'!$A$1:$A$15, 0)+$U$9-1, MATCH(Calcs!T10, 'Char Stats'!$A$1:$G$1, 0))</f>
        <v>12993</v>
      </c>
      <c r="AB10" s="33"/>
      <c r="AC10" s="34" t="s">
        <v>65</v>
      </c>
      <c r="AD10" s="103">
        <f t="shared" ca="1" si="0"/>
        <v>1.7852000000000001</v>
      </c>
      <c r="AE10" s="103">
        <f t="shared" si="1"/>
        <v>1.0773999999999999</v>
      </c>
      <c r="AF10" s="103">
        <f t="shared" si="2"/>
        <v>0.61480000000000001</v>
      </c>
      <c r="AG10" s="103">
        <f t="shared" si="3"/>
        <v>0.59519999999999995</v>
      </c>
      <c r="AH10" s="33"/>
    </row>
    <row r="11" spans="2:34" x14ac:dyDescent="0.25">
      <c r="B11" s="33"/>
      <c r="C11" s="34" t="s">
        <v>66</v>
      </c>
      <c r="D11" s="43">
        <f t="shared" si="5"/>
        <v>0</v>
      </c>
      <c r="E11" s="39">
        <f t="shared" ref="E11:E51" si="6">IFERROR(VLOOKUP(C11,$T$10:$U$15, 2, 0), 0)</f>
        <v>0</v>
      </c>
      <c r="F11" s="43">
        <f>IFERROR(INDEX(char1Weapons, MATCH(C11, weapons!$A$1:$A$47, 0), MATCH(char1WeaponName, weapons!$A$1:$CV$1, 0)),0)</f>
        <v>0</v>
      </c>
      <c r="G11" s="81">
        <f>IFERROR(INDEX(char1ArtiSetStats, MATCH('Char 1'!$L$14, artisDB!$A$1:$A$53, 0), MATCH(Calcs!C11, artisDB!$A$1:$AP$1, 0))+INDEX(char1ArtiSetStats, MATCH('Char 1'!$L$15, artisDB!$A$1:$A$53, 0), MATCH(Calcs!C11, artisDB!$A$1:$AP$1, 0)),0)</f>
        <v>0</v>
      </c>
      <c r="H11" s="43">
        <f>IFERROR(INDEX('Char 1'!$X$26:$Z$35, MATCH(Calcs!C11, 'Char 1'!$X$26:$X$35, 0), 3)*HLOOKUP('Char 1'!$Z$7, artifactSubstatValues, MATCH(Calcs!C11, 'Artifact Database'!$A$1:$A$11, 0)),0)</f>
        <v>0.124</v>
      </c>
      <c r="I11" s="81">
        <f>VLOOKUP(C11, 'Char 1'!$R$5:$T$50, 3,0)</f>
        <v>0</v>
      </c>
      <c r="J11" s="36"/>
      <c r="K11" s="81">
        <f t="shared" si="4"/>
        <v>0.124</v>
      </c>
      <c r="L11" s="33"/>
      <c r="T11" s="7" t="s">
        <v>406</v>
      </c>
      <c r="U11" s="7" cm="1">
        <f t="array" ref="U11">INDEX('Char Stats'!$A$1:$G$735, MATCH(Calcs!$Q$5, 'Char Stats'!$A$1:$A$15, 0)+$U$9-1, MATCH(Calcs!T11, 'Char Stats'!$A$1:$G$1, 0))</f>
        <v>304</v>
      </c>
      <c r="AB11" s="33"/>
      <c r="AC11" s="34" t="s">
        <v>66</v>
      </c>
      <c r="AD11" s="103">
        <f t="shared" si="0"/>
        <v>0.124</v>
      </c>
      <c r="AE11" s="103">
        <f t="shared" si="1"/>
        <v>0.124</v>
      </c>
      <c r="AF11" s="103">
        <f t="shared" si="2"/>
        <v>0.124</v>
      </c>
      <c r="AG11" s="103">
        <f t="shared" si="3"/>
        <v>0.124</v>
      </c>
      <c r="AH11" s="33"/>
    </row>
    <row r="12" spans="2:34" x14ac:dyDescent="0.25">
      <c r="B12" s="33"/>
      <c r="C12" s="34" t="s">
        <v>67</v>
      </c>
      <c r="D12" s="43">
        <f t="shared" si="5"/>
        <v>0</v>
      </c>
      <c r="E12" s="39">
        <f t="shared" si="6"/>
        <v>0</v>
      </c>
      <c r="F12" s="43">
        <f>IFERROR(INDEX(char1Weapons, MATCH(C12, weapons!$A$1:$A$47, 0), MATCH(char1WeaponName, weapons!$A$1:$CV$1, 0)),0)</f>
        <v>0</v>
      </c>
      <c r="G12" s="81">
        <f>IFERROR(INDEX(char1ArtiSetStats, MATCH('Char 1'!$L$14, artisDB!$A$1:$A$53, 0), MATCH(Calcs!C12, artisDB!$A$1:$AP$1, 0))+INDEX(char1ArtiSetStats, MATCH('Char 1'!$L$15, artisDB!$A$1:$A$53, 0), MATCH(Calcs!C12, artisDB!$A$1:$AP$1, 0)),0)</f>
        <v>0</v>
      </c>
      <c r="H12" s="43">
        <f>IFERROR(INDEX('Char 1'!$X$26:$Z$35, MATCH(Calcs!C12, 'Char 1'!$X$26:$X$35, 0), 3)*HLOOKUP('Char 1'!$Z$7, artifactSubstatValues, MATCH(Calcs!C12, 'Artifact Database'!$A$1:$A$11, 0)),0)</f>
        <v>9.9199999999999997E-2</v>
      </c>
      <c r="I12" s="81">
        <f>VLOOKUP(C12, 'Char 1'!$R$5:$T$50, 3,0)</f>
        <v>0</v>
      </c>
      <c r="J12" s="36"/>
      <c r="K12" s="81">
        <f t="shared" si="4"/>
        <v>9.9199999999999997E-2</v>
      </c>
      <c r="L12" s="33"/>
      <c r="O12" s="32"/>
      <c r="P12" s="32"/>
      <c r="Q12" s="32"/>
      <c r="T12" s="7" t="s">
        <v>407</v>
      </c>
      <c r="U12" s="7" cm="1">
        <f t="array" ref="U12">INDEX('Char Stats'!$A$1:$G$735, MATCH(Calcs!$Q$5, 'Char Stats'!$A$1:$A$15, 0)+$U$9-1, MATCH(Calcs!T12, 'Char Stats'!$A$1:$G$1, 0))</f>
        <v>830</v>
      </c>
      <c r="AB12" s="33"/>
      <c r="AC12" s="34" t="s">
        <v>67</v>
      </c>
      <c r="AD12" s="103">
        <f t="shared" si="0"/>
        <v>9.9199999999999997E-2</v>
      </c>
      <c r="AE12" s="103">
        <f t="shared" si="1"/>
        <v>9.9199999999999997E-2</v>
      </c>
      <c r="AF12" s="103">
        <f t="shared" si="2"/>
        <v>0.71219999999999994</v>
      </c>
      <c r="AG12" s="103">
        <f t="shared" si="3"/>
        <v>9.9199999999999997E-2</v>
      </c>
      <c r="AH12" s="33"/>
    </row>
    <row r="13" spans="2:34" x14ac:dyDescent="0.25">
      <c r="B13" s="33"/>
      <c r="C13" s="34" t="s">
        <v>408</v>
      </c>
      <c r="D13" s="43">
        <f t="shared" si="5"/>
        <v>0</v>
      </c>
      <c r="E13" s="39">
        <f t="shared" ca="1" si="6"/>
        <v>0.05</v>
      </c>
      <c r="F13" s="43">
        <f>IFERROR(INDEX(char1Weapons, MATCH(C13, weapons!$A$1:$A$47, 0), MATCH(char1WeaponName, weapons!$A$1:$CV$1, 0)),0)</f>
        <v>0</v>
      </c>
      <c r="G13" s="81">
        <f>IFERROR(INDEX(char1ArtiSetStats, MATCH('Char 1'!$L$14, artisDB!$A$1:$A$53, 0), MATCH(Calcs!C13, artisDB!$A$1:$AP$1, 0))+INDEX(char1ArtiSetStats, MATCH('Char 1'!$L$15, artisDB!$A$1:$A$53, 0), MATCH(Calcs!C13, artisDB!$A$1:$AP$1, 0)),0)</f>
        <v>0</v>
      </c>
      <c r="H13" s="43">
        <f>IFERROR(INDEX('Char 1'!$X$26:$Z$35, MATCH(Calcs!C13, 'Char 1'!$X$26:$X$35, 0), 3)*HLOOKUP('Char 1'!$Z$7, artifactSubstatValues, MATCH(Calcs!C13, 'Artifact Database'!$A$1:$A$11, 0)),0)</f>
        <v>0.36409999999999998</v>
      </c>
      <c r="I13" s="81">
        <f>VLOOKUP(C13, 'Char 1'!$R$5:$T$50, 3,0)</f>
        <v>0.15</v>
      </c>
      <c r="J13" s="36"/>
      <c r="K13" s="81">
        <f ca="1">IF(SUM(D13:J13)&gt;100%, 100%, IF(SUM(D13:J13)&lt;0%, 0%, SUM(D13:J13)))</f>
        <v>0.56409999999999993</v>
      </c>
      <c r="L13" s="33"/>
      <c r="N13" s="33"/>
      <c r="O13" s="33"/>
      <c r="P13" s="33"/>
      <c r="Q13" s="33"/>
      <c r="R13" s="33"/>
      <c r="T13" s="7" t="str" cm="1">
        <f t="array" ref="T13">INDEX('Char Stats'!$A$1:$G$735, Calcs!$U$9, 5)</f>
        <v>ATK%</v>
      </c>
      <c r="U13" s="103">
        <f ca="1">INDEX(INDIRECT(char1Name&amp;"BaseStats"), MATCH(char1Level,  INDEX(INDIRECT(char1Name&amp;"BaseStats"), 0, 1), 0), MATCH(T13, INDEX(INDIRECT(char1Name&amp;"BaseStats"), 1, 0), 0))*IF(NOT(T13="EM"), 0.01, 1)</f>
        <v>0.28800000000000003</v>
      </c>
      <c r="AB13" s="33"/>
      <c r="AC13" s="34" t="s">
        <v>408</v>
      </c>
      <c r="AD13" s="103">
        <f t="shared" ca="1" si="0"/>
        <v>0.56409999999999993</v>
      </c>
      <c r="AE13" s="103">
        <f t="shared" ca="1" si="1"/>
        <v>0.59719999999999995</v>
      </c>
      <c r="AF13" s="103">
        <f t="shared" ca="1" si="2"/>
        <v>0.70960000000000001</v>
      </c>
      <c r="AG13" s="103">
        <f t="shared" ca="1" si="3"/>
        <v>0.39859999999999995</v>
      </c>
      <c r="AH13" s="33"/>
    </row>
    <row r="14" spans="2:34" x14ac:dyDescent="0.25">
      <c r="B14" s="33"/>
      <c r="C14" s="34" t="s">
        <v>409</v>
      </c>
      <c r="D14" s="43">
        <f t="shared" si="5"/>
        <v>0</v>
      </c>
      <c r="E14" s="39">
        <f t="shared" ca="1" si="6"/>
        <v>0.5</v>
      </c>
      <c r="F14" s="43">
        <f>IFERROR(INDEX(char1Weapons, MATCH(C14, weapons!$A$1:$A$47, 0), MATCH(char1WeaponName, weapons!$A$1:$CV$1, 0)),0)</f>
        <v>0</v>
      </c>
      <c r="G14" s="81">
        <f>IFERROR(INDEX(char1ArtiSetStats, MATCH('Char 1'!$L$14, artisDB!$A$1:$A$53, 0), MATCH(Calcs!C14, artisDB!$A$1:$AP$1, 0))+INDEX(char1ArtiSetStats, MATCH('Char 1'!$L$15, artisDB!$A$1:$A$53, 0), MATCH(Calcs!C14, artisDB!$A$1:$AP$1, 0)),0)</f>
        <v>0</v>
      </c>
      <c r="H14" s="43">
        <f>IFERROR(INDEX('Char 1'!$X$26:$Z$35, MATCH(Calcs!C14, 'Char 1'!$X$26:$X$35, 0), 3)*HLOOKUP('Char 1'!$Z$7, artifactSubstatValues, MATCH(Calcs!C14, 'Artifact Database'!$A$1:$A$11, 0)),0)</f>
        <v>0.5958</v>
      </c>
      <c r="I14" s="81">
        <f>VLOOKUP(C14, 'Char 1'!$R$5:$T$50, 3,0)</f>
        <v>0</v>
      </c>
      <c r="J14" s="36"/>
      <c r="K14" s="81">
        <f t="shared" ca="1" si="4"/>
        <v>1.0958000000000001</v>
      </c>
      <c r="L14" s="33"/>
      <c r="N14" s="33"/>
      <c r="O14" s="280" t="s">
        <v>621</v>
      </c>
      <c r="P14" s="280"/>
      <c r="Q14" s="280"/>
      <c r="R14" s="33"/>
      <c r="T14" s="7" t="str" cm="1">
        <f t="array" ref="T14">INDEX('Char Stats'!$A$1:$G$735, Calcs!$U$9, 6)</f>
        <v>CR%</v>
      </c>
      <c r="U14" s="103">
        <f ca="1">INDEX(INDIRECT(char1Name&amp;"BaseStats"), MATCH(char1Level,  INDEX(INDIRECT(char1Name&amp;"BaseStats"), 0, 1), 0), MATCH(T14, INDEX(INDIRECT(char1Name&amp;"BaseStats"), 1, 0), 0))*IF(NOT(T14="EM"), 0.01, 1)</f>
        <v>0.05</v>
      </c>
      <c r="AB14" s="33"/>
      <c r="AC14" s="34" t="s">
        <v>409</v>
      </c>
      <c r="AD14" s="103">
        <f t="shared" ca="1" si="0"/>
        <v>1.0958000000000001</v>
      </c>
      <c r="AE14" s="103">
        <f t="shared" ca="1" si="1"/>
        <v>2.1680000000000001</v>
      </c>
      <c r="AF14" s="103">
        <f t="shared" ca="1" si="2"/>
        <v>1.2944</v>
      </c>
      <c r="AG14" s="103">
        <f t="shared" ca="1" si="3"/>
        <v>0.76479999999999992</v>
      </c>
      <c r="AH14" s="33"/>
    </row>
    <row r="15" spans="2:34" x14ac:dyDescent="0.25">
      <c r="B15" s="33"/>
      <c r="C15" s="34" t="s">
        <v>68</v>
      </c>
      <c r="D15" s="43">
        <f t="shared" si="5"/>
        <v>0</v>
      </c>
      <c r="E15" s="39">
        <f t="shared" si="6"/>
        <v>0</v>
      </c>
      <c r="F15" s="43">
        <f>IFERROR(INDEX(char1Weapons, MATCH(C15, weapons!$A$1:$A$47, 0), MATCH(char1WeaponName, weapons!$A$1:$CV$1, 0)),0)</f>
        <v>0.30599999999999999</v>
      </c>
      <c r="G15" s="81">
        <f>IFERROR(INDEX(char1ArtiSetStats, MATCH('Char 1'!$L$14, artisDB!$A$1:$A$53, 0), MATCH(Calcs!C15, artisDB!$A$1:$AP$1, 0))+INDEX(char1ArtiSetStats, MATCH('Char 1'!$L$15, artisDB!$A$1:$A$53, 0), MATCH(Calcs!C15, artisDB!$A$1:$AP$1, 0)),0)</f>
        <v>0</v>
      </c>
      <c r="H15" s="43">
        <f>IFERROR(INDEX('Char 1'!$X$26:$Z$35, MATCH(Calcs!C15, 'Char 1'!$X$26:$X$35, 0), 3)*HLOOKUP('Char 1'!$Z$7, artifactSubstatValues, MATCH(Calcs!C15, 'Artifact Database'!$A$1:$A$11, 0)),0)</f>
        <v>0.3306</v>
      </c>
      <c r="I15" s="81">
        <f>VLOOKUP(C15, 'Char 1'!$R$5:$T$50, 3,0)</f>
        <v>0</v>
      </c>
      <c r="J15" s="36"/>
      <c r="K15" s="81">
        <f>SUM(D15:J15)+100%</f>
        <v>1.6366000000000001</v>
      </c>
      <c r="L15" s="33"/>
      <c r="N15" s="33"/>
      <c r="O15" s="280"/>
      <c r="P15" s="280"/>
      <c r="Q15" s="280"/>
      <c r="R15" s="33"/>
      <c r="T15" s="7" t="str" cm="1">
        <f t="array" ref="T15">IF(INDEX('Char Stats'!$A$1:$G$735, Calcs!$U$9, 7)=0, "", INDEX('Char Stats'!$A$1:$G$735, Calcs!$U$9, 7))</f>
        <v>CDMG%</v>
      </c>
      <c r="U15" s="103">
        <f ca="1">INDEX(INDIRECT(char1Name&amp;"BaseStats"), MATCH(char1Level, INDEX(INDIRECT(char1Name&amp;"BaseStats"), 0, 1), 0), MATCH(T15, INDEX(INDIRECT(char1Name&amp;"BaseStats"), 1, 0), 0))*IF(NOT(T15="EM"), 0.01, 1)</f>
        <v>0.5</v>
      </c>
      <c r="AB15" s="33"/>
      <c r="AC15" s="34" t="s">
        <v>68</v>
      </c>
      <c r="AD15" s="103">
        <f t="shared" si="0"/>
        <v>1.6366000000000001</v>
      </c>
      <c r="AE15" s="103">
        <f t="shared" si="1"/>
        <v>1.1102000000000001</v>
      </c>
      <c r="AF15" s="103">
        <f t="shared" ca="1" si="2"/>
        <v>1.7057</v>
      </c>
      <c r="AG15" s="103">
        <f t="shared" ca="1" si="3"/>
        <v>2.0432000000000001</v>
      </c>
      <c r="AH15" s="33"/>
    </row>
    <row r="16" spans="2:34" x14ac:dyDescent="0.25">
      <c r="B16" s="33"/>
      <c r="C16" s="34" t="s">
        <v>82</v>
      </c>
      <c r="D16" s="43">
        <f t="shared" si="5"/>
        <v>0</v>
      </c>
      <c r="E16" s="39">
        <f t="shared" si="6"/>
        <v>0</v>
      </c>
      <c r="F16" s="43">
        <f>IFERROR(INDEX(char1Weapons, MATCH(C16, weapons!$A$1:$A$47, 0), MATCH(char1WeaponName, weapons!$A$1:$CV$1, 0)),0)</f>
        <v>0</v>
      </c>
      <c r="G16" s="81">
        <f>IFERROR(INDEX(char1ArtiSetStats, MATCH('Char 1'!$L$14, artisDB!$A$1:$A$53, 0), MATCH(Calcs!C16, artisDB!$A$1:$AP$1, 0))+INDEX(char1ArtiSetStats, MATCH('Char 1'!$L$15, artisDB!$A$1:$A$53, 0), MATCH(Calcs!C16, artisDB!$A$1:$AP$1, 0)),0)</f>
        <v>0</v>
      </c>
      <c r="H16" s="43">
        <f>IFERROR(INDEX('Char 1'!$X$26:$Z$35, MATCH(Calcs!C16, 'Char 1'!$X$26:$X$35, 0), 3)*HLOOKUP('Char 1'!$Z$7, artifactSubstatValues, MATCH(Calcs!C16, 'Artifact Database'!$A$1:$A$11, 0)),0)</f>
        <v>0</v>
      </c>
      <c r="I16" s="81">
        <f>VLOOKUP(C16, 'Char 1'!$R$5:$T$50, 3,0)</f>
        <v>0</v>
      </c>
      <c r="J16" s="36"/>
      <c r="K16" s="81">
        <f t="shared" si="4"/>
        <v>0</v>
      </c>
      <c r="L16" s="33"/>
      <c r="N16" s="33"/>
      <c r="O16" s="281" t="s">
        <v>417</v>
      </c>
      <c r="P16" s="281"/>
      <c r="Q16" s="102">
        <f>VALUE(LEFT(Q5, 2))</f>
        <v>90</v>
      </c>
      <c r="R16" s="33"/>
      <c r="AB16" s="33"/>
      <c r="AC16" s="34" t="s">
        <v>82</v>
      </c>
      <c r="AD16" s="103">
        <f t="shared" si="0"/>
        <v>0</v>
      </c>
      <c r="AE16" s="103">
        <f t="shared" si="1"/>
        <v>0</v>
      </c>
      <c r="AF16" s="103">
        <f t="shared" si="2"/>
        <v>0</v>
      </c>
      <c r="AG16" s="103">
        <f t="shared" si="3"/>
        <v>0</v>
      </c>
      <c r="AH16" s="33"/>
    </row>
    <row r="17" spans="2:34" x14ac:dyDescent="0.25">
      <c r="B17" s="33"/>
      <c r="C17" s="34" t="s">
        <v>70</v>
      </c>
      <c r="D17" s="43">
        <f t="shared" si="5"/>
        <v>0</v>
      </c>
      <c r="E17" s="39">
        <f t="shared" si="6"/>
        <v>0</v>
      </c>
      <c r="F17" s="43">
        <f>IFERROR(INDEX(char1Weapons, MATCH(C17, weapons!$A$1:$A$47, 0), MATCH(char1WeaponName, weapons!$A$1:$CV$1, 0)),0)</f>
        <v>0</v>
      </c>
      <c r="G17" s="81">
        <f>IFERROR(INDEX(char1ArtiSetStats, MATCH('Char 1'!$L$14, artisDB!$A$1:$A$53, 0), MATCH(Calcs!C17, artisDB!$A$1:$AP$1, 0))+INDEX(char1ArtiSetStats, MATCH('Char 1'!$L$15, artisDB!$A$1:$A$53, 0), MATCH(Calcs!C17, artisDB!$A$1:$AP$1, 0)),0)</f>
        <v>0</v>
      </c>
      <c r="H17" s="43">
        <f>IFERROR(INDEX('Char 1'!$X$26:$Z$35, MATCH(Calcs!C17, 'Char 1'!$X$26:$X$35, 0), 3)*HLOOKUP('Char 1'!$Z$7, artifactSubstatValues, MATCH(Calcs!C17, 'Artifact Database'!$A$1:$A$11, 0)),0)</f>
        <v>0</v>
      </c>
      <c r="I17" s="81">
        <f>VLOOKUP(C17, 'Char 1'!$R$5:$T$50, 3,0)</f>
        <v>0</v>
      </c>
      <c r="J17" s="36"/>
      <c r="K17" s="81">
        <f t="shared" si="4"/>
        <v>0</v>
      </c>
      <c r="L17" s="33"/>
      <c r="N17" s="33"/>
      <c r="O17" s="281" t="s">
        <v>25</v>
      </c>
      <c r="P17" s="281"/>
      <c r="Q17" s="7">
        <f>'Char 1'!E29</f>
        <v>100</v>
      </c>
      <c r="R17" s="33"/>
      <c r="AB17" s="33"/>
      <c r="AC17" s="34" t="s">
        <v>70</v>
      </c>
      <c r="AD17" s="103">
        <f t="shared" si="0"/>
        <v>0</v>
      </c>
      <c r="AE17" s="103">
        <f t="shared" si="1"/>
        <v>0</v>
      </c>
      <c r="AF17" s="103">
        <f t="shared" si="2"/>
        <v>0</v>
      </c>
      <c r="AG17" s="103">
        <f t="shared" si="3"/>
        <v>0</v>
      </c>
      <c r="AH17" s="33"/>
    </row>
    <row r="18" spans="2:34" x14ac:dyDescent="0.25">
      <c r="B18" s="33"/>
      <c r="C18" s="34" t="s">
        <v>71</v>
      </c>
      <c r="D18" s="43">
        <f t="shared" si="5"/>
        <v>0</v>
      </c>
      <c r="E18" s="39">
        <f t="shared" si="6"/>
        <v>0</v>
      </c>
      <c r="F18" s="43">
        <f>IFERROR(INDEX(char1Weapons, MATCH(C18, weapons!$A$1:$A$47, 0), MATCH(char1WeaponName, weapons!$A$1:$CV$1, 0)),0)</f>
        <v>0</v>
      </c>
      <c r="G18" s="81">
        <f>IFERROR(INDEX(char1ArtiSetStats, MATCH('Char 1'!$L$14, artisDB!$A$1:$A$53, 0), MATCH(Calcs!C18, artisDB!$A$1:$AP$1, 0))+INDEX(char1ArtiSetStats, MATCH('Char 1'!$L$15, artisDB!$A$1:$A$53, 0), MATCH(Calcs!C18, artisDB!$A$1:$AP$1, 0)),0)</f>
        <v>0</v>
      </c>
      <c r="H18" s="43">
        <f>IFERROR(INDEX('Char 1'!$X$26:$Z$35, MATCH(Calcs!C18, 'Char 1'!$X$26:$X$35, 0), 3)*HLOOKUP('Char 1'!$Z$7, artifactSubstatValues, MATCH(Calcs!C18, 'Artifact Database'!$A$1:$A$11, 0)),0)</f>
        <v>0</v>
      </c>
      <c r="I18" s="81">
        <f>VLOOKUP(C18, 'Char 1'!$R$5:$T$50, 3,0)</f>
        <v>0</v>
      </c>
      <c r="J18" s="36"/>
      <c r="K18" s="81">
        <f t="shared" si="4"/>
        <v>0</v>
      </c>
      <c r="L18" s="33"/>
      <c r="N18" s="33"/>
      <c r="O18" s="281" t="s">
        <v>642</v>
      </c>
      <c r="P18" s="281"/>
      <c r="Q18" s="7">
        <f>IF(Q16&lt;60, 0.0002325*Q16^3+0.05547*Q16^2-0.2523*Q16+14.47, 0.00194*Q16^3-0.319*Q16^2+30.7*Q16-868)</f>
        <v>725.3599999999999</v>
      </c>
      <c r="R18" s="33"/>
      <c r="AB18" s="33"/>
      <c r="AC18" s="34" t="s">
        <v>71</v>
      </c>
      <c r="AD18" s="103">
        <f t="shared" si="0"/>
        <v>0</v>
      </c>
      <c r="AE18" s="103">
        <f t="shared" si="1"/>
        <v>0</v>
      </c>
      <c r="AF18" s="103">
        <f t="shared" si="2"/>
        <v>0</v>
      </c>
      <c r="AG18" s="103">
        <f t="shared" si="3"/>
        <v>0.15</v>
      </c>
      <c r="AH18" s="33"/>
    </row>
    <row r="19" spans="2:34" x14ac:dyDescent="0.25">
      <c r="B19" s="33"/>
      <c r="C19" s="34" t="s">
        <v>72</v>
      </c>
      <c r="D19" s="43">
        <f t="shared" si="5"/>
        <v>0</v>
      </c>
      <c r="E19" s="39">
        <f t="shared" si="6"/>
        <v>0</v>
      </c>
      <c r="F19" s="43">
        <f>IFERROR(INDEX(char1Weapons, MATCH(C19, weapons!$A$1:$A$47, 0), MATCH(char1WeaponName, weapons!$A$1:$CV$1, 0)),0)</f>
        <v>0</v>
      </c>
      <c r="G19" s="81">
        <f>IFERROR(INDEX(char1ArtiSetStats, MATCH('Char 1'!$L$14, artisDB!$A$1:$A$53, 0), MATCH(Calcs!C19, artisDB!$A$1:$AP$1, 0))+INDEX(char1ArtiSetStats, MATCH('Char 1'!$L$15, artisDB!$A$1:$A$53, 0), MATCH(Calcs!C19, artisDB!$A$1:$AP$1, 0)),0)</f>
        <v>0</v>
      </c>
      <c r="H19" s="43">
        <f>IFERROR(INDEX('Char 1'!$X$26:$Z$35, MATCH(Calcs!C19, 'Char 1'!$X$26:$X$35, 0), 3)*HLOOKUP('Char 1'!$Z$7, artifactSubstatValues, MATCH(Calcs!C19, 'Artifact Database'!$A$1:$A$11, 0)),0)</f>
        <v>0</v>
      </c>
      <c r="I19" s="81">
        <f>VLOOKUP(C19, 'Char 1'!$R$5:$T$50, 3,0)</f>
        <v>0</v>
      </c>
      <c r="J19" s="36"/>
      <c r="K19" s="81">
        <f t="shared" si="4"/>
        <v>0</v>
      </c>
      <c r="L19" s="33"/>
      <c r="N19" s="33"/>
      <c r="O19" s="33"/>
      <c r="P19" s="33"/>
      <c r="Q19" s="33"/>
      <c r="R19" s="33"/>
      <c r="AB19" s="33"/>
      <c r="AC19" s="34" t="s">
        <v>72</v>
      </c>
      <c r="AD19" s="103">
        <f t="shared" si="0"/>
        <v>0</v>
      </c>
      <c r="AE19" s="103">
        <f t="shared" si="1"/>
        <v>0</v>
      </c>
      <c r="AF19" s="103">
        <f t="shared" si="2"/>
        <v>0</v>
      </c>
      <c r="AG19" s="103">
        <f t="shared" si="3"/>
        <v>0</v>
      </c>
      <c r="AH19" s="33"/>
    </row>
    <row r="20" spans="2:34" x14ac:dyDescent="0.25">
      <c r="B20" s="33"/>
      <c r="C20" s="34" t="s">
        <v>73</v>
      </c>
      <c r="D20" s="43">
        <f t="shared" si="5"/>
        <v>0</v>
      </c>
      <c r="E20" s="39">
        <f t="shared" si="6"/>
        <v>0</v>
      </c>
      <c r="F20" s="43">
        <f>IFERROR(INDEX(char1Weapons, MATCH(C20, weapons!$A$1:$A$47, 0), MATCH(char1WeaponName, weapons!$A$1:$CV$1, 0)),0)</f>
        <v>0</v>
      </c>
      <c r="G20" s="81">
        <f>IFERROR(INDEX(char1ArtiSetStats, MATCH('Char 1'!$L$14, artisDB!$A$1:$A$53, 0), MATCH(Calcs!C20, artisDB!$A$1:$AP$1, 0))+INDEX(char1ArtiSetStats, MATCH('Char 1'!$L$15, artisDB!$A$1:$A$53, 0), MATCH(Calcs!C20, artisDB!$A$1:$AP$1, 0)),0)</f>
        <v>0</v>
      </c>
      <c r="H20" s="43">
        <f>IFERROR(INDEX('Char 1'!$X$26:$Z$35, MATCH(Calcs!C20, 'Char 1'!$X$26:$X$35, 0), 3)*HLOOKUP('Char 1'!$Z$7, artifactSubstatValues, MATCH(Calcs!C20, 'Artifact Database'!$A$1:$A$11, 0)),0)</f>
        <v>0</v>
      </c>
      <c r="I20" s="81">
        <f>VLOOKUP(C20, 'Char 1'!$R$5:$T$50, 3,0)</f>
        <v>0</v>
      </c>
      <c r="J20" s="36"/>
      <c r="K20" s="81">
        <f t="shared" si="4"/>
        <v>0</v>
      </c>
      <c r="L20" s="33"/>
      <c r="AB20" s="33"/>
      <c r="AC20" s="34" t="s">
        <v>73</v>
      </c>
      <c r="AD20" s="103">
        <f t="shared" si="0"/>
        <v>0</v>
      </c>
      <c r="AE20" s="103">
        <f t="shared" si="1"/>
        <v>0</v>
      </c>
      <c r="AF20" s="103">
        <f t="shared" si="2"/>
        <v>0</v>
      </c>
      <c r="AG20" s="103">
        <f t="shared" si="3"/>
        <v>0</v>
      </c>
      <c r="AH20" s="33"/>
    </row>
    <row r="21" spans="2:34" x14ac:dyDescent="0.25">
      <c r="B21" s="33"/>
      <c r="C21" s="34" t="s">
        <v>74</v>
      </c>
      <c r="D21" s="43">
        <f t="shared" si="5"/>
        <v>0</v>
      </c>
      <c r="E21" s="39">
        <f t="shared" si="6"/>
        <v>0</v>
      </c>
      <c r="F21" s="43">
        <f>IFERROR(INDEX(char1Weapons, MATCH(C21, weapons!$A$1:$A$47, 0), MATCH(char1WeaponName, weapons!$A$1:$CV$1, 0)),0)</f>
        <v>0</v>
      </c>
      <c r="G21" s="81">
        <f>IFERROR(INDEX(char1ArtiSetStats, MATCH('Char 1'!$L$14, artisDB!$A$1:$A$53, 0), MATCH(Calcs!C21, artisDB!$A$1:$AP$1, 0))+INDEX(char1ArtiSetStats, MATCH('Char 1'!$L$15, artisDB!$A$1:$A$53, 0), MATCH(Calcs!C21, artisDB!$A$1:$AP$1, 0)),0)</f>
        <v>0</v>
      </c>
      <c r="H21" s="43">
        <f>IFERROR(INDEX('Char 1'!$X$26:$Z$35, MATCH(Calcs!C21, 'Char 1'!$X$26:$X$35, 0), 3)*HLOOKUP('Char 1'!$Z$7, artifactSubstatValues, MATCH(Calcs!C21, 'Artifact Database'!$A$1:$A$11, 0)),0)</f>
        <v>0</v>
      </c>
      <c r="I21" s="81">
        <f>VLOOKUP(C21, 'Char 1'!$R$5:$T$50, 3,0)</f>
        <v>0</v>
      </c>
      <c r="J21" s="36"/>
      <c r="K21" s="81">
        <f t="shared" si="4"/>
        <v>0</v>
      </c>
      <c r="L21" s="33"/>
      <c r="N21" s="33"/>
      <c r="O21" s="33"/>
      <c r="P21" s="33"/>
      <c r="Q21" s="33"/>
      <c r="R21" s="33"/>
      <c r="AB21" s="33"/>
      <c r="AC21" s="34" t="s">
        <v>74</v>
      </c>
      <c r="AD21" s="103">
        <f t="shared" si="0"/>
        <v>0</v>
      </c>
      <c r="AE21" s="103">
        <f t="shared" si="1"/>
        <v>0.61599999999999999</v>
      </c>
      <c r="AF21" s="103">
        <f t="shared" si="2"/>
        <v>0</v>
      </c>
      <c r="AG21" s="103">
        <f t="shared" si="3"/>
        <v>0</v>
      </c>
      <c r="AH21" s="33"/>
    </row>
    <row r="22" spans="2:34" x14ac:dyDescent="0.25">
      <c r="B22" s="33"/>
      <c r="C22" s="34" t="s">
        <v>75</v>
      </c>
      <c r="D22" s="43">
        <f t="shared" si="5"/>
        <v>0</v>
      </c>
      <c r="E22" s="39">
        <f t="shared" si="6"/>
        <v>0</v>
      </c>
      <c r="F22" s="43">
        <f>IFERROR(INDEX(char1Weapons, MATCH(C22, weapons!$A$1:$A$47, 0), MATCH(char1WeaponName, weapons!$A$1:$CV$1, 0)),0)</f>
        <v>0</v>
      </c>
      <c r="G22" s="81">
        <f>IFERROR(INDEX(char1ArtiSetStats, MATCH('Char 1'!$L$14, artisDB!$A$1:$A$53, 0), MATCH(Calcs!C22, artisDB!$A$1:$AP$1, 0))+INDEX(char1ArtiSetStats, MATCH('Char 1'!$L$15, artisDB!$A$1:$A$53, 0), MATCH(Calcs!C22, artisDB!$A$1:$AP$1, 0)),0)</f>
        <v>0</v>
      </c>
      <c r="H22" s="43">
        <f>IFERROR(INDEX('Char 1'!$X$26:$Z$35, MATCH(Calcs!C22, 'Char 1'!$X$26:$X$35, 0), 3)*HLOOKUP('Char 1'!$Z$7, artifactSubstatValues, MATCH(Calcs!C22, 'Artifact Database'!$A$1:$A$11, 0)),0)</f>
        <v>0</v>
      </c>
      <c r="I22" s="81">
        <f>VLOOKUP(C22, 'Char 1'!$R$5:$T$50, 3,0)</f>
        <v>0</v>
      </c>
      <c r="J22" s="36"/>
      <c r="K22" s="81">
        <f t="shared" si="4"/>
        <v>0</v>
      </c>
      <c r="L22" s="33"/>
      <c r="N22" s="33"/>
      <c r="O22" s="280" t="s">
        <v>630</v>
      </c>
      <c r="P22" s="280"/>
      <c r="Q22" s="280"/>
      <c r="R22" s="33"/>
      <c r="AB22" s="33"/>
      <c r="AC22" s="34" t="s">
        <v>75</v>
      </c>
      <c r="AD22" s="103">
        <f t="shared" si="0"/>
        <v>0</v>
      </c>
      <c r="AE22" s="103">
        <f t="shared" si="1"/>
        <v>0</v>
      </c>
      <c r="AF22" s="103">
        <f t="shared" ca="1" si="2"/>
        <v>0.80713999999999997</v>
      </c>
      <c r="AG22" s="103">
        <f t="shared" si="3"/>
        <v>0</v>
      </c>
      <c r="AH22" s="33"/>
    </row>
    <row r="23" spans="2:34" x14ac:dyDescent="0.25">
      <c r="B23" s="33"/>
      <c r="C23" s="34" t="s">
        <v>76</v>
      </c>
      <c r="D23" s="43">
        <f t="shared" si="5"/>
        <v>0</v>
      </c>
      <c r="E23" s="39">
        <f t="shared" si="6"/>
        <v>0</v>
      </c>
      <c r="F23" s="43">
        <f>IFERROR(INDEX(char1Weapons, MATCH(C23, weapons!$A$1:$A$47, 0), MATCH(char1WeaponName, weapons!$A$1:$CV$1, 0)),0)</f>
        <v>0</v>
      </c>
      <c r="G23" s="81">
        <f>IFERROR(INDEX(char1ArtiSetStats, MATCH('Char 1'!$L$14, artisDB!$A$1:$A$53, 0), MATCH(Calcs!C23, artisDB!$A$1:$AP$1, 0))+INDEX(char1ArtiSetStats, MATCH('Char 1'!$L$15, artisDB!$A$1:$A$53, 0), MATCH(Calcs!C23, artisDB!$A$1:$AP$1, 0)),0)</f>
        <v>0</v>
      </c>
      <c r="H23" s="43">
        <f>IFERROR(INDEX('Char 1'!$X$26:$Z$35, MATCH(Calcs!C23, 'Char 1'!$X$26:$X$35, 0), 3)*HLOOKUP('Char 1'!$Z$7, artifactSubstatValues, MATCH(Calcs!C23, 'Artifact Database'!$A$1:$A$11, 0)),0)</f>
        <v>0</v>
      </c>
      <c r="I23" s="81">
        <f>VLOOKUP(C23, 'Char 1'!$R$5:$T$50, 3,0)</f>
        <v>0</v>
      </c>
      <c r="J23" s="36"/>
      <c r="K23" s="81">
        <f t="shared" si="4"/>
        <v>0</v>
      </c>
      <c r="L23" s="33"/>
      <c r="N23" s="33"/>
      <c r="O23" s="280"/>
      <c r="P23" s="280"/>
      <c r="Q23" s="280"/>
      <c r="R23" s="33"/>
      <c r="AB23" s="33"/>
      <c r="AC23" s="34" t="s">
        <v>76</v>
      </c>
      <c r="AD23" s="103">
        <f t="shared" si="0"/>
        <v>0</v>
      </c>
      <c r="AE23" s="103">
        <f t="shared" si="1"/>
        <v>0</v>
      </c>
      <c r="AF23" s="103">
        <f t="shared" si="2"/>
        <v>0</v>
      </c>
      <c r="AG23" s="103">
        <f t="shared" si="3"/>
        <v>0</v>
      </c>
      <c r="AH23" s="33"/>
    </row>
    <row r="24" spans="2:34" x14ac:dyDescent="0.25">
      <c r="B24" s="33"/>
      <c r="C24" s="34" t="s">
        <v>77</v>
      </c>
      <c r="D24" s="43">
        <f t="shared" si="5"/>
        <v>0</v>
      </c>
      <c r="E24" s="39">
        <f t="shared" si="6"/>
        <v>0</v>
      </c>
      <c r="F24" s="43">
        <f>IFERROR(INDEX(char1Weapons, MATCH(C24, weapons!$A$1:$A$47, 0), MATCH(char1WeaponName, weapons!$A$1:$CV$1, 0)),0)</f>
        <v>0</v>
      </c>
      <c r="G24" s="81">
        <f>IFERROR(INDEX(char1ArtiSetStats, MATCH('Char 1'!$L$14, artisDB!$A$1:$A$53, 0), MATCH(Calcs!C24, artisDB!$A$1:$AP$1, 0))+INDEX(char1ArtiSetStats, MATCH('Char 1'!$L$15, artisDB!$A$1:$A$53, 0), MATCH(Calcs!C24, artisDB!$A$1:$AP$1, 0)),0)</f>
        <v>0</v>
      </c>
      <c r="H24" s="43">
        <f>IFERROR(INDEX('Char 1'!$X$26:$Z$35, MATCH(Calcs!C24, 'Char 1'!$X$26:$X$35, 0), 3)*HLOOKUP('Char 1'!$Z$7, artifactSubstatValues, MATCH(Calcs!C24, 'Artifact Database'!$A$1:$A$11, 0)),0)</f>
        <v>0</v>
      </c>
      <c r="I24" s="81">
        <f>VLOOKUP(C24, 'Char 1'!$R$5:$T$50, 3,0)</f>
        <v>0</v>
      </c>
      <c r="J24" s="36"/>
      <c r="K24" s="81">
        <f t="shared" si="4"/>
        <v>0</v>
      </c>
      <c r="L24" s="33"/>
      <c r="N24" s="33"/>
      <c r="O24" s="281" t="s">
        <v>629</v>
      </c>
      <c r="P24" s="281"/>
      <c r="Q24" s="7">
        <f>INDEX(char1Weapons, MATCH("Base ATK", weapons!$A$1:$A$47, 0), MATCH(char1WeaponName, weapons!$A$1:$CV$1, 0))</f>
        <v>565</v>
      </c>
      <c r="R24" s="33"/>
      <c r="AB24" s="33"/>
      <c r="AC24" s="34" t="s">
        <v>77</v>
      </c>
      <c r="AD24" s="103">
        <f t="shared" si="0"/>
        <v>0</v>
      </c>
      <c r="AE24" s="103">
        <f t="shared" si="1"/>
        <v>0</v>
      </c>
      <c r="AF24" s="103">
        <f t="shared" si="2"/>
        <v>0</v>
      </c>
      <c r="AG24" s="103">
        <f t="shared" si="3"/>
        <v>0</v>
      </c>
      <c r="AH24" s="33"/>
    </row>
    <row r="25" spans="2:34" x14ac:dyDescent="0.25">
      <c r="B25" s="33"/>
      <c r="C25" s="34" t="s">
        <v>78</v>
      </c>
      <c r="D25" s="43">
        <f t="shared" si="5"/>
        <v>0</v>
      </c>
      <c r="E25" s="39">
        <f t="shared" si="6"/>
        <v>0</v>
      </c>
      <c r="F25" s="43">
        <f>IFERROR(INDEX(char1Weapons, MATCH(C25, weapons!$A$1:$A$47, 0), MATCH(char1WeaponName, weapons!$A$1:$CV$1, 0)),0)</f>
        <v>0</v>
      </c>
      <c r="G25" s="81">
        <f>IFERROR(INDEX(char1ArtiSetStats, MATCH('Char 1'!$L$14, artisDB!$A$1:$A$53, 0), MATCH(Calcs!C25, artisDB!$A$1:$AP$1, 0))+INDEX(char1ArtiSetStats, MATCH('Char 1'!$L$15, artisDB!$A$1:$A$53, 0), MATCH(Calcs!C25, artisDB!$A$1:$AP$1, 0)),0)</f>
        <v>0</v>
      </c>
      <c r="H25" s="43">
        <f>IFERROR(INDEX('Char 1'!$X$26:$Z$35, MATCH(Calcs!C25, 'Char 1'!$X$26:$X$35, 0), 3)*HLOOKUP('Char 1'!$Z$7, artifactSubstatValues, MATCH(Calcs!C25, 'Artifact Database'!$A$1:$A$11, 0)),0)</f>
        <v>0</v>
      </c>
      <c r="I25" s="81">
        <f>VLOOKUP(C25, 'Char 1'!$R$5:$T$50, 3,0)</f>
        <v>0</v>
      </c>
      <c r="J25" s="36"/>
      <c r="K25" s="81">
        <f t="shared" si="4"/>
        <v>0</v>
      </c>
      <c r="L25" s="33"/>
      <c r="N25" s="33"/>
      <c r="O25" s="281" t="s">
        <v>622</v>
      </c>
      <c r="P25" s="281"/>
      <c r="Q25" s="7">
        <f>U11</f>
        <v>304</v>
      </c>
      <c r="R25" s="33"/>
      <c r="AB25" s="33"/>
      <c r="AC25" s="34" t="s">
        <v>78</v>
      </c>
      <c r="AD25" s="103">
        <f t="shared" si="0"/>
        <v>0</v>
      </c>
      <c r="AE25" s="103">
        <f t="shared" si="1"/>
        <v>0</v>
      </c>
      <c r="AF25" s="103">
        <f t="shared" si="2"/>
        <v>0</v>
      </c>
      <c r="AG25" s="103">
        <f t="shared" si="3"/>
        <v>0</v>
      </c>
      <c r="AH25" s="33"/>
    </row>
    <row r="26" spans="2:34" x14ac:dyDescent="0.25">
      <c r="B26" s="33"/>
      <c r="C26" s="34" t="s">
        <v>79</v>
      </c>
      <c r="D26" s="43">
        <f t="shared" si="5"/>
        <v>0</v>
      </c>
      <c r="E26" s="39">
        <f t="shared" si="6"/>
        <v>0</v>
      </c>
      <c r="F26" s="43">
        <f>IFERROR(INDEX(char1Weapons, MATCH(C26, weapons!$A$1:$A$47, 0), MATCH(char1WeaponName, weapons!$A$1:$CV$1, 0)),0)</f>
        <v>0</v>
      </c>
      <c r="G26" s="81">
        <f>IFERROR(INDEX(char1ArtiSetStats, MATCH('Char 1'!$L$14, artisDB!$A$1:$A$53, 0), MATCH(Calcs!C26, artisDB!$A$1:$AP$1, 0))+INDEX(char1ArtiSetStats, MATCH('Char 1'!$L$15, artisDB!$A$1:$A$53, 0), MATCH(Calcs!C26, artisDB!$A$1:$AP$1, 0)),0)</f>
        <v>0</v>
      </c>
      <c r="H26" s="43">
        <f>IFERROR(INDEX('Char 1'!$X$26:$Z$35, MATCH(Calcs!C26, 'Char 1'!$X$26:$X$35, 0), 3)*HLOOKUP('Char 1'!$Z$7, artifactSubstatValues, MATCH(Calcs!C26, 'Artifact Database'!$A$1:$A$11, 0)),0)</f>
        <v>0</v>
      </c>
      <c r="I26" s="81">
        <f>VLOOKUP(C26, 'Char 1'!$R$5:$T$50, 3,0)</f>
        <v>0</v>
      </c>
      <c r="J26" s="36"/>
      <c r="K26" s="81">
        <f t="shared" si="4"/>
        <v>0</v>
      </c>
      <c r="L26" s="33"/>
      <c r="N26" s="33"/>
      <c r="O26" s="281" t="s">
        <v>631</v>
      </c>
      <c r="P26" s="281"/>
      <c r="Q26" s="7">
        <f>U12</f>
        <v>830</v>
      </c>
      <c r="R26" s="33"/>
      <c r="AB26" s="33"/>
      <c r="AC26" s="34" t="s">
        <v>79</v>
      </c>
      <c r="AD26" s="103">
        <f t="shared" si="0"/>
        <v>0</v>
      </c>
      <c r="AE26" s="103">
        <f t="shared" si="1"/>
        <v>0</v>
      </c>
      <c r="AF26" s="103">
        <f t="shared" si="2"/>
        <v>0</v>
      </c>
      <c r="AG26" s="103">
        <f t="shared" si="3"/>
        <v>0</v>
      </c>
      <c r="AH26" s="33"/>
    </row>
    <row r="27" spans="2:34" x14ac:dyDescent="0.25">
      <c r="B27" s="33"/>
      <c r="C27" s="34" t="s">
        <v>80</v>
      </c>
      <c r="D27" s="43">
        <f t="shared" si="5"/>
        <v>0</v>
      </c>
      <c r="E27" s="39">
        <f t="shared" si="6"/>
        <v>0</v>
      </c>
      <c r="F27" s="43">
        <f>IFERROR(INDEX(char1Weapons, MATCH(C27, weapons!$A$1:$A$47, 0), MATCH(char1WeaponName, weapons!$A$1:$CV$1, 0)),0)</f>
        <v>0</v>
      </c>
      <c r="G27" s="81">
        <f>IFERROR(INDEX(char1ArtiSetStats, MATCH('Char 1'!$L$14, artisDB!$A$1:$A$53, 0), MATCH(Calcs!C27, artisDB!$A$1:$AP$1, 0))+INDEX(char1ArtiSetStats, MATCH('Char 1'!$L$15, artisDB!$A$1:$A$53, 0), MATCH(Calcs!C27, artisDB!$A$1:$AP$1, 0)),0)</f>
        <v>0</v>
      </c>
      <c r="H27" s="43">
        <f>IFERROR(INDEX('Char 1'!$X$26:$Z$35, MATCH(Calcs!C27, 'Char 1'!$X$26:$X$35, 0), 3)*HLOOKUP('Char 1'!$Z$7, artifactSubstatValues, MATCH(Calcs!C27, 'Artifact Database'!$A$1:$A$11, 0)),0)</f>
        <v>0</v>
      </c>
      <c r="I27" s="81">
        <f>VLOOKUP(C27, 'Char 1'!$R$5:$T$50, 3,0)</f>
        <v>0</v>
      </c>
      <c r="J27" s="36"/>
      <c r="K27" s="81">
        <f t="shared" si="4"/>
        <v>0</v>
      </c>
      <c r="L27" s="33"/>
      <c r="N27" s="33"/>
      <c r="O27" s="281" t="s">
        <v>632</v>
      </c>
      <c r="P27" s="281"/>
      <c r="Q27" s="7">
        <f>U10</f>
        <v>12993</v>
      </c>
      <c r="R27" s="33"/>
      <c r="AB27" s="33"/>
      <c r="AC27" s="34" t="s">
        <v>80</v>
      </c>
      <c r="AD27" s="103">
        <f t="shared" si="0"/>
        <v>0</v>
      </c>
      <c r="AE27" s="103">
        <f t="shared" si="1"/>
        <v>0</v>
      </c>
      <c r="AF27" s="103">
        <f t="shared" si="2"/>
        <v>0</v>
      </c>
      <c r="AG27" s="103">
        <f t="shared" si="3"/>
        <v>0</v>
      </c>
      <c r="AH27" s="33"/>
    </row>
    <row r="28" spans="2:34" x14ac:dyDescent="0.25">
      <c r="B28" s="33"/>
      <c r="C28" s="34" t="s">
        <v>81</v>
      </c>
      <c r="D28" s="43">
        <f t="shared" si="5"/>
        <v>0</v>
      </c>
      <c r="E28" s="39">
        <f t="shared" si="6"/>
        <v>0</v>
      </c>
      <c r="F28" s="43">
        <f>IFERROR(INDEX(char1Weapons, MATCH(C28, weapons!$A$1:$A$47, 0), MATCH(char1WeaponName, weapons!$A$1:$CV$1, 0)),0)</f>
        <v>0</v>
      </c>
      <c r="G28" s="81">
        <f>IFERROR(INDEX(char1ArtiSetStats, MATCH('Char 1'!$L$14, artisDB!$A$1:$A$53, 0), MATCH(Calcs!C28, artisDB!$A$1:$AP$1, 0))+INDEX(char1ArtiSetStats, MATCH('Char 1'!$L$15, artisDB!$A$1:$A$53, 0), MATCH(Calcs!C28, artisDB!$A$1:$AP$1, 0)),0)</f>
        <v>0.2</v>
      </c>
      <c r="H28" s="43">
        <f>IFERROR(INDEX('Char 1'!$X$26:$Z$35, MATCH(Calcs!C28, 'Char 1'!$X$26:$X$35, 0), 3)*HLOOKUP('Char 1'!$Z$7, artifactSubstatValues, MATCH(Calcs!C28, 'Artifact Database'!$A$1:$A$11, 0)),0)</f>
        <v>0</v>
      </c>
      <c r="I28" s="81">
        <f>VLOOKUP(C28, 'Char 1'!$R$5:$T$50, 3,0)</f>
        <v>0</v>
      </c>
      <c r="J28" s="36"/>
      <c r="K28" s="81">
        <f t="shared" si="4"/>
        <v>0.2</v>
      </c>
      <c r="L28" s="33"/>
      <c r="N28" s="33"/>
      <c r="O28" s="33"/>
      <c r="P28" s="33"/>
      <c r="Q28" s="33"/>
      <c r="R28" s="33"/>
      <c r="AB28" s="33"/>
      <c r="AC28" s="34" t="s">
        <v>81</v>
      </c>
      <c r="AD28" s="103">
        <f t="shared" si="0"/>
        <v>0.2</v>
      </c>
      <c r="AE28" s="103">
        <f t="shared" si="1"/>
        <v>0</v>
      </c>
      <c r="AF28" s="103">
        <f t="shared" si="2"/>
        <v>0</v>
      </c>
      <c r="AG28" s="103">
        <f t="shared" si="3"/>
        <v>0</v>
      </c>
      <c r="AH28" s="33"/>
    </row>
    <row r="29" spans="2:34" x14ac:dyDescent="0.25">
      <c r="B29" s="33"/>
      <c r="C29" s="34" t="s">
        <v>83</v>
      </c>
      <c r="D29" s="43">
        <f t="shared" si="5"/>
        <v>0</v>
      </c>
      <c r="E29" s="39">
        <f t="shared" si="6"/>
        <v>0</v>
      </c>
      <c r="F29" s="43">
        <f>IFERROR(INDEX(char1Weapons, MATCH(C29, weapons!$A$1:$A$47, 0), MATCH(char1WeaponName, weapons!$A$1:$CV$1, 0)),0)</f>
        <v>0</v>
      </c>
      <c r="G29" s="81">
        <f>IFERROR(INDEX(char1ArtiSetStats, MATCH('Char 1'!$L$14, artisDB!$A$1:$A$53, 0), MATCH(Calcs!C29, artisDB!$A$1:$AP$1, 0))+INDEX(char1ArtiSetStats, MATCH('Char 1'!$L$15, artisDB!$A$1:$A$53, 0), MATCH(Calcs!C29, artisDB!$A$1:$AP$1, 0)),0)</f>
        <v>0</v>
      </c>
      <c r="H29" s="43">
        <f>IFERROR(INDEX('Char 1'!$X$26:$Z$35, MATCH(Calcs!C29, 'Char 1'!$X$26:$X$35, 0), 3)*HLOOKUP('Char 1'!$Z$7, artifactSubstatValues, MATCH(Calcs!C29, 'Artifact Database'!$A$1:$A$11, 0)),0)</f>
        <v>0</v>
      </c>
      <c r="I29" s="81">
        <f>VLOOKUP(C29, 'Char 1'!$R$5:$T$50, 3,0)</f>
        <v>0</v>
      </c>
      <c r="J29" s="36"/>
      <c r="K29" s="81">
        <f t="shared" si="4"/>
        <v>0</v>
      </c>
      <c r="L29" s="33"/>
      <c r="AB29" s="33"/>
      <c r="AC29" s="34" t="s">
        <v>83</v>
      </c>
      <c r="AD29" s="103">
        <f t="shared" si="0"/>
        <v>0</v>
      </c>
      <c r="AE29" s="103">
        <f t="shared" si="1"/>
        <v>0</v>
      </c>
      <c r="AF29" s="103">
        <f t="shared" si="2"/>
        <v>0</v>
      </c>
      <c r="AG29" s="103">
        <f t="shared" si="3"/>
        <v>0.6</v>
      </c>
      <c r="AH29" s="33"/>
    </row>
    <row r="30" spans="2:34" x14ac:dyDescent="0.25">
      <c r="B30" s="33"/>
      <c r="C30" s="34" t="s">
        <v>84</v>
      </c>
      <c r="D30" s="43">
        <f t="shared" si="5"/>
        <v>0</v>
      </c>
      <c r="E30" s="39">
        <f t="shared" si="6"/>
        <v>0</v>
      </c>
      <c r="F30" s="43">
        <f>IFERROR(INDEX(char1Weapons, MATCH(C30, weapons!$A$1:$A$47, 0), MATCH(char1WeaponName, weapons!$A$1:$CV$1, 0)),0)</f>
        <v>0</v>
      </c>
      <c r="G30" s="81">
        <f>IFERROR(INDEX(char1ArtiSetStats, MATCH('Char 1'!$L$14, artisDB!$A$1:$A$53, 0), MATCH(Calcs!C30, artisDB!$A$1:$AP$1, 0))+INDEX(char1ArtiSetStats, MATCH('Char 1'!$L$15, artisDB!$A$1:$A$53, 0), MATCH(Calcs!C30, artisDB!$A$1:$AP$1, 0)),0)</f>
        <v>0</v>
      </c>
      <c r="H30" s="43">
        <f>IFERROR(INDEX('Char 1'!$X$26:$Z$35, MATCH(Calcs!C30, 'Char 1'!$X$26:$X$35, 0), 3)*HLOOKUP('Char 1'!$Z$7, artifactSubstatValues, MATCH(Calcs!C30, 'Artifact Database'!$A$1:$A$11, 0)),0)</f>
        <v>0</v>
      </c>
      <c r="I30" s="81">
        <f>VLOOKUP(C30, 'Char 1'!$R$5:$T$50, 3,0)</f>
        <v>0</v>
      </c>
      <c r="J30" s="36"/>
      <c r="K30" s="81">
        <f t="shared" si="4"/>
        <v>0</v>
      </c>
      <c r="L30" s="33"/>
      <c r="N30" s="33"/>
      <c r="O30" s="33"/>
      <c r="P30" s="33"/>
      <c r="Q30" s="33"/>
      <c r="R30" s="33"/>
      <c r="AB30" s="33"/>
      <c r="AC30" s="34" t="s">
        <v>84</v>
      </c>
      <c r="AD30" s="103">
        <f t="shared" si="0"/>
        <v>0</v>
      </c>
      <c r="AE30" s="103">
        <f t="shared" si="1"/>
        <v>0</v>
      </c>
      <c r="AF30" s="103">
        <f t="shared" si="2"/>
        <v>0</v>
      </c>
      <c r="AG30" s="103">
        <f t="shared" si="3"/>
        <v>0</v>
      </c>
      <c r="AH30" s="33"/>
    </row>
    <row r="31" spans="2:34" x14ac:dyDescent="0.25">
      <c r="B31" s="33"/>
      <c r="C31" s="34" t="s">
        <v>85</v>
      </c>
      <c r="D31" s="43">
        <f t="shared" si="5"/>
        <v>0</v>
      </c>
      <c r="E31" s="39">
        <f t="shared" si="6"/>
        <v>0</v>
      </c>
      <c r="F31" s="43">
        <f>IFERROR(INDEX(char1Weapons, MATCH(C31, weapons!$A$1:$A$47, 0), MATCH(char1WeaponName, weapons!$A$1:$CV$1, 0)),0)</f>
        <v>0</v>
      </c>
      <c r="G31" s="81">
        <f>IFERROR(INDEX(char1ArtiSetStats, MATCH('Char 1'!$L$14, artisDB!$A$1:$A$53, 0), MATCH(Calcs!C31, artisDB!$A$1:$AP$1, 0))+INDEX(char1ArtiSetStats, MATCH('Char 1'!$L$15, artisDB!$A$1:$A$53, 0), MATCH(Calcs!C31, artisDB!$A$1:$AP$1, 0)),0)</f>
        <v>0</v>
      </c>
      <c r="H31" s="43">
        <f>IFERROR(INDEX('Char 1'!$X$26:$Z$35, MATCH(Calcs!C31, 'Char 1'!$X$26:$X$35, 0), 3)*HLOOKUP('Char 1'!$Z$7, artifactSubstatValues, MATCH(Calcs!C31, 'Artifact Database'!$A$1:$A$11, 0)),0)</f>
        <v>0</v>
      </c>
      <c r="I31" s="81">
        <f>VLOOKUP(C31, 'Char 1'!$R$5:$T$50, 3,0)</f>
        <v>0</v>
      </c>
      <c r="J31" s="36"/>
      <c r="K31" s="81">
        <f t="shared" si="4"/>
        <v>0</v>
      </c>
      <c r="L31" s="33"/>
      <c r="N31" s="33"/>
      <c r="O31" s="280" t="s">
        <v>668</v>
      </c>
      <c r="P31" s="280"/>
      <c r="Q31" s="280"/>
      <c r="R31" s="33"/>
      <c r="AB31" s="33"/>
      <c r="AC31" s="34" t="s">
        <v>85</v>
      </c>
      <c r="AD31" s="103">
        <f t="shared" si="0"/>
        <v>0</v>
      </c>
      <c r="AE31" s="103">
        <f t="shared" si="1"/>
        <v>0</v>
      </c>
      <c r="AF31" s="103">
        <f t="shared" si="2"/>
        <v>0</v>
      </c>
      <c r="AG31" s="103">
        <f t="shared" si="3"/>
        <v>0</v>
      </c>
      <c r="AH31" s="33"/>
    </row>
    <row r="32" spans="2:34" x14ac:dyDescent="0.25">
      <c r="B32" s="33"/>
      <c r="C32" s="34" t="s">
        <v>86</v>
      </c>
      <c r="D32" s="43">
        <f t="shared" si="5"/>
        <v>0</v>
      </c>
      <c r="E32" s="39">
        <f t="shared" si="6"/>
        <v>0</v>
      </c>
      <c r="F32" s="43">
        <f>IFERROR(INDEX(char1Weapons, MATCH(C32, weapons!$A$1:$A$47, 0), MATCH(char1WeaponName, weapons!$A$1:$CV$1, 0)),0)</f>
        <v>0</v>
      </c>
      <c r="G32" s="81">
        <f>IFERROR(INDEX(char1ArtiSetStats, MATCH('Char 1'!$L$14, artisDB!$A$1:$A$53, 0), MATCH(Calcs!C32, artisDB!$A$1:$AP$1, 0))+INDEX(char1ArtiSetStats, MATCH('Char 1'!$L$15, artisDB!$A$1:$A$53, 0), MATCH(Calcs!C32, artisDB!$A$1:$AP$1, 0)),0)</f>
        <v>0</v>
      </c>
      <c r="H32" s="43">
        <f>IFERROR(INDEX('Char 1'!$X$26:$Z$35, MATCH(Calcs!C32, 'Char 1'!$X$26:$X$35, 0), 3)*HLOOKUP('Char 1'!$Z$7, artifactSubstatValues, MATCH(Calcs!C32, 'Artifact Database'!$A$1:$A$11, 0)),0)</f>
        <v>0</v>
      </c>
      <c r="I32" s="81">
        <f>VLOOKUP(C32, 'Char 1'!$R$5:$T$50, 3,0)</f>
        <v>0</v>
      </c>
      <c r="J32" s="36"/>
      <c r="K32" s="81">
        <f t="shared" si="4"/>
        <v>0</v>
      </c>
      <c r="L32" s="33"/>
      <c r="N32" s="33"/>
      <c r="O32" s="280"/>
      <c r="P32" s="280"/>
      <c r="Q32" s="280"/>
      <c r="R32" s="33"/>
      <c r="AB32" s="33"/>
      <c r="AC32" s="34" t="s">
        <v>86</v>
      </c>
      <c r="AD32" s="103">
        <f t="shared" si="0"/>
        <v>0</v>
      </c>
      <c r="AE32" s="103">
        <f t="shared" si="1"/>
        <v>0</v>
      </c>
      <c r="AF32" s="103">
        <f t="shared" si="2"/>
        <v>0</v>
      </c>
      <c r="AG32" s="103">
        <f t="shared" si="3"/>
        <v>0</v>
      </c>
      <c r="AH32" s="33"/>
    </row>
    <row r="33" spans="2:34" x14ac:dyDescent="0.25">
      <c r="B33" s="33"/>
      <c r="C33" s="34" t="s">
        <v>87</v>
      </c>
      <c r="D33" s="43">
        <f t="shared" si="5"/>
        <v>0</v>
      </c>
      <c r="E33" s="39">
        <f t="shared" si="6"/>
        <v>0</v>
      </c>
      <c r="F33" s="43">
        <f>IFERROR(INDEX(char1Weapons, MATCH(C33, weapons!$A$1:$A$47, 0), MATCH(char1WeaponName, weapons!$A$1:$CV$1, 0)),0)</f>
        <v>0</v>
      </c>
      <c r="G33" s="81">
        <f>IFERROR(INDEX(char1ArtiSetStats, MATCH('Char 1'!$L$14, artisDB!$A$1:$A$53, 0), MATCH(Calcs!C33, artisDB!$A$1:$AP$1, 0))+INDEX(char1ArtiSetStats, MATCH('Char 1'!$L$15, artisDB!$A$1:$A$53, 0), MATCH(Calcs!C33, artisDB!$A$1:$AP$1, 0)),0)</f>
        <v>0</v>
      </c>
      <c r="H33" s="43">
        <f>IFERROR(INDEX('Char 1'!$X$26:$Z$35, MATCH(Calcs!C33, 'Char 1'!$X$26:$X$35, 0), 3)*HLOOKUP('Char 1'!$Z$7, artifactSubstatValues, MATCH(Calcs!C33, 'Artifact Database'!$A$1:$A$11, 0)),0)</f>
        <v>0</v>
      </c>
      <c r="I33" s="81">
        <f>VLOOKUP(C33, 'Char 1'!$R$5:$T$50, 3,0)</f>
        <v>0</v>
      </c>
      <c r="J33" s="36"/>
      <c r="K33" s="81">
        <f t="shared" si="4"/>
        <v>0</v>
      </c>
      <c r="L33" s="33"/>
      <c r="N33" s="33"/>
      <c r="O33" s="281" t="s">
        <v>669</v>
      </c>
      <c r="P33" s="281"/>
      <c r="Q33" s="7" t="str">
        <f>'Char 1'!E20</f>
        <v>Skill</v>
      </c>
      <c r="R33" s="33"/>
      <c r="AB33" s="33"/>
      <c r="AC33" s="34" t="s">
        <v>87</v>
      </c>
      <c r="AD33" s="103">
        <f t="shared" si="0"/>
        <v>0</v>
      </c>
      <c r="AE33" s="103">
        <f t="shared" si="1"/>
        <v>0</v>
      </c>
      <c r="AF33" s="103">
        <f t="shared" si="2"/>
        <v>0</v>
      </c>
      <c r="AG33" s="103">
        <f t="shared" si="3"/>
        <v>0</v>
      </c>
      <c r="AH33" s="33"/>
    </row>
    <row r="34" spans="2:34" x14ac:dyDescent="0.25">
      <c r="B34" s="33"/>
      <c r="C34" s="34" t="s">
        <v>90</v>
      </c>
      <c r="D34" s="43">
        <f t="shared" si="5"/>
        <v>0</v>
      </c>
      <c r="E34" s="39">
        <f t="shared" si="6"/>
        <v>0</v>
      </c>
      <c r="F34" s="43">
        <f>IFERROR(INDEX(char1Weapons, MATCH(C34, weapons!$A$1:$A$47, 0), MATCH(char1WeaponName, weapons!$A$1:$CV$1, 0)),0)</f>
        <v>0</v>
      </c>
      <c r="G34" s="81">
        <f>IFERROR(INDEX(char1ArtiSetStats, MATCH('Char 1'!$L$14, artisDB!$A$1:$A$53, 0), MATCH(Calcs!C34, artisDB!$A$1:$AP$1, 0))+INDEX(char1ArtiSetStats, MATCH('Char 1'!$L$15, artisDB!$A$1:$A$53, 0), MATCH(Calcs!C34, artisDB!$A$1:$AP$1, 0)),0)</f>
        <v>0</v>
      </c>
      <c r="H34" s="43">
        <f>IFERROR(INDEX('Char 1'!$X$26:$Z$35, MATCH(Calcs!C34, 'Char 1'!$X$26:$X$35, 0), 3)*HLOOKUP('Char 1'!$Z$7, artifactSubstatValues, MATCH(Calcs!C34, 'Artifact Database'!$A$1:$A$11, 0)),0)</f>
        <v>0</v>
      </c>
      <c r="I34" s="81">
        <f>VLOOKUP(C34, 'Char 1'!$R$5:$T$50, 3,0)</f>
        <v>0</v>
      </c>
      <c r="J34" s="36"/>
      <c r="K34" s="81">
        <f t="shared" si="4"/>
        <v>0</v>
      </c>
      <c r="L34" s="33"/>
      <c r="N34" s="33"/>
      <c r="O34" s="281" t="s">
        <v>670</v>
      </c>
      <c r="P34" s="281"/>
      <c r="Q34" s="7" t="str">
        <f>'Char 1'!E23</f>
        <v>Burst</v>
      </c>
      <c r="R34" s="33"/>
      <c r="AB34" s="33"/>
      <c r="AC34" s="34" t="s">
        <v>90</v>
      </c>
      <c r="AD34" s="103">
        <f t="shared" si="0"/>
        <v>0</v>
      </c>
      <c r="AE34" s="103">
        <f t="shared" si="1"/>
        <v>0</v>
      </c>
      <c r="AF34" s="103">
        <f t="shared" si="2"/>
        <v>0</v>
      </c>
      <c r="AG34" s="103">
        <f t="shared" si="3"/>
        <v>0</v>
      </c>
      <c r="AH34" s="33"/>
    </row>
    <row r="35" spans="2:34" x14ac:dyDescent="0.25">
      <c r="B35" s="33"/>
      <c r="C35" s="34" t="s">
        <v>88</v>
      </c>
      <c r="D35" s="43">
        <f t="shared" si="5"/>
        <v>0</v>
      </c>
      <c r="E35" s="39">
        <f t="shared" si="6"/>
        <v>0</v>
      </c>
      <c r="F35" s="43">
        <f>IFERROR(INDEX(char1Weapons, MATCH(C35, weapons!$A$1:$A$47, 0), MATCH(char1WeaponName, weapons!$A$1:$CV$1, 0)),0)</f>
        <v>0</v>
      </c>
      <c r="G35" s="81">
        <f>IFERROR(INDEX(char1ArtiSetStats, MATCH('Char 1'!$L$14, artisDB!$A$1:$A$53, 0), MATCH(Calcs!C35, artisDB!$A$1:$AP$1, 0))+INDEX(char1ArtiSetStats, MATCH('Char 1'!$L$15, artisDB!$A$1:$A$53, 0), MATCH(Calcs!C35, artisDB!$A$1:$AP$1, 0)),0)</f>
        <v>0</v>
      </c>
      <c r="H35" s="43">
        <f>IFERROR(INDEX('Char 1'!$X$26:$Z$35, MATCH(Calcs!C35, 'Char 1'!$X$26:$X$35, 0), 3)*HLOOKUP('Char 1'!$Z$7, artifactSubstatValues, MATCH(Calcs!C35, 'Artifact Database'!$A$1:$A$11, 0)),0)</f>
        <v>0</v>
      </c>
      <c r="I35" s="81">
        <f>VLOOKUP(C35, 'Char 1'!$R$5:$T$50, 3,0)</f>
        <v>0</v>
      </c>
      <c r="J35" s="36"/>
      <c r="K35" s="81">
        <f t="shared" si="4"/>
        <v>0</v>
      </c>
      <c r="L35" s="33"/>
      <c r="N35" s="33"/>
      <c r="O35" s="33"/>
      <c r="P35" s="33"/>
      <c r="Q35" s="33"/>
      <c r="R35" s="33"/>
      <c r="AB35" s="33"/>
      <c r="AC35" s="34" t="s">
        <v>88</v>
      </c>
      <c r="AD35" s="103">
        <f t="shared" si="0"/>
        <v>0</v>
      </c>
      <c r="AE35" s="103">
        <f t="shared" si="1"/>
        <v>0</v>
      </c>
      <c r="AF35" s="103">
        <f t="shared" si="2"/>
        <v>0</v>
      </c>
      <c r="AG35" s="103">
        <f t="shared" si="3"/>
        <v>0</v>
      </c>
      <c r="AH35" s="33"/>
    </row>
    <row r="36" spans="2:34" x14ac:dyDescent="0.25">
      <c r="B36" s="33"/>
      <c r="C36" s="34" t="s">
        <v>89</v>
      </c>
      <c r="D36" s="43">
        <f t="shared" si="5"/>
        <v>0</v>
      </c>
      <c r="E36" s="39">
        <f t="shared" si="6"/>
        <v>0</v>
      </c>
      <c r="F36" s="43">
        <f>IFERROR(INDEX(char1Weapons, MATCH(C36, weapons!$A$1:$A$47, 0), MATCH(char1WeaponName, weapons!$A$1:$CV$1, 0)),0)</f>
        <v>0</v>
      </c>
      <c r="G36" s="81">
        <f>IFERROR(INDEX(char1ArtiSetStats, MATCH('Char 1'!$L$14, artisDB!$A$1:$A$53, 0), MATCH(Calcs!C36, artisDB!$A$1:$AP$1, 0))+INDEX(char1ArtiSetStats, MATCH('Char 1'!$L$15, artisDB!$A$1:$A$53, 0), MATCH(Calcs!C36, artisDB!$A$1:$AP$1, 0)),0)</f>
        <v>0</v>
      </c>
      <c r="H36" s="43">
        <f>IFERROR(INDEX('Char 1'!$X$26:$Z$35, MATCH(Calcs!C36, 'Char 1'!$X$26:$X$35, 0), 3)*HLOOKUP('Char 1'!$Z$7, artifactSubstatValues, MATCH(Calcs!C36, 'Artifact Database'!$A$1:$A$11, 0)),0)</f>
        <v>0</v>
      </c>
      <c r="I36" s="81">
        <f>VLOOKUP(C36, 'Char 1'!$R$5:$T$50, 3,0)</f>
        <v>0</v>
      </c>
      <c r="J36" s="36"/>
      <c r="K36" s="81">
        <f t="shared" si="4"/>
        <v>0</v>
      </c>
      <c r="L36" s="33"/>
      <c r="O36" s="261"/>
      <c r="P36" s="261"/>
      <c r="AB36" s="33"/>
      <c r="AC36" s="34" t="s">
        <v>89</v>
      </c>
      <c r="AD36" s="103">
        <f t="shared" si="0"/>
        <v>0</v>
      </c>
      <c r="AE36" s="103">
        <f t="shared" si="1"/>
        <v>0</v>
      </c>
      <c r="AF36" s="103">
        <f t="shared" si="2"/>
        <v>0</v>
      </c>
      <c r="AG36" s="103">
        <f t="shared" si="3"/>
        <v>0</v>
      </c>
      <c r="AH36" s="33"/>
    </row>
    <row r="37" spans="2:34" x14ac:dyDescent="0.25">
      <c r="B37" s="33"/>
      <c r="C37" s="34" t="s">
        <v>91</v>
      </c>
      <c r="D37" s="43">
        <f t="shared" si="5"/>
        <v>0</v>
      </c>
      <c r="E37" s="39">
        <f t="shared" si="6"/>
        <v>0</v>
      </c>
      <c r="F37" s="43">
        <f>IFERROR(INDEX(char1Weapons, MATCH(C37, weapons!$A$1:$A$47, 0), MATCH(char1WeaponName, weapons!$A$1:$CV$1, 0)),0)</f>
        <v>0</v>
      </c>
      <c r="G37" s="81">
        <f>IFERROR(INDEX(char1ArtiSetStats, MATCH('Char 1'!$L$14, artisDB!$A$1:$A$53, 0), MATCH(Calcs!C37, artisDB!$A$1:$AP$1, 0))+INDEX(char1ArtiSetStats, MATCH('Char 1'!$L$15, artisDB!$A$1:$A$53, 0), MATCH(Calcs!C37, artisDB!$A$1:$AP$1, 0)),0)</f>
        <v>0</v>
      </c>
      <c r="H37" s="43">
        <f>IFERROR(INDEX('Char 1'!$X$26:$Z$35, MATCH(Calcs!C37, 'Char 1'!$X$26:$X$35, 0), 3)*HLOOKUP('Char 1'!$Z$7, artifactSubstatValues, MATCH(Calcs!C37, 'Artifact Database'!$A$1:$A$11, 0)),0)</f>
        <v>0</v>
      </c>
      <c r="I37" s="81">
        <f>VLOOKUP(C37, 'Char 1'!$R$5:$T$50, 3,0)</f>
        <v>0</v>
      </c>
      <c r="J37" s="36"/>
      <c r="K37" s="81">
        <f t="shared" si="4"/>
        <v>0</v>
      </c>
      <c r="L37" s="33"/>
      <c r="N37" s="33"/>
      <c r="O37" s="33"/>
      <c r="P37" s="33"/>
      <c r="Q37" s="33"/>
      <c r="R37" s="33"/>
      <c r="AB37" s="33"/>
      <c r="AC37" s="34" t="s">
        <v>91</v>
      </c>
      <c r="AD37" s="103">
        <f t="shared" si="0"/>
        <v>0</v>
      </c>
      <c r="AE37" s="103">
        <f t="shared" si="1"/>
        <v>0</v>
      </c>
      <c r="AF37" s="103">
        <f t="shared" si="2"/>
        <v>0</v>
      </c>
      <c r="AG37" s="103">
        <f t="shared" si="3"/>
        <v>0</v>
      </c>
      <c r="AH37" s="33"/>
    </row>
    <row r="38" spans="2:34" x14ac:dyDescent="0.25">
      <c r="B38" s="33"/>
      <c r="C38" s="34" t="s">
        <v>453</v>
      </c>
      <c r="D38" s="43">
        <f t="shared" si="5"/>
        <v>0</v>
      </c>
      <c r="E38" s="39">
        <f t="shared" si="6"/>
        <v>0</v>
      </c>
      <c r="F38" s="43">
        <f>IFERROR(INDEX(char1Weapons, MATCH(C38, weapons!$A$1:$A$47, 0), MATCH(char1WeaponName, weapons!$A$1:$CV$1, 0)),0)</f>
        <v>0</v>
      </c>
      <c r="G38" s="81">
        <f>IFERROR(INDEX(char1ArtiSetStats, MATCH('Char 1'!$L$14, artisDB!$A$1:$A$53, 0), MATCH(Calcs!C38, artisDB!$A$1:$AP$1, 0))+INDEX(char1ArtiSetStats, MATCH('Char 1'!$L$15, artisDB!$A$1:$A$53, 0), MATCH(Calcs!C38, artisDB!$A$1:$AP$1, 0)),0)</f>
        <v>0</v>
      </c>
      <c r="H38" s="43">
        <f>IFERROR(INDEX('Char 1'!$X$26:$Z$35, MATCH(Calcs!C38, 'Char 1'!$X$26:$X$35, 0), 3)*HLOOKUP('Char 1'!$Z$7, artifactSubstatValues, MATCH(Calcs!C38, 'Artifact Database'!$A$1:$A$11, 0)),0)</f>
        <v>0</v>
      </c>
      <c r="I38" s="81">
        <f>VLOOKUP(C38, 'Char 1'!$R$5:$T$50, 3,0)</f>
        <v>0</v>
      </c>
      <c r="J38" s="36"/>
      <c r="K38" s="81">
        <f t="shared" si="4"/>
        <v>0</v>
      </c>
      <c r="L38" s="33"/>
      <c r="N38" s="33"/>
      <c r="O38" s="280" t="s">
        <v>675</v>
      </c>
      <c r="P38" s="280"/>
      <c r="Q38" s="280"/>
      <c r="R38" s="33"/>
      <c r="AB38" s="33"/>
      <c r="AC38" s="34" t="s">
        <v>453</v>
      </c>
      <c r="AD38" s="103">
        <f t="shared" si="0"/>
        <v>0</v>
      </c>
      <c r="AE38" s="103">
        <f t="shared" si="1"/>
        <v>0</v>
      </c>
      <c r="AF38" s="103">
        <f t="shared" si="2"/>
        <v>0</v>
      </c>
      <c r="AG38" s="103">
        <f t="shared" si="3"/>
        <v>0</v>
      </c>
      <c r="AH38" s="33"/>
    </row>
    <row r="39" spans="2:34" x14ac:dyDescent="0.25">
      <c r="B39" s="33"/>
      <c r="C39" s="34" t="s">
        <v>93</v>
      </c>
      <c r="D39" s="43">
        <f t="shared" si="5"/>
        <v>0</v>
      </c>
      <c r="E39" s="39">
        <f t="shared" si="6"/>
        <v>0</v>
      </c>
      <c r="F39" s="43">
        <f>IFERROR(INDEX(char1Weapons, MATCH(C39, weapons!$A$1:$A$47, 0), MATCH(char1WeaponName, weapons!$A$1:$CV$1, 0)),0)</f>
        <v>0</v>
      </c>
      <c r="G39" s="81">
        <f>IFERROR(INDEX(char1ArtiSetStats, MATCH('Char 1'!$L$14, artisDB!$A$1:$A$53, 0), MATCH(Calcs!C39, artisDB!$A$1:$AP$1, 0))+INDEX(char1ArtiSetStats, MATCH('Char 1'!$L$15, artisDB!$A$1:$A$53, 0), MATCH(Calcs!C39, artisDB!$A$1:$AP$1, 0)),0)</f>
        <v>0</v>
      </c>
      <c r="H39" s="43">
        <f>IFERROR(INDEX('Char 1'!$X$26:$Z$35, MATCH(Calcs!C39, 'Char 1'!$X$26:$X$35, 0), 3)*HLOOKUP('Char 1'!$Z$7, artifactSubstatValues, MATCH(Calcs!C39, 'Artifact Database'!$A$1:$A$11, 0)),0)</f>
        <v>0</v>
      </c>
      <c r="I39" s="81">
        <f>VLOOKUP(C39, 'Char 1'!$R$5:$T$50, 3,0)</f>
        <v>0</v>
      </c>
      <c r="J39" s="36"/>
      <c r="K39" s="81">
        <f t="shared" si="4"/>
        <v>0</v>
      </c>
      <c r="L39" s="33"/>
      <c r="N39" s="33"/>
      <c r="O39" s="280"/>
      <c r="P39" s="280"/>
      <c r="Q39" s="280"/>
      <c r="R39" s="33"/>
      <c r="AB39" s="33"/>
      <c r="AC39" s="34" t="s">
        <v>93</v>
      </c>
      <c r="AD39" s="103">
        <f t="shared" si="0"/>
        <v>0</v>
      </c>
      <c r="AE39" s="103">
        <f t="shared" si="1"/>
        <v>0</v>
      </c>
      <c r="AF39" s="103">
        <f t="shared" si="2"/>
        <v>0</v>
      </c>
      <c r="AG39" s="103">
        <f t="shared" si="3"/>
        <v>0</v>
      </c>
      <c r="AH39" s="33"/>
    </row>
    <row r="40" spans="2:34" x14ac:dyDescent="0.25">
      <c r="B40" s="33"/>
      <c r="C40" s="34" t="s">
        <v>422</v>
      </c>
      <c r="D40" s="43">
        <f t="shared" si="5"/>
        <v>0</v>
      </c>
      <c r="E40" s="39">
        <f t="shared" si="6"/>
        <v>0</v>
      </c>
      <c r="F40" s="43">
        <f>IFERROR(INDEX(char1Weapons, MATCH(C40, weapons!$A$1:$A$47, 0), MATCH(char1WeaponName, weapons!$A$1:$CV$1, 0)),0)</f>
        <v>0</v>
      </c>
      <c r="G40" s="81">
        <f>IFERROR(INDEX(char1ArtiSetStats, MATCH('Char 1'!$L$14, artisDB!$A$1:$A$53, 0), MATCH(Calcs!C40, artisDB!$A$1:$AP$1, 0))+INDEX(char1ArtiSetStats, MATCH('Char 1'!$L$15, artisDB!$A$1:$A$53, 0), MATCH(Calcs!C40, artisDB!$A$1:$AP$1, 0)),0)</f>
        <v>0</v>
      </c>
      <c r="H40" s="43">
        <f>IFERROR(INDEX('Char 1'!$X$26:$Z$35, MATCH(Calcs!C40, 'Char 1'!$X$26:$X$35, 0), 3)*HLOOKUP('Char 1'!$Z$7, artifactSubstatValues, MATCH(Calcs!C40, 'Artifact Database'!$A$1:$A$11, 0)),0)</f>
        <v>0</v>
      </c>
      <c r="I40" s="81">
        <f>VLOOKUP(C40, 'Char 1'!$R$5:$T$50, 3,0)</f>
        <v>0</v>
      </c>
      <c r="J40" s="36"/>
      <c r="K40" s="81">
        <f t="shared" si="4"/>
        <v>0</v>
      </c>
      <c r="L40" s="33"/>
      <c r="N40" s="33"/>
      <c r="O40" s="281" t="s">
        <v>394</v>
      </c>
      <c r="P40" s="281"/>
      <c r="Q40" s="7">
        <f>(char1LevelNum+100)/((char1LevelNum+100)+(enemyLevel+100)*(1-char1FinalDEFShred))</f>
        <v>0.48717948717948717</v>
      </c>
      <c r="R40" s="33"/>
      <c r="AB40" s="33"/>
      <c r="AC40" s="34" t="s">
        <v>422</v>
      </c>
      <c r="AD40" s="103">
        <f t="shared" si="0"/>
        <v>0</v>
      </c>
      <c r="AE40" s="103">
        <f t="shared" si="1"/>
        <v>0</v>
      </c>
      <c r="AF40" s="103">
        <f t="shared" si="2"/>
        <v>0</v>
      </c>
      <c r="AG40" s="103">
        <f t="shared" si="3"/>
        <v>0</v>
      </c>
      <c r="AH40" s="33"/>
    </row>
    <row r="41" spans="2:34" x14ac:dyDescent="0.25">
      <c r="B41" s="33"/>
      <c r="C41" s="34" t="s">
        <v>452</v>
      </c>
      <c r="D41" s="43">
        <f t="shared" si="5"/>
        <v>0</v>
      </c>
      <c r="E41" s="39">
        <f t="shared" si="6"/>
        <v>0</v>
      </c>
      <c r="F41" s="43">
        <f>IFERROR(INDEX(char1Weapons, MATCH(C41, weapons!$A$1:$A$47, 0), MATCH(char1WeaponName, weapons!$A$1:$CV$1, 0)),0)</f>
        <v>0</v>
      </c>
      <c r="G41" s="81">
        <f>IFERROR(INDEX(char1ArtiSetStats, MATCH('Char 1'!$L$14, artisDB!$A$1:$A$53, 0), MATCH(Calcs!C41, artisDB!$A$1:$AP$1, 0))+INDEX(char1ArtiSetStats, MATCH('Char 1'!$L$15, artisDB!$A$1:$A$53, 0), MATCH(Calcs!C41, artisDB!$A$1:$AP$1, 0)),0)</f>
        <v>0</v>
      </c>
      <c r="H41" s="43">
        <f>IFERROR(INDEX('Char 1'!$X$26:$Z$35, MATCH(Calcs!C41, 'Char 1'!$X$26:$X$35, 0), 3)*HLOOKUP('Char 1'!$Z$7, artifactSubstatValues, MATCH(Calcs!C41, 'Artifact Database'!$A$1:$A$11, 0)),0)</f>
        <v>0</v>
      </c>
      <c r="I41" s="81">
        <f>VLOOKUP(C41, 'Char 1'!$R$5:$T$50, 3,0)</f>
        <v>0</v>
      </c>
      <c r="J41" s="36"/>
      <c r="K41" s="81">
        <f t="shared" si="4"/>
        <v>0</v>
      </c>
      <c r="L41" s="33"/>
      <c r="N41" s="33"/>
      <c r="O41" s="33"/>
      <c r="P41" s="33"/>
      <c r="Q41" s="33"/>
      <c r="R41" s="33"/>
      <c r="AB41" s="33"/>
      <c r="AC41" s="34" t="s">
        <v>452</v>
      </c>
      <c r="AD41" s="103">
        <f t="shared" si="0"/>
        <v>0</v>
      </c>
      <c r="AE41" s="103">
        <f t="shared" si="1"/>
        <v>0</v>
      </c>
      <c r="AF41" s="103">
        <f t="shared" si="2"/>
        <v>0</v>
      </c>
      <c r="AG41" s="103">
        <f t="shared" si="3"/>
        <v>0</v>
      </c>
      <c r="AH41" s="33"/>
    </row>
    <row r="42" spans="2:34" x14ac:dyDescent="0.25">
      <c r="B42" s="33"/>
      <c r="C42" s="34" t="s">
        <v>92</v>
      </c>
      <c r="D42" s="43">
        <f t="shared" si="5"/>
        <v>0</v>
      </c>
      <c r="E42" s="39">
        <f t="shared" si="6"/>
        <v>0</v>
      </c>
      <c r="F42" s="43">
        <f>IFERROR(INDEX(char1Weapons, MATCH(C42, weapons!$A$1:$A$47, 0), MATCH(char1WeaponName, weapons!$A$1:$CV$1, 0)),0)</f>
        <v>0</v>
      </c>
      <c r="G42" s="81">
        <f>IFERROR(INDEX(char1ArtiSetStats, MATCH('Char 1'!$L$14, artisDB!$A$1:$A$53, 0), MATCH(Calcs!C42, artisDB!$A$1:$AP$1, 0))+INDEX(char1ArtiSetStats, MATCH('Char 1'!$L$15, artisDB!$A$1:$A$53, 0), MATCH(Calcs!C42, artisDB!$A$1:$AP$1, 0)),0)</f>
        <v>0</v>
      </c>
      <c r="H42" s="43">
        <f>IFERROR(INDEX('Char 1'!$X$26:$Z$35, MATCH(Calcs!C42, 'Char 1'!$X$26:$X$35, 0), 3)*HLOOKUP('Char 1'!$Z$7, artifactSubstatValues, MATCH(Calcs!C42, 'Artifact Database'!$A$1:$A$11, 0)),0)</f>
        <v>0</v>
      </c>
      <c r="I42" s="81">
        <f>VLOOKUP(C42, 'Char 1'!$R$5:$T$50, 3,0)</f>
        <v>0</v>
      </c>
      <c r="J42" s="36"/>
      <c r="K42" s="81">
        <f t="shared" si="4"/>
        <v>0</v>
      </c>
      <c r="L42" s="33"/>
      <c r="AB42" s="33"/>
      <c r="AC42" s="34" t="s">
        <v>92</v>
      </c>
      <c r="AD42" s="103">
        <f t="shared" si="0"/>
        <v>0</v>
      </c>
      <c r="AE42" s="103">
        <f t="shared" si="1"/>
        <v>0</v>
      </c>
      <c r="AF42" s="103">
        <f t="shared" si="2"/>
        <v>0</v>
      </c>
      <c r="AG42" s="103">
        <f t="shared" si="3"/>
        <v>0</v>
      </c>
      <c r="AH42" s="33"/>
    </row>
    <row r="43" spans="2:34" x14ac:dyDescent="0.25">
      <c r="B43" s="33"/>
      <c r="C43" s="34" t="s">
        <v>94</v>
      </c>
      <c r="D43" s="43">
        <f t="shared" si="5"/>
        <v>0</v>
      </c>
      <c r="E43" s="39">
        <f t="shared" si="6"/>
        <v>0</v>
      </c>
      <c r="F43" s="43">
        <f>IFERROR(INDEX(char1Weapons, MATCH(C43, weapons!$A$1:$A$47, 0), MATCH(char1WeaponName, weapons!$A$1:$CV$1, 0)),0)</f>
        <v>0</v>
      </c>
      <c r="G43" s="81">
        <f>IFERROR(INDEX(char1ArtiSetStats, MATCH('Char 1'!$L$14, artisDB!$A$1:$A$53, 0), MATCH(Calcs!C43, artisDB!$A$1:$AP$1, 0))+INDEX(char1ArtiSetStats, MATCH('Char 1'!$L$15, artisDB!$A$1:$A$53, 0), MATCH(Calcs!C43, artisDB!$A$1:$AP$1, 0)),0)</f>
        <v>0</v>
      </c>
      <c r="H43" s="43">
        <f>IFERROR(INDEX('Char 1'!$X$26:$Z$35, MATCH(Calcs!C43, 'Char 1'!$X$26:$X$35, 0), 3)*HLOOKUP('Char 1'!$Z$7, artifactSubstatValues, MATCH(Calcs!C43, 'Artifact Database'!$A$1:$A$11, 0)),0)</f>
        <v>0</v>
      </c>
      <c r="I43" s="81">
        <f>VLOOKUP(C43, 'Char 1'!$R$5:$T$50, 3,0)</f>
        <v>0</v>
      </c>
      <c r="J43" s="36"/>
      <c r="K43" s="81">
        <f t="shared" si="4"/>
        <v>0</v>
      </c>
      <c r="L43" s="33"/>
      <c r="N43" s="33"/>
      <c r="O43" s="33"/>
      <c r="P43" s="33"/>
      <c r="Q43" s="33"/>
      <c r="R43" s="33"/>
      <c r="AB43" s="33"/>
      <c r="AC43" s="34" t="s">
        <v>94</v>
      </c>
      <c r="AD43" s="103">
        <f t="shared" si="0"/>
        <v>0</v>
      </c>
      <c r="AE43" s="103">
        <f t="shared" si="1"/>
        <v>0</v>
      </c>
      <c r="AF43" s="103">
        <f t="shared" si="2"/>
        <v>0</v>
      </c>
      <c r="AG43" s="103">
        <f t="shared" si="3"/>
        <v>0</v>
      </c>
      <c r="AH43" s="33"/>
    </row>
    <row r="44" spans="2:34" x14ac:dyDescent="0.25">
      <c r="B44" s="33"/>
      <c r="C44" s="34" t="s">
        <v>95</v>
      </c>
      <c r="D44" s="43">
        <f t="shared" si="5"/>
        <v>0</v>
      </c>
      <c r="E44" s="39">
        <f t="shared" si="6"/>
        <v>0</v>
      </c>
      <c r="F44" s="43">
        <f>IFERROR(INDEX(char1Weapons, MATCH(C44, weapons!$A$1:$A$47, 0), MATCH(char1WeaponName, weapons!$A$1:$CV$1, 0)),0)</f>
        <v>0</v>
      </c>
      <c r="G44" s="81">
        <f>IFERROR(INDEX(char1ArtiSetStats, MATCH('Char 1'!$L$14, artisDB!$A$1:$A$53, 0), MATCH(Calcs!C44, artisDB!$A$1:$AP$1, 0))+INDEX(char1ArtiSetStats, MATCH('Char 1'!$L$15, artisDB!$A$1:$A$53, 0), MATCH(Calcs!C44, artisDB!$A$1:$AP$1, 0)),0)</f>
        <v>0</v>
      </c>
      <c r="H44" s="43">
        <f>IFERROR(INDEX('Char 1'!$X$26:$Z$35, MATCH(Calcs!C44, 'Char 1'!$X$26:$X$35, 0), 3)*HLOOKUP('Char 1'!$Z$7, artifactSubstatValues, MATCH(Calcs!C44, 'Artifact Database'!$A$1:$A$11, 0)),0)</f>
        <v>0</v>
      </c>
      <c r="I44" s="81">
        <f>VLOOKUP(C44, 'Char 1'!$R$5:$T$50, 3,0)</f>
        <v>0</v>
      </c>
      <c r="J44" s="36"/>
      <c r="K44" s="81">
        <f t="shared" si="4"/>
        <v>0</v>
      </c>
      <c r="L44" s="33"/>
      <c r="N44" s="33"/>
      <c r="O44" s="280" t="s">
        <v>743</v>
      </c>
      <c r="P44" s="280"/>
      <c r="Q44" s="280"/>
      <c r="R44" s="33"/>
      <c r="AB44" s="33"/>
      <c r="AC44" s="34" t="s">
        <v>95</v>
      </c>
      <c r="AD44" s="103">
        <f t="shared" si="0"/>
        <v>0</v>
      </c>
      <c r="AE44" s="103">
        <f t="shared" si="1"/>
        <v>0</v>
      </c>
      <c r="AF44" s="103">
        <f t="shared" si="2"/>
        <v>0</v>
      </c>
      <c r="AG44" s="103">
        <f t="shared" si="3"/>
        <v>0</v>
      </c>
      <c r="AH44" s="33"/>
    </row>
    <row r="45" spans="2:34" x14ac:dyDescent="0.25">
      <c r="B45" s="33"/>
      <c r="C45" s="34" t="s">
        <v>96</v>
      </c>
      <c r="D45" s="43">
        <f t="shared" si="5"/>
        <v>0</v>
      </c>
      <c r="E45" s="39">
        <f t="shared" si="6"/>
        <v>0</v>
      </c>
      <c r="F45" s="43">
        <f>IFERROR(INDEX(char1Weapons, MATCH(C45, weapons!$A$1:$A$47, 0), MATCH(char1WeaponName, weapons!$A$1:$CV$1, 0)),0)</f>
        <v>0</v>
      </c>
      <c r="G45" s="81">
        <f>IFERROR(INDEX(char1ArtiSetStats, MATCH('Char 1'!$L$14, artisDB!$A$1:$A$53, 0), MATCH(Calcs!C45, artisDB!$A$1:$AP$1, 0))+INDEX(char1ArtiSetStats, MATCH('Char 1'!$L$15, artisDB!$A$1:$A$53, 0), MATCH(Calcs!C45, artisDB!$A$1:$AP$1, 0)),0)</f>
        <v>0</v>
      </c>
      <c r="H45" s="43">
        <f>IFERROR(INDEX('Char 1'!$X$26:$Z$35, MATCH(Calcs!C45, 'Char 1'!$X$26:$X$35, 0), 3)*HLOOKUP('Char 1'!$Z$7, artifactSubstatValues, MATCH(Calcs!C45, 'Artifact Database'!$A$1:$A$11, 0)),0)</f>
        <v>0</v>
      </c>
      <c r="I45" s="81">
        <f>VLOOKUP(C45, 'Char 1'!$R$5:$T$50, 3,0)</f>
        <v>0</v>
      </c>
      <c r="J45" s="36"/>
      <c r="K45" s="81">
        <f t="shared" si="4"/>
        <v>0</v>
      </c>
      <c r="L45" s="33"/>
      <c r="N45" s="33"/>
      <c r="O45" s="280"/>
      <c r="P45" s="280"/>
      <c r="Q45" s="280"/>
      <c r="R45" s="33"/>
      <c r="AB45" s="33"/>
      <c r="AC45" s="34" t="s">
        <v>96</v>
      </c>
      <c r="AD45" s="103">
        <f t="shared" si="0"/>
        <v>0</v>
      </c>
      <c r="AE45" s="103">
        <f t="shared" si="1"/>
        <v>0</v>
      </c>
      <c r="AF45" s="103">
        <f t="shared" si="2"/>
        <v>0</v>
      </c>
      <c r="AG45" s="103">
        <f t="shared" si="3"/>
        <v>0</v>
      </c>
      <c r="AH45" s="33"/>
    </row>
    <row r="46" spans="2:34" x14ac:dyDescent="0.25">
      <c r="B46" s="33"/>
      <c r="C46" s="34" t="s">
        <v>97</v>
      </c>
      <c r="D46" s="43">
        <f t="shared" si="5"/>
        <v>0</v>
      </c>
      <c r="E46" s="39">
        <f t="shared" si="6"/>
        <v>0</v>
      </c>
      <c r="F46" s="43">
        <f>IFERROR(INDEX(char1Weapons, MATCH(C46, weapons!$A$1:$A$47, 0), MATCH(char1WeaponName, weapons!$A$1:$CV$1, 0)),0)</f>
        <v>0</v>
      </c>
      <c r="G46" s="81">
        <f>IFERROR(INDEX(char1ArtiSetStats, MATCH('Char 1'!$L$14, artisDB!$A$1:$A$53, 0), MATCH(Calcs!C46, artisDB!$A$1:$AP$1, 0))+INDEX(char1ArtiSetStats, MATCH('Char 1'!$L$15, artisDB!$A$1:$A$53, 0), MATCH(Calcs!C46, artisDB!$A$1:$AP$1, 0)),0)</f>
        <v>0</v>
      </c>
      <c r="H46" s="43">
        <f>IFERROR(INDEX('Char 1'!$X$26:$Z$35, MATCH(Calcs!C46, 'Char 1'!$X$26:$X$35, 0), 3)*HLOOKUP('Char 1'!$Z$7, artifactSubstatValues, MATCH(Calcs!C46, 'Artifact Database'!$A$1:$A$11, 0)),0)</f>
        <v>0</v>
      </c>
      <c r="I46" s="81">
        <f>VLOOKUP(C46, 'Char 1'!$R$5:$T$50, 3,0)</f>
        <v>0</v>
      </c>
      <c r="J46" s="36"/>
      <c r="K46" s="81">
        <f t="shared" si="4"/>
        <v>0</v>
      </c>
      <c r="L46" s="33"/>
      <c r="N46" s="33"/>
      <c r="O46" s="281" t="s">
        <v>746</v>
      </c>
      <c r="P46" s="281"/>
      <c r="Q46" s="7">
        <f>char1BaseHP*(1+char1FinalHPPercent)+char1FinalFlatHP</f>
        <v>19569.785599999999</v>
      </c>
      <c r="R46" s="33"/>
      <c r="AB46" s="33"/>
      <c r="AC46" s="34" t="s">
        <v>97</v>
      </c>
      <c r="AD46" s="103">
        <f t="shared" si="0"/>
        <v>0</v>
      </c>
      <c r="AE46" s="103">
        <f t="shared" si="1"/>
        <v>0</v>
      </c>
      <c r="AF46" s="103">
        <f t="shared" si="2"/>
        <v>0</v>
      </c>
      <c r="AG46" s="103">
        <f t="shared" si="3"/>
        <v>0</v>
      </c>
      <c r="AH46" s="33"/>
    </row>
    <row r="47" spans="2:34" x14ac:dyDescent="0.25">
      <c r="B47" s="33"/>
      <c r="C47" s="34" t="s">
        <v>98</v>
      </c>
      <c r="D47" s="43">
        <f t="shared" si="5"/>
        <v>0</v>
      </c>
      <c r="E47" s="39">
        <f t="shared" si="6"/>
        <v>0</v>
      </c>
      <c r="F47" s="43">
        <f>IFERROR(INDEX(char1Weapons, MATCH(C47, weapons!$A$1:$A$47, 0), MATCH(char1WeaponName, weapons!$A$1:$CV$1, 0)),0)</f>
        <v>0</v>
      </c>
      <c r="G47" s="81">
        <f>IFERROR(INDEX(char1ArtiSetStats, MATCH('Char 1'!$L$14, artisDB!$A$1:$A$53, 0), MATCH(Calcs!C47, artisDB!$A$1:$AP$1, 0))+INDEX(char1ArtiSetStats, MATCH('Char 1'!$L$15, artisDB!$A$1:$A$53, 0), MATCH(Calcs!C47, artisDB!$A$1:$AP$1, 0)),0)</f>
        <v>0</v>
      </c>
      <c r="H47" s="43">
        <f>IFERROR(INDEX('Char 1'!$X$26:$Z$35, MATCH(Calcs!C47, 'Char 1'!$X$26:$X$35, 0), 3)*HLOOKUP('Char 1'!$Z$7, artifactSubstatValues, MATCH(Calcs!C47, 'Artifact Database'!$A$1:$A$11, 0)),0)</f>
        <v>0</v>
      </c>
      <c r="I47" s="81">
        <f>VLOOKUP(C47, 'Char 1'!$R$5:$T$50, 3,0)</f>
        <v>0</v>
      </c>
      <c r="J47" s="36"/>
      <c r="K47" s="81">
        <f t="shared" si="4"/>
        <v>0</v>
      </c>
      <c r="L47" s="33"/>
      <c r="N47" s="33"/>
      <c r="O47" s="281" t="s">
        <v>745</v>
      </c>
      <c r="P47" s="281"/>
      <c r="Q47" s="7">
        <f>char1BaseDEF*(1+char1FinalDEFPercent)+char1FinalFlatDEF</f>
        <v>972.28000000000009</v>
      </c>
      <c r="R47" s="33"/>
      <c r="AB47" s="33"/>
      <c r="AC47" s="34" t="s">
        <v>98</v>
      </c>
      <c r="AD47" s="103">
        <f t="shared" si="0"/>
        <v>0</v>
      </c>
      <c r="AE47" s="103">
        <f t="shared" si="1"/>
        <v>0</v>
      </c>
      <c r="AF47" s="103">
        <f t="shared" si="2"/>
        <v>0</v>
      </c>
      <c r="AG47" s="103">
        <f t="shared" si="3"/>
        <v>0</v>
      </c>
      <c r="AH47" s="33"/>
    </row>
    <row r="48" spans="2:34" x14ac:dyDescent="0.25">
      <c r="B48" s="33"/>
      <c r="C48" s="34" t="s">
        <v>419</v>
      </c>
      <c r="D48" s="43">
        <f t="shared" si="5"/>
        <v>0</v>
      </c>
      <c r="E48" s="39">
        <f t="shared" si="6"/>
        <v>0</v>
      </c>
      <c r="F48" s="43">
        <f>IFERROR(INDEX(char1Weapons, MATCH(C48, weapons!$A$1:$A$47, 0), MATCH(char1WeaponName, weapons!$A$1:$CV$1, 0)),0)</f>
        <v>0</v>
      </c>
      <c r="G48" s="81">
        <f>IFERROR(INDEX(char1ArtiSetStats, MATCH('Char 1'!$L$14, artisDB!$A$1:$A$53, 0), MATCH(Calcs!C48, artisDB!$A$1:$AP$1, 0))+INDEX(char1ArtiSetStats, MATCH('Char 1'!$L$15, artisDB!$A$1:$A$53, 0), MATCH(Calcs!C48, artisDB!$A$1:$AP$1, 0)),0)</f>
        <v>0</v>
      </c>
      <c r="H48" s="43">
        <f>IFERROR(INDEX('Char 1'!$X$26:$Z$35, MATCH(Calcs!C48, 'Char 1'!$X$26:$X$35, 0), 3)*HLOOKUP('Char 1'!$Z$7, artifactSubstatValues, MATCH(Calcs!C48, 'Artifact Database'!$A$1:$A$11, 0)),0)</f>
        <v>0</v>
      </c>
      <c r="I48" s="81">
        <f>VLOOKUP(C48, 'Char 1'!$R$5:$T$50, 3,0)</f>
        <v>0</v>
      </c>
      <c r="J48" s="36"/>
      <c r="K48" s="81">
        <f t="shared" si="4"/>
        <v>0</v>
      </c>
      <c r="L48" s="33"/>
      <c r="N48" s="33"/>
      <c r="O48" s="281" t="s">
        <v>744</v>
      </c>
      <c r="P48" s="281"/>
      <c r="Q48" s="7">
        <f ca="1">(char1WeaponBaseATK+char1BaseATK)*(1+char1FinalATKPercent)+char1FinalFlatATK</f>
        <v>2764.4187999999999</v>
      </c>
      <c r="R48" s="33"/>
      <c r="AB48" s="33"/>
      <c r="AC48" s="34" t="s">
        <v>419</v>
      </c>
      <c r="AD48" s="103">
        <f t="shared" si="0"/>
        <v>0</v>
      </c>
      <c r="AE48" s="103">
        <f t="shared" si="1"/>
        <v>0</v>
      </c>
      <c r="AF48" s="103">
        <f t="shared" si="2"/>
        <v>0</v>
      </c>
      <c r="AG48" s="103">
        <f t="shared" si="3"/>
        <v>0</v>
      </c>
      <c r="AH48" s="33"/>
    </row>
    <row r="49" spans="2:34" x14ac:dyDescent="0.25">
      <c r="B49" s="33"/>
      <c r="C49" s="34" t="s">
        <v>420</v>
      </c>
      <c r="D49" s="43">
        <f t="shared" si="5"/>
        <v>0</v>
      </c>
      <c r="E49" s="39">
        <f t="shared" si="6"/>
        <v>0</v>
      </c>
      <c r="F49" s="43">
        <f>IFERROR(INDEX(char1Weapons, MATCH(C49, weapons!$A$1:$A$47, 0), MATCH(char1WeaponName, weapons!$A$1:$CV$1, 0)),0)</f>
        <v>0</v>
      </c>
      <c r="G49" s="81">
        <f>IFERROR(INDEX(char1ArtiSetStats, MATCH('Char 1'!$L$14, artisDB!$A$1:$A$53, 0), MATCH(Calcs!C49, artisDB!$A$1:$AP$1, 0))+INDEX(char1ArtiSetStats, MATCH('Char 1'!$L$15, artisDB!$A$1:$A$53, 0), MATCH(Calcs!C49, artisDB!$A$1:$AP$1, 0)),0)</f>
        <v>0</v>
      </c>
      <c r="H49" s="43">
        <f>IFERROR(INDEX('Char 1'!$X$26:$Z$35, MATCH(Calcs!C49, 'Char 1'!$X$26:$X$35, 0), 3)*HLOOKUP('Char 1'!$Z$7, artifactSubstatValues, MATCH(Calcs!C49, 'Artifact Database'!$A$1:$A$11, 0)),0)</f>
        <v>0</v>
      </c>
      <c r="I49" s="81">
        <f>VLOOKUP(C49, 'Char 1'!$R$5:$T$50, 3,0)</f>
        <v>0</v>
      </c>
      <c r="J49" s="36"/>
      <c r="K49" s="81">
        <f t="shared" si="4"/>
        <v>0</v>
      </c>
      <c r="L49" s="33"/>
      <c r="N49" s="33"/>
      <c r="O49" s="33"/>
      <c r="P49" s="33"/>
      <c r="Q49" s="33"/>
      <c r="R49" s="33"/>
      <c r="AB49" s="33"/>
      <c r="AC49" s="34" t="s">
        <v>420</v>
      </c>
      <c r="AD49" s="103">
        <f t="shared" si="0"/>
        <v>0</v>
      </c>
      <c r="AE49" s="103">
        <f t="shared" si="1"/>
        <v>0</v>
      </c>
      <c r="AF49" s="103">
        <f t="shared" si="2"/>
        <v>0</v>
      </c>
      <c r="AG49" s="103">
        <f t="shared" si="3"/>
        <v>0</v>
      </c>
      <c r="AH49" s="33"/>
    </row>
    <row r="50" spans="2:34" x14ac:dyDescent="0.25">
      <c r="B50" s="33"/>
      <c r="C50" s="34" t="s">
        <v>433</v>
      </c>
      <c r="D50" s="43">
        <f t="shared" si="5"/>
        <v>0</v>
      </c>
      <c r="E50" s="39">
        <f t="shared" si="6"/>
        <v>0</v>
      </c>
      <c r="F50" s="43">
        <f>IFERROR(INDEX(char1Weapons, MATCH(C50, weapons!$A$1:$A$47, 0), MATCH(char1WeaponName, weapons!$A$1:$CV$1, 0)),0)</f>
        <v>0</v>
      </c>
      <c r="G50" s="81">
        <f>IFERROR(INDEX(char1ArtiSetStats, MATCH('Char 1'!$L$14, artisDB!$A$1:$A$53, 0), MATCH(Calcs!C50, artisDB!$A$1:$AP$1, 0))+INDEX(char1ArtiSetStats, MATCH('Char 1'!$L$15, artisDB!$A$1:$A$53, 0), MATCH(Calcs!C50, artisDB!$A$1:$AP$1, 0)),0)</f>
        <v>0</v>
      </c>
      <c r="H50" s="43">
        <f>IFERROR(INDEX('Char 1'!$X$26:$Z$35, MATCH(Calcs!C50, 'Char 1'!$X$26:$X$35, 0), 3)*HLOOKUP('Char 1'!$Z$7, artifactSubstatValues, MATCH(Calcs!C50, 'Artifact Database'!$A$1:$A$11, 0)),0)</f>
        <v>0</v>
      </c>
      <c r="I50" s="81">
        <f>VLOOKUP(C50, 'Char 1'!$R$5:$T$50, 3,0)</f>
        <v>0</v>
      </c>
      <c r="J50" s="36"/>
      <c r="K50" s="81">
        <f t="shared" si="4"/>
        <v>0</v>
      </c>
      <c r="L50" s="33"/>
      <c r="AB50" s="33"/>
      <c r="AC50" s="34" t="s">
        <v>433</v>
      </c>
      <c r="AD50" s="103">
        <f t="shared" si="0"/>
        <v>0</v>
      </c>
      <c r="AE50" s="103">
        <f t="shared" si="1"/>
        <v>0</v>
      </c>
      <c r="AF50" s="103">
        <f t="shared" si="2"/>
        <v>0</v>
      </c>
      <c r="AG50" s="103">
        <f t="shared" si="3"/>
        <v>0</v>
      </c>
      <c r="AH50" s="33"/>
    </row>
    <row r="51" spans="2:34" x14ac:dyDescent="0.25">
      <c r="B51" s="33"/>
      <c r="C51" s="34" t="s">
        <v>421</v>
      </c>
      <c r="D51" s="43">
        <f t="shared" si="5"/>
        <v>0</v>
      </c>
      <c r="E51" s="39">
        <f t="shared" si="6"/>
        <v>0</v>
      </c>
      <c r="F51" s="43">
        <f>IFERROR(INDEX(char1Weapons, MATCH(C51, weapons!$A$1:$A$47, 0), MATCH(char1WeaponName, weapons!$A$1:$CV$1, 0)),0)</f>
        <v>0</v>
      </c>
      <c r="G51" s="81">
        <f>IFERROR(INDEX(char1ArtiSetStats, MATCH('Char 1'!$L$14, artisDB!$A$1:$A$53, 0), MATCH(Calcs!C51, artisDB!$A$1:$AP$1, 0))+INDEX(char1ArtiSetStats, MATCH('Char 1'!$L$15, artisDB!$A$1:$A$53, 0), MATCH(Calcs!C51, artisDB!$A$1:$AP$1, 0)),0)</f>
        <v>0</v>
      </c>
      <c r="H51" s="43">
        <f>IFERROR(INDEX('Char 1'!$X$26:$Z$35, MATCH(Calcs!C51, 'Char 1'!$X$26:$X$35, 0), 3)*HLOOKUP('Char 1'!$Z$7, artifactSubstatValues, MATCH(Calcs!C51, 'Artifact Database'!$A$1:$A$11, 0)),0)</f>
        <v>0</v>
      </c>
      <c r="I51" s="81">
        <f>VLOOKUP(C51, 'Char 1'!$R$5:$T$50, 3,0)</f>
        <v>0</v>
      </c>
      <c r="J51" s="36"/>
      <c r="K51" s="81">
        <f t="shared" si="4"/>
        <v>0</v>
      </c>
      <c r="L51" s="33"/>
      <c r="AB51" s="33"/>
      <c r="AC51" s="34" t="s">
        <v>421</v>
      </c>
      <c r="AD51" s="103">
        <f t="shared" si="0"/>
        <v>0</v>
      </c>
      <c r="AE51" s="103">
        <f t="shared" si="1"/>
        <v>0</v>
      </c>
      <c r="AF51" s="103">
        <f t="shared" si="2"/>
        <v>0</v>
      </c>
      <c r="AG51" s="103">
        <f t="shared" si="3"/>
        <v>0</v>
      </c>
      <c r="AH51" s="33"/>
    </row>
    <row r="52" spans="2:34" x14ac:dyDescent="0.25">
      <c r="B52" s="33"/>
      <c r="C52" s="33"/>
      <c r="D52" s="33"/>
      <c r="E52" s="33"/>
      <c r="F52" s="33"/>
      <c r="G52" s="33"/>
      <c r="H52" s="33"/>
      <c r="I52" s="33"/>
      <c r="J52" s="33"/>
      <c r="K52" s="33"/>
      <c r="L52" s="33"/>
      <c r="AB52" s="33"/>
      <c r="AC52" s="33"/>
      <c r="AD52" s="33"/>
      <c r="AE52" s="33"/>
      <c r="AF52" s="33"/>
      <c r="AG52" s="33"/>
      <c r="AH52" s="33"/>
    </row>
    <row r="54" spans="2:34" x14ac:dyDescent="0.25">
      <c r="B54" s="33"/>
      <c r="C54" s="33"/>
      <c r="D54" s="33"/>
      <c r="E54" s="33"/>
      <c r="F54" s="33"/>
      <c r="G54" s="33"/>
      <c r="H54" s="33"/>
      <c r="I54" s="33"/>
      <c r="J54" s="33"/>
      <c r="K54" s="33"/>
      <c r="L54" s="33"/>
      <c r="N54" s="33"/>
      <c r="O54" s="33"/>
      <c r="P54" s="33"/>
      <c r="Q54" s="33"/>
      <c r="R54" s="33"/>
      <c r="T54" s="205"/>
      <c r="U54" s="205" t="s">
        <v>397</v>
      </c>
      <c r="V54" s="205" t="s">
        <v>51</v>
      </c>
      <c r="W54" s="205" t="s">
        <v>796</v>
      </c>
      <c r="X54" s="205" t="s">
        <v>785</v>
      </c>
    </row>
    <row r="55" spans="2:34" ht="15" customHeight="1" x14ac:dyDescent="0.25">
      <c r="B55" s="33"/>
      <c r="C55" s="279" t="s">
        <v>617</v>
      </c>
      <c r="D55" s="279"/>
      <c r="E55" s="279"/>
      <c r="F55" s="279"/>
      <c r="G55" s="279"/>
      <c r="H55" s="279"/>
      <c r="I55" s="279"/>
      <c r="J55" s="279"/>
      <c r="K55" s="279"/>
      <c r="L55" s="33"/>
      <c r="N55" s="33"/>
      <c r="O55" s="280" t="s">
        <v>416</v>
      </c>
      <c r="P55" s="280"/>
      <c r="Q55" s="280"/>
      <c r="R55" s="33"/>
      <c r="T55" s="7" t="s">
        <v>783</v>
      </c>
      <c r="U55" s="7" t="s">
        <v>64</v>
      </c>
      <c r="V55" s="7">
        <f>'Char 2'!$L$23</f>
        <v>20</v>
      </c>
      <c r="W55" s="7">
        <f>MATCH('Char 2'!$L$24, 'Artifact Database'!$F$1:$F$66, 0)+1</f>
        <v>2</v>
      </c>
      <c r="X55" s="7" cm="1">
        <f t="array" ref="X55">INDEX('Artifact Database'!$F$1:$W$66, Calcs!W55+V55, MATCH(Calcs!U55,'Artifact Database'!$F$1:$W$1, 0))</f>
        <v>4780</v>
      </c>
    </row>
    <row r="56" spans="2:34" ht="15" customHeight="1" x14ac:dyDescent="0.25">
      <c r="B56" s="33"/>
      <c r="C56" s="279"/>
      <c r="D56" s="279"/>
      <c r="E56" s="279"/>
      <c r="F56" s="279"/>
      <c r="G56" s="279"/>
      <c r="H56" s="279"/>
      <c r="I56" s="279"/>
      <c r="J56" s="279"/>
      <c r="K56" s="279"/>
      <c r="L56" s="33"/>
      <c r="N56" s="33"/>
      <c r="O56" s="280"/>
      <c r="P56" s="280"/>
      <c r="Q56" s="280"/>
      <c r="R56" s="33"/>
      <c r="T56" s="7" t="s">
        <v>784</v>
      </c>
      <c r="U56" s="7" t="s">
        <v>62</v>
      </c>
      <c r="V56" s="7">
        <f>'Char 2'!$L$25</f>
        <v>20</v>
      </c>
      <c r="W56" s="7">
        <f>MATCH('Char 2'!$L$26, 'Artifact Database'!$F$1:$F$66, 0)+1</f>
        <v>2</v>
      </c>
      <c r="X56" s="7" cm="1">
        <f t="array" ref="X56">INDEX('Artifact Database'!$F$1:$W$66, Calcs!W56+V56, MATCH(Calcs!U56,'Artifact Database'!$F$1:$W$1, 0))</f>
        <v>311</v>
      </c>
    </row>
    <row r="57" spans="2:34" x14ac:dyDescent="0.25">
      <c r="B57" s="33"/>
      <c r="C57" s="37" t="s">
        <v>397</v>
      </c>
      <c r="D57" s="36" t="s">
        <v>398</v>
      </c>
      <c r="E57" s="35" t="s">
        <v>399</v>
      </c>
      <c r="F57" s="36" t="s">
        <v>400</v>
      </c>
      <c r="G57" s="35" t="s">
        <v>401</v>
      </c>
      <c r="H57" s="36" t="s">
        <v>402</v>
      </c>
      <c r="I57" s="35" t="s">
        <v>61</v>
      </c>
      <c r="J57" s="36" t="s">
        <v>563</v>
      </c>
      <c r="K57" s="35" t="s">
        <v>403</v>
      </c>
      <c r="L57" s="33"/>
      <c r="N57" s="33"/>
      <c r="O57" s="281" t="s">
        <v>417</v>
      </c>
      <c r="P57" s="281"/>
      <c r="Q57" s="38">
        <f>char2Level</f>
        <v>90</v>
      </c>
      <c r="R57" s="33"/>
      <c r="T57" s="7" t="s">
        <v>436</v>
      </c>
      <c r="U57" s="7" t="str">
        <f>'Char 2'!L28</f>
        <v>ATK%</v>
      </c>
      <c r="V57" s="7">
        <f>'Char 2'!$L$27</f>
        <v>20</v>
      </c>
      <c r="W57" s="7">
        <f>MATCH('Char 2'!$L$29, 'Artifact Database'!$F$1:$F$66, 0)+1</f>
        <v>2</v>
      </c>
      <c r="X57" s="7" cm="1">
        <f t="array" ref="X57">INDEX('Artifact Database'!$F$1:$W$66, Calcs!W57+V57, MATCH(Calcs!U57,'Artifact Database'!$F$1:$W$1, 0))</f>
        <v>46.6</v>
      </c>
    </row>
    <row r="58" spans="2:34" x14ac:dyDescent="0.25">
      <c r="B58" s="33"/>
      <c r="C58" s="34" t="s">
        <v>62</v>
      </c>
      <c r="D58" s="36">
        <f>X56</f>
        <v>311</v>
      </c>
      <c r="E58" s="35">
        <v>0</v>
      </c>
      <c r="F58" s="36">
        <f>IFERROR(INDEX(char2Weapons, MATCH(C58, weapons!$A$67:$A$131, 0), MATCH(char2WeaponName,weapons!$A$67:$CV$67, 0)),0)</f>
        <v>0</v>
      </c>
      <c r="G58" s="35">
        <f>IFERROR(INDEX(char2ArtiSetStats, MATCH('Char 2'!$L$14,artisDB!$A$55:$A$107, 0), MATCH(C58, artisDB!$A$55:$AP$55, 0))+INDEX(char2ArtiSetStats, MATCH('Char 2'!$L$15,artisDB!$A$55:$A$107, 0), MATCH(C58, artisDB!$A$55:$AP$55, 0)),0)</f>
        <v>0</v>
      </c>
      <c r="H58" s="36">
        <f>IFERROR(INDEX('Char 2'!$X$26:$Z$35, MATCH(C58, 'Char 2'!$X$26:$X$35, 0), 3)*HLOOKUP('Char 2'!$Z$7, artifactSubstatValues, MATCH(C58, 'Artifact Database'!$A$1:$A$11, 0)),0)</f>
        <v>33.08</v>
      </c>
      <c r="I58" s="35">
        <f>VLOOKUP(C58, 'Char 2'!$R$5:$T$50, 3,0)</f>
        <v>0</v>
      </c>
      <c r="J58" s="36"/>
      <c r="K58" s="35">
        <f>SUM(D58:J58)</f>
        <v>344.08</v>
      </c>
      <c r="L58" s="33"/>
      <c r="N58" s="33"/>
      <c r="O58" s="33"/>
      <c r="P58" s="33"/>
      <c r="Q58" s="33"/>
      <c r="R58" s="33"/>
      <c r="T58" s="7" t="s">
        <v>435</v>
      </c>
      <c r="U58" s="7" t="str">
        <f>'Char 2'!L31</f>
        <v>Cryo DMG%</v>
      </c>
      <c r="V58" s="7">
        <f>'Char 2'!$L$30</f>
        <v>20</v>
      </c>
      <c r="W58" s="7">
        <f>MATCH('Char 2'!$L$32, 'Artifact Database'!$F$1:$F$66, 0)+1</f>
        <v>2</v>
      </c>
      <c r="X58" s="7" cm="1">
        <f t="array" ref="X58">INDEX('Artifact Database'!$F$1:$W$66, Calcs!W58+V58, MATCH(Calcs!U58,'Artifact Database'!$F$1:$W$1, 0))</f>
        <v>46.6</v>
      </c>
    </row>
    <row r="59" spans="2:34" x14ac:dyDescent="0.25">
      <c r="B59" s="33"/>
      <c r="C59" s="34" t="s">
        <v>63</v>
      </c>
      <c r="D59" s="36">
        <v>0</v>
      </c>
      <c r="E59" s="35">
        <v>0</v>
      </c>
      <c r="F59" s="36">
        <f>IFERROR(INDEX(char2Weapons, MATCH(C59, weapons!$A$67:$A$131, 0), MATCH(char2WeaponName,weapons!$A$67:$CV$67, 0)),0)</f>
        <v>0</v>
      </c>
      <c r="G59" s="35">
        <f>IFERROR(INDEX(char2ArtiSetStats, MATCH('Char 2'!$L$14,artisDB!$A$55:$A$107, 0), MATCH(C59, artisDB!$A$55:$AP$55, 0))+INDEX(char2ArtiSetStats, MATCH('Char 2'!$L$15,artisDB!$A$55:$A$107, 0), MATCH(C59, artisDB!$A$55:$AP$55, 0)),0)</f>
        <v>0</v>
      </c>
      <c r="H59" s="36">
        <f>IFERROR(INDEX('Char 2'!$X$26:$Z$35, MATCH(C59, 'Char 2'!$X$26:$X$35, 0), 3)*HLOOKUP('Char 2'!$Z$7, artifactSubstatValues, MATCH(C59, 'Artifact Database'!$A$1:$A$11, 0)),0)</f>
        <v>39.36</v>
      </c>
      <c r="I59" s="35">
        <f>VLOOKUP(C59, 'Char 2'!$R$5:$T$50, 3,0)</f>
        <v>0</v>
      </c>
      <c r="J59" s="36"/>
      <c r="K59" s="35">
        <f t="shared" ref="K59:K103" si="7">SUM(D59:J59)</f>
        <v>39.36</v>
      </c>
      <c r="L59" s="33"/>
      <c r="T59" s="7" t="s">
        <v>437</v>
      </c>
      <c r="U59" s="7" t="str">
        <f>'Char 2'!L34</f>
        <v>CDMG%</v>
      </c>
      <c r="V59" s="7">
        <f>'Char 2'!$L$33</f>
        <v>20</v>
      </c>
      <c r="W59" s="7">
        <f>MATCH('Char 2'!$L$35, 'Artifact Database'!$F$1:$F$66, 0)+1</f>
        <v>2</v>
      </c>
      <c r="X59" s="7" cm="1">
        <f t="array" ref="X59">INDEX('Artifact Database'!$F$1:$W$66, Calcs!W59+V59, MATCH(Calcs!U59,'Artifact Database'!$F$1:$W$1, 0))</f>
        <v>62.2</v>
      </c>
    </row>
    <row r="60" spans="2:34" x14ac:dyDescent="0.25">
      <c r="B60" s="33"/>
      <c r="C60" s="34" t="s">
        <v>64</v>
      </c>
      <c r="D60" s="36">
        <f>X55</f>
        <v>4780</v>
      </c>
      <c r="E60" s="35">
        <v>0</v>
      </c>
      <c r="F60" s="36">
        <f>IFERROR(INDEX(char2Weapons, MATCH(C60, weapons!$A$67:$A$131, 0), MATCH(char2WeaponName,weapons!$A$67:$CV$67, 0)),0)</f>
        <v>0</v>
      </c>
      <c r="G60" s="35">
        <f>IFERROR(INDEX(char2ArtiSetStats, MATCH('Char 2'!$L$14,artisDB!$A$55:$A$107, 0), MATCH(C60, artisDB!$A$55:$AP$55, 0))+INDEX(char2ArtiSetStats, MATCH('Char 2'!$L$15,artisDB!$A$55:$A$107, 0), MATCH(C60, artisDB!$A$55:$AP$55, 0)),0)</f>
        <v>0</v>
      </c>
      <c r="H60" s="36">
        <f>IFERROR(INDEX('Char 2'!$X$26:$Z$35, MATCH(C60, 'Char 2'!$X$26:$X$35, 0), 3)*HLOOKUP('Char 2'!$Z$7, artifactSubstatValues, MATCH(C60, 'Artifact Database'!$A$1:$A$11, 0)),0)</f>
        <v>507.88</v>
      </c>
      <c r="I60" s="35">
        <f>VLOOKUP(C60, 'Char 2'!$R$5:$T$50, 3,0)</f>
        <v>0</v>
      </c>
      <c r="J60" s="36"/>
      <c r="K60" s="35">
        <f t="shared" si="7"/>
        <v>5287.88</v>
      </c>
      <c r="L60" s="33"/>
    </row>
    <row r="61" spans="2:34" x14ac:dyDescent="0.25">
      <c r="B61" s="33"/>
      <c r="C61" s="34" t="s">
        <v>69</v>
      </c>
      <c r="D61" s="36">
        <f>IF(C61=$U$57, $X$57, 0)+IF(C61=$U$58, $X$58, 0)+IF(C61 = $U$59, $X$59, 0)</f>
        <v>0</v>
      </c>
      <c r="E61" s="35">
        <f>IFERROR(VLOOKUP(C61,$T$62:$U$67, 2, 0), 0)</f>
        <v>0</v>
      </c>
      <c r="F61" s="36">
        <f>IFERROR(INDEX(char2Weapons, MATCH(C61, weapons!$A$67:$A$131, 0), MATCH(char2WeaponName,weapons!$A$67:$CV$67, 0)),0)</f>
        <v>0</v>
      </c>
      <c r="G61" s="35">
        <f>IFERROR(INDEX(char2ArtiSetStats, MATCH('Char 2'!$L$14,artisDB!$A$55:$A$107, 0), MATCH(C61, artisDB!$A$55:$AP$55, 0))+INDEX(char2ArtiSetStats, MATCH('Char 2'!$L$15,artisDB!$A$55:$A$107, 0), MATCH(C61, artisDB!$A$55:$AP$55, 0)),0)</f>
        <v>0</v>
      </c>
      <c r="H61" s="36">
        <f>IFERROR(INDEX('Char 2'!$X$26:$Z$35, MATCH(C61, 'Char 2'!$X$26:$X$35, 0), 3)*HLOOKUP('Char 2'!$Z$7, artifactSubstatValues, MATCH(C61, 'Artifact Database'!$A$1:$A$11, 0)),0)</f>
        <v>39.64</v>
      </c>
      <c r="I61" s="35">
        <f>VLOOKUP(C61, 'Char 2'!$R$5:$T$50, 3,0)</f>
        <v>0</v>
      </c>
      <c r="J61" s="36"/>
      <c r="K61" s="35">
        <f t="shared" si="7"/>
        <v>39.64</v>
      </c>
      <c r="L61" s="33"/>
      <c r="T61" s="7" t="s">
        <v>796</v>
      </c>
      <c r="U61" s="7">
        <f>MATCH(char2Name, 'Char Stats'!$A$1:$A$735, 0)</f>
        <v>196</v>
      </c>
    </row>
    <row r="62" spans="2:34" x14ac:dyDescent="0.25">
      <c r="B62" s="33"/>
      <c r="C62" s="34" t="s">
        <v>65</v>
      </c>
      <c r="D62" s="43">
        <f t="shared" ref="D62:D103" si="8">(IF(C62=$U$57, $X$57, 0)+IF(C62=$U$58, $X$58, 0)+IF(C62 = $U$59, $X$59, 0))/100</f>
        <v>0.46600000000000003</v>
      </c>
      <c r="E62" s="81">
        <f t="shared" ref="E62:E103" si="9">IFERROR(VLOOKUP(C62,$T$62:$U$67, 2, 0), 0)</f>
        <v>0</v>
      </c>
      <c r="F62" s="43">
        <f>IFERROR(INDEX(char2Weapons, MATCH(C62, weapons!$A$67:$A$131, 0), MATCH(char2WeaponName,weapons!$A$67:$CV$67, 0)),0)</f>
        <v>0.41299999999999998</v>
      </c>
      <c r="G62" s="81">
        <f>IFERROR(INDEX(char2ArtiSetStats, MATCH('Char 2'!$L$14,artisDB!$A$55:$A$107, 0), MATCH(C62, artisDB!$A$55:$AP$55, 0))+INDEX(char2ArtiSetStats, MATCH('Char 2'!$L$15,artisDB!$A$55:$A$107, 0), MATCH(C62, artisDB!$A$55:$AP$55, 0)),0)</f>
        <v>0</v>
      </c>
      <c r="H62" s="43">
        <f>IFERROR(INDEX('Char 2'!$X$26:$Z$35, MATCH(C62, 'Char 2'!$X$26:$X$35, 0), 3)*HLOOKUP('Char 2'!$Z$7, artifactSubstatValues, MATCH(C62, 'Artifact Database'!$A$1:$A$11, 0)),0)</f>
        <v>0.19839999999999999</v>
      </c>
      <c r="I62" s="81">
        <f>VLOOKUP(C62, 'Char 2'!$R$5:$T$50, 3,0)</f>
        <v>0</v>
      </c>
      <c r="J62" s="36"/>
      <c r="K62" s="81">
        <f t="shared" si="7"/>
        <v>1.0773999999999999</v>
      </c>
      <c r="L62" s="33"/>
      <c r="T62" s="7" t="s">
        <v>405</v>
      </c>
      <c r="U62" s="7" cm="1">
        <f t="array" ref="U62">INDEX('Char Stats'!$A$1:$G$735, MATCH(Calcs!$Q$57, 'Char Stats'!$A$1:$A$15, 0)+$U$61-1, MATCH(Calcs!T62, 'Char Stats'!$A$1:$G$1, 0))</f>
        <v>9797</v>
      </c>
    </row>
    <row r="63" spans="2:34" x14ac:dyDescent="0.25">
      <c r="B63" s="33"/>
      <c r="C63" s="34" t="s">
        <v>66</v>
      </c>
      <c r="D63" s="43">
        <f t="shared" si="8"/>
        <v>0</v>
      </c>
      <c r="E63" s="81">
        <f t="shared" si="9"/>
        <v>0</v>
      </c>
      <c r="F63" s="43">
        <f>IFERROR(INDEX(char2Weapons, MATCH(C63, weapons!$A$67:$A$131, 0), MATCH(char2WeaponName,weapons!$A$67:$CV$67, 0)),0)</f>
        <v>0</v>
      </c>
      <c r="G63" s="81">
        <f>IFERROR(INDEX(char2ArtiSetStats, MATCH('Char 2'!$L$14,artisDB!$A$55:$A$107, 0), MATCH(C63, artisDB!$A$55:$AP$55, 0))+INDEX(char2ArtiSetStats, MATCH('Char 2'!$L$15,artisDB!$A$55:$A$107, 0), MATCH(C63, artisDB!$A$55:$AP$55, 0)),0)</f>
        <v>0</v>
      </c>
      <c r="H63" s="43">
        <f>IFERROR(INDEX('Char 2'!$X$26:$Z$35, MATCH(C63, 'Char 2'!$X$26:$X$35, 0), 3)*HLOOKUP('Char 2'!$Z$7, artifactSubstatValues, MATCH(C63, 'Artifact Database'!$A$1:$A$11, 0)),0)</f>
        <v>0.124</v>
      </c>
      <c r="I63" s="81">
        <f>VLOOKUP(C63, 'Char 2'!$R$5:$T$50, 3,0)</f>
        <v>0</v>
      </c>
      <c r="J63" s="36"/>
      <c r="K63" s="81">
        <f t="shared" si="7"/>
        <v>0.124</v>
      </c>
      <c r="L63" s="33"/>
      <c r="T63" s="7" t="s">
        <v>406</v>
      </c>
      <c r="U63" s="7" cm="1">
        <f t="array" ref="U63">INDEX('Char Stats'!$A$1:$G$735, MATCH(Calcs!$Q$57, 'Char Stats'!$A$1:$A$15, 0)+$U$61-1, MATCH(Calcs!T63, 'Char Stats'!$A$1:$G$1, 0))</f>
        <v>335</v>
      </c>
    </row>
    <row r="64" spans="2:34" x14ac:dyDescent="0.25">
      <c r="B64" s="33"/>
      <c r="C64" s="34" t="s">
        <v>67</v>
      </c>
      <c r="D64" s="43">
        <f t="shared" si="8"/>
        <v>0</v>
      </c>
      <c r="E64" s="81">
        <f t="shared" si="9"/>
        <v>0</v>
      </c>
      <c r="F64" s="43">
        <f>IFERROR(INDEX(char2Weapons, MATCH(C64, weapons!$A$67:$A$131, 0), MATCH(char2WeaponName,weapons!$A$67:$CV$67, 0)),0)</f>
        <v>0</v>
      </c>
      <c r="G64" s="81">
        <f>IFERROR(INDEX(char2ArtiSetStats, MATCH('Char 2'!$L$14,artisDB!$A$55:$A$107, 0), MATCH(C64, artisDB!$A$55:$AP$55, 0))+INDEX(char2ArtiSetStats, MATCH('Char 2'!$L$15,artisDB!$A$55:$A$107, 0), MATCH(C64, artisDB!$A$55:$AP$55, 0)),0)</f>
        <v>0</v>
      </c>
      <c r="H64" s="43">
        <f>IFERROR(INDEX('Char 2'!$X$26:$Z$35, MATCH(C64, 'Char 2'!$X$26:$X$35, 0), 3)*HLOOKUP('Char 2'!$Z$7, artifactSubstatValues, MATCH(C64, 'Artifact Database'!$A$1:$A$11, 0)),0)</f>
        <v>9.9199999999999997E-2</v>
      </c>
      <c r="I64" s="81">
        <f>VLOOKUP(C64, 'Char 2'!$R$5:$T$50, 3,0)</f>
        <v>0</v>
      </c>
      <c r="J64" s="36"/>
      <c r="K64" s="81">
        <f t="shared" si="7"/>
        <v>9.9199999999999997E-2</v>
      </c>
      <c r="L64" s="33"/>
      <c r="T64" s="7" t="s">
        <v>407</v>
      </c>
      <c r="U64" s="7" cm="1">
        <f t="array" ref="U64">INDEX('Char Stats'!$A$1:$G$735, MATCH(Calcs!$Q$57, 'Char Stats'!$A$1:$A$15, 0)+$U$61-1, MATCH(Calcs!T64, 'Char Stats'!$A$1:$G$1, 0))</f>
        <v>630</v>
      </c>
    </row>
    <row r="65" spans="2:21" x14ac:dyDescent="0.25">
      <c r="B65" s="33"/>
      <c r="C65" s="34" t="s">
        <v>408</v>
      </c>
      <c r="D65" s="43">
        <f t="shared" si="8"/>
        <v>0</v>
      </c>
      <c r="E65" s="81">
        <f t="shared" ca="1" si="9"/>
        <v>0.05</v>
      </c>
      <c r="F65" s="43">
        <f>IFERROR(INDEX(char2Weapons, MATCH(C65, weapons!$A$67:$A$131, 0), MATCH(char2WeaponName,weapons!$A$67:$CV$67, 0)),0)</f>
        <v>0</v>
      </c>
      <c r="G65" s="81">
        <f>IFERROR(INDEX(char2ArtiSetStats, MATCH('Char 2'!$L$14,artisDB!$A$55:$A$107, 0), MATCH(C65, artisDB!$A$55:$AP$55, 0))+INDEX(char2ArtiSetStats, MATCH('Char 2'!$L$15,artisDB!$A$55:$A$107, 0), MATCH(C65, artisDB!$A$55:$AP$55, 0)),0)</f>
        <v>0</v>
      </c>
      <c r="H65" s="43">
        <f>IFERROR(INDEX('Char 2'!$X$26:$Z$35, MATCH(C65, 'Char 2'!$X$26:$X$35, 0), 3)*HLOOKUP('Char 2'!$Z$7, artifactSubstatValues, MATCH(C65, 'Artifact Database'!$A$1:$A$11, 0)),0)</f>
        <v>0.3972</v>
      </c>
      <c r="I65" s="81">
        <f>VLOOKUP(C65, 'Char 2'!$R$5:$T$50, 3,0)</f>
        <v>0.15</v>
      </c>
      <c r="J65" s="36"/>
      <c r="K65" s="81">
        <f ca="1">IF(SUM(D65:J65)&gt;100%, 100%, IF(SUM(D65:J65)&lt;0%, 0%, SUM(D65:J65)))</f>
        <v>0.59719999999999995</v>
      </c>
      <c r="L65" s="33"/>
      <c r="N65" s="33"/>
      <c r="O65" s="33"/>
      <c r="P65" s="33"/>
      <c r="Q65" s="33"/>
      <c r="R65" s="33"/>
      <c r="T65" s="7" t="str" cm="1">
        <f t="array" ref="T65">INDEX('Char Stats'!$A$1:$G$735, $U$61, 5)</f>
        <v>CDMG%</v>
      </c>
      <c r="U65" s="103">
        <f ca="1">INDEX(INDIRECT(char2Name&amp;"BaseStats"), MATCH(char2Level,  INDEX(INDIRECT(char2Name&amp;"BaseStats"), 0, 1), 0), MATCH(T65, INDEX(INDIRECT(char2Name&amp;"BaseStats"), 1, 0), 0))*IF(NOT(T65="EM"), 0.01, 1)</f>
        <v>0.88400000000000012</v>
      </c>
    </row>
    <row r="66" spans="2:21" x14ac:dyDescent="0.25">
      <c r="B66" s="33"/>
      <c r="C66" s="34" t="s">
        <v>409</v>
      </c>
      <c r="D66" s="43">
        <f t="shared" si="8"/>
        <v>0.622</v>
      </c>
      <c r="E66" s="81">
        <f t="shared" ca="1" si="9"/>
        <v>0.88400000000000012</v>
      </c>
      <c r="F66" s="43">
        <f>IFERROR(INDEX(char2Weapons, MATCH(C66, weapons!$A$67:$A$131, 0), MATCH(char2WeaponName,weapons!$A$67:$CV$67, 0)),0)</f>
        <v>0</v>
      </c>
      <c r="G66" s="81">
        <f>IFERROR(INDEX(char2ArtiSetStats, MATCH('Char 2'!$L$14,artisDB!$A$55:$A$107, 0), MATCH(C66, artisDB!$A$55:$AP$55, 0))+INDEX(char2ArtiSetStats, MATCH('Char 2'!$L$15,artisDB!$A$55:$A$107, 0), MATCH(C66, artisDB!$A$55:$AP$55, 0)),0)</f>
        <v>0</v>
      </c>
      <c r="H66" s="43">
        <f>IFERROR(INDEX('Char 2'!$X$26:$Z$35, MATCH(C66, 'Char 2'!$X$26:$X$35, 0), 3)*HLOOKUP('Char 2'!$Z$7, artifactSubstatValues, MATCH(C66, 'Artifact Database'!$A$1:$A$11, 0)),0)</f>
        <v>0.66199999999999992</v>
      </c>
      <c r="I66" s="81">
        <f>VLOOKUP(C66, 'Char 2'!$R$5:$T$50, 3,0)</f>
        <v>0</v>
      </c>
      <c r="J66" s="36"/>
      <c r="K66" s="81">
        <f t="shared" ca="1" si="7"/>
        <v>2.1680000000000001</v>
      </c>
      <c r="L66" s="33"/>
      <c r="N66" s="33"/>
      <c r="O66" s="280" t="s">
        <v>621</v>
      </c>
      <c r="P66" s="280"/>
      <c r="Q66" s="280"/>
      <c r="R66" s="33"/>
      <c r="T66" s="7" t="str" cm="1">
        <f t="array" ref="T66">INDEX('Char Stats'!$A$1:$G$735, $U$61, 6)</f>
        <v>CR%</v>
      </c>
      <c r="U66" s="103">
        <f ca="1">INDEX(INDIRECT(char2Name&amp;"BaseStats"), MATCH(char2Level,  INDEX(INDIRECT(char2Name&amp;"BaseStats"), 0, 1), 0), MATCH(T66, INDEX(INDIRECT(char2Name&amp;"BaseStats"), 1, 0), 0))*IF(NOT(T66="EM"), 0.01, 1)</f>
        <v>0.05</v>
      </c>
    </row>
    <row r="67" spans="2:21" x14ac:dyDescent="0.25">
      <c r="B67" s="33"/>
      <c r="C67" s="34" t="s">
        <v>68</v>
      </c>
      <c r="D67" s="43">
        <f t="shared" si="8"/>
        <v>0</v>
      </c>
      <c r="E67" s="81">
        <f t="shared" si="9"/>
        <v>0</v>
      </c>
      <c r="F67" s="43">
        <f>IFERROR(INDEX(char2Weapons, MATCH(C67, weapons!$A$67:$A$131, 0), MATCH(char2WeaponName,weapons!$A$67:$CV$67, 0)),0)</f>
        <v>0</v>
      </c>
      <c r="G67" s="81">
        <f>IFERROR(INDEX(char2ArtiSetStats, MATCH('Char 2'!$L$14,artisDB!$A$55:$A$107, 0), MATCH(C67, artisDB!$A$55:$AP$55, 0))+INDEX(char2ArtiSetStats, MATCH('Char 2'!$L$15,artisDB!$A$55:$A$107, 0), MATCH(C67, artisDB!$A$55:$AP$55, 0)),0)</f>
        <v>0</v>
      </c>
      <c r="H67" s="43">
        <f>IFERROR(INDEX('Char 2'!$X$26:$Z$35, MATCH(C67, 'Char 2'!$X$26:$X$35, 0), 3)*HLOOKUP('Char 2'!$Z$7, artifactSubstatValues, MATCH(C67, 'Artifact Database'!$A$1:$A$11, 0)),0)</f>
        <v>0.11020000000000001</v>
      </c>
      <c r="I67" s="81">
        <f>VLOOKUP(C67, 'Char 2'!$R$5:$T$50, 3,0)</f>
        <v>0</v>
      </c>
      <c r="J67" s="36"/>
      <c r="K67" s="81">
        <f>SUM(D67:J67)+100%</f>
        <v>1.1102000000000001</v>
      </c>
      <c r="L67" s="33"/>
      <c r="N67" s="33"/>
      <c r="O67" s="280"/>
      <c r="P67" s="280"/>
      <c r="Q67" s="280"/>
      <c r="R67" s="33"/>
      <c r="T67" s="7" t="str" cm="1">
        <f t="array" ref="T67">INDEX('Char Stats'!$A$1:$G$735, $U$61, 7)</f>
        <v>CDMG%</v>
      </c>
      <c r="U67" s="103">
        <f ca="1">INDEX(INDIRECT(char2Name&amp;"BaseStats"), MATCH(char2Level, INDEX(INDIRECT(char2Name&amp;"BaseStats"), 0, 1), 0), MATCH(T67, INDEX(INDIRECT(char2Name&amp;"BaseStats"), 1, 0), 0))*IF(NOT(T67="EM"), 0.01, 1)</f>
        <v>0.88400000000000012</v>
      </c>
    </row>
    <row r="68" spans="2:21" x14ac:dyDescent="0.25">
      <c r="B68" s="33"/>
      <c r="C68" s="34" t="s">
        <v>82</v>
      </c>
      <c r="D68" s="43">
        <f t="shared" si="8"/>
        <v>0</v>
      </c>
      <c r="E68" s="81">
        <f t="shared" si="9"/>
        <v>0</v>
      </c>
      <c r="F68" s="43">
        <f>IFERROR(INDEX(char2Weapons, MATCH(C68, weapons!$A$67:$A$131, 0), MATCH(char2WeaponName,weapons!$A$67:$CV$67, 0)),0)</f>
        <v>0</v>
      </c>
      <c r="G68" s="81">
        <f>IFERROR(INDEX(char2ArtiSetStats, MATCH('Char 2'!$L$14,artisDB!$A$55:$A$107, 0), MATCH(C68, artisDB!$A$55:$AP$55, 0))+INDEX(char2ArtiSetStats, MATCH('Char 2'!$L$15,artisDB!$A$55:$A$107, 0), MATCH(C68, artisDB!$A$55:$AP$55, 0)),0)</f>
        <v>0</v>
      </c>
      <c r="H68" s="43">
        <f>IFERROR(INDEX('Char 2'!$X$26:$Z$35, MATCH(C68, 'Char 2'!$X$26:$X$35, 0), 3)*HLOOKUP('Char 2'!$Z$7, artifactSubstatValues, MATCH(C68, 'Artifact Database'!$A$1:$A$11, 0)),0)</f>
        <v>0</v>
      </c>
      <c r="I68" s="81">
        <f>VLOOKUP(C68, 'Char 2'!$R$5:$T$50, 3,0)</f>
        <v>0</v>
      </c>
      <c r="J68" s="36"/>
      <c r="K68" s="81">
        <f t="shared" si="7"/>
        <v>0</v>
      </c>
      <c r="L68" s="33"/>
      <c r="N68" s="33"/>
      <c r="O68" s="281" t="s">
        <v>417</v>
      </c>
      <c r="P68" s="281"/>
      <c r="Q68" s="102">
        <f>VALUE(LEFT(Q57, 2))</f>
        <v>90</v>
      </c>
      <c r="R68" s="33"/>
    </row>
    <row r="69" spans="2:21" x14ac:dyDescent="0.25">
      <c r="B69" s="33"/>
      <c r="C69" s="34" t="s">
        <v>70</v>
      </c>
      <c r="D69" s="43">
        <f t="shared" si="8"/>
        <v>0</v>
      </c>
      <c r="E69" s="81">
        <f t="shared" si="9"/>
        <v>0</v>
      </c>
      <c r="F69" s="43">
        <f>IFERROR(INDEX(char2Weapons, MATCH(C69, weapons!$A$67:$A$131, 0), MATCH(char2WeaponName,weapons!$A$67:$CV$67, 0)),0)</f>
        <v>0</v>
      </c>
      <c r="G69" s="81">
        <f>IFERROR(INDEX(char2ArtiSetStats, MATCH('Char 2'!$L$14,artisDB!$A$55:$A$107, 0), MATCH(C69, artisDB!$A$55:$AP$55, 0))+INDEX(char2ArtiSetStats, MATCH('Char 2'!$L$15,artisDB!$A$55:$A$107, 0), MATCH(C69, artisDB!$A$55:$AP$55, 0)),0)</f>
        <v>0</v>
      </c>
      <c r="H69" s="43">
        <f>IFERROR(INDEX('Char 2'!$X$26:$Z$35, MATCH(C69, 'Char 2'!$X$26:$X$35, 0), 3)*HLOOKUP('Char 2'!$Z$7, artifactSubstatValues, MATCH(C69, 'Artifact Database'!$A$1:$A$11, 0)),0)</f>
        <v>0</v>
      </c>
      <c r="I69" s="81">
        <f>VLOOKUP(C69, 'Char 2'!$R$5:$T$50, 3,0)</f>
        <v>0</v>
      </c>
      <c r="J69" s="36"/>
      <c r="K69" s="81">
        <f t="shared" si="7"/>
        <v>0</v>
      </c>
      <c r="L69" s="33"/>
      <c r="N69" s="33"/>
      <c r="O69" s="281" t="s">
        <v>25</v>
      </c>
      <c r="P69" s="281"/>
      <c r="Q69" s="7">
        <f>'Char 1'!$E$29</f>
        <v>100</v>
      </c>
      <c r="R69" s="33"/>
    </row>
    <row r="70" spans="2:21" x14ac:dyDescent="0.25">
      <c r="B70" s="33"/>
      <c r="C70" s="34" t="s">
        <v>71</v>
      </c>
      <c r="D70" s="43">
        <f t="shared" si="8"/>
        <v>0</v>
      </c>
      <c r="E70" s="81">
        <f t="shared" si="9"/>
        <v>0</v>
      </c>
      <c r="F70" s="43">
        <f>IFERROR(INDEX(char2Weapons, MATCH(C70, weapons!$A$67:$A$131, 0), MATCH(char2WeaponName,weapons!$A$67:$CV$67, 0)),0)</f>
        <v>0</v>
      </c>
      <c r="G70" s="81">
        <f>IFERROR(INDEX(char2ArtiSetStats, MATCH('Char 2'!$L$14,artisDB!$A$55:$A$107, 0), MATCH(C70, artisDB!$A$55:$AP$55, 0))+INDEX(char2ArtiSetStats, MATCH('Char 2'!$L$15,artisDB!$A$55:$A$107, 0), MATCH(C70, artisDB!$A$55:$AP$55, 0)),0)</f>
        <v>0</v>
      </c>
      <c r="H70" s="43">
        <f>IFERROR(INDEX('Char 2'!$X$26:$Z$35, MATCH(C70, 'Char 2'!$X$26:$X$35, 0), 3)*HLOOKUP('Char 2'!$Z$7, artifactSubstatValues, MATCH(C70, 'Artifact Database'!$A$1:$A$11, 0)),0)</f>
        <v>0</v>
      </c>
      <c r="I70" s="81">
        <f>VLOOKUP(C70, 'Char 2'!$R$5:$T$50, 3,0)</f>
        <v>0</v>
      </c>
      <c r="J70" s="36"/>
      <c r="K70" s="81">
        <f t="shared" si="7"/>
        <v>0</v>
      </c>
      <c r="L70" s="33"/>
      <c r="N70" s="33"/>
      <c r="O70" s="281" t="s">
        <v>642</v>
      </c>
      <c r="P70" s="281"/>
      <c r="Q70" s="7">
        <f>IF(Q68&lt;60, 0.0002325*Q68^3+0.05547*Q68^2-0.2523*Q68+14.47, 0.00194*Q68^3-0.319*Q68^2+30.7*Q68-868)</f>
        <v>725.3599999999999</v>
      </c>
      <c r="R70" s="33"/>
    </row>
    <row r="71" spans="2:21" x14ac:dyDescent="0.25">
      <c r="B71" s="33"/>
      <c r="C71" s="34" t="s">
        <v>72</v>
      </c>
      <c r="D71" s="43">
        <f t="shared" si="8"/>
        <v>0</v>
      </c>
      <c r="E71" s="81">
        <f t="shared" si="9"/>
        <v>0</v>
      </c>
      <c r="F71" s="43">
        <f>IFERROR(INDEX(char2Weapons, MATCH(C71, weapons!$A$67:$A$131, 0), MATCH(char2WeaponName,weapons!$A$67:$CV$67, 0)),0)</f>
        <v>0</v>
      </c>
      <c r="G71" s="81">
        <f>IFERROR(INDEX(char2ArtiSetStats, MATCH('Char 2'!$L$14,artisDB!$A$55:$A$107, 0), MATCH(C71, artisDB!$A$55:$AP$55, 0))+INDEX(char2ArtiSetStats, MATCH('Char 2'!$L$15,artisDB!$A$55:$A$107, 0), MATCH(C71, artisDB!$A$55:$AP$55, 0)),0)</f>
        <v>0</v>
      </c>
      <c r="H71" s="43">
        <f>IFERROR(INDEX('Char 2'!$X$26:$Z$35, MATCH(C71, 'Char 2'!$X$26:$X$35, 0), 3)*HLOOKUP('Char 2'!$Z$7, artifactSubstatValues, MATCH(C71, 'Artifact Database'!$A$1:$A$11, 0)),0)</f>
        <v>0</v>
      </c>
      <c r="I71" s="81">
        <f>VLOOKUP(C71, 'Char 2'!$R$5:$T$50, 3,0)</f>
        <v>0</v>
      </c>
      <c r="J71" s="36"/>
      <c r="K71" s="81">
        <f t="shared" si="7"/>
        <v>0</v>
      </c>
      <c r="L71" s="33"/>
      <c r="N71" s="33"/>
      <c r="O71" s="33"/>
      <c r="P71" s="33"/>
      <c r="Q71" s="33"/>
      <c r="R71" s="33"/>
    </row>
    <row r="72" spans="2:21" x14ac:dyDescent="0.25">
      <c r="B72" s="33"/>
      <c r="C72" s="34" t="s">
        <v>73</v>
      </c>
      <c r="D72" s="43">
        <f t="shared" si="8"/>
        <v>0</v>
      </c>
      <c r="E72" s="81">
        <f t="shared" si="9"/>
        <v>0</v>
      </c>
      <c r="F72" s="43">
        <f>IFERROR(INDEX(char2Weapons, MATCH(C72, weapons!$A$67:$A$131, 0), MATCH(char2WeaponName,weapons!$A$67:$CV$67, 0)),0)</f>
        <v>0</v>
      </c>
      <c r="G72" s="81">
        <f>IFERROR(INDEX(char2ArtiSetStats, MATCH('Char 2'!$L$14,artisDB!$A$55:$A$107, 0), MATCH(C72, artisDB!$A$55:$AP$55, 0))+INDEX(char2ArtiSetStats, MATCH('Char 2'!$L$15,artisDB!$A$55:$A$107, 0), MATCH(C72, artisDB!$A$55:$AP$55, 0)),0)</f>
        <v>0</v>
      </c>
      <c r="H72" s="43">
        <f>IFERROR(INDEX('Char 2'!$X$26:$Z$35, MATCH(C72, 'Char 2'!$X$26:$X$35, 0), 3)*HLOOKUP('Char 2'!$Z$7, artifactSubstatValues, MATCH(C72, 'Artifact Database'!$A$1:$A$11, 0)),0)</f>
        <v>0</v>
      </c>
      <c r="I72" s="81">
        <f>VLOOKUP(C72, 'Char 2'!$R$5:$T$50, 3,0)</f>
        <v>0</v>
      </c>
      <c r="J72" s="36"/>
      <c r="K72" s="81">
        <f t="shared" si="7"/>
        <v>0</v>
      </c>
      <c r="L72" s="33"/>
    </row>
    <row r="73" spans="2:21" x14ac:dyDescent="0.25">
      <c r="B73" s="33"/>
      <c r="C73" s="34" t="s">
        <v>74</v>
      </c>
      <c r="D73" s="43">
        <f t="shared" si="8"/>
        <v>0.46600000000000003</v>
      </c>
      <c r="E73" s="81">
        <f t="shared" si="9"/>
        <v>0</v>
      </c>
      <c r="F73" s="43">
        <f>IFERROR(INDEX(char2Weapons, MATCH(C73, weapons!$A$67:$A$131, 0), MATCH(char2WeaponName,weapons!$A$67:$CV$67, 0)),0)</f>
        <v>0</v>
      </c>
      <c r="G73" s="81">
        <f>IFERROR(INDEX(char2ArtiSetStats, MATCH('Char 2'!$L$14,artisDB!$A$55:$A$107, 0), MATCH(C73, artisDB!$A$55:$AP$55, 0))+INDEX(char2ArtiSetStats, MATCH('Char 2'!$L$15,artisDB!$A$55:$A$107, 0), MATCH(C73, artisDB!$A$55:$AP$55, 0)),0)</f>
        <v>0.15</v>
      </c>
      <c r="H73" s="43">
        <f>IFERROR(INDEX('Char 2'!$X$26:$Z$35, MATCH(C73, 'Char 2'!$X$26:$X$35, 0), 3)*HLOOKUP('Char 2'!$Z$7, artifactSubstatValues, MATCH(C73, 'Artifact Database'!$A$1:$A$11, 0)),0)</f>
        <v>0</v>
      </c>
      <c r="I73" s="81">
        <f>VLOOKUP(C73, 'Char 2'!$R$5:$T$50, 3,0)</f>
        <v>0</v>
      </c>
      <c r="J73" s="36"/>
      <c r="K73" s="81">
        <f t="shared" si="7"/>
        <v>0.61599999999999999</v>
      </c>
      <c r="L73" s="33"/>
      <c r="N73" s="33"/>
      <c r="O73" s="33"/>
      <c r="P73" s="33"/>
      <c r="Q73" s="33"/>
      <c r="R73" s="33"/>
    </row>
    <row r="74" spans="2:21" x14ac:dyDescent="0.25">
      <c r="B74" s="33"/>
      <c r="C74" s="34" t="s">
        <v>75</v>
      </c>
      <c r="D74" s="43">
        <f t="shared" si="8"/>
        <v>0</v>
      </c>
      <c r="E74" s="81">
        <f t="shared" si="9"/>
        <v>0</v>
      </c>
      <c r="F74" s="43">
        <f>IFERROR(INDEX(char2Weapons, MATCH(C74, weapons!$A$67:$A$131, 0), MATCH(char2WeaponName,weapons!$A$67:$CV$67, 0)),0)</f>
        <v>0</v>
      </c>
      <c r="G74" s="81">
        <f>IFERROR(INDEX(char2ArtiSetStats, MATCH('Char 2'!$L$14,artisDB!$A$55:$A$107, 0), MATCH(C74, artisDB!$A$55:$AP$55, 0))+INDEX(char2ArtiSetStats, MATCH('Char 2'!$L$15,artisDB!$A$55:$A$107, 0), MATCH(C74, artisDB!$A$55:$AP$55, 0)),0)</f>
        <v>0</v>
      </c>
      <c r="H74" s="43">
        <f>IFERROR(INDEX('Char 2'!$X$26:$Z$35, MATCH(C74, 'Char 2'!$X$26:$X$35, 0), 3)*HLOOKUP('Char 2'!$Z$7, artifactSubstatValues, MATCH(C74, 'Artifact Database'!$A$1:$A$11, 0)),0)</f>
        <v>0</v>
      </c>
      <c r="I74" s="81">
        <f>VLOOKUP(C74, 'Char 2'!$R$5:$T$50, 3,0)</f>
        <v>0</v>
      </c>
      <c r="J74" s="36"/>
      <c r="K74" s="81">
        <f t="shared" si="7"/>
        <v>0</v>
      </c>
      <c r="L74" s="33"/>
      <c r="N74" s="33"/>
      <c r="O74" s="280" t="s">
        <v>630</v>
      </c>
      <c r="P74" s="280"/>
      <c r="Q74" s="280"/>
      <c r="R74" s="33"/>
    </row>
    <row r="75" spans="2:21" x14ac:dyDescent="0.25">
      <c r="B75" s="33"/>
      <c r="C75" s="34" t="s">
        <v>76</v>
      </c>
      <c r="D75" s="43">
        <f t="shared" si="8"/>
        <v>0</v>
      </c>
      <c r="E75" s="81">
        <f t="shared" si="9"/>
        <v>0</v>
      </c>
      <c r="F75" s="43">
        <f>IFERROR(INDEX(char2Weapons, MATCH(C75, weapons!$A$67:$A$131, 0), MATCH(char2WeaponName,weapons!$A$67:$CV$67, 0)),0)</f>
        <v>0</v>
      </c>
      <c r="G75" s="81">
        <f>IFERROR(INDEX(char2ArtiSetStats, MATCH('Char 2'!$L$14,artisDB!$A$55:$A$107, 0), MATCH(C75, artisDB!$A$55:$AP$55, 0))+INDEX(char2ArtiSetStats, MATCH('Char 2'!$L$15,artisDB!$A$55:$A$107, 0), MATCH(C75, artisDB!$A$55:$AP$55, 0)),0)</f>
        <v>0</v>
      </c>
      <c r="H75" s="43">
        <f>IFERROR(INDEX('Char 2'!$X$26:$Z$35, MATCH(C75, 'Char 2'!$X$26:$X$35, 0), 3)*HLOOKUP('Char 2'!$Z$7, artifactSubstatValues, MATCH(C75, 'Artifact Database'!$A$1:$A$11, 0)),0)</f>
        <v>0</v>
      </c>
      <c r="I75" s="81">
        <f>VLOOKUP(C75, 'Char 2'!$R$5:$T$50, 3,0)</f>
        <v>0</v>
      </c>
      <c r="J75" s="36"/>
      <c r="K75" s="81">
        <f t="shared" si="7"/>
        <v>0</v>
      </c>
      <c r="L75" s="33"/>
      <c r="N75" s="33"/>
      <c r="O75" s="280"/>
      <c r="P75" s="280"/>
      <c r="Q75" s="280"/>
      <c r="R75" s="33"/>
    </row>
    <row r="76" spans="2:21" x14ac:dyDescent="0.25">
      <c r="B76" s="33"/>
      <c r="C76" s="34" t="s">
        <v>77</v>
      </c>
      <c r="D76" s="43">
        <f t="shared" si="8"/>
        <v>0</v>
      </c>
      <c r="E76" s="81">
        <f t="shared" si="9"/>
        <v>0</v>
      </c>
      <c r="F76" s="43">
        <f>IFERROR(INDEX(char2Weapons, MATCH(C76, weapons!$A$67:$A$131, 0), MATCH(char2WeaponName,weapons!$A$67:$CV$67, 0)),0)</f>
        <v>0</v>
      </c>
      <c r="G76" s="81">
        <f>IFERROR(INDEX(char2ArtiSetStats, MATCH('Char 2'!$L$14,artisDB!$A$55:$A$107, 0), MATCH(C76, artisDB!$A$55:$AP$55, 0))+INDEX(char2ArtiSetStats, MATCH('Char 2'!$L$15,artisDB!$A$55:$A$107, 0), MATCH(C76, artisDB!$A$55:$AP$55, 0)),0)</f>
        <v>0</v>
      </c>
      <c r="H76" s="43">
        <f>IFERROR(INDEX('Char 2'!$X$26:$Z$35, MATCH(C76, 'Char 2'!$X$26:$X$35, 0), 3)*HLOOKUP('Char 2'!$Z$7, artifactSubstatValues, MATCH(C76, 'Artifact Database'!$A$1:$A$11, 0)),0)</f>
        <v>0</v>
      </c>
      <c r="I76" s="81">
        <f>VLOOKUP(C76, 'Char 2'!$R$5:$T$50, 3,0)</f>
        <v>0</v>
      </c>
      <c r="J76" s="36"/>
      <c r="K76" s="81">
        <f t="shared" si="7"/>
        <v>0</v>
      </c>
      <c r="L76" s="33"/>
      <c r="N76" s="33"/>
      <c r="O76" s="281" t="s">
        <v>629</v>
      </c>
      <c r="P76" s="281"/>
      <c r="Q76" s="7">
        <f>INDEX(char2Weapons, MATCH("Base ATK", weapons!$A$67:$A$131, 0), MATCH(char2WeaponName, weapons!$A$67:$CV$67, 0))</f>
        <v>510</v>
      </c>
      <c r="R76" s="33"/>
    </row>
    <row r="77" spans="2:21" x14ac:dyDescent="0.25">
      <c r="B77" s="33"/>
      <c r="C77" s="34" t="s">
        <v>78</v>
      </c>
      <c r="D77" s="43">
        <f t="shared" si="8"/>
        <v>0</v>
      </c>
      <c r="E77" s="81">
        <f t="shared" si="9"/>
        <v>0</v>
      </c>
      <c r="F77" s="43">
        <f>IFERROR(INDEX(char2Weapons, MATCH(C77, weapons!$A$67:$A$131, 0), MATCH(char2WeaponName,weapons!$A$67:$CV$67, 0)),0)</f>
        <v>0</v>
      </c>
      <c r="G77" s="81">
        <f>IFERROR(INDEX(char2ArtiSetStats, MATCH('Char 2'!$L$14,artisDB!$A$55:$A$107, 0), MATCH(C77, artisDB!$A$55:$AP$55, 0))+INDEX(char2ArtiSetStats, MATCH('Char 2'!$L$15,artisDB!$A$55:$A$107, 0), MATCH(C77, artisDB!$A$55:$AP$55, 0)),0)</f>
        <v>0</v>
      </c>
      <c r="H77" s="43">
        <f>IFERROR(INDEX('Char 2'!$X$26:$Z$35, MATCH(C77, 'Char 2'!$X$26:$X$35, 0), 3)*HLOOKUP('Char 2'!$Z$7, artifactSubstatValues, MATCH(C77, 'Artifact Database'!$A$1:$A$11, 0)),0)</f>
        <v>0</v>
      </c>
      <c r="I77" s="81">
        <f>VLOOKUP(C77, 'Char 2'!$R$5:$T$50, 3,0)</f>
        <v>0</v>
      </c>
      <c r="J77" s="36"/>
      <c r="K77" s="81">
        <f t="shared" si="7"/>
        <v>0</v>
      </c>
      <c r="L77" s="33"/>
      <c r="N77" s="33"/>
      <c r="O77" s="281" t="s">
        <v>622</v>
      </c>
      <c r="P77" s="281"/>
      <c r="Q77" s="7">
        <f>U63</f>
        <v>335</v>
      </c>
      <c r="R77" s="33"/>
    </row>
    <row r="78" spans="2:21" x14ac:dyDescent="0.25">
      <c r="B78" s="33"/>
      <c r="C78" s="34" t="s">
        <v>79</v>
      </c>
      <c r="D78" s="43">
        <f t="shared" si="8"/>
        <v>0</v>
      </c>
      <c r="E78" s="81">
        <f t="shared" si="9"/>
        <v>0</v>
      </c>
      <c r="F78" s="43">
        <f>IFERROR(INDEX(char2Weapons, MATCH(C78, weapons!$A$67:$A$131, 0), MATCH(char2WeaponName,weapons!$A$67:$CV$67, 0)),0)</f>
        <v>0</v>
      </c>
      <c r="G78" s="81">
        <f>IFERROR(INDEX(char2ArtiSetStats, MATCH('Char 2'!$L$14,artisDB!$A$55:$A$107, 0), MATCH(C78, artisDB!$A$55:$AP$55, 0))+INDEX(char2ArtiSetStats, MATCH('Char 2'!$L$15,artisDB!$A$55:$A$107, 0), MATCH(C78, artisDB!$A$55:$AP$55, 0)),0)</f>
        <v>0</v>
      </c>
      <c r="H78" s="43">
        <f>IFERROR(INDEX('Char 2'!$X$26:$Z$35, MATCH(C78, 'Char 2'!$X$26:$X$35, 0), 3)*HLOOKUP('Char 2'!$Z$7, artifactSubstatValues, MATCH(C78, 'Artifact Database'!$A$1:$A$11, 0)),0)</f>
        <v>0</v>
      </c>
      <c r="I78" s="81">
        <f>VLOOKUP(C78, 'Char 2'!$R$5:$T$50, 3,0)</f>
        <v>0</v>
      </c>
      <c r="J78" s="36"/>
      <c r="K78" s="81">
        <f t="shared" si="7"/>
        <v>0</v>
      </c>
      <c r="L78" s="33"/>
      <c r="N78" s="33"/>
      <c r="O78" s="281" t="s">
        <v>631</v>
      </c>
      <c r="P78" s="281"/>
      <c r="Q78" s="7">
        <f>U64</f>
        <v>630</v>
      </c>
      <c r="R78" s="33"/>
    </row>
    <row r="79" spans="2:21" x14ac:dyDescent="0.25">
      <c r="B79" s="33"/>
      <c r="C79" s="34" t="s">
        <v>80</v>
      </c>
      <c r="D79" s="43">
        <f t="shared" si="8"/>
        <v>0</v>
      </c>
      <c r="E79" s="81">
        <f t="shared" si="9"/>
        <v>0</v>
      </c>
      <c r="F79" s="43">
        <f>IFERROR(INDEX(char2Weapons, MATCH(C79, weapons!$A$67:$A$131, 0), MATCH(char2WeaponName,weapons!$A$67:$CV$67, 0)),0)</f>
        <v>0</v>
      </c>
      <c r="G79" s="81">
        <f>IFERROR(INDEX(char2ArtiSetStats, MATCH('Char 2'!$L$14,artisDB!$A$55:$A$107, 0), MATCH(C79, artisDB!$A$55:$AP$55, 0))+INDEX(char2ArtiSetStats, MATCH('Char 2'!$L$15,artisDB!$A$55:$A$107, 0), MATCH(C79, artisDB!$A$55:$AP$55, 0)),0)</f>
        <v>0</v>
      </c>
      <c r="H79" s="43">
        <f>IFERROR(INDEX('Char 2'!$X$26:$Z$35, MATCH(C79, 'Char 2'!$X$26:$X$35, 0), 3)*HLOOKUP('Char 2'!$Z$7, artifactSubstatValues, MATCH(C79, 'Artifact Database'!$A$1:$A$11, 0)),0)</f>
        <v>0</v>
      </c>
      <c r="I79" s="81">
        <f>VLOOKUP(C79, 'Char 2'!$R$5:$T$50, 3,0)</f>
        <v>0</v>
      </c>
      <c r="J79" s="36"/>
      <c r="K79" s="81">
        <f t="shared" si="7"/>
        <v>0</v>
      </c>
      <c r="L79" s="33"/>
      <c r="N79" s="33"/>
      <c r="O79" s="281" t="s">
        <v>632</v>
      </c>
      <c r="P79" s="281"/>
      <c r="Q79" s="7">
        <f>U62</f>
        <v>9797</v>
      </c>
      <c r="R79" s="33"/>
    </row>
    <row r="80" spans="2:21" x14ac:dyDescent="0.25">
      <c r="B80" s="33"/>
      <c r="C80" s="34" t="s">
        <v>81</v>
      </c>
      <c r="D80" s="43">
        <f t="shared" si="8"/>
        <v>0</v>
      </c>
      <c r="E80" s="81">
        <f t="shared" si="9"/>
        <v>0</v>
      </c>
      <c r="F80" s="43">
        <f>IFERROR(INDEX(char2Weapons, MATCH(C80, weapons!$A$67:$A$131, 0), MATCH(char2WeaponName,weapons!$A$67:$CV$67, 0)),0)</f>
        <v>0</v>
      </c>
      <c r="G80" s="81">
        <f>IFERROR(INDEX(char2ArtiSetStats, MATCH('Char 2'!$L$14,artisDB!$A$55:$A$107, 0), MATCH(C80, artisDB!$A$55:$AP$55, 0))+INDEX(char2ArtiSetStats, MATCH('Char 2'!$L$15,artisDB!$A$55:$A$107, 0), MATCH(C80, artisDB!$A$55:$AP$55, 0)),0)</f>
        <v>0</v>
      </c>
      <c r="H80" s="43">
        <f>IFERROR(INDEX('Char 2'!$X$26:$Z$35, MATCH(C80, 'Char 2'!$X$26:$X$35, 0), 3)*HLOOKUP('Char 2'!$Z$7, artifactSubstatValues, MATCH(C80, 'Artifact Database'!$A$1:$A$11, 0)),0)</f>
        <v>0</v>
      </c>
      <c r="I80" s="81">
        <f>VLOOKUP(C80, 'Char 2'!$R$5:$T$50, 3,0)</f>
        <v>0</v>
      </c>
      <c r="J80" s="36"/>
      <c r="K80" s="81">
        <f t="shared" si="7"/>
        <v>0</v>
      </c>
      <c r="L80" s="33"/>
      <c r="N80" s="33"/>
      <c r="O80" s="33"/>
      <c r="P80" s="33"/>
      <c r="Q80" s="33"/>
      <c r="R80" s="33"/>
    </row>
    <row r="81" spans="2:18" x14ac:dyDescent="0.25">
      <c r="B81" s="33"/>
      <c r="C81" s="34" t="s">
        <v>83</v>
      </c>
      <c r="D81" s="43">
        <f t="shared" si="8"/>
        <v>0</v>
      </c>
      <c r="E81" s="81">
        <f t="shared" si="9"/>
        <v>0</v>
      </c>
      <c r="F81" s="43">
        <f>IFERROR(INDEX(char2Weapons, MATCH(C81, weapons!$A$67:$A$131, 0), MATCH(char2WeaponName,weapons!$A$67:$CV$67, 0)),0)</f>
        <v>0</v>
      </c>
      <c r="G81" s="81">
        <f>IFERROR(INDEX(char2ArtiSetStats, MATCH('Char 2'!$L$14,artisDB!$A$55:$A$107, 0), MATCH(C81, artisDB!$A$55:$AP$55, 0))+INDEX(char2ArtiSetStats, MATCH('Char 2'!$L$15,artisDB!$A$55:$A$107, 0), MATCH(C81, artisDB!$A$55:$AP$55, 0)),0)</f>
        <v>0</v>
      </c>
      <c r="H81" s="43">
        <f>IFERROR(INDEX('Char 2'!$X$26:$Z$35, MATCH(C81, 'Char 2'!$X$26:$X$35, 0), 3)*HLOOKUP('Char 2'!$Z$7, artifactSubstatValues, MATCH(C81, 'Artifact Database'!$A$1:$A$11, 0)),0)</f>
        <v>0</v>
      </c>
      <c r="I81" s="81">
        <f>VLOOKUP(C81, 'Char 2'!$R$5:$T$50, 3,0)</f>
        <v>0</v>
      </c>
      <c r="J81" s="36"/>
      <c r="K81" s="81">
        <f t="shared" si="7"/>
        <v>0</v>
      </c>
      <c r="L81" s="33"/>
    </row>
    <row r="82" spans="2:18" x14ac:dyDescent="0.25">
      <c r="B82" s="33"/>
      <c r="C82" s="34" t="s">
        <v>84</v>
      </c>
      <c r="D82" s="43">
        <f t="shared" si="8"/>
        <v>0</v>
      </c>
      <c r="E82" s="81">
        <f t="shared" si="9"/>
        <v>0</v>
      </c>
      <c r="F82" s="43">
        <f>IFERROR(INDEX(char2Weapons, MATCH(C82, weapons!$A$67:$A$131, 0), MATCH(char2WeaponName,weapons!$A$67:$CV$67, 0)),0)</f>
        <v>0</v>
      </c>
      <c r="G82" s="81">
        <f>IFERROR(INDEX(char2ArtiSetStats, MATCH('Char 2'!$L$14,artisDB!$A$55:$A$107, 0), MATCH(C82, artisDB!$A$55:$AP$55, 0))+INDEX(char2ArtiSetStats, MATCH('Char 2'!$L$15,artisDB!$A$55:$A$107, 0), MATCH(C82, artisDB!$A$55:$AP$55, 0)),0)</f>
        <v>0</v>
      </c>
      <c r="H82" s="43">
        <f>IFERROR(INDEX('Char 2'!$X$26:$Z$35, MATCH(C82, 'Char 2'!$X$26:$X$35, 0), 3)*HLOOKUP('Char 2'!$Z$7, artifactSubstatValues, MATCH(C82, 'Artifact Database'!$A$1:$A$11, 0)),0)</f>
        <v>0</v>
      </c>
      <c r="I82" s="81">
        <f>VLOOKUP(C82, 'Char 2'!$R$5:$T$50, 3,0)</f>
        <v>0</v>
      </c>
      <c r="J82" s="36"/>
      <c r="K82" s="81">
        <f t="shared" si="7"/>
        <v>0</v>
      </c>
      <c r="L82" s="33"/>
      <c r="N82" s="33"/>
      <c r="O82" s="33"/>
      <c r="P82" s="33"/>
      <c r="Q82" s="33"/>
      <c r="R82" s="33"/>
    </row>
    <row r="83" spans="2:18" x14ac:dyDescent="0.25">
      <c r="B83" s="33"/>
      <c r="C83" s="34" t="s">
        <v>85</v>
      </c>
      <c r="D83" s="43">
        <f t="shared" si="8"/>
        <v>0</v>
      </c>
      <c r="E83" s="81">
        <f t="shared" si="9"/>
        <v>0</v>
      </c>
      <c r="F83" s="43">
        <f>IFERROR(INDEX(char2Weapons, MATCH(C83, weapons!$A$67:$A$131, 0), MATCH(char2WeaponName,weapons!$A$67:$CV$67, 0)),0)</f>
        <v>0</v>
      </c>
      <c r="G83" s="81">
        <f>IFERROR(INDEX(char2ArtiSetStats, MATCH('Char 2'!$L$14,artisDB!$A$55:$A$107, 0), MATCH(C83, artisDB!$A$55:$AP$55, 0))+INDEX(char2ArtiSetStats, MATCH('Char 2'!$L$15,artisDB!$A$55:$A$107, 0), MATCH(C83, artisDB!$A$55:$AP$55, 0)),0)</f>
        <v>0</v>
      </c>
      <c r="H83" s="43">
        <f>IFERROR(INDEX('Char 2'!$X$26:$Z$35, MATCH(C83, 'Char 2'!$X$26:$X$35, 0), 3)*HLOOKUP('Char 2'!$Z$7, artifactSubstatValues, MATCH(C83, 'Artifact Database'!$A$1:$A$11, 0)),0)</f>
        <v>0</v>
      </c>
      <c r="I83" s="81">
        <f>VLOOKUP(C83, 'Char 2'!$R$5:$T$50, 3,0)</f>
        <v>0</v>
      </c>
      <c r="J83" s="36"/>
      <c r="K83" s="81">
        <f t="shared" si="7"/>
        <v>0</v>
      </c>
      <c r="L83" s="33"/>
      <c r="N83" s="33"/>
      <c r="O83" s="280" t="s">
        <v>668</v>
      </c>
      <c r="P83" s="280"/>
      <c r="Q83" s="280"/>
      <c r="R83" s="33"/>
    </row>
    <row r="84" spans="2:18" x14ac:dyDescent="0.25">
      <c r="B84" s="33"/>
      <c r="C84" s="34" t="s">
        <v>86</v>
      </c>
      <c r="D84" s="43">
        <f t="shared" si="8"/>
        <v>0</v>
      </c>
      <c r="E84" s="81">
        <f t="shared" si="9"/>
        <v>0</v>
      </c>
      <c r="F84" s="43">
        <f>IFERROR(INDEX(char2Weapons, MATCH(C84, weapons!$A$67:$A$131, 0), MATCH(char2WeaponName,weapons!$A$67:$CV$67, 0)),0)</f>
        <v>0</v>
      </c>
      <c r="G84" s="81">
        <f>IFERROR(INDEX(char2ArtiSetStats, MATCH('Char 2'!$L$14,artisDB!$A$55:$A$107, 0), MATCH(C84, artisDB!$A$55:$AP$55, 0))+INDEX(char2ArtiSetStats, MATCH('Char 2'!$L$15,artisDB!$A$55:$A$107, 0), MATCH(C84, artisDB!$A$55:$AP$55, 0)),0)</f>
        <v>0</v>
      </c>
      <c r="H84" s="43">
        <f>IFERROR(INDEX('Char 2'!$X$26:$Z$35, MATCH(C84, 'Char 2'!$X$26:$X$35, 0), 3)*HLOOKUP('Char 2'!$Z$7, artifactSubstatValues, MATCH(C84, 'Artifact Database'!$A$1:$A$11, 0)),0)</f>
        <v>0</v>
      </c>
      <c r="I84" s="81">
        <f>VLOOKUP(C84, 'Char 2'!$R$5:$T$50, 3,0)</f>
        <v>0</v>
      </c>
      <c r="J84" s="36"/>
      <c r="K84" s="81">
        <f t="shared" si="7"/>
        <v>0</v>
      </c>
      <c r="L84" s="33"/>
      <c r="N84" s="33"/>
      <c r="O84" s="280"/>
      <c r="P84" s="280"/>
      <c r="Q84" s="280"/>
      <c r="R84" s="33"/>
    </row>
    <row r="85" spans="2:18" x14ac:dyDescent="0.25">
      <c r="B85" s="33"/>
      <c r="C85" s="34" t="s">
        <v>87</v>
      </c>
      <c r="D85" s="43">
        <f t="shared" si="8"/>
        <v>0</v>
      </c>
      <c r="E85" s="81">
        <f t="shared" si="9"/>
        <v>0</v>
      </c>
      <c r="F85" s="43">
        <f>IFERROR(INDEX(char2Weapons, MATCH(C85, weapons!$A$67:$A$131, 0), MATCH(char2WeaponName,weapons!$A$67:$CV$67, 0)),0)</f>
        <v>0</v>
      </c>
      <c r="G85" s="81">
        <f>IFERROR(INDEX(char2ArtiSetStats, MATCH('Char 2'!$L$14,artisDB!$A$55:$A$107, 0), MATCH(C85, artisDB!$A$55:$AP$55, 0))+INDEX(char2ArtiSetStats, MATCH('Char 2'!$L$15,artisDB!$A$55:$A$107, 0), MATCH(C85, artisDB!$A$55:$AP$55, 0)),0)</f>
        <v>0</v>
      </c>
      <c r="H85" s="43">
        <f>IFERROR(INDEX('Char 2'!$X$26:$Z$35, MATCH(C85, 'Char 2'!$X$26:$X$35, 0), 3)*HLOOKUP('Char 2'!$Z$7, artifactSubstatValues, MATCH(C85, 'Artifact Database'!$A$1:$A$11, 0)),0)</f>
        <v>0</v>
      </c>
      <c r="I85" s="81">
        <f>VLOOKUP(C85, 'Char 2'!$R$5:$T$50, 3,0)</f>
        <v>0</v>
      </c>
      <c r="J85" s="36"/>
      <c r="K85" s="81">
        <f t="shared" si="7"/>
        <v>0</v>
      </c>
      <c r="L85" s="33"/>
      <c r="N85" s="33"/>
      <c r="O85" s="281" t="s">
        <v>669</v>
      </c>
      <c r="P85" s="281"/>
      <c r="Q85" s="7" t="str">
        <f>'Char 2'!E20</f>
        <v>Skill</v>
      </c>
      <c r="R85" s="33"/>
    </row>
    <row r="86" spans="2:18" x14ac:dyDescent="0.25">
      <c r="B86" s="33"/>
      <c r="C86" s="34" t="s">
        <v>90</v>
      </c>
      <c r="D86" s="43">
        <f t="shared" si="8"/>
        <v>0</v>
      </c>
      <c r="E86" s="81">
        <f t="shared" si="9"/>
        <v>0</v>
      </c>
      <c r="F86" s="43">
        <f>IFERROR(INDEX(char2Weapons, MATCH(C86, weapons!$A$67:$A$131, 0), MATCH(char2WeaponName,weapons!$A$67:$CV$67, 0)),0)</f>
        <v>0</v>
      </c>
      <c r="G86" s="81">
        <f>IFERROR(INDEX(char2ArtiSetStats, MATCH('Char 2'!$L$14,artisDB!$A$55:$A$107, 0), MATCH(C86, artisDB!$A$55:$AP$55, 0))+INDEX(char2ArtiSetStats, MATCH('Char 2'!$L$15,artisDB!$A$55:$A$107, 0), MATCH(C86, artisDB!$A$55:$AP$55, 0)),0)</f>
        <v>0</v>
      </c>
      <c r="H86" s="43">
        <f>IFERROR(INDEX('Char 2'!$X$26:$Z$35, MATCH(C86, 'Char 2'!$X$26:$X$35, 0), 3)*HLOOKUP('Char 2'!$Z$7, artifactSubstatValues, MATCH(C86, 'Artifact Database'!$A$1:$A$11, 0)),0)</f>
        <v>0</v>
      </c>
      <c r="I86" s="81">
        <f>VLOOKUP(C86, 'Char 2'!$R$5:$T$50, 3,0)</f>
        <v>0</v>
      </c>
      <c r="J86" s="36"/>
      <c r="K86" s="81">
        <f t="shared" si="7"/>
        <v>0</v>
      </c>
      <c r="L86" s="33"/>
      <c r="N86" s="33"/>
      <c r="O86" s="281" t="s">
        <v>670</v>
      </c>
      <c r="P86" s="281"/>
      <c r="Q86" s="7" t="str">
        <f>'Char 2'!E23</f>
        <v>Burst</v>
      </c>
      <c r="R86" s="33"/>
    </row>
    <row r="87" spans="2:18" x14ac:dyDescent="0.25">
      <c r="B87" s="33"/>
      <c r="C87" s="34" t="s">
        <v>88</v>
      </c>
      <c r="D87" s="43">
        <f t="shared" si="8"/>
        <v>0</v>
      </c>
      <c r="E87" s="81">
        <f t="shared" si="9"/>
        <v>0</v>
      </c>
      <c r="F87" s="43">
        <f>IFERROR(INDEX(char2Weapons, MATCH(C87, weapons!$A$67:$A$131, 0), MATCH(char2WeaponName,weapons!$A$67:$CV$67, 0)),0)</f>
        <v>0</v>
      </c>
      <c r="G87" s="81">
        <f>IFERROR(INDEX(char2ArtiSetStats, MATCH('Char 2'!$L$14,artisDB!$A$55:$A$107, 0), MATCH(C87, artisDB!$A$55:$AP$55, 0))+INDEX(char2ArtiSetStats, MATCH('Char 2'!$L$15,artisDB!$A$55:$A$107, 0), MATCH(C87, artisDB!$A$55:$AP$55, 0)),0)</f>
        <v>0</v>
      </c>
      <c r="H87" s="43">
        <f>IFERROR(INDEX('Char 2'!$X$26:$Z$35, MATCH(C87, 'Char 2'!$X$26:$X$35, 0), 3)*HLOOKUP('Char 2'!$Z$7, artifactSubstatValues, MATCH(C87, 'Artifact Database'!$A$1:$A$11, 0)),0)</f>
        <v>0</v>
      </c>
      <c r="I87" s="81">
        <f>VLOOKUP(C87, 'Char 2'!$R$5:$T$50, 3,0)</f>
        <v>0</v>
      </c>
      <c r="J87" s="36"/>
      <c r="K87" s="81">
        <f t="shared" si="7"/>
        <v>0</v>
      </c>
      <c r="L87" s="33"/>
      <c r="N87" s="33"/>
      <c r="O87" s="33"/>
      <c r="P87" s="33"/>
      <c r="Q87" s="33"/>
      <c r="R87" s="33"/>
    </row>
    <row r="88" spans="2:18" x14ac:dyDescent="0.25">
      <c r="B88" s="33"/>
      <c r="C88" s="34" t="s">
        <v>89</v>
      </c>
      <c r="D88" s="43">
        <f t="shared" si="8"/>
        <v>0</v>
      </c>
      <c r="E88" s="81">
        <f t="shared" si="9"/>
        <v>0</v>
      </c>
      <c r="F88" s="43">
        <f>IFERROR(INDEX(char2Weapons, MATCH(C88, weapons!$A$67:$A$131, 0), MATCH(char2WeaponName,weapons!$A$67:$CV$67, 0)),0)</f>
        <v>0</v>
      </c>
      <c r="G88" s="81">
        <f>IFERROR(INDEX(char2ArtiSetStats, MATCH('Char 2'!$L$14,artisDB!$A$55:$A$107, 0), MATCH(C88, artisDB!$A$55:$AP$55, 0))+INDEX(char2ArtiSetStats, MATCH('Char 2'!$L$15,artisDB!$A$55:$A$107, 0), MATCH(C88, artisDB!$A$55:$AP$55, 0)),0)</f>
        <v>0</v>
      </c>
      <c r="H88" s="43">
        <f>IFERROR(INDEX('Char 2'!$X$26:$Z$35, MATCH(C88, 'Char 2'!$X$26:$X$35, 0), 3)*HLOOKUP('Char 2'!$Z$7, artifactSubstatValues, MATCH(C88, 'Artifact Database'!$A$1:$A$11, 0)),0)</f>
        <v>0</v>
      </c>
      <c r="I88" s="81">
        <f>VLOOKUP(C88, 'Char 2'!$R$5:$T$50, 3,0)</f>
        <v>0</v>
      </c>
      <c r="J88" s="36"/>
      <c r="K88" s="81">
        <f t="shared" si="7"/>
        <v>0</v>
      </c>
      <c r="L88" s="33"/>
    </row>
    <row r="89" spans="2:18" x14ac:dyDescent="0.25">
      <c r="B89" s="33"/>
      <c r="C89" s="34" t="s">
        <v>91</v>
      </c>
      <c r="D89" s="43">
        <f t="shared" si="8"/>
        <v>0</v>
      </c>
      <c r="E89" s="81">
        <f t="shared" si="9"/>
        <v>0</v>
      </c>
      <c r="F89" s="43">
        <f>IFERROR(INDEX(char2Weapons, MATCH(C89, weapons!$A$67:$A$131, 0), MATCH(char2WeaponName,weapons!$A$67:$CV$67, 0)),0)</f>
        <v>0</v>
      </c>
      <c r="G89" s="81">
        <f>IFERROR(INDEX(char2ArtiSetStats, MATCH('Char 2'!$L$14,artisDB!$A$55:$A$107, 0), MATCH(C89, artisDB!$A$55:$AP$55, 0))+INDEX(char2ArtiSetStats, MATCH('Char 2'!$L$15,artisDB!$A$55:$A$107, 0), MATCH(C89, artisDB!$A$55:$AP$55, 0)),0)</f>
        <v>0</v>
      </c>
      <c r="H89" s="43">
        <f>IFERROR(INDEX('Char 2'!$X$26:$Z$35, MATCH(C89, 'Char 2'!$X$26:$X$35, 0), 3)*HLOOKUP('Char 2'!$Z$7, artifactSubstatValues, MATCH(C89, 'Artifact Database'!$A$1:$A$11, 0)),0)</f>
        <v>0</v>
      </c>
      <c r="I89" s="81">
        <f>VLOOKUP(C89, 'Char 2'!$R$5:$T$50, 3,0)</f>
        <v>0</v>
      </c>
      <c r="J89" s="36"/>
      <c r="K89" s="81">
        <f t="shared" si="7"/>
        <v>0</v>
      </c>
      <c r="L89" s="33"/>
      <c r="N89" s="33"/>
      <c r="O89" s="33"/>
      <c r="P89" s="33"/>
      <c r="Q89" s="33"/>
      <c r="R89" s="33"/>
    </row>
    <row r="90" spans="2:18" x14ac:dyDescent="0.25">
      <c r="B90" s="33"/>
      <c r="C90" s="34" t="s">
        <v>453</v>
      </c>
      <c r="D90" s="43">
        <f t="shared" si="8"/>
        <v>0</v>
      </c>
      <c r="E90" s="81">
        <f t="shared" si="9"/>
        <v>0</v>
      </c>
      <c r="F90" s="43">
        <f>IFERROR(INDEX(char2Weapons, MATCH(C90, weapons!$A$67:$A$131, 0), MATCH(char2WeaponName,weapons!$A$67:$CV$67, 0)),0)</f>
        <v>0</v>
      </c>
      <c r="G90" s="81">
        <f>IFERROR(INDEX(char2ArtiSetStats, MATCH('Char 2'!$L$14,artisDB!$A$55:$A$107, 0), MATCH(C90, artisDB!$A$55:$AP$55, 0))+INDEX(char2ArtiSetStats, MATCH('Char 2'!$L$15,artisDB!$A$55:$A$107, 0), MATCH(C90, artisDB!$A$55:$AP$55, 0)),0)</f>
        <v>0</v>
      </c>
      <c r="H90" s="43">
        <f>IFERROR(INDEX('Char 2'!$X$26:$Z$35, MATCH(C90, 'Char 2'!$X$26:$X$35, 0), 3)*HLOOKUP('Char 2'!$Z$7, artifactSubstatValues, MATCH(C90, 'Artifact Database'!$A$1:$A$11, 0)),0)</f>
        <v>0</v>
      </c>
      <c r="I90" s="81">
        <f>VLOOKUP(C90, 'Char 2'!$R$5:$T$50, 3,0)</f>
        <v>0</v>
      </c>
      <c r="J90" s="36"/>
      <c r="K90" s="81">
        <f t="shared" si="7"/>
        <v>0</v>
      </c>
      <c r="L90" s="33"/>
      <c r="N90" s="33"/>
      <c r="O90" s="280" t="s">
        <v>675</v>
      </c>
      <c r="P90" s="280"/>
      <c r="Q90" s="280"/>
      <c r="R90" s="33"/>
    </row>
    <row r="91" spans="2:18" x14ac:dyDescent="0.25">
      <c r="B91" s="33"/>
      <c r="C91" s="34" t="s">
        <v>93</v>
      </c>
      <c r="D91" s="43">
        <f t="shared" si="8"/>
        <v>0</v>
      </c>
      <c r="E91" s="81">
        <f t="shared" si="9"/>
        <v>0</v>
      </c>
      <c r="F91" s="43">
        <f>IFERROR(INDEX(char2Weapons, MATCH(C91, weapons!$A$67:$A$131, 0), MATCH(char2WeaponName,weapons!$A$67:$CV$67, 0)),0)</f>
        <v>0</v>
      </c>
      <c r="G91" s="81">
        <f>IFERROR(INDEX(char2ArtiSetStats, MATCH('Char 2'!$L$14,artisDB!$A$55:$A$107, 0), MATCH(C91, artisDB!$A$55:$AP$55, 0))+INDEX(char2ArtiSetStats, MATCH('Char 2'!$L$15,artisDB!$A$55:$A$107, 0), MATCH(C91, artisDB!$A$55:$AP$55, 0)),0)</f>
        <v>0</v>
      </c>
      <c r="H91" s="43">
        <f>IFERROR(INDEX('Char 2'!$X$26:$Z$35, MATCH(C91, 'Char 2'!$X$26:$X$35, 0), 3)*HLOOKUP('Char 2'!$Z$7, artifactSubstatValues, MATCH(C91, 'Artifact Database'!$A$1:$A$11, 0)),0)</f>
        <v>0</v>
      </c>
      <c r="I91" s="81">
        <f>VLOOKUP(C91, 'Char 2'!$R$5:$T$50, 3,0)</f>
        <v>0</v>
      </c>
      <c r="J91" s="36"/>
      <c r="K91" s="81">
        <f t="shared" si="7"/>
        <v>0</v>
      </c>
      <c r="L91" s="33"/>
      <c r="N91" s="33"/>
      <c r="O91" s="280"/>
      <c r="P91" s="280"/>
      <c r="Q91" s="280"/>
      <c r="R91" s="33"/>
    </row>
    <row r="92" spans="2:18" x14ac:dyDescent="0.25">
      <c r="B92" s="33"/>
      <c r="C92" s="34" t="s">
        <v>422</v>
      </c>
      <c r="D92" s="43">
        <f t="shared" si="8"/>
        <v>0</v>
      </c>
      <c r="E92" s="81">
        <f t="shared" si="9"/>
        <v>0</v>
      </c>
      <c r="F92" s="43">
        <f>IFERROR(INDEX(char2Weapons, MATCH(C92, weapons!$A$67:$A$131, 0), MATCH(char2WeaponName,weapons!$A$67:$CV$67, 0)),0)</f>
        <v>0</v>
      </c>
      <c r="G92" s="81">
        <f>IFERROR(INDEX(char2ArtiSetStats, MATCH('Char 2'!$L$14,artisDB!$A$55:$A$107, 0), MATCH(C92, artisDB!$A$55:$AP$55, 0))+INDEX(char2ArtiSetStats, MATCH('Char 2'!$L$15,artisDB!$A$55:$A$107, 0), MATCH(C92, artisDB!$A$55:$AP$55, 0)),0)</f>
        <v>0</v>
      </c>
      <c r="H92" s="43">
        <f>IFERROR(INDEX('Char 2'!$X$26:$Z$35, MATCH(C92, 'Char 2'!$X$26:$X$35, 0), 3)*HLOOKUP('Char 2'!$Z$7, artifactSubstatValues, MATCH(C92, 'Artifact Database'!$A$1:$A$11, 0)),0)</f>
        <v>0</v>
      </c>
      <c r="I92" s="81">
        <f>VLOOKUP(C92, 'Char 2'!$R$5:$T$50, 3,0)</f>
        <v>0</v>
      </c>
      <c r="J92" s="36"/>
      <c r="K92" s="81">
        <f t="shared" si="7"/>
        <v>0</v>
      </c>
      <c r="L92" s="33"/>
      <c r="N92" s="33"/>
      <c r="O92" s="281" t="s">
        <v>394</v>
      </c>
      <c r="P92" s="281"/>
      <c r="Q92" s="7">
        <f>(char2LevelNum+100)/((char2LevelNum+100)+(enemyLevel+100)*(1-K89))</f>
        <v>0.48717948717948717</v>
      </c>
      <c r="R92" s="33"/>
    </row>
    <row r="93" spans="2:18" x14ac:dyDescent="0.25">
      <c r="B93" s="33"/>
      <c r="C93" s="34" t="s">
        <v>452</v>
      </c>
      <c r="D93" s="43">
        <f t="shared" si="8"/>
        <v>0</v>
      </c>
      <c r="E93" s="81">
        <f t="shared" si="9"/>
        <v>0</v>
      </c>
      <c r="F93" s="43">
        <f>IFERROR(INDEX(char2Weapons, MATCH(C93, weapons!$A$67:$A$131, 0), MATCH(char2WeaponName,weapons!$A$67:$CV$67, 0)),0)</f>
        <v>0</v>
      </c>
      <c r="G93" s="81">
        <f>IFERROR(INDEX(char2ArtiSetStats, MATCH('Char 2'!$L$14,artisDB!$A$55:$A$107, 0), MATCH(C93, artisDB!$A$55:$AP$55, 0))+INDEX(char2ArtiSetStats, MATCH('Char 2'!$L$15,artisDB!$A$55:$A$107, 0), MATCH(C93, artisDB!$A$55:$AP$55, 0)),0)</f>
        <v>0</v>
      </c>
      <c r="H93" s="43">
        <f>IFERROR(INDEX('Char 2'!$X$26:$Z$35, MATCH(C93, 'Char 2'!$X$26:$X$35, 0), 3)*HLOOKUP('Char 2'!$Z$7, artifactSubstatValues, MATCH(C93, 'Artifact Database'!$A$1:$A$11, 0)),0)</f>
        <v>0</v>
      </c>
      <c r="I93" s="81">
        <f>VLOOKUP(C93, 'Char 2'!$R$5:$T$50, 3,0)</f>
        <v>0</v>
      </c>
      <c r="J93" s="36"/>
      <c r="K93" s="81">
        <f t="shared" si="7"/>
        <v>0</v>
      </c>
      <c r="L93" s="33"/>
      <c r="N93" s="33"/>
      <c r="O93" s="33"/>
      <c r="P93" s="33"/>
      <c r="Q93" s="33"/>
      <c r="R93" s="33"/>
    </row>
    <row r="94" spans="2:18" x14ac:dyDescent="0.25">
      <c r="B94" s="33"/>
      <c r="C94" s="34" t="s">
        <v>92</v>
      </c>
      <c r="D94" s="43">
        <f t="shared" si="8"/>
        <v>0</v>
      </c>
      <c r="E94" s="81">
        <f t="shared" si="9"/>
        <v>0</v>
      </c>
      <c r="F94" s="43">
        <f>IFERROR(INDEX(char2Weapons, MATCH(C94, weapons!$A$67:$A$131, 0), MATCH(char2WeaponName,weapons!$A$67:$CV$67, 0)),0)</f>
        <v>0</v>
      </c>
      <c r="G94" s="81">
        <f>IFERROR(INDEX(char2ArtiSetStats, MATCH('Char 2'!$L$14,artisDB!$A$55:$A$107, 0), MATCH(C94, artisDB!$A$55:$AP$55, 0))+INDEX(char2ArtiSetStats, MATCH('Char 2'!$L$15,artisDB!$A$55:$A$107, 0), MATCH(C94, artisDB!$A$55:$AP$55, 0)),0)</f>
        <v>0</v>
      </c>
      <c r="H94" s="43">
        <f>IFERROR(INDEX('Char 2'!$X$26:$Z$35, MATCH(C94, 'Char 2'!$X$26:$X$35, 0), 3)*HLOOKUP('Char 2'!$Z$7, artifactSubstatValues, MATCH(C94, 'Artifact Database'!$A$1:$A$11, 0)),0)</f>
        <v>0</v>
      </c>
      <c r="I94" s="81">
        <f>VLOOKUP(C94, 'Char 2'!$R$5:$T$50, 3,0)</f>
        <v>0</v>
      </c>
      <c r="J94" s="36"/>
      <c r="K94" s="81">
        <f t="shared" si="7"/>
        <v>0</v>
      </c>
      <c r="L94" s="33"/>
    </row>
    <row r="95" spans="2:18" x14ac:dyDescent="0.25">
      <c r="B95" s="33"/>
      <c r="C95" s="34" t="s">
        <v>94</v>
      </c>
      <c r="D95" s="43">
        <f t="shared" si="8"/>
        <v>0</v>
      </c>
      <c r="E95" s="81">
        <f t="shared" si="9"/>
        <v>0</v>
      </c>
      <c r="F95" s="43">
        <f>IFERROR(INDEX(char2Weapons, MATCH(C95, weapons!$A$67:$A$131, 0), MATCH(char2WeaponName,weapons!$A$67:$CV$67, 0)),0)</f>
        <v>0</v>
      </c>
      <c r="G95" s="81">
        <f>IFERROR(INDEX(char2ArtiSetStats, MATCH('Char 2'!$L$14,artisDB!$A$55:$A$107, 0), MATCH(C95, artisDB!$A$55:$AP$55, 0))+INDEX(char2ArtiSetStats, MATCH('Char 2'!$L$15,artisDB!$A$55:$A$107, 0), MATCH(C95, artisDB!$A$55:$AP$55, 0)),0)</f>
        <v>0</v>
      </c>
      <c r="H95" s="43">
        <f>IFERROR(INDEX('Char 2'!$X$26:$Z$35, MATCH(C95, 'Char 2'!$X$26:$X$35, 0), 3)*HLOOKUP('Char 2'!$Z$7, artifactSubstatValues, MATCH(C95, 'Artifact Database'!$A$1:$A$11, 0)),0)</f>
        <v>0</v>
      </c>
      <c r="I95" s="81">
        <f>VLOOKUP(C95, 'Char 2'!$R$5:$T$50, 3,0)</f>
        <v>0</v>
      </c>
      <c r="J95" s="36"/>
      <c r="K95" s="81">
        <f t="shared" si="7"/>
        <v>0</v>
      </c>
      <c r="L95" s="33"/>
      <c r="N95" s="33"/>
      <c r="O95" s="33"/>
      <c r="P95" s="33"/>
      <c r="Q95" s="33"/>
      <c r="R95" s="33"/>
    </row>
    <row r="96" spans="2:18" x14ac:dyDescent="0.25">
      <c r="B96" s="33"/>
      <c r="C96" s="34" t="s">
        <v>95</v>
      </c>
      <c r="D96" s="43">
        <f t="shared" si="8"/>
        <v>0</v>
      </c>
      <c r="E96" s="81">
        <f t="shared" si="9"/>
        <v>0</v>
      </c>
      <c r="F96" s="43">
        <f>IFERROR(INDEX(char2Weapons, MATCH(C96, weapons!$A$67:$A$131, 0), MATCH(char2WeaponName,weapons!$A$67:$CV$67, 0)),0)</f>
        <v>0</v>
      </c>
      <c r="G96" s="81">
        <f>IFERROR(INDEX(char2ArtiSetStats, MATCH('Char 2'!$L$14,artisDB!$A$55:$A$107, 0), MATCH(C96, artisDB!$A$55:$AP$55, 0))+INDEX(char2ArtiSetStats, MATCH('Char 2'!$L$15,artisDB!$A$55:$A$107, 0), MATCH(C96, artisDB!$A$55:$AP$55, 0)),0)</f>
        <v>0</v>
      </c>
      <c r="H96" s="43">
        <f>IFERROR(INDEX('Char 2'!$X$26:$Z$35, MATCH(C96, 'Char 2'!$X$26:$X$35, 0), 3)*HLOOKUP('Char 2'!$Z$7, artifactSubstatValues, MATCH(C96, 'Artifact Database'!$A$1:$A$11, 0)),0)</f>
        <v>0</v>
      </c>
      <c r="I96" s="81">
        <f>VLOOKUP(C96, 'Char 2'!$R$5:$T$50, 3,0)</f>
        <v>0</v>
      </c>
      <c r="J96" s="36"/>
      <c r="K96" s="81">
        <f t="shared" si="7"/>
        <v>0</v>
      </c>
      <c r="L96" s="33"/>
      <c r="N96" s="33"/>
      <c r="O96" s="280" t="s">
        <v>743</v>
      </c>
      <c r="P96" s="280"/>
      <c r="Q96" s="280"/>
      <c r="R96" s="33"/>
    </row>
    <row r="97" spans="2:24" x14ac:dyDescent="0.25">
      <c r="B97" s="33"/>
      <c r="C97" s="34" t="s">
        <v>96</v>
      </c>
      <c r="D97" s="43">
        <f t="shared" si="8"/>
        <v>0</v>
      </c>
      <c r="E97" s="81">
        <f t="shared" si="9"/>
        <v>0</v>
      </c>
      <c r="F97" s="43">
        <f>IFERROR(INDEX(char2Weapons, MATCH(C97, weapons!$A$67:$A$131, 0), MATCH(char2WeaponName,weapons!$A$67:$CV$67, 0)),0)</f>
        <v>0</v>
      </c>
      <c r="G97" s="81">
        <f>IFERROR(INDEX(char2ArtiSetStats, MATCH('Char 2'!$L$14,artisDB!$A$55:$A$107, 0), MATCH(C97, artisDB!$A$55:$AP$55, 0))+INDEX(char2ArtiSetStats, MATCH('Char 2'!$L$15,artisDB!$A$55:$A$107, 0), MATCH(C97, artisDB!$A$55:$AP$55, 0)),0)</f>
        <v>0</v>
      </c>
      <c r="H97" s="43">
        <f>IFERROR(INDEX('Char 2'!$X$26:$Z$35, MATCH(C97, 'Char 2'!$X$26:$X$35, 0), 3)*HLOOKUP('Char 2'!$Z$7, artifactSubstatValues, MATCH(C97, 'Artifact Database'!$A$1:$A$11, 0)),0)</f>
        <v>0</v>
      </c>
      <c r="I97" s="81">
        <f>VLOOKUP(C97, 'Char 2'!$R$5:$T$50, 3,0)</f>
        <v>0</v>
      </c>
      <c r="J97" s="36"/>
      <c r="K97" s="81">
        <f t="shared" si="7"/>
        <v>0</v>
      </c>
      <c r="L97" s="33"/>
      <c r="N97" s="33"/>
      <c r="O97" s="280"/>
      <c r="P97" s="280"/>
      <c r="Q97" s="280"/>
      <c r="R97" s="33"/>
    </row>
    <row r="98" spans="2:24" x14ac:dyDescent="0.25">
      <c r="B98" s="33"/>
      <c r="C98" s="34" t="s">
        <v>97</v>
      </c>
      <c r="D98" s="43">
        <f t="shared" si="8"/>
        <v>0</v>
      </c>
      <c r="E98" s="81">
        <f t="shared" si="9"/>
        <v>0</v>
      </c>
      <c r="F98" s="43">
        <f>IFERROR(INDEX(char2Weapons, MATCH(C98, weapons!$A$67:$A$131, 0), MATCH(char2WeaponName,weapons!$A$67:$CV$67, 0)),0)</f>
        <v>0</v>
      </c>
      <c r="G98" s="81">
        <f>IFERROR(INDEX(char2ArtiSetStats, MATCH('Char 2'!$L$14,artisDB!$A$55:$A$107, 0), MATCH(C98, artisDB!$A$55:$AP$55, 0))+INDEX(char2ArtiSetStats, MATCH('Char 2'!$L$15,artisDB!$A$55:$A$107, 0), MATCH(C98, artisDB!$A$55:$AP$55, 0)),0)</f>
        <v>0</v>
      </c>
      <c r="H98" s="43">
        <f>IFERROR(INDEX('Char 2'!$X$26:$Z$35, MATCH(C98, 'Char 2'!$X$26:$X$35, 0), 3)*HLOOKUP('Char 2'!$Z$7, artifactSubstatValues, MATCH(C98, 'Artifact Database'!$A$1:$A$11, 0)),0)</f>
        <v>0</v>
      </c>
      <c r="I98" s="81">
        <f>VLOOKUP(C98, 'Char 2'!$R$5:$T$50, 3,0)</f>
        <v>0</v>
      </c>
      <c r="J98" s="36"/>
      <c r="K98" s="81">
        <f t="shared" si="7"/>
        <v>0</v>
      </c>
      <c r="L98" s="33"/>
      <c r="N98" s="33"/>
      <c r="O98" s="281" t="s">
        <v>746</v>
      </c>
      <c r="P98" s="281"/>
      <c r="Q98" s="7">
        <f>char2BaseHP*(1+char2FinalHPPercent)+char2FinalFlatHP</f>
        <v>16056.742399999999</v>
      </c>
      <c r="R98" s="33"/>
    </row>
    <row r="99" spans="2:24" x14ac:dyDescent="0.25">
      <c r="B99" s="33"/>
      <c r="C99" s="34" t="s">
        <v>98</v>
      </c>
      <c r="D99" s="43">
        <f t="shared" si="8"/>
        <v>0</v>
      </c>
      <c r="E99" s="81">
        <f t="shared" si="9"/>
        <v>0</v>
      </c>
      <c r="F99" s="43">
        <f>IFERROR(INDEX(char2Weapons, MATCH(C99, weapons!$A$67:$A$131, 0), MATCH(char2WeaponName,weapons!$A$67:$CV$67, 0)),0)</f>
        <v>0</v>
      </c>
      <c r="G99" s="81">
        <f>IFERROR(INDEX(char2ArtiSetStats, MATCH('Char 2'!$L$14,artisDB!$A$55:$A$107, 0), MATCH(C99, artisDB!$A$55:$AP$55, 0))+INDEX(char2ArtiSetStats, MATCH('Char 2'!$L$15,artisDB!$A$55:$A$107, 0), MATCH(C99, artisDB!$A$55:$AP$55, 0)),0)</f>
        <v>0</v>
      </c>
      <c r="H99" s="43">
        <f>IFERROR(INDEX('Char 2'!$X$26:$Z$35, MATCH(C99, 'Char 2'!$X$26:$X$35, 0), 3)*HLOOKUP('Char 2'!$Z$7, artifactSubstatValues, MATCH(C99, 'Artifact Database'!$A$1:$A$11, 0)),0)</f>
        <v>0</v>
      </c>
      <c r="I99" s="81">
        <f>VLOOKUP(C99, 'Char 2'!$R$5:$T$50, 3,0)</f>
        <v>0</v>
      </c>
      <c r="J99" s="36"/>
      <c r="K99" s="81">
        <f t="shared" si="7"/>
        <v>0</v>
      </c>
      <c r="L99" s="33"/>
      <c r="N99" s="33"/>
      <c r="O99" s="281" t="s">
        <v>745</v>
      </c>
      <c r="P99" s="281"/>
      <c r="Q99" s="7">
        <f>char2BaseDEF*(1+char2FinalDEFPercent)+char2FinalFlatDEF</f>
        <v>747.48000000000013</v>
      </c>
      <c r="R99" s="33"/>
    </row>
    <row r="100" spans="2:24" x14ac:dyDescent="0.25">
      <c r="B100" s="33"/>
      <c r="C100" s="34" t="s">
        <v>419</v>
      </c>
      <c r="D100" s="43">
        <f t="shared" si="8"/>
        <v>0</v>
      </c>
      <c r="E100" s="81">
        <f t="shared" si="9"/>
        <v>0</v>
      </c>
      <c r="F100" s="43">
        <f>IFERROR(INDEX(char2Weapons, MATCH(C100, weapons!$A$67:$A$131, 0), MATCH(char2WeaponName,weapons!$A$67:$CV$67, 0)),0)</f>
        <v>0</v>
      </c>
      <c r="G100" s="81">
        <f>IFERROR(INDEX(char2ArtiSetStats, MATCH('Char 2'!$L$14,artisDB!$A$55:$A$107, 0), MATCH(C100, artisDB!$A$55:$AP$55, 0))+INDEX(char2ArtiSetStats, MATCH('Char 2'!$L$15,artisDB!$A$55:$A$107, 0), MATCH(C100, artisDB!$A$55:$AP$55, 0)),0)</f>
        <v>0</v>
      </c>
      <c r="H100" s="43">
        <f>IFERROR(INDEX('Char 2'!$X$26:$Z$35, MATCH(C100, 'Char 2'!$X$26:$X$35, 0), 3)*HLOOKUP('Char 2'!$Z$7, artifactSubstatValues, MATCH(C100, 'Artifact Database'!$A$1:$A$11, 0)),0)</f>
        <v>0</v>
      </c>
      <c r="I100" s="81">
        <f>VLOOKUP(C100, 'Char 2'!$R$5:$T$50, 3,0)</f>
        <v>0</v>
      </c>
      <c r="J100" s="36"/>
      <c r="K100" s="81">
        <f t="shared" si="7"/>
        <v>0</v>
      </c>
      <c r="L100" s="33"/>
      <c r="N100" s="33"/>
      <c r="O100" s="281" t="s">
        <v>744</v>
      </c>
      <c r="P100" s="281"/>
      <c r="Q100" s="7">
        <f>(char2WeaponBaseATK+char2BaseATK)*(1+char2FinalATKPercent)+char2FinalFlatATK</f>
        <v>2099.4830000000002</v>
      </c>
      <c r="R100" s="33"/>
    </row>
    <row r="101" spans="2:24" x14ac:dyDescent="0.25">
      <c r="B101" s="33"/>
      <c r="C101" s="34" t="s">
        <v>420</v>
      </c>
      <c r="D101" s="43">
        <f t="shared" si="8"/>
        <v>0</v>
      </c>
      <c r="E101" s="81">
        <f t="shared" si="9"/>
        <v>0</v>
      </c>
      <c r="F101" s="43">
        <f>IFERROR(INDEX(char2Weapons, MATCH(C101, weapons!$A$67:$A$131, 0), MATCH(char2WeaponName,weapons!$A$67:$CV$67, 0)),0)</f>
        <v>0</v>
      </c>
      <c r="G101" s="81">
        <f>IFERROR(INDEX(char2ArtiSetStats, MATCH('Char 2'!$L$14,artisDB!$A$55:$A$107, 0), MATCH(C101, artisDB!$A$55:$AP$55, 0))+INDEX(char2ArtiSetStats, MATCH('Char 2'!$L$15,artisDB!$A$55:$A$107, 0), MATCH(C101, artisDB!$A$55:$AP$55, 0)),0)</f>
        <v>0</v>
      </c>
      <c r="H101" s="43">
        <f>IFERROR(INDEX('Char 2'!$X$26:$Z$35, MATCH(C101, 'Char 2'!$X$26:$X$35, 0), 3)*HLOOKUP('Char 2'!$Z$7, artifactSubstatValues, MATCH(C101, 'Artifact Database'!$A$1:$A$11, 0)),0)</f>
        <v>0</v>
      </c>
      <c r="I101" s="81">
        <f>VLOOKUP(C101, 'Char 2'!$R$5:$T$50, 3,0)</f>
        <v>0</v>
      </c>
      <c r="J101" s="36"/>
      <c r="K101" s="81">
        <f t="shared" si="7"/>
        <v>0</v>
      </c>
      <c r="L101" s="33"/>
      <c r="N101" s="33"/>
      <c r="O101" s="33"/>
      <c r="P101" s="33"/>
      <c r="Q101" s="33"/>
      <c r="R101" s="33"/>
    </row>
    <row r="102" spans="2:24" x14ac:dyDescent="0.25">
      <c r="B102" s="33"/>
      <c r="C102" s="34" t="s">
        <v>433</v>
      </c>
      <c r="D102" s="43">
        <f t="shared" si="8"/>
        <v>0</v>
      </c>
      <c r="E102" s="81">
        <f t="shared" si="9"/>
        <v>0</v>
      </c>
      <c r="F102" s="43">
        <f>IFERROR(INDEX(char2Weapons, MATCH(C102, weapons!$A$67:$A$131, 0), MATCH(char2WeaponName,weapons!$A$67:$CV$67, 0)),0)</f>
        <v>0</v>
      </c>
      <c r="G102" s="81">
        <f>IFERROR(INDEX(char2ArtiSetStats, MATCH('Char 2'!$L$14,artisDB!$A$55:$A$107, 0), MATCH(C102, artisDB!$A$55:$AP$55, 0))+INDEX(char2ArtiSetStats, MATCH('Char 2'!$L$15,artisDB!$A$55:$A$107, 0), MATCH(C102, artisDB!$A$55:$AP$55, 0)),0)</f>
        <v>0</v>
      </c>
      <c r="H102" s="43">
        <f>IFERROR(INDEX('Char 2'!$X$26:$Z$35, MATCH(C102, 'Char 2'!$X$26:$X$35, 0), 3)*HLOOKUP('Char 2'!$Z$7, artifactSubstatValues, MATCH(C102, 'Artifact Database'!$A$1:$A$11, 0)),0)</f>
        <v>0</v>
      </c>
      <c r="I102" s="81">
        <f>VLOOKUP(C102, 'Char 2'!$R$5:$T$50, 3,0)</f>
        <v>0</v>
      </c>
      <c r="J102" s="36"/>
      <c r="K102" s="81">
        <f t="shared" si="7"/>
        <v>0</v>
      </c>
      <c r="L102" s="33"/>
    </row>
    <row r="103" spans="2:24" x14ac:dyDescent="0.25">
      <c r="B103" s="33"/>
      <c r="C103" s="34" t="s">
        <v>421</v>
      </c>
      <c r="D103" s="43">
        <f t="shared" si="8"/>
        <v>0</v>
      </c>
      <c r="E103" s="81">
        <f t="shared" si="9"/>
        <v>0</v>
      </c>
      <c r="F103" s="43">
        <f>IFERROR(INDEX(char2Weapons, MATCH(C103, weapons!$A$67:$A$131, 0), MATCH(char2WeaponName,weapons!$A$67:$CV$67, 0)),0)</f>
        <v>0</v>
      </c>
      <c r="G103" s="81">
        <f>IFERROR(INDEX(char2ArtiSetStats, MATCH('Char 2'!$L$14,artisDB!$A$55:$A$107, 0), MATCH(C103, artisDB!$A$55:$AP$55, 0))+INDEX(char2ArtiSetStats, MATCH('Char 2'!$L$15,artisDB!$A$55:$A$107, 0), MATCH(C103, artisDB!$A$55:$AP$55, 0)),0)</f>
        <v>0</v>
      </c>
      <c r="H103" s="43">
        <f>IFERROR(INDEX('Char 2'!$X$26:$Z$35, MATCH(C103, 'Char 2'!$X$26:$X$35, 0), 3)*HLOOKUP('Char 2'!$Z$7, artifactSubstatValues, MATCH(C103, 'Artifact Database'!$A$1:$A$11, 0)),0)</f>
        <v>0</v>
      </c>
      <c r="I103" s="81">
        <f>VLOOKUP(C103, 'Char 2'!$R$5:$T$50, 3,0)</f>
        <v>0</v>
      </c>
      <c r="J103" s="36"/>
      <c r="K103" s="81">
        <f t="shared" si="7"/>
        <v>0</v>
      </c>
      <c r="L103" s="33"/>
    </row>
    <row r="104" spans="2:24" x14ac:dyDescent="0.25">
      <c r="B104" s="33"/>
      <c r="C104" s="33"/>
      <c r="D104" s="33"/>
      <c r="E104" s="33"/>
      <c r="F104" s="33"/>
      <c r="G104" s="33"/>
      <c r="H104" s="33"/>
      <c r="I104" s="33"/>
      <c r="J104" s="33"/>
      <c r="K104" s="33"/>
      <c r="L104" s="33"/>
    </row>
    <row r="106" spans="2:24" x14ac:dyDescent="0.25">
      <c r="B106" s="33"/>
      <c r="C106" s="33"/>
      <c r="D106" s="33"/>
      <c r="E106" s="33"/>
      <c r="F106" s="33"/>
      <c r="G106" s="33"/>
      <c r="H106" s="33"/>
      <c r="I106" s="33"/>
      <c r="J106" s="33"/>
      <c r="K106" s="33"/>
      <c r="L106" s="33"/>
      <c r="N106" s="33"/>
      <c r="O106" s="33"/>
      <c r="P106" s="33"/>
      <c r="Q106" s="33"/>
      <c r="R106" s="33"/>
      <c r="T106" s="205"/>
      <c r="U106" s="205" t="s">
        <v>397</v>
      </c>
      <c r="V106" s="205" t="s">
        <v>51</v>
      </c>
      <c r="W106" s="205" t="s">
        <v>796</v>
      </c>
      <c r="X106" s="205" t="s">
        <v>785</v>
      </c>
    </row>
    <row r="107" spans="2:24" x14ac:dyDescent="0.25">
      <c r="B107" s="33"/>
      <c r="C107" s="279" t="s">
        <v>619</v>
      </c>
      <c r="D107" s="279"/>
      <c r="E107" s="279"/>
      <c r="F107" s="279"/>
      <c r="G107" s="279"/>
      <c r="H107" s="279"/>
      <c r="I107" s="279"/>
      <c r="J107" s="279"/>
      <c r="K107" s="279"/>
      <c r="L107" s="33"/>
      <c r="N107" s="33"/>
      <c r="O107" s="280" t="s">
        <v>416</v>
      </c>
      <c r="P107" s="280"/>
      <c r="Q107" s="280"/>
      <c r="R107" s="33"/>
      <c r="T107" s="7" t="s">
        <v>783</v>
      </c>
      <c r="U107" s="7" t="s">
        <v>64</v>
      </c>
      <c r="V107" s="7">
        <f>'Char 3'!$L$23</f>
        <v>20</v>
      </c>
      <c r="W107" s="7">
        <f>MATCH('Char 3'!$L$24, 'Artifact Database'!$F$1:$F$66, 0)+1</f>
        <v>2</v>
      </c>
      <c r="X107" s="7" cm="1">
        <f t="array" ref="X107">INDEX('Artifact Database'!$F$1:$W$66, Calcs!W107+V107, MATCH(Calcs!U107,'Artifact Database'!$F$1:$W$1, 0))</f>
        <v>4780</v>
      </c>
    </row>
    <row r="108" spans="2:24" x14ac:dyDescent="0.25">
      <c r="B108" s="33"/>
      <c r="C108" s="279"/>
      <c r="D108" s="279"/>
      <c r="E108" s="279"/>
      <c r="F108" s="279"/>
      <c r="G108" s="279"/>
      <c r="H108" s="279"/>
      <c r="I108" s="279"/>
      <c r="J108" s="279"/>
      <c r="K108" s="279"/>
      <c r="L108" s="33"/>
      <c r="N108" s="33"/>
      <c r="O108" s="280"/>
      <c r="P108" s="280"/>
      <c r="Q108" s="280"/>
      <c r="R108" s="33"/>
      <c r="T108" s="7" t="s">
        <v>784</v>
      </c>
      <c r="U108" s="7" t="s">
        <v>62</v>
      </c>
      <c r="V108" s="7">
        <f>'Char 3'!$L$25</f>
        <v>20</v>
      </c>
      <c r="W108" s="7">
        <f>MATCH('Char 3'!$L$26, 'Artifact Database'!$F$1:$F$66, 0)+1</f>
        <v>2</v>
      </c>
      <c r="X108" s="7" cm="1">
        <f t="array" ref="X108">INDEX('Artifact Database'!$F$1:$W$66, Calcs!W108+V108, MATCH(Calcs!U108,'Artifact Database'!$F$1:$W$1, 0))</f>
        <v>311</v>
      </c>
    </row>
    <row r="109" spans="2:24" x14ac:dyDescent="0.25">
      <c r="B109" s="33"/>
      <c r="C109" s="37" t="s">
        <v>397</v>
      </c>
      <c r="D109" s="36" t="s">
        <v>398</v>
      </c>
      <c r="E109" s="35" t="s">
        <v>399</v>
      </c>
      <c r="F109" s="36" t="s">
        <v>400</v>
      </c>
      <c r="G109" s="35" t="s">
        <v>401</v>
      </c>
      <c r="H109" s="36" t="s">
        <v>402</v>
      </c>
      <c r="I109" s="35" t="s">
        <v>61</v>
      </c>
      <c r="J109" s="36" t="s">
        <v>563</v>
      </c>
      <c r="K109" s="35" t="s">
        <v>403</v>
      </c>
      <c r="L109" s="33"/>
      <c r="N109" s="33"/>
      <c r="O109" s="281" t="s">
        <v>417</v>
      </c>
      <c r="P109" s="281"/>
      <c r="Q109" s="38">
        <f>char3Level</f>
        <v>90</v>
      </c>
      <c r="R109" s="33"/>
      <c r="T109" s="7" t="s">
        <v>436</v>
      </c>
      <c r="U109" s="7" t="str">
        <f>'Char 3'!$L$28</f>
        <v>ATK%</v>
      </c>
      <c r="V109" s="7">
        <f>'Char 3'!$L$27</f>
        <v>20</v>
      </c>
      <c r="W109" s="7">
        <f>MATCH('Char 3'!$L$29, 'Artifact Database'!$F$1:$F$66, 0)+1</f>
        <v>2</v>
      </c>
      <c r="X109" s="7" cm="1">
        <f t="array" ref="X109">INDEX('Artifact Database'!$F$1:$W$66, Calcs!W109+V109, MATCH(Calcs!U109,'Artifact Database'!$F$1:$W$1, 0))</f>
        <v>46.6</v>
      </c>
    </row>
    <row r="110" spans="2:24" x14ac:dyDescent="0.25">
      <c r="B110" s="33"/>
      <c r="C110" s="34" t="s">
        <v>62</v>
      </c>
      <c r="D110" s="36">
        <f>X108</f>
        <v>311</v>
      </c>
      <c r="E110" s="35">
        <v>0</v>
      </c>
      <c r="F110" s="36">
        <f>IFERROR(INDEX(char3Weapons, MATCH(C110, weapons!$A$133:$A$197, 0), MATCH(char3WeaponName,weapons!$A$133:$CV$133, 0)),0)</f>
        <v>0</v>
      </c>
      <c r="G110" s="35">
        <f>IFERROR(INDEX(char3ArtiSetStats, MATCH('Char 3'!$L$14,artisDB!$A$109:$A$161, 0), MATCH(C110, artisDB!$A$109:$AP$109, 0))+INDEX(char3ArtiSetStats, MATCH('Char 3'!$L$15, artisDB!$A$109:$A$161, 0), MATCH(C110, artisDB!$A$109:$AP$109, 0)),0)</f>
        <v>0</v>
      </c>
      <c r="H110" s="36">
        <f>IFERROR(INDEX('Char 3'!$X$26:$Z$35, MATCH(C110, 'Char 3'!$X$26:$X$35, 0), 3)*HLOOKUP('Char 3'!$Z$7, artifactSubstatValues, MATCH(C110, 'Artifact Database'!$A$1:$A$11, 0)),0)</f>
        <v>33.08</v>
      </c>
      <c r="I110" s="35">
        <f>VLOOKUP(C110, 'Char 3'!$R$5:$T$50, 3,0)</f>
        <v>0</v>
      </c>
      <c r="J110" s="36"/>
      <c r="K110" s="35">
        <f>SUM(D110:J110)</f>
        <v>344.08</v>
      </c>
      <c r="L110" s="33"/>
      <c r="N110" s="33"/>
      <c r="O110" s="33"/>
      <c r="P110" s="33"/>
      <c r="Q110" s="33"/>
      <c r="R110" s="33"/>
      <c r="T110" s="7" t="s">
        <v>435</v>
      </c>
      <c r="U110" s="7" t="str">
        <f>'Char 3'!$L$31</f>
        <v>Hydro DMG%</v>
      </c>
      <c r="V110" s="7">
        <f>'Char 3'!$L$30</f>
        <v>20</v>
      </c>
      <c r="W110" s="7">
        <f>MATCH('Char 3'!$L$32, 'Artifact Database'!$F$1:$F$66, 0)+1</f>
        <v>2</v>
      </c>
      <c r="X110" s="7" cm="1">
        <f t="array" ref="X110">INDEX('Artifact Database'!$F$1:$W$66, Calcs!W110+V110, MATCH(Calcs!U110,'Artifact Database'!$F$1:$W$1, 0))</f>
        <v>46.6</v>
      </c>
    </row>
    <row r="111" spans="2:24" x14ac:dyDescent="0.25">
      <c r="B111" s="33"/>
      <c r="C111" s="34" t="s">
        <v>63</v>
      </c>
      <c r="D111" s="36">
        <v>0</v>
      </c>
      <c r="E111" s="35">
        <v>0</v>
      </c>
      <c r="F111" s="36">
        <f>IFERROR(INDEX(char3Weapons, MATCH(C111, weapons!$A$133:$A$197, 0), MATCH(char3WeaponName,weapons!$A$133:$CV$133, 0)),0)</f>
        <v>0</v>
      </c>
      <c r="G111" s="35">
        <f>IFERROR(INDEX(char3ArtiSetStats, MATCH('Char 3'!$L$14,artisDB!$A$109:$A$161, 0), MATCH(C111, artisDB!$A$109:$AP$109, 0))+INDEX(char3ArtiSetStats, MATCH('Char 3'!$L$15, artisDB!$A$109:$A$161, 0), MATCH(C111, artisDB!$A$109:$AP$109, 0)),0)</f>
        <v>0</v>
      </c>
      <c r="H111" s="36">
        <f>IFERROR(INDEX('Char 3'!$X$26:$Z$35, MATCH(C111, 'Char 3'!$X$26:$X$35, 0), 3)*HLOOKUP('Char 3'!$Z$7, artifactSubstatValues, MATCH(C111, 'Artifact Database'!$A$1:$A$11, 0)),0)</f>
        <v>39.36</v>
      </c>
      <c r="I111" s="35">
        <f>VLOOKUP(C111, 'Char 3'!$R$5:$T$50, 3,0)</f>
        <v>0</v>
      </c>
      <c r="J111" s="36"/>
      <c r="K111" s="35">
        <f t="shared" ref="K111:K155" si="10">SUM(D111:J111)</f>
        <v>39.36</v>
      </c>
      <c r="L111" s="33"/>
      <c r="T111" s="7" t="s">
        <v>437</v>
      </c>
      <c r="U111" s="7" t="str">
        <f>'Char 3'!$L$34</f>
        <v>CR%</v>
      </c>
      <c r="V111" s="7">
        <f>'Char 3'!$L$33</f>
        <v>20</v>
      </c>
      <c r="W111" s="7">
        <f>MATCH('Char 3'!$L$35, 'Artifact Database'!$F$1:$F$66, 0)+1</f>
        <v>2</v>
      </c>
      <c r="X111" s="7" cm="1">
        <f t="array" ref="X111">INDEX('Artifact Database'!$F$1:$W$66, Calcs!W111+V111, MATCH(Calcs!U111,'Artifact Database'!$F$1:$W$1, 0))</f>
        <v>31.1</v>
      </c>
    </row>
    <row r="112" spans="2:24" x14ac:dyDescent="0.25">
      <c r="B112" s="33"/>
      <c r="C112" s="34" t="s">
        <v>64</v>
      </c>
      <c r="D112" s="36">
        <f>X107</f>
        <v>4780</v>
      </c>
      <c r="E112" s="35">
        <v>0</v>
      </c>
      <c r="F112" s="36">
        <f>IFERROR(INDEX(char3Weapons, MATCH(C112, weapons!$A$133:$A$197, 0), MATCH(char3WeaponName,weapons!$A$133:$CV$133, 0)),0)</f>
        <v>0</v>
      </c>
      <c r="G112" s="35">
        <f>IFERROR(INDEX(char3ArtiSetStats, MATCH('Char 3'!$L$14,artisDB!$A$109:$A$161, 0), MATCH(C112, artisDB!$A$109:$AP$109, 0))+INDEX(char3ArtiSetStats, MATCH('Char 3'!$L$15, artisDB!$A$109:$A$161, 0), MATCH(C112, artisDB!$A$109:$AP$109, 0)),0)</f>
        <v>0</v>
      </c>
      <c r="H112" s="36">
        <f>IFERROR(INDEX('Char 3'!$X$26:$Z$35, MATCH(C112, 'Char 3'!$X$26:$X$35, 0), 3)*HLOOKUP('Char 3'!$Z$7, artifactSubstatValues, MATCH(C112, 'Artifact Database'!$A$1:$A$11, 0)),0)</f>
        <v>507.88</v>
      </c>
      <c r="I112" s="35">
        <f>VLOOKUP(C112, 'Char 3'!$R$5:$T$50, 3,0)</f>
        <v>0</v>
      </c>
      <c r="J112" s="36"/>
      <c r="K112" s="35">
        <f t="shared" si="10"/>
        <v>5287.88</v>
      </c>
      <c r="L112" s="33"/>
    </row>
    <row r="113" spans="2:21" x14ac:dyDescent="0.25">
      <c r="B113" s="33"/>
      <c r="C113" s="34" t="s">
        <v>69</v>
      </c>
      <c r="D113" s="36">
        <f>IF(C113=$U$109, $X$109, 0)+IF(C113=$U$110, $X$110, 0)+IF(C113 = $U$111, $X$111, 0)</f>
        <v>0</v>
      </c>
      <c r="E113" s="35">
        <f>IFERROR(VLOOKUP(C113,$T$114:$U$119, 2, 0), 0)</f>
        <v>0</v>
      </c>
      <c r="F113" s="36">
        <f>IFERROR(INDEX(char3Weapons, MATCH(C113, weapons!$A$133:$A$197, 0), MATCH(char3WeaponName,weapons!$A$133:$CV$133, 0)),0)</f>
        <v>0</v>
      </c>
      <c r="G113" s="35">
        <f>IFERROR(INDEX(char3ArtiSetStats, MATCH('Char 3'!$L$14,artisDB!$A$109:$A$161, 0), MATCH(C113, artisDB!$A$109:$AP$109, 0))+INDEX(char3ArtiSetStats, MATCH('Char 3'!$L$15, artisDB!$A$109:$A$161, 0), MATCH(C113, artisDB!$A$109:$AP$109, 0)),0)</f>
        <v>0</v>
      </c>
      <c r="H113" s="36">
        <f>IFERROR(INDEX('Char 3'!$X$26:$Z$35, MATCH(C113, 'Char 3'!$X$26:$X$35, 0), 3)*HLOOKUP('Char 3'!$Z$7, artifactSubstatValues, MATCH(C113, 'Artifact Database'!$A$1:$A$11, 0)),0)</f>
        <v>39.64</v>
      </c>
      <c r="I113" s="35">
        <f>VLOOKUP(C113, 'Char 3'!$R$5:$T$50, 3,0)</f>
        <v>0</v>
      </c>
      <c r="J113" s="36"/>
      <c r="K113" s="35">
        <f t="shared" si="10"/>
        <v>39.64</v>
      </c>
      <c r="L113" s="33"/>
      <c r="T113" s="7" t="s">
        <v>796</v>
      </c>
      <c r="U113" s="7">
        <f>MATCH(char3Name, 'Char Stats'!$A$1:$A$735, 0)</f>
        <v>346</v>
      </c>
    </row>
    <row r="114" spans="2:21" x14ac:dyDescent="0.25">
      <c r="B114" s="33"/>
      <c r="C114" s="34" t="s">
        <v>65</v>
      </c>
      <c r="D114" s="43">
        <f t="shared" ref="D114:D155" si="11">(IF(C114=$U$109, $X$109, 0)+IF(C114=$U$110, $X$110, 0)+IF(C114 = $U$111, $X$111, 0))/100</f>
        <v>0.46600000000000003</v>
      </c>
      <c r="E114" s="81">
        <f t="shared" ref="E114:E155" si="12">IFERROR(VLOOKUP(C114,$T$114:$U$119, 2, 0), 0)</f>
        <v>0</v>
      </c>
      <c r="F114" s="43">
        <f>IFERROR(INDEX(char3Weapons, MATCH(C114, weapons!$A$133:$A$197, 0), MATCH(char3WeaponName,weapons!$A$133:$CV$133, 0)),0)</f>
        <v>0</v>
      </c>
      <c r="G114" s="81">
        <f>IFERROR(INDEX(char3ArtiSetStats, MATCH('Char 3'!$L$14,artisDB!$A$109:$A$161, 0), MATCH(C114, artisDB!$A$109:$AP$109, 0))+INDEX(char3ArtiSetStats, MATCH('Char 3'!$L$15, artisDB!$A$109:$A$161, 0), MATCH(C114, artisDB!$A$109:$AP$109, 0)),0)</f>
        <v>0</v>
      </c>
      <c r="H114" s="43">
        <f>IFERROR(INDEX('Char 3'!$X$26:$Z$35, MATCH(C114, 'Char 3'!$X$26:$X$35, 0), 3)*HLOOKUP('Char 3'!$Z$7, artifactSubstatValues, MATCH(C114, 'Artifact Database'!$A$1:$A$11, 0)),0)</f>
        <v>0.14879999999999999</v>
      </c>
      <c r="I114" s="81">
        <f>VLOOKUP(C114, 'Char 3'!$R$5:$T$50, 3,0)</f>
        <v>0</v>
      </c>
      <c r="J114" s="36"/>
      <c r="K114" s="81">
        <f t="shared" si="10"/>
        <v>0.61480000000000001</v>
      </c>
      <c r="L114" s="33"/>
      <c r="T114" s="7" t="s">
        <v>405</v>
      </c>
      <c r="U114" s="7" cm="1">
        <f t="array" ref="U114">INDEX('Char Stats'!$A$1:$G$735, MATCH($Q$109, 'Char Stats'!$A$1:$A$15, 0)+$U$113-1, MATCH(Calcs!T114, 'Char Stats'!$A$1:$G$1, 0))</f>
        <v>10409</v>
      </c>
    </row>
    <row r="115" spans="2:21" x14ac:dyDescent="0.25">
      <c r="B115" s="33"/>
      <c r="C115" s="34" t="s">
        <v>66</v>
      </c>
      <c r="D115" s="43">
        <f t="shared" si="11"/>
        <v>0</v>
      </c>
      <c r="E115" s="81">
        <f t="shared" si="12"/>
        <v>0</v>
      </c>
      <c r="F115" s="43">
        <f>IFERROR(INDEX(char3Weapons, MATCH(C115, weapons!$A$133:$A$197, 0), MATCH(char3WeaponName,weapons!$A$133:$CV$133, 0)),0)</f>
        <v>0</v>
      </c>
      <c r="G115" s="81">
        <f>IFERROR(INDEX(char3ArtiSetStats, MATCH('Char 3'!$L$14,artisDB!$A$109:$A$161, 0), MATCH(C115, artisDB!$A$109:$AP$109, 0))+INDEX(char3ArtiSetStats, MATCH('Char 3'!$L$15, artisDB!$A$109:$A$161, 0), MATCH(C115, artisDB!$A$109:$AP$109, 0)),0)</f>
        <v>0</v>
      </c>
      <c r="H115" s="43">
        <f>IFERROR(INDEX('Char 3'!$X$26:$Z$35, MATCH(C115, 'Char 3'!$X$26:$X$35, 0), 3)*HLOOKUP('Char 3'!$Z$7, artifactSubstatValues, MATCH(C115, 'Artifact Database'!$A$1:$A$11, 0)),0)</f>
        <v>0.124</v>
      </c>
      <c r="I115" s="81">
        <f>VLOOKUP(C115, 'Char 3'!$R$5:$T$50, 3,0)</f>
        <v>0</v>
      </c>
      <c r="J115" s="36"/>
      <c r="K115" s="81">
        <f t="shared" si="10"/>
        <v>0.124</v>
      </c>
      <c r="L115" s="33"/>
      <c r="T115" s="7" t="s">
        <v>406</v>
      </c>
      <c r="U115" s="7" cm="1">
        <f t="array" ref="U115">INDEX('Char Stats'!$A$1:$G$735, MATCH($Q$109, 'Char Stats'!$A$1:$A$15, 0)+$U$113-1, MATCH(Calcs!T115, 'Char Stats'!$A$1:$G$1, 0))</f>
        <v>287</v>
      </c>
    </row>
    <row r="116" spans="2:21" x14ac:dyDescent="0.25">
      <c r="B116" s="33"/>
      <c r="C116" s="34" t="s">
        <v>67</v>
      </c>
      <c r="D116" s="43">
        <f t="shared" si="11"/>
        <v>0</v>
      </c>
      <c r="E116" s="81">
        <f t="shared" si="12"/>
        <v>0</v>
      </c>
      <c r="F116" s="43">
        <f>IFERROR(INDEX(char3Weapons, MATCH(C116, weapons!$A$133:$A$197, 0), MATCH(char3WeaponName,weapons!$A$133:$CV$133, 0)),0)</f>
        <v>0.41299999999999998</v>
      </c>
      <c r="G116" s="81">
        <f>IFERROR(INDEX(char3ArtiSetStats, MATCH('Char 3'!$L$14,artisDB!$A$109:$A$161, 0), MATCH(C116, artisDB!$A$109:$AP$109, 0))+INDEX(char3ArtiSetStats, MATCH('Char 3'!$L$15, artisDB!$A$109:$A$161, 0), MATCH(C116, artisDB!$A$109:$AP$109, 0)),0)</f>
        <v>0.2</v>
      </c>
      <c r="H116" s="43">
        <f>IFERROR(INDEX('Char 3'!$X$26:$Z$35, MATCH(C116, 'Char 3'!$X$26:$X$35, 0), 3)*HLOOKUP('Char 3'!$Z$7, artifactSubstatValues, MATCH(C116, 'Artifact Database'!$A$1:$A$11, 0)),0)</f>
        <v>9.9199999999999997E-2</v>
      </c>
      <c r="I116" s="81">
        <f>VLOOKUP(C116, 'Char 3'!$R$5:$T$50, 3,0)</f>
        <v>0</v>
      </c>
      <c r="J116" s="36"/>
      <c r="K116" s="81">
        <f t="shared" si="10"/>
        <v>0.71219999999999994</v>
      </c>
      <c r="L116" s="33"/>
      <c r="T116" s="7" t="s">
        <v>407</v>
      </c>
      <c r="U116" s="7" cm="1">
        <f t="array" ref="U116">INDEX('Char Stats'!$A$1:$G$735, MATCH($Q$109, 'Char Stats'!$A$1:$A$15, 0)+$U$113-1, MATCH(Calcs!T116, 'Char Stats'!$A$1:$G$1, 0))</f>
        <v>653</v>
      </c>
    </row>
    <row r="117" spans="2:21" x14ac:dyDescent="0.25">
      <c r="B117" s="33"/>
      <c r="C117" s="34" t="s">
        <v>408</v>
      </c>
      <c r="D117" s="43">
        <f t="shared" si="11"/>
        <v>0.311</v>
      </c>
      <c r="E117" s="81">
        <f t="shared" ca="1" si="12"/>
        <v>0.05</v>
      </c>
      <c r="F117" s="43">
        <f>IFERROR(INDEX(char3Weapons, MATCH(C117, weapons!$A$133:$A$197, 0), MATCH(char3WeaponName,weapons!$A$133:$CV$133, 0)),0)</f>
        <v>0</v>
      </c>
      <c r="G117" s="81">
        <f>IFERROR(INDEX(char3ArtiSetStats, MATCH('Char 3'!$L$14,artisDB!$A$109:$A$161, 0), MATCH(C117, artisDB!$A$109:$AP$109, 0))+INDEX(char3ArtiSetStats, MATCH('Char 3'!$L$15, artisDB!$A$109:$A$161, 0), MATCH(C117, artisDB!$A$109:$AP$109, 0)),0)</f>
        <v>0</v>
      </c>
      <c r="H117" s="43">
        <f>IFERROR(INDEX('Char 3'!$X$26:$Z$35, MATCH(C117, 'Char 3'!$X$26:$X$35, 0), 3)*HLOOKUP('Char 3'!$Z$7, artifactSubstatValues, MATCH(C117, 'Artifact Database'!$A$1:$A$11, 0)),0)</f>
        <v>0.1986</v>
      </c>
      <c r="I117" s="81">
        <f>VLOOKUP(C117, 'Char 3'!$R$5:$T$50, 3,0)</f>
        <v>0.15</v>
      </c>
      <c r="J117" s="36"/>
      <c r="K117" s="81">
        <f ca="1">IF(SUM(D117:J117)&gt;100%, 100%, IF(SUM(D117:J117)&lt;0%, 0%, SUM(D117:J117)))</f>
        <v>0.70960000000000001</v>
      </c>
      <c r="L117" s="33"/>
      <c r="N117" s="33"/>
      <c r="O117" s="33"/>
      <c r="P117" s="33"/>
      <c r="Q117" s="33"/>
      <c r="R117" s="33"/>
      <c r="T117" s="7" t="str" cm="1">
        <f t="array" ref="T117">INDEX('Char Stats'!$A$1:$G$735, $U$113, 5)</f>
        <v>ER%</v>
      </c>
      <c r="U117" s="103">
        <f ca="1">INDEX(INDIRECT(char3Name&amp;"BaseStats"), MATCH(char3Level,  INDEX(INDIRECT(char3Name&amp;"BaseStats"), 0, 1), 0), MATCH(T117, INDEX(INDIRECT(char3Name&amp;"BaseStats"), 1, 0), 0))*IF(NOT(T117="EM"), 0.01, 1)</f>
        <v>0.32</v>
      </c>
    </row>
    <row r="118" spans="2:21" x14ac:dyDescent="0.25">
      <c r="B118" s="33"/>
      <c r="C118" s="34" t="s">
        <v>409</v>
      </c>
      <c r="D118" s="43">
        <f t="shared" si="11"/>
        <v>0</v>
      </c>
      <c r="E118" s="81">
        <f t="shared" ca="1" si="12"/>
        <v>0.5</v>
      </c>
      <c r="F118" s="43">
        <f>IFERROR(INDEX(char3Weapons, MATCH(C118, weapons!$A$133:$A$197, 0), MATCH(char3WeaponName,weapons!$A$133:$CV$133, 0)),0)</f>
        <v>0</v>
      </c>
      <c r="G118" s="81">
        <f>IFERROR(INDEX(char3ArtiSetStats, MATCH('Char 3'!$L$14,artisDB!$A$109:$A$161, 0), MATCH(C118, artisDB!$A$109:$AP$109, 0))+INDEX(char3ArtiSetStats, MATCH('Char 3'!$L$15, artisDB!$A$109:$A$161, 0), MATCH(C118, artisDB!$A$109:$AP$109, 0)),0)</f>
        <v>0</v>
      </c>
      <c r="H118" s="43">
        <f>IFERROR(INDEX('Char 3'!$X$26:$Z$35, MATCH(C118, 'Char 3'!$X$26:$X$35, 0), 3)*HLOOKUP('Char 3'!$Z$7, artifactSubstatValues, MATCH(C118, 'Artifact Database'!$A$1:$A$11, 0)),0)</f>
        <v>0.7944</v>
      </c>
      <c r="I118" s="81">
        <f>VLOOKUP(C118, 'Char 3'!$R$5:$T$50, 3,0)</f>
        <v>0</v>
      </c>
      <c r="J118" s="36"/>
      <c r="K118" s="81">
        <f t="shared" ca="1" si="10"/>
        <v>1.2944</v>
      </c>
      <c r="L118" s="33"/>
      <c r="N118" s="33"/>
      <c r="O118" s="280" t="s">
        <v>621</v>
      </c>
      <c r="P118" s="280"/>
      <c r="Q118" s="280"/>
      <c r="R118" s="33"/>
      <c r="T118" s="7" t="str" cm="1">
        <f t="array" ref="T118">INDEX('Char Stats'!$A$1:$G$735, $U$113, 6)</f>
        <v>CR%</v>
      </c>
      <c r="U118" s="103">
        <f ca="1">INDEX(INDIRECT(char3Name&amp;"BaseStats"), MATCH(char3Level,  INDEX(INDIRECT(char3Name&amp;"BaseStats"), 0, 1), 0), MATCH(T118, INDEX(INDIRECT(char3Name&amp;"BaseStats"), 1, 0), 0))*IF(NOT(T118="EM"), 0.01, 1)</f>
        <v>0.05</v>
      </c>
    </row>
    <row r="119" spans="2:21" x14ac:dyDescent="0.25">
      <c r="B119" s="33"/>
      <c r="C119" s="34" t="s">
        <v>68</v>
      </c>
      <c r="D119" s="43">
        <f t="shared" si="11"/>
        <v>0</v>
      </c>
      <c r="E119" s="81">
        <f t="shared" ca="1" si="12"/>
        <v>0.32</v>
      </c>
      <c r="F119" s="43">
        <f>IFERROR(INDEX(char3Weapons, MATCH(C119, weapons!$A$133:$A$197, 0), MATCH(char3WeaponName,weapons!$A$133:$CV$133, 0)),0)</f>
        <v>0</v>
      </c>
      <c r="G119" s="81">
        <f>IFERROR(INDEX(char3ArtiSetStats, MATCH('Char 3'!$L$14,artisDB!$A$109:$A$161, 0), MATCH(C119, artisDB!$A$109:$AP$109, 0))+INDEX(char3ArtiSetStats, MATCH('Char 3'!$L$15, artisDB!$A$109:$A$161, 0), MATCH(C119, artisDB!$A$109:$AP$109, 0)),0)</f>
        <v>0</v>
      </c>
      <c r="H119" s="43">
        <f>IFERROR(INDEX('Char 3'!$X$26:$Z$35, MATCH(C119, 'Char 3'!$X$26:$X$35, 0), 3)*HLOOKUP('Char 3'!$Z$7, artifactSubstatValues, MATCH(C119, 'Artifact Database'!$A$1:$A$11, 0)),0)</f>
        <v>0.38570000000000004</v>
      </c>
      <c r="I119" s="81">
        <f>VLOOKUP(C119, 'Char 3'!$R$5:$T$50, 3,0)</f>
        <v>0</v>
      </c>
      <c r="J119" s="36"/>
      <c r="K119" s="81">
        <f ca="1">SUM(D119:J119)+100%</f>
        <v>1.7057</v>
      </c>
      <c r="L119" s="33"/>
      <c r="N119" s="33"/>
      <c r="O119" s="280"/>
      <c r="P119" s="280"/>
      <c r="Q119" s="280"/>
      <c r="R119" s="33"/>
      <c r="T119" s="7" t="str" cm="1">
        <f t="array" ref="T119">INDEX('Char Stats'!$A$1:$G$735, $U$113, 7)</f>
        <v>CDMG%</v>
      </c>
      <c r="U119" s="103">
        <f ca="1">INDEX(INDIRECT(char3Name&amp;"BaseStats"), MATCH(char3Level, INDEX(INDIRECT(char3Name&amp;"BaseStats"), 0, 1), 0), MATCH(T119, INDEX(INDIRECT(char3Name&amp;"BaseStats"), 1, 0), 0))*IF(NOT(T119="EM"), 0.01, 1)</f>
        <v>0.5</v>
      </c>
    </row>
    <row r="120" spans="2:21" x14ac:dyDescent="0.25">
      <c r="B120" s="33"/>
      <c r="C120" s="34" t="s">
        <v>82</v>
      </c>
      <c r="D120" s="43">
        <f t="shared" si="11"/>
        <v>0</v>
      </c>
      <c r="E120" s="81">
        <f t="shared" si="12"/>
        <v>0</v>
      </c>
      <c r="F120" s="43">
        <f>IFERROR(INDEX(char3Weapons, MATCH(C120, weapons!$A$133:$A$197, 0), MATCH(char3WeaponName,weapons!$A$133:$CV$133, 0)),0)</f>
        <v>0</v>
      </c>
      <c r="G120" s="81">
        <f>IFERROR(INDEX(char3ArtiSetStats, MATCH('Char 3'!$L$14,artisDB!$A$109:$A$161, 0), MATCH(C120, artisDB!$A$109:$AP$109, 0))+INDEX(char3ArtiSetStats, MATCH('Char 3'!$L$15, artisDB!$A$109:$A$161, 0), MATCH(C120, artisDB!$A$109:$AP$109, 0)),0)</f>
        <v>0</v>
      </c>
      <c r="H120" s="43">
        <f>IFERROR(INDEX('Char 3'!$X$26:$Z$35, MATCH(C120, 'Char 3'!$X$26:$X$35, 0), 3)*HLOOKUP('Char 3'!$Z$7, artifactSubstatValues, MATCH(C120, 'Artifact Database'!$A$1:$A$11, 0)),0)</f>
        <v>0</v>
      </c>
      <c r="I120" s="81">
        <f>VLOOKUP(C120, 'Char 3'!$R$5:$T$50, 3,0)</f>
        <v>0</v>
      </c>
      <c r="J120" s="36"/>
      <c r="K120" s="81">
        <f t="shared" si="10"/>
        <v>0</v>
      </c>
      <c r="L120" s="33"/>
      <c r="N120" s="33"/>
      <c r="O120" s="281" t="s">
        <v>417</v>
      </c>
      <c r="P120" s="281"/>
      <c r="Q120" s="102">
        <f>VALUE(LEFT(Q109, 2))</f>
        <v>90</v>
      </c>
      <c r="R120" s="33"/>
    </row>
    <row r="121" spans="2:21" x14ac:dyDescent="0.25">
      <c r="B121" s="33"/>
      <c r="C121" s="34" t="s">
        <v>70</v>
      </c>
      <c r="D121" s="43">
        <f t="shared" si="11"/>
        <v>0</v>
      </c>
      <c r="E121" s="81">
        <f t="shared" si="12"/>
        <v>0</v>
      </c>
      <c r="F121" s="43">
        <f>IFERROR(INDEX(char3Weapons, MATCH(C121, weapons!$A$133:$A$197, 0), MATCH(char3WeaponName,weapons!$A$133:$CV$133, 0)),0)</f>
        <v>0</v>
      </c>
      <c r="G121" s="81">
        <f>IFERROR(INDEX(char3ArtiSetStats, MATCH('Char 3'!$L$14,artisDB!$A$109:$A$161, 0), MATCH(C121, artisDB!$A$109:$AP$109, 0))+INDEX(char3ArtiSetStats, MATCH('Char 3'!$L$15, artisDB!$A$109:$A$161, 0), MATCH(C121, artisDB!$A$109:$AP$109, 0)),0)</f>
        <v>0</v>
      </c>
      <c r="H121" s="43">
        <f>IFERROR(INDEX('Char 3'!$X$26:$Z$35, MATCH(C121, 'Char 3'!$X$26:$X$35, 0), 3)*HLOOKUP('Char 3'!$Z$7, artifactSubstatValues, MATCH(C121, 'Artifact Database'!$A$1:$A$11, 0)),0)</f>
        <v>0</v>
      </c>
      <c r="I121" s="81">
        <f>VLOOKUP(C121, 'Char 3'!$R$5:$T$50, 3,0)</f>
        <v>0</v>
      </c>
      <c r="J121" s="36"/>
      <c r="K121" s="81">
        <f t="shared" si="10"/>
        <v>0</v>
      </c>
      <c r="L121" s="33"/>
      <c r="N121" s="33"/>
      <c r="O121" s="281" t="s">
        <v>25</v>
      </c>
      <c r="P121" s="281"/>
      <c r="Q121" s="7">
        <f>'Char 1'!$E$29</f>
        <v>100</v>
      </c>
      <c r="R121" s="33"/>
    </row>
    <row r="122" spans="2:21" x14ac:dyDescent="0.25">
      <c r="B122" s="33"/>
      <c r="C122" s="34" t="s">
        <v>71</v>
      </c>
      <c r="D122" s="43">
        <f t="shared" si="11"/>
        <v>0</v>
      </c>
      <c r="E122" s="81">
        <f t="shared" si="12"/>
        <v>0</v>
      </c>
      <c r="F122" s="43">
        <f>IFERROR(INDEX(char3Weapons, MATCH(C122, weapons!$A$133:$A$197, 0), MATCH(char3WeaponName,weapons!$A$133:$CV$133, 0)),0)</f>
        <v>0</v>
      </c>
      <c r="G122" s="81">
        <f>IFERROR(INDEX(char3ArtiSetStats, MATCH('Char 3'!$L$14,artisDB!$A$109:$A$161, 0), MATCH(C122, artisDB!$A$109:$AP$109, 0))+INDEX(char3ArtiSetStats, MATCH('Char 3'!$L$15, artisDB!$A$109:$A$161, 0), MATCH(C122, artisDB!$A$109:$AP$109, 0)),0)</f>
        <v>0</v>
      </c>
      <c r="H122" s="43">
        <f>IFERROR(INDEX('Char 3'!$X$26:$Z$35, MATCH(C122, 'Char 3'!$X$26:$X$35, 0), 3)*HLOOKUP('Char 3'!$Z$7, artifactSubstatValues, MATCH(C122, 'Artifact Database'!$A$1:$A$11, 0)),0)</f>
        <v>0</v>
      </c>
      <c r="I122" s="81">
        <f>VLOOKUP(C122, 'Char 3'!$R$5:$T$50, 3,0)</f>
        <v>0</v>
      </c>
      <c r="J122" s="36"/>
      <c r="K122" s="81">
        <f t="shared" si="10"/>
        <v>0</v>
      </c>
      <c r="L122" s="33"/>
      <c r="N122" s="33"/>
      <c r="O122" s="281" t="s">
        <v>642</v>
      </c>
      <c r="P122" s="281"/>
      <c r="Q122" s="7">
        <f>IF(Q120&lt;60, 0.0002325*Q120^3+0.05547*Q120^2-0.2523*Q120+14.47, 0.00194*Q120^3-0.319*Q120^2+30.7*Q120-868)</f>
        <v>725.3599999999999</v>
      </c>
      <c r="R122" s="33"/>
    </row>
    <row r="123" spans="2:21" x14ac:dyDescent="0.25">
      <c r="B123" s="33"/>
      <c r="C123" s="34" t="s">
        <v>72</v>
      </c>
      <c r="D123" s="43">
        <f t="shared" si="11"/>
        <v>0</v>
      </c>
      <c r="E123" s="81">
        <f t="shared" si="12"/>
        <v>0</v>
      </c>
      <c r="F123" s="43">
        <f>IFERROR(INDEX(char3Weapons, MATCH(C123, weapons!$A$133:$A$197, 0), MATCH(char3WeaponName,weapons!$A$133:$CV$133, 0)),0)</f>
        <v>0</v>
      </c>
      <c r="G123" s="81">
        <f>IFERROR(INDEX(char3ArtiSetStats, MATCH('Char 3'!$L$14,artisDB!$A$109:$A$161, 0), MATCH(C123, artisDB!$A$109:$AP$109, 0))+INDEX(char3ArtiSetStats, MATCH('Char 3'!$L$15, artisDB!$A$109:$A$161, 0), MATCH(C123, artisDB!$A$109:$AP$109, 0)),0)</f>
        <v>0</v>
      </c>
      <c r="H123" s="43">
        <f>IFERROR(INDEX('Char 3'!$X$26:$Z$35, MATCH(C123, 'Char 3'!$X$26:$X$35, 0), 3)*HLOOKUP('Char 3'!$Z$7, artifactSubstatValues, MATCH(C123, 'Artifact Database'!$A$1:$A$11, 0)),0)</f>
        <v>0</v>
      </c>
      <c r="I123" s="81">
        <f>VLOOKUP(C123, 'Char 3'!$R$5:$T$50, 3,0)</f>
        <v>0</v>
      </c>
      <c r="J123" s="36"/>
      <c r="K123" s="81">
        <f t="shared" si="10"/>
        <v>0</v>
      </c>
      <c r="L123" s="33"/>
      <c r="N123" s="33"/>
      <c r="O123" s="33"/>
      <c r="P123" s="33"/>
      <c r="Q123" s="33"/>
      <c r="R123" s="33"/>
    </row>
    <row r="124" spans="2:21" x14ac:dyDescent="0.25">
      <c r="B124" s="33"/>
      <c r="C124" s="34" t="s">
        <v>73</v>
      </c>
      <c r="D124" s="43">
        <f t="shared" si="11"/>
        <v>0</v>
      </c>
      <c r="E124" s="81">
        <f t="shared" si="12"/>
        <v>0</v>
      </c>
      <c r="F124" s="43">
        <f>IFERROR(INDEX(char3Weapons, MATCH(C124, weapons!$A$133:$A$197, 0), MATCH(char3WeaponName,weapons!$A$133:$CV$133, 0)),0)</f>
        <v>0</v>
      </c>
      <c r="G124" s="81">
        <f>IFERROR(INDEX(char3ArtiSetStats, MATCH('Char 3'!$L$14,artisDB!$A$109:$A$161, 0), MATCH(C124, artisDB!$A$109:$AP$109, 0))+INDEX(char3ArtiSetStats, MATCH('Char 3'!$L$15, artisDB!$A$109:$A$161, 0), MATCH(C124, artisDB!$A$109:$AP$109, 0)),0)</f>
        <v>0</v>
      </c>
      <c r="H124" s="43">
        <f>IFERROR(INDEX('Char 3'!$X$26:$Z$35, MATCH(C124, 'Char 3'!$X$26:$X$35, 0), 3)*HLOOKUP('Char 3'!$Z$7, artifactSubstatValues, MATCH(C124, 'Artifact Database'!$A$1:$A$11, 0)),0)</f>
        <v>0</v>
      </c>
      <c r="I124" s="81">
        <f>VLOOKUP(C124, 'Char 3'!$R$5:$T$50, 3,0)</f>
        <v>0</v>
      </c>
      <c r="J124" s="36"/>
      <c r="K124" s="81">
        <f t="shared" si="10"/>
        <v>0</v>
      </c>
      <c r="L124" s="33"/>
    </row>
    <row r="125" spans="2:21" x14ac:dyDescent="0.25">
      <c r="B125" s="33"/>
      <c r="C125" s="34" t="s">
        <v>74</v>
      </c>
      <c r="D125" s="43">
        <f t="shared" si="11"/>
        <v>0</v>
      </c>
      <c r="E125" s="81">
        <f t="shared" si="12"/>
        <v>0</v>
      </c>
      <c r="F125" s="43">
        <f>IFERROR(INDEX(char3Weapons, MATCH(C125, weapons!$A$133:$A$197, 0), MATCH(char3WeaponName,weapons!$A$133:$CV$133, 0)),0)</f>
        <v>0</v>
      </c>
      <c r="G125" s="81">
        <f>IFERROR(INDEX(char3ArtiSetStats, MATCH('Char 3'!$L$14,artisDB!$A$109:$A$161, 0), MATCH(C125, artisDB!$A$109:$AP$109, 0))+INDEX(char3ArtiSetStats, MATCH('Char 3'!$L$15, artisDB!$A$109:$A$161, 0), MATCH(C125, artisDB!$A$109:$AP$109, 0)),0)</f>
        <v>0</v>
      </c>
      <c r="H125" s="43">
        <f>IFERROR(INDEX('Char 3'!$X$26:$Z$35, MATCH(C125, 'Char 3'!$X$26:$X$35, 0), 3)*HLOOKUP('Char 3'!$Z$7, artifactSubstatValues, MATCH(C125, 'Artifact Database'!$A$1:$A$11, 0)),0)</f>
        <v>0</v>
      </c>
      <c r="I125" s="81">
        <f>VLOOKUP(C125, 'Char 3'!$R$5:$T$50, 3,0)</f>
        <v>0</v>
      </c>
      <c r="J125" s="36"/>
      <c r="K125" s="81">
        <f t="shared" si="10"/>
        <v>0</v>
      </c>
      <c r="L125" s="33"/>
      <c r="N125" s="33"/>
      <c r="O125" s="33"/>
      <c r="P125" s="33"/>
      <c r="Q125" s="33"/>
      <c r="R125" s="33"/>
    </row>
    <row r="126" spans="2:21" x14ac:dyDescent="0.25">
      <c r="B126" s="33"/>
      <c r="C126" s="34" t="s">
        <v>75</v>
      </c>
      <c r="D126" s="43">
        <f t="shared" si="11"/>
        <v>0.46600000000000003</v>
      </c>
      <c r="E126" s="81">
        <f t="shared" si="12"/>
        <v>0</v>
      </c>
      <c r="F126" s="43">
        <f>IFERROR(INDEX(char3Weapons, MATCH(C126, weapons!$A$133:$A$197, 0), MATCH(char3WeaponName,weapons!$A$133:$CV$133, 0)),0)</f>
        <v>0</v>
      </c>
      <c r="G126" s="81">
        <f>IFERROR(INDEX(char3ArtiSetStats, MATCH('Char 3'!$L$14,artisDB!$A$109:$A$161, 0), MATCH(C126, artisDB!$A$109:$AP$109, 0))+INDEX(char3ArtiSetStats, MATCH('Char 3'!$L$15, artisDB!$A$109:$A$161, 0), MATCH(C126, artisDB!$A$109:$AP$109, 0)),0)</f>
        <v>0</v>
      </c>
      <c r="H126" s="43">
        <f>IFERROR(INDEX('Char 3'!$X$26:$Z$35, MATCH(C126, 'Char 3'!$X$26:$X$35, 0), 3)*HLOOKUP('Char 3'!$Z$7, artifactSubstatValues, MATCH(C126, 'Artifact Database'!$A$1:$A$11, 0)),0)</f>
        <v>0</v>
      </c>
      <c r="I126" s="81">
        <f ca="1">VLOOKUP(C126, 'Char 3'!$R$5:$T$50, 3,0)</f>
        <v>0.34114</v>
      </c>
      <c r="J126" s="36"/>
      <c r="K126" s="81">
        <f t="shared" ca="1" si="10"/>
        <v>0.80713999999999997</v>
      </c>
      <c r="L126" s="33"/>
      <c r="N126" s="33"/>
      <c r="O126" s="280" t="s">
        <v>630</v>
      </c>
      <c r="P126" s="280"/>
      <c r="Q126" s="280"/>
      <c r="R126" s="33"/>
    </row>
    <row r="127" spans="2:21" x14ac:dyDescent="0.25">
      <c r="B127" s="33"/>
      <c r="C127" s="34" t="s">
        <v>76</v>
      </c>
      <c r="D127" s="43">
        <f t="shared" si="11"/>
        <v>0</v>
      </c>
      <c r="E127" s="81">
        <f t="shared" si="12"/>
        <v>0</v>
      </c>
      <c r="F127" s="43">
        <f>IFERROR(INDEX(char3Weapons, MATCH(C127, weapons!$A$133:$A$197, 0), MATCH(char3WeaponName,weapons!$A$133:$CV$133, 0)),0)</f>
        <v>0</v>
      </c>
      <c r="G127" s="81">
        <f>IFERROR(INDEX(char3ArtiSetStats, MATCH('Char 3'!$L$14,artisDB!$A$109:$A$161, 0), MATCH(C127, artisDB!$A$109:$AP$109, 0))+INDEX(char3ArtiSetStats, MATCH('Char 3'!$L$15, artisDB!$A$109:$A$161, 0), MATCH(C127, artisDB!$A$109:$AP$109, 0)),0)</f>
        <v>0</v>
      </c>
      <c r="H127" s="43">
        <f>IFERROR(INDEX('Char 3'!$X$26:$Z$35, MATCH(C127, 'Char 3'!$X$26:$X$35, 0), 3)*HLOOKUP('Char 3'!$Z$7, artifactSubstatValues, MATCH(C127, 'Artifact Database'!$A$1:$A$11, 0)),0)</f>
        <v>0</v>
      </c>
      <c r="I127" s="81">
        <f>VLOOKUP(C127, 'Char 3'!$R$5:$T$50, 3,0)</f>
        <v>0</v>
      </c>
      <c r="J127" s="36"/>
      <c r="K127" s="81">
        <f t="shared" si="10"/>
        <v>0</v>
      </c>
      <c r="L127" s="33"/>
      <c r="N127" s="33"/>
      <c r="O127" s="280"/>
      <c r="P127" s="280"/>
      <c r="Q127" s="280"/>
      <c r="R127" s="33"/>
    </row>
    <row r="128" spans="2:21" x14ac:dyDescent="0.25">
      <c r="B128" s="33"/>
      <c r="C128" s="34" t="s">
        <v>77</v>
      </c>
      <c r="D128" s="43">
        <f t="shared" si="11"/>
        <v>0</v>
      </c>
      <c r="E128" s="81">
        <f t="shared" si="12"/>
        <v>0</v>
      </c>
      <c r="F128" s="43">
        <f>IFERROR(INDEX(char3Weapons, MATCH(C128, weapons!$A$133:$A$197, 0), MATCH(char3WeaponName,weapons!$A$133:$CV$133, 0)),0)</f>
        <v>0</v>
      </c>
      <c r="G128" s="81">
        <f>IFERROR(INDEX(char3ArtiSetStats, MATCH('Char 3'!$L$14,artisDB!$A$109:$A$161, 0), MATCH(C128, artisDB!$A$109:$AP$109, 0))+INDEX(char3ArtiSetStats, MATCH('Char 3'!$L$15, artisDB!$A$109:$A$161, 0), MATCH(C128, artisDB!$A$109:$AP$109, 0)),0)</f>
        <v>0</v>
      </c>
      <c r="H128" s="43">
        <f>IFERROR(INDEX('Char 3'!$X$26:$Z$35, MATCH(C128, 'Char 3'!$X$26:$X$35, 0), 3)*HLOOKUP('Char 3'!$Z$7, artifactSubstatValues, MATCH(C128, 'Artifact Database'!$A$1:$A$11, 0)),0)</f>
        <v>0</v>
      </c>
      <c r="I128" s="81">
        <f>VLOOKUP(C128, 'Char 3'!$R$5:$T$50, 3,0)</f>
        <v>0</v>
      </c>
      <c r="J128" s="36"/>
      <c r="K128" s="81">
        <f t="shared" si="10"/>
        <v>0</v>
      </c>
      <c r="L128" s="33"/>
      <c r="N128" s="33"/>
      <c r="O128" s="281" t="s">
        <v>629</v>
      </c>
      <c r="P128" s="281"/>
      <c r="Q128" s="7">
        <f>INDEX(char3Weapons, MATCH("Base ATK", weapons!$A$133:$A$197, 0), MATCH(char3WeaponName, weapons!$A$133:$CV$133, 0))</f>
        <v>510</v>
      </c>
      <c r="R128" s="33"/>
    </row>
    <row r="129" spans="2:18" x14ac:dyDescent="0.25">
      <c r="B129" s="33"/>
      <c r="C129" s="34" t="s">
        <v>78</v>
      </c>
      <c r="D129" s="43">
        <f t="shared" si="11"/>
        <v>0</v>
      </c>
      <c r="E129" s="81">
        <f t="shared" si="12"/>
        <v>0</v>
      </c>
      <c r="F129" s="43">
        <f>IFERROR(INDEX(char3Weapons, MATCH(C129, weapons!$A$133:$A$197, 0), MATCH(char3WeaponName,weapons!$A$133:$CV$133, 0)),0)</f>
        <v>0</v>
      </c>
      <c r="G129" s="81">
        <f>IFERROR(INDEX(char3ArtiSetStats, MATCH('Char 3'!$L$14,artisDB!$A$109:$A$161, 0), MATCH(C129, artisDB!$A$109:$AP$109, 0))+INDEX(char3ArtiSetStats, MATCH('Char 3'!$L$15, artisDB!$A$109:$A$161, 0), MATCH(C129, artisDB!$A$109:$AP$109, 0)),0)</f>
        <v>0</v>
      </c>
      <c r="H129" s="43">
        <f>IFERROR(INDEX('Char 3'!$X$26:$Z$35, MATCH(C129, 'Char 3'!$X$26:$X$35, 0), 3)*HLOOKUP('Char 3'!$Z$7, artifactSubstatValues, MATCH(C129, 'Artifact Database'!$A$1:$A$11, 0)),0)</f>
        <v>0</v>
      </c>
      <c r="I129" s="81">
        <f>VLOOKUP(C129, 'Char 3'!$R$5:$T$50, 3,0)</f>
        <v>0</v>
      </c>
      <c r="J129" s="36"/>
      <c r="K129" s="81">
        <f t="shared" si="10"/>
        <v>0</v>
      </c>
      <c r="L129" s="33"/>
      <c r="N129" s="33"/>
      <c r="O129" s="281" t="s">
        <v>622</v>
      </c>
      <c r="P129" s="281"/>
      <c r="Q129" s="7">
        <f>U115</f>
        <v>287</v>
      </c>
      <c r="R129" s="33"/>
    </row>
    <row r="130" spans="2:18" x14ac:dyDescent="0.25">
      <c r="B130" s="33"/>
      <c r="C130" s="34" t="s">
        <v>79</v>
      </c>
      <c r="D130" s="43">
        <f t="shared" si="11"/>
        <v>0</v>
      </c>
      <c r="E130" s="81">
        <f t="shared" si="12"/>
        <v>0</v>
      </c>
      <c r="F130" s="43">
        <f>IFERROR(INDEX(char3Weapons, MATCH(C130, weapons!$A$133:$A$197, 0), MATCH(char3WeaponName,weapons!$A$133:$CV$133, 0)),0)</f>
        <v>0</v>
      </c>
      <c r="G130" s="81">
        <f>IFERROR(INDEX(char3ArtiSetStats, MATCH('Char 3'!$L$14,artisDB!$A$109:$A$161, 0), MATCH(C130, artisDB!$A$109:$AP$109, 0))+INDEX(char3ArtiSetStats, MATCH('Char 3'!$L$15, artisDB!$A$109:$A$161, 0), MATCH(C130, artisDB!$A$109:$AP$109, 0)),0)</f>
        <v>0</v>
      </c>
      <c r="H130" s="43">
        <f>IFERROR(INDEX('Char 3'!$X$26:$Z$35, MATCH(C130, 'Char 3'!$X$26:$X$35, 0), 3)*HLOOKUP('Char 3'!$Z$7, artifactSubstatValues, MATCH(C130, 'Artifact Database'!$A$1:$A$11, 0)),0)</f>
        <v>0</v>
      </c>
      <c r="I130" s="81">
        <f>VLOOKUP(C130, 'Char 3'!$R$5:$T$50, 3,0)</f>
        <v>0</v>
      </c>
      <c r="J130" s="36"/>
      <c r="K130" s="81">
        <f t="shared" si="10"/>
        <v>0</v>
      </c>
      <c r="L130" s="33"/>
      <c r="N130" s="33"/>
      <c r="O130" s="281" t="s">
        <v>631</v>
      </c>
      <c r="P130" s="281"/>
      <c r="Q130" s="7">
        <f>U116</f>
        <v>653</v>
      </c>
      <c r="R130" s="33"/>
    </row>
    <row r="131" spans="2:18" x14ac:dyDescent="0.25">
      <c r="B131" s="33"/>
      <c r="C131" s="34" t="s">
        <v>80</v>
      </c>
      <c r="D131" s="43">
        <f t="shared" si="11"/>
        <v>0</v>
      </c>
      <c r="E131" s="81">
        <f t="shared" si="12"/>
        <v>0</v>
      </c>
      <c r="F131" s="43">
        <f>IFERROR(INDEX(char3Weapons, MATCH(C131, weapons!$A$133:$A$197, 0), MATCH(char3WeaponName,weapons!$A$133:$CV$133, 0)),0)</f>
        <v>0</v>
      </c>
      <c r="G131" s="81">
        <f>IFERROR(INDEX(char3ArtiSetStats, MATCH('Char 3'!$L$14,artisDB!$A$109:$A$161, 0), MATCH(C131, artisDB!$A$109:$AP$109, 0))+INDEX(char3ArtiSetStats, MATCH('Char 3'!$L$15, artisDB!$A$109:$A$161, 0), MATCH(C131, artisDB!$A$109:$AP$109, 0)),0)</f>
        <v>0</v>
      </c>
      <c r="H131" s="43">
        <f>IFERROR(INDEX('Char 3'!$X$26:$Z$35, MATCH(C131, 'Char 3'!$X$26:$X$35, 0), 3)*HLOOKUP('Char 3'!$Z$7, artifactSubstatValues, MATCH(C131, 'Artifact Database'!$A$1:$A$11, 0)),0)</f>
        <v>0</v>
      </c>
      <c r="I131" s="81">
        <f>VLOOKUP(C131, 'Char 3'!$R$5:$T$50, 3,0)</f>
        <v>0</v>
      </c>
      <c r="J131" s="36"/>
      <c r="K131" s="81">
        <f t="shared" si="10"/>
        <v>0</v>
      </c>
      <c r="L131" s="33"/>
      <c r="N131" s="33"/>
      <c r="O131" s="281" t="s">
        <v>632</v>
      </c>
      <c r="P131" s="281"/>
      <c r="Q131" s="7">
        <f>U114</f>
        <v>10409</v>
      </c>
      <c r="R131" s="33"/>
    </row>
    <row r="132" spans="2:18" x14ac:dyDescent="0.25">
      <c r="B132" s="33"/>
      <c r="C132" s="34" t="s">
        <v>81</v>
      </c>
      <c r="D132" s="43">
        <f t="shared" si="11"/>
        <v>0</v>
      </c>
      <c r="E132" s="81">
        <f t="shared" si="12"/>
        <v>0</v>
      </c>
      <c r="F132" s="43">
        <f>IFERROR(INDEX(char3Weapons, MATCH(C132, weapons!$A$133:$A$197, 0), MATCH(char3WeaponName,weapons!$A$133:$CV$133, 0)),0)</f>
        <v>0</v>
      </c>
      <c r="G132" s="81">
        <f>IFERROR(INDEX(char3ArtiSetStats, MATCH('Char 3'!$L$14,artisDB!$A$109:$A$161, 0), MATCH(C132, artisDB!$A$109:$AP$109, 0))+INDEX(char3ArtiSetStats, MATCH('Char 3'!$L$15, artisDB!$A$109:$A$161, 0), MATCH(C132, artisDB!$A$109:$AP$109, 0)),0)</f>
        <v>0</v>
      </c>
      <c r="H132" s="43">
        <f>IFERROR(INDEX('Char 3'!$X$26:$Z$35, MATCH(C132, 'Char 3'!$X$26:$X$35, 0), 3)*HLOOKUP('Char 3'!$Z$7, artifactSubstatValues, MATCH(C132, 'Artifact Database'!$A$1:$A$11, 0)),0)</f>
        <v>0</v>
      </c>
      <c r="I132" s="81">
        <f>VLOOKUP(C132, 'Char 3'!$R$5:$T$50, 3,0)</f>
        <v>0</v>
      </c>
      <c r="J132" s="36"/>
      <c r="K132" s="81">
        <f t="shared" si="10"/>
        <v>0</v>
      </c>
      <c r="L132" s="33"/>
      <c r="N132" s="33"/>
      <c r="O132" s="33"/>
      <c r="P132" s="33"/>
      <c r="Q132" s="33"/>
      <c r="R132" s="33"/>
    </row>
    <row r="133" spans="2:18" x14ac:dyDescent="0.25">
      <c r="B133" s="33"/>
      <c r="C133" s="34" t="s">
        <v>83</v>
      </c>
      <c r="D133" s="43">
        <f t="shared" si="11"/>
        <v>0</v>
      </c>
      <c r="E133" s="81">
        <f t="shared" si="12"/>
        <v>0</v>
      </c>
      <c r="F133" s="43">
        <f>IFERROR(INDEX(char3Weapons, MATCH(C133, weapons!$A$133:$A$197, 0), MATCH(char3WeaponName,weapons!$A$133:$CV$133, 0)),0)</f>
        <v>0</v>
      </c>
      <c r="G133" s="81">
        <f>IFERROR(INDEX(char3ArtiSetStats, MATCH('Char 3'!$L$14,artisDB!$A$109:$A$161, 0), MATCH(C133, artisDB!$A$109:$AP$109, 0))+INDEX(char3ArtiSetStats, MATCH('Char 3'!$L$15, artisDB!$A$109:$A$161, 0), MATCH(C133, artisDB!$A$109:$AP$109, 0)),0)</f>
        <v>0</v>
      </c>
      <c r="H133" s="43">
        <f>IFERROR(INDEX('Char 3'!$X$26:$Z$35, MATCH(C133, 'Char 3'!$X$26:$X$35, 0), 3)*HLOOKUP('Char 3'!$Z$7, artifactSubstatValues, MATCH(C133, 'Artifact Database'!$A$1:$A$11, 0)),0)</f>
        <v>0</v>
      </c>
      <c r="I133" s="81">
        <f>VLOOKUP(C133, 'Char 3'!$R$5:$T$50, 3,0)</f>
        <v>0</v>
      </c>
      <c r="J133" s="36"/>
      <c r="K133" s="81">
        <f t="shared" si="10"/>
        <v>0</v>
      </c>
      <c r="L133" s="33"/>
    </row>
    <row r="134" spans="2:18" x14ac:dyDescent="0.25">
      <c r="B134" s="33"/>
      <c r="C134" s="34" t="s">
        <v>84</v>
      </c>
      <c r="D134" s="43">
        <f t="shared" si="11"/>
        <v>0</v>
      </c>
      <c r="E134" s="81">
        <f t="shared" si="12"/>
        <v>0</v>
      </c>
      <c r="F134" s="43">
        <f>IFERROR(INDEX(char3Weapons, MATCH(C134, weapons!$A$133:$A$197, 0), MATCH(char3WeaponName,weapons!$A$133:$CV$133, 0)),0)</f>
        <v>0</v>
      </c>
      <c r="G134" s="81">
        <f>IFERROR(INDEX(char3ArtiSetStats, MATCH('Char 3'!$L$14,artisDB!$A$109:$A$161, 0), MATCH(C134, artisDB!$A$109:$AP$109, 0))+INDEX(char3ArtiSetStats, MATCH('Char 3'!$L$15, artisDB!$A$109:$A$161, 0), MATCH(C134, artisDB!$A$109:$AP$109, 0)),0)</f>
        <v>0</v>
      </c>
      <c r="H134" s="43">
        <f>IFERROR(INDEX('Char 3'!$X$26:$Z$35, MATCH(C134, 'Char 3'!$X$26:$X$35, 0), 3)*HLOOKUP('Char 3'!$Z$7, artifactSubstatValues, MATCH(C134, 'Artifact Database'!$A$1:$A$11, 0)),0)</f>
        <v>0</v>
      </c>
      <c r="I134" s="81">
        <f>VLOOKUP(C134, 'Char 3'!$R$5:$T$50, 3,0)</f>
        <v>0</v>
      </c>
      <c r="J134" s="36"/>
      <c r="K134" s="81">
        <f t="shared" si="10"/>
        <v>0</v>
      </c>
      <c r="L134" s="33"/>
      <c r="N134" s="33"/>
      <c r="O134" s="33"/>
      <c r="P134" s="33"/>
      <c r="Q134" s="33"/>
      <c r="R134" s="33"/>
    </row>
    <row r="135" spans="2:18" x14ac:dyDescent="0.25">
      <c r="B135" s="33"/>
      <c r="C135" s="34" t="s">
        <v>85</v>
      </c>
      <c r="D135" s="43">
        <f t="shared" si="11"/>
        <v>0</v>
      </c>
      <c r="E135" s="81">
        <f t="shared" si="12"/>
        <v>0</v>
      </c>
      <c r="F135" s="43">
        <f>IFERROR(INDEX(char3Weapons, MATCH(C135, weapons!$A$133:$A$197, 0), MATCH(char3WeaponName,weapons!$A$133:$CV$133, 0)),0)</f>
        <v>0</v>
      </c>
      <c r="G135" s="81">
        <f>IFERROR(INDEX(char3ArtiSetStats, MATCH('Char 3'!$L$14,artisDB!$A$109:$A$161, 0), MATCH(C135, artisDB!$A$109:$AP$109, 0))+INDEX(char3ArtiSetStats, MATCH('Char 3'!$L$15, artisDB!$A$109:$A$161, 0), MATCH(C135, artisDB!$A$109:$AP$109, 0)),0)</f>
        <v>0</v>
      </c>
      <c r="H135" s="43">
        <f>IFERROR(INDEX('Char 3'!$X$26:$Z$35, MATCH(C135, 'Char 3'!$X$26:$X$35, 0), 3)*HLOOKUP('Char 3'!$Z$7, artifactSubstatValues, MATCH(C135, 'Artifact Database'!$A$1:$A$11, 0)),0)</f>
        <v>0</v>
      </c>
      <c r="I135" s="81">
        <f>VLOOKUP(C135, 'Char 3'!$R$5:$T$50, 3,0)</f>
        <v>0</v>
      </c>
      <c r="J135" s="36"/>
      <c r="K135" s="81">
        <f t="shared" si="10"/>
        <v>0</v>
      </c>
      <c r="L135" s="33"/>
      <c r="N135" s="33"/>
      <c r="O135" s="280" t="s">
        <v>668</v>
      </c>
      <c r="P135" s="280"/>
      <c r="Q135" s="280"/>
      <c r="R135" s="33"/>
    </row>
    <row r="136" spans="2:18" x14ac:dyDescent="0.25">
      <c r="B136" s="33"/>
      <c r="C136" s="34" t="s">
        <v>86</v>
      </c>
      <c r="D136" s="43">
        <f t="shared" si="11"/>
        <v>0</v>
      </c>
      <c r="E136" s="81">
        <f t="shared" si="12"/>
        <v>0</v>
      </c>
      <c r="F136" s="43">
        <f>IFERROR(INDEX(char3Weapons, MATCH(C136, weapons!$A$133:$A$197, 0), MATCH(char3WeaponName,weapons!$A$133:$CV$133, 0)),0)</f>
        <v>0</v>
      </c>
      <c r="G136" s="81">
        <f>IFERROR(INDEX(char3ArtiSetStats, MATCH('Char 3'!$L$14,artisDB!$A$109:$A$161, 0), MATCH(C136, artisDB!$A$109:$AP$109, 0))+INDEX(char3ArtiSetStats, MATCH('Char 3'!$L$15, artisDB!$A$109:$A$161, 0), MATCH(C136, artisDB!$A$109:$AP$109, 0)),0)</f>
        <v>0</v>
      </c>
      <c r="H136" s="43">
        <f>IFERROR(INDEX('Char 3'!$X$26:$Z$35, MATCH(C136, 'Char 3'!$X$26:$X$35, 0), 3)*HLOOKUP('Char 3'!$Z$7, artifactSubstatValues, MATCH(C136, 'Artifact Database'!$A$1:$A$11, 0)),0)</f>
        <v>0</v>
      </c>
      <c r="I136" s="81">
        <f>VLOOKUP(C136, 'Char 3'!$R$5:$T$50, 3,0)</f>
        <v>0</v>
      </c>
      <c r="J136" s="36"/>
      <c r="K136" s="81">
        <f t="shared" si="10"/>
        <v>0</v>
      </c>
      <c r="L136" s="33"/>
      <c r="N136" s="33"/>
      <c r="O136" s="280"/>
      <c r="P136" s="280"/>
      <c r="Q136" s="280"/>
      <c r="R136" s="33"/>
    </row>
    <row r="137" spans="2:18" x14ac:dyDescent="0.25">
      <c r="B137" s="33"/>
      <c r="C137" s="34" t="s">
        <v>87</v>
      </c>
      <c r="D137" s="43">
        <f t="shared" si="11"/>
        <v>0</v>
      </c>
      <c r="E137" s="81">
        <f t="shared" si="12"/>
        <v>0</v>
      </c>
      <c r="F137" s="43">
        <f>IFERROR(INDEX(char3Weapons, MATCH(C137, weapons!$A$133:$A$197, 0), MATCH(char3WeaponName,weapons!$A$133:$CV$133, 0)),0)</f>
        <v>0</v>
      </c>
      <c r="G137" s="81">
        <f>IFERROR(INDEX(char3ArtiSetStats, MATCH('Char 3'!$L$14,artisDB!$A$109:$A$161, 0), MATCH(C137, artisDB!$A$109:$AP$109, 0))+INDEX(char3ArtiSetStats, MATCH('Char 3'!$L$15, artisDB!$A$109:$A$161, 0), MATCH(C137, artisDB!$A$109:$AP$109, 0)),0)</f>
        <v>0</v>
      </c>
      <c r="H137" s="43">
        <f>IFERROR(INDEX('Char 3'!$X$26:$Z$35, MATCH(C137, 'Char 3'!$X$26:$X$35, 0), 3)*HLOOKUP('Char 3'!$Z$7, artifactSubstatValues, MATCH(C137, 'Artifact Database'!$A$1:$A$11, 0)),0)</f>
        <v>0</v>
      </c>
      <c r="I137" s="81">
        <f>VLOOKUP(C137, 'Char 3'!$R$5:$T$50, 3,0)</f>
        <v>0</v>
      </c>
      <c r="J137" s="36"/>
      <c r="K137" s="81">
        <f t="shared" si="10"/>
        <v>0</v>
      </c>
      <c r="L137" s="33"/>
      <c r="N137" s="33"/>
      <c r="O137" s="281" t="s">
        <v>669</v>
      </c>
      <c r="P137" s="281"/>
      <c r="Q137" s="7" t="str">
        <f>'Char 3'!E20</f>
        <v>skill</v>
      </c>
      <c r="R137" s="33"/>
    </row>
    <row r="138" spans="2:18" x14ac:dyDescent="0.25">
      <c r="B138" s="33"/>
      <c r="C138" s="34" t="s">
        <v>90</v>
      </c>
      <c r="D138" s="43">
        <f t="shared" si="11"/>
        <v>0</v>
      </c>
      <c r="E138" s="81">
        <f t="shared" si="12"/>
        <v>0</v>
      </c>
      <c r="F138" s="43">
        <f>IFERROR(INDEX(char3Weapons, MATCH(C138, weapons!$A$133:$A$197, 0), MATCH(char3WeaponName,weapons!$A$133:$CV$133, 0)),0)</f>
        <v>0</v>
      </c>
      <c r="G138" s="81">
        <f>IFERROR(INDEX(char3ArtiSetStats, MATCH('Char 3'!$L$14,artisDB!$A$109:$A$161, 0), MATCH(C138, artisDB!$A$109:$AP$109, 0))+INDEX(char3ArtiSetStats, MATCH('Char 3'!$L$15, artisDB!$A$109:$A$161, 0), MATCH(C138, artisDB!$A$109:$AP$109, 0)),0)</f>
        <v>0</v>
      </c>
      <c r="H138" s="43">
        <f>IFERROR(INDEX('Char 3'!$X$26:$Z$35, MATCH(C138, 'Char 3'!$X$26:$X$35, 0), 3)*HLOOKUP('Char 3'!$Z$7, artifactSubstatValues, MATCH(C138, 'Artifact Database'!$A$1:$A$11, 0)),0)</f>
        <v>0</v>
      </c>
      <c r="I138" s="81">
        <f>VLOOKUP(C138, 'Char 3'!$R$5:$T$50, 3,0)</f>
        <v>0</v>
      </c>
      <c r="J138" s="36"/>
      <c r="K138" s="81">
        <f t="shared" si="10"/>
        <v>0</v>
      </c>
      <c r="L138" s="33"/>
      <c r="N138" s="33"/>
      <c r="O138" s="281" t="s">
        <v>670</v>
      </c>
      <c r="P138" s="281"/>
      <c r="Q138" s="7" t="str">
        <f>'Char 3'!E23</f>
        <v>burst</v>
      </c>
      <c r="R138" s="33"/>
    </row>
    <row r="139" spans="2:18" x14ac:dyDescent="0.25">
      <c r="B139" s="33"/>
      <c r="C139" s="34" t="s">
        <v>88</v>
      </c>
      <c r="D139" s="43">
        <f t="shared" si="11"/>
        <v>0</v>
      </c>
      <c r="E139" s="81">
        <f t="shared" si="12"/>
        <v>0</v>
      </c>
      <c r="F139" s="43">
        <f>IFERROR(INDEX(char3Weapons, MATCH(C139, weapons!$A$133:$A$197, 0), MATCH(char3WeaponName,weapons!$A$133:$CV$133, 0)),0)</f>
        <v>0</v>
      </c>
      <c r="G139" s="81">
        <f>IFERROR(INDEX(char3ArtiSetStats, MATCH('Char 3'!$L$14,artisDB!$A$109:$A$161, 0), MATCH(C139, artisDB!$A$109:$AP$109, 0))+INDEX(char3ArtiSetStats, MATCH('Char 3'!$L$15, artisDB!$A$109:$A$161, 0), MATCH(C139, artisDB!$A$109:$AP$109, 0)),0)</f>
        <v>0</v>
      </c>
      <c r="H139" s="43">
        <f>IFERROR(INDEX('Char 3'!$X$26:$Z$35, MATCH(C139, 'Char 3'!$X$26:$X$35, 0), 3)*HLOOKUP('Char 3'!$Z$7, artifactSubstatValues, MATCH(C139, 'Artifact Database'!$A$1:$A$11, 0)),0)</f>
        <v>0</v>
      </c>
      <c r="I139" s="81">
        <f>VLOOKUP(C139, 'Char 3'!$R$5:$T$50, 3,0)</f>
        <v>0</v>
      </c>
      <c r="J139" s="36"/>
      <c r="K139" s="81">
        <f t="shared" si="10"/>
        <v>0</v>
      </c>
      <c r="L139" s="33"/>
      <c r="N139" s="33"/>
      <c r="O139" s="33"/>
      <c r="P139" s="33"/>
      <c r="Q139" s="33"/>
      <c r="R139" s="33"/>
    </row>
    <row r="140" spans="2:18" x14ac:dyDescent="0.25">
      <c r="B140" s="33"/>
      <c r="C140" s="34" t="s">
        <v>89</v>
      </c>
      <c r="D140" s="43">
        <f t="shared" si="11"/>
        <v>0</v>
      </c>
      <c r="E140" s="81">
        <f t="shared" si="12"/>
        <v>0</v>
      </c>
      <c r="F140" s="43">
        <f>IFERROR(INDEX(char3Weapons, MATCH(C140, weapons!$A$133:$A$197, 0), MATCH(char3WeaponName,weapons!$A$133:$CV$133, 0)),0)</f>
        <v>0</v>
      </c>
      <c r="G140" s="81">
        <f>IFERROR(INDEX(char3ArtiSetStats, MATCH('Char 3'!$L$14,artisDB!$A$109:$A$161, 0), MATCH(C140, artisDB!$A$109:$AP$109, 0))+INDEX(char3ArtiSetStats, MATCH('Char 3'!$L$15, artisDB!$A$109:$A$161, 0), MATCH(C140, artisDB!$A$109:$AP$109, 0)),0)</f>
        <v>0</v>
      </c>
      <c r="H140" s="43">
        <f>IFERROR(INDEX('Char 3'!$X$26:$Z$35, MATCH(C140, 'Char 3'!$X$26:$X$35, 0), 3)*HLOOKUP('Char 3'!$Z$7, artifactSubstatValues, MATCH(C140, 'Artifact Database'!$A$1:$A$11, 0)),0)</f>
        <v>0</v>
      </c>
      <c r="I140" s="81">
        <f>VLOOKUP(C140, 'Char 3'!$R$5:$T$50, 3,0)</f>
        <v>0</v>
      </c>
      <c r="J140" s="36"/>
      <c r="K140" s="81">
        <f t="shared" si="10"/>
        <v>0</v>
      </c>
      <c r="L140" s="33"/>
    </row>
    <row r="141" spans="2:18" x14ac:dyDescent="0.25">
      <c r="B141" s="33"/>
      <c r="C141" s="34" t="s">
        <v>91</v>
      </c>
      <c r="D141" s="43">
        <f t="shared" si="11"/>
        <v>0</v>
      </c>
      <c r="E141" s="81">
        <f t="shared" si="12"/>
        <v>0</v>
      </c>
      <c r="F141" s="43">
        <f>IFERROR(INDEX(char3Weapons, MATCH(C141, weapons!$A$133:$A$197, 0), MATCH(char3WeaponName,weapons!$A$133:$CV$133, 0)),0)</f>
        <v>0</v>
      </c>
      <c r="G141" s="81">
        <f>IFERROR(INDEX(char3ArtiSetStats, MATCH('Char 3'!$L$14,artisDB!$A$109:$A$161, 0), MATCH(C141, artisDB!$A$109:$AP$109, 0))+INDEX(char3ArtiSetStats, MATCH('Char 3'!$L$15, artisDB!$A$109:$A$161, 0), MATCH(C141, artisDB!$A$109:$AP$109, 0)),0)</f>
        <v>0</v>
      </c>
      <c r="H141" s="43">
        <f>IFERROR(INDEX('Char 3'!$X$26:$Z$35, MATCH(C141, 'Char 3'!$X$26:$X$35, 0), 3)*HLOOKUP('Char 3'!$Z$7, artifactSubstatValues, MATCH(C141, 'Artifact Database'!$A$1:$A$11, 0)),0)</f>
        <v>0</v>
      </c>
      <c r="I141" s="81">
        <f>VLOOKUP(C141, 'Char 3'!$R$5:$T$50, 3,0)</f>
        <v>0</v>
      </c>
      <c r="J141" s="36"/>
      <c r="K141" s="81">
        <f t="shared" si="10"/>
        <v>0</v>
      </c>
      <c r="L141" s="33"/>
      <c r="N141" s="33"/>
      <c r="O141" s="33"/>
      <c r="P141" s="33"/>
      <c r="Q141" s="33"/>
      <c r="R141" s="33"/>
    </row>
    <row r="142" spans="2:18" x14ac:dyDescent="0.25">
      <c r="B142" s="33"/>
      <c r="C142" s="34" t="s">
        <v>453</v>
      </c>
      <c r="D142" s="43">
        <f t="shared" si="11"/>
        <v>0</v>
      </c>
      <c r="E142" s="81">
        <f t="shared" si="12"/>
        <v>0</v>
      </c>
      <c r="F142" s="43">
        <f>IFERROR(INDEX(char3Weapons, MATCH(C142, weapons!$A$133:$A$197, 0), MATCH(char3WeaponName,weapons!$A$133:$CV$133, 0)),0)</f>
        <v>0</v>
      </c>
      <c r="G142" s="81">
        <f>IFERROR(INDEX(char3ArtiSetStats, MATCH('Char 3'!$L$14,artisDB!$A$109:$A$161, 0), MATCH(C142, artisDB!$A$109:$AP$109, 0))+INDEX(char3ArtiSetStats, MATCH('Char 3'!$L$15, artisDB!$A$109:$A$161, 0), MATCH(C142, artisDB!$A$109:$AP$109, 0)),0)</f>
        <v>0</v>
      </c>
      <c r="H142" s="43">
        <f>IFERROR(INDEX('Char 3'!$X$26:$Z$35, MATCH(C142, 'Char 3'!$X$26:$X$35, 0), 3)*HLOOKUP('Char 3'!$Z$7, artifactSubstatValues, MATCH(C142, 'Artifact Database'!$A$1:$A$11, 0)),0)</f>
        <v>0</v>
      </c>
      <c r="I142" s="81">
        <f>VLOOKUP(C142, 'Char 3'!$R$5:$T$50, 3,0)</f>
        <v>0</v>
      </c>
      <c r="J142" s="36"/>
      <c r="K142" s="81">
        <f t="shared" si="10"/>
        <v>0</v>
      </c>
      <c r="L142" s="33"/>
      <c r="N142" s="33"/>
      <c r="O142" s="280" t="s">
        <v>675</v>
      </c>
      <c r="P142" s="280"/>
      <c r="Q142" s="280"/>
      <c r="R142" s="33"/>
    </row>
    <row r="143" spans="2:18" x14ac:dyDescent="0.25">
      <c r="B143" s="33"/>
      <c r="C143" s="34" t="s">
        <v>93</v>
      </c>
      <c r="D143" s="43">
        <f t="shared" si="11"/>
        <v>0</v>
      </c>
      <c r="E143" s="81">
        <f t="shared" si="12"/>
        <v>0</v>
      </c>
      <c r="F143" s="43">
        <f>IFERROR(INDEX(char3Weapons, MATCH(C143, weapons!$A$133:$A$197, 0), MATCH(char3WeaponName,weapons!$A$133:$CV$133, 0)),0)</f>
        <v>0</v>
      </c>
      <c r="G143" s="81">
        <f>IFERROR(INDEX(char3ArtiSetStats, MATCH('Char 3'!$L$14,artisDB!$A$109:$A$161, 0), MATCH(C143, artisDB!$A$109:$AP$109, 0))+INDEX(char3ArtiSetStats, MATCH('Char 3'!$L$15, artisDB!$A$109:$A$161, 0), MATCH(C143, artisDB!$A$109:$AP$109, 0)),0)</f>
        <v>0</v>
      </c>
      <c r="H143" s="43">
        <f>IFERROR(INDEX('Char 3'!$X$26:$Z$35, MATCH(C143, 'Char 3'!$X$26:$X$35, 0), 3)*HLOOKUP('Char 3'!$Z$7, artifactSubstatValues, MATCH(C143, 'Artifact Database'!$A$1:$A$11, 0)),0)</f>
        <v>0</v>
      </c>
      <c r="I143" s="81">
        <f>VLOOKUP(C143, 'Char 3'!$R$5:$T$50, 3,0)</f>
        <v>0</v>
      </c>
      <c r="J143" s="36"/>
      <c r="K143" s="81">
        <f t="shared" si="10"/>
        <v>0</v>
      </c>
      <c r="L143" s="33"/>
      <c r="N143" s="33"/>
      <c r="O143" s="280"/>
      <c r="P143" s="280"/>
      <c r="Q143" s="280"/>
      <c r="R143" s="33"/>
    </row>
    <row r="144" spans="2:18" x14ac:dyDescent="0.25">
      <c r="B144" s="33"/>
      <c r="C144" s="34" t="s">
        <v>422</v>
      </c>
      <c r="D144" s="43">
        <f t="shared" si="11"/>
        <v>0</v>
      </c>
      <c r="E144" s="81">
        <f t="shared" si="12"/>
        <v>0</v>
      </c>
      <c r="F144" s="43">
        <f>IFERROR(INDEX(char3Weapons, MATCH(C144, weapons!$A$133:$A$197, 0), MATCH(char3WeaponName,weapons!$A$133:$CV$133, 0)),0)</f>
        <v>0</v>
      </c>
      <c r="G144" s="81">
        <f>IFERROR(INDEX(char3ArtiSetStats, MATCH('Char 3'!$L$14,artisDB!$A$109:$A$161, 0), MATCH(C144, artisDB!$A$109:$AP$109, 0))+INDEX(char3ArtiSetStats, MATCH('Char 3'!$L$15, artisDB!$A$109:$A$161, 0), MATCH(C144, artisDB!$A$109:$AP$109, 0)),0)</f>
        <v>0</v>
      </c>
      <c r="H144" s="43">
        <f>IFERROR(INDEX('Char 3'!$X$26:$Z$35, MATCH(C144, 'Char 3'!$X$26:$X$35, 0), 3)*HLOOKUP('Char 3'!$Z$7, artifactSubstatValues, MATCH(C144, 'Artifact Database'!$A$1:$A$11, 0)),0)</f>
        <v>0</v>
      </c>
      <c r="I144" s="81">
        <f>VLOOKUP(C144, 'Char 3'!$R$5:$T$50, 3,0)</f>
        <v>0</v>
      </c>
      <c r="J144" s="36"/>
      <c r="K144" s="81">
        <f t="shared" si="10"/>
        <v>0</v>
      </c>
      <c r="L144" s="33"/>
      <c r="N144" s="33"/>
      <c r="O144" s="281" t="s">
        <v>394</v>
      </c>
      <c r="P144" s="281"/>
      <c r="Q144" s="7">
        <f>(char3LevelNum+100)/((char3LevelNum+100)+(enemyLevel+100)*(1-K141))</f>
        <v>0.48717948717948717</v>
      </c>
      <c r="R144" s="33"/>
    </row>
    <row r="145" spans="2:24" x14ac:dyDescent="0.25">
      <c r="B145" s="33"/>
      <c r="C145" s="34" t="s">
        <v>452</v>
      </c>
      <c r="D145" s="43">
        <f t="shared" si="11"/>
        <v>0</v>
      </c>
      <c r="E145" s="81">
        <f t="shared" si="12"/>
        <v>0</v>
      </c>
      <c r="F145" s="43">
        <f>IFERROR(INDEX(char3Weapons, MATCH(C145, weapons!$A$133:$A$197, 0), MATCH(char3WeaponName,weapons!$A$133:$CV$133, 0)),0)</f>
        <v>0</v>
      </c>
      <c r="G145" s="81">
        <f>IFERROR(INDEX(char3ArtiSetStats, MATCH('Char 3'!$L$14,artisDB!$A$109:$A$161, 0), MATCH(C145, artisDB!$A$109:$AP$109, 0))+INDEX(char3ArtiSetStats, MATCH('Char 3'!$L$15, artisDB!$A$109:$A$161, 0), MATCH(C145, artisDB!$A$109:$AP$109, 0)),0)</f>
        <v>0</v>
      </c>
      <c r="H145" s="43">
        <f>IFERROR(INDEX('Char 3'!$X$26:$Z$35, MATCH(C145, 'Char 3'!$X$26:$X$35, 0), 3)*HLOOKUP('Char 3'!$Z$7, artifactSubstatValues, MATCH(C145, 'Artifact Database'!$A$1:$A$11, 0)),0)</f>
        <v>0</v>
      </c>
      <c r="I145" s="81">
        <f>VLOOKUP(C145, 'Char 3'!$R$5:$T$50, 3,0)</f>
        <v>0</v>
      </c>
      <c r="J145" s="36"/>
      <c r="K145" s="81">
        <f t="shared" si="10"/>
        <v>0</v>
      </c>
      <c r="L145" s="33"/>
      <c r="N145" s="33"/>
      <c r="O145" s="33"/>
      <c r="P145" s="33"/>
      <c r="Q145" s="33"/>
      <c r="R145" s="33"/>
    </row>
    <row r="146" spans="2:24" x14ac:dyDescent="0.25">
      <c r="B146" s="33"/>
      <c r="C146" s="34" t="s">
        <v>92</v>
      </c>
      <c r="D146" s="43">
        <f t="shared" si="11"/>
        <v>0</v>
      </c>
      <c r="E146" s="81">
        <f t="shared" si="12"/>
        <v>0</v>
      </c>
      <c r="F146" s="43">
        <f>IFERROR(INDEX(char3Weapons, MATCH(C146, weapons!$A$133:$A$197, 0), MATCH(char3WeaponName,weapons!$A$133:$CV$133, 0)),0)</f>
        <v>0</v>
      </c>
      <c r="G146" s="81">
        <f>IFERROR(INDEX(char3ArtiSetStats, MATCH('Char 3'!$L$14,artisDB!$A$109:$A$161, 0), MATCH(C146, artisDB!$A$109:$AP$109, 0))+INDEX(char3ArtiSetStats, MATCH('Char 3'!$L$15, artisDB!$A$109:$A$161, 0), MATCH(C146, artisDB!$A$109:$AP$109, 0)),0)</f>
        <v>0</v>
      </c>
      <c r="H146" s="43">
        <f>IFERROR(INDEX('Char 3'!$X$26:$Z$35, MATCH(C146, 'Char 3'!$X$26:$X$35, 0), 3)*HLOOKUP('Char 3'!$Z$7, artifactSubstatValues, MATCH(C146, 'Artifact Database'!$A$1:$A$11, 0)),0)</f>
        <v>0</v>
      </c>
      <c r="I146" s="81">
        <f>VLOOKUP(C146, 'Char 3'!$R$5:$T$50, 3,0)</f>
        <v>0</v>
      </c>
      <c r="J146" s="36"/>
      <c r="K146" s="81">
        <f t="shared" si="10"/>
        <v>0</v>
      </c>
      <c r="L146" s="33"/>
    </row>
    <row r="147" spans="2:24" x14ac:dyDescent="0.25">
      <c r="B147" s="33"/>
      <c r="C147" s="34" t="s">
        <v>94</v>
      </c>
      <c r="D147" s="43">
        <f t="shared" si="11"/>
        <v>0</v>
      </c>
      <c r="E147" s="81">
        <f t="shared" si="12"/>
        <v>0</v>
      </c>
      <c r="F147" s="43">
        <f>IFERROR(INDEX(char3Weapons, MATCH(C147, weapons!$A$133:$A$197, 0), MATCH(char3WeaponName,weapons!$A$133:$CV$133, 0)),0)</f>
        <v>0</v>
      </c>
      <c r="G147" s="81">
        <f>IFERROR(INDEX(char3ArtiSetStats, MATCH('Char 3'!$L$14,artisDB!$A$109:$A$161, 0), MATCH(C147, artisDB!$A$109:$AP$109, 0))+INDEX(char3ArtiSetStats, MATCH('Char 3'!$L$15, artisDB!$A$109:$A$161, 0), MATCH(C147, artisDB!$A$109:$AP$109, 0)),0)</f>
        <v>0</v>
      </c>
      <c r="H147" s="43">
        <f>IFERROR(INDEX('Char 3'!$X$26:$Z$35, MATCH(C147, 'Char 3'!$X$26:$X$35, 0), 3)*HLOOKUP('Char 3'!$Z$7, artifactSubstatValues, MATCH(C147, 'Artifact Database'!$A$1:$A$11, 0)),0)</f>
        <v>0</v>
      </c>
      <c r="I147" s="81">
        <f>VLOOKUP(C147, 'Char 3'!$R$5:$T$50, 3,0)</f>
        <v>0</v>
      </c>
      <c r="J147" s="36"/>
      <c r="K147" s="81">
        <f t="shared" si="10"/>
        <v>0</v>
      </c>
      <c r="L147" s="33"/>
      <c r="N147" s="33"/>
      <c r="O147" s="33"/>
      <c r="P147" s="33"/>
      <c r="Q147" s="33"/>
      <c r="R147" s="33"/>
    </row>
    <row r="148" spans="2:24" x14ac:dyDescent="0.25">
      <c r="B148" s="33"/>
      <c r="C148" s="34" t="s">
        <v>95</v>
      </c>
      <c r="D148" s="43">
        <f t="shared" si="11"/>
        <v>0</v>
      </c>
      <c r="E148" s="81">
        <f t="shared" si="12"/>
        <v>0</v>
      </c>
      <c r="F148" s="43">
        <f>IFERROR(INDEX(char3Weapons, MATCH(C148, weapons!$A$133:$A$197, 0), MATCH(char3WeaponName,weapons!$A$133:$CV$133, 0)),0)</f>
        <v>0</v>
      </c>
      <c r="G148" s="81">
        <f>IFERROR(INDEX(char3ArtiSetStats, MATCH('Char 3'!$L$14,artisDB!$A$109:$A$161, 0), MATCH(C148, artisDB!$A$109:$AP$109, 0))+INDEX(char3ArtiSetStats, MATCH('Char 3'!$L$15, artisDB!$A$109:$A$161, 0), MATCH(C148, artisDB!$A$109:$AP$109, 0)),0)</f>
        <v>0</v>
      </c>
      <c r="H148" s="43">
        <f>IFERROR(INDEX('Char 3'!$X$26:$Z$35, MATCH(C148, 'Char 3'!$X$26:$X$35, 0), 3)*HLOOKUP('Char 3'!$Z$7, artifactSubstatValues, MATCH(C148, 'Artifact Database'!$A$1:$A$11, 0)),0)</f>
        <v>0</v>
      </c>
      <c r="I148" s="81">
        <f>VLOOKUP(C148, 'Char 3'!$R$5:$T$50, 3,0)</f>
        <v>0</v>
      </c>
      <c r="J148" s="36"/>
      <c r="K148" s="81">
        <f t="shared" si="10"/>
        <v>0</v>
      </c>
      <c r="L148" s="33"/>
      <c r="N148" s="33"/>
      <c r="O148" s="280" t="s">
        <v>743</v>
      </c>
      <c r="P148" s="280"/>
      <c r="Q148" s="280"/>
      <c r="R148" s="33"/>
    </row>
    <row r="149" spans="2:24" x14ac:dyDescent="0.25">
      <c r="B149" s="33"/>
      <c r="C149" s="34" t="s">
        <v>96</v>
      </c>
      <c r="D149" s="43">
        <f t="shared" si="11"/>
        <v>0</v>
      </c>
      <c r="E149" s="81">
        <f t="shared" si="12"/>
        <v>0</v>
      </c>
      <c r="F149" s="43">
        <f>IFERROR(INDEX(char3Weapons, MATCH(C149, weapons!$A$133:$A$197, 0), MATCH(char3WeaponName,weapons!$A$133:$CV$133, 0)),0)</f>
        <v>0</v>
      </c>
      <c r="G149" s="81">
        <f>IFERROR(INDEX(char3ArtiSetStats, MATCH('Char 3'!$L$14,artisDB!$A$109:$A$161, 0), MATCH(C149, artisDB!$A$109:$AP$109, 0))+INDEX(char3ArtiSetStats, MATCH('Char 3'!$L$15, artisDB!$A$109:$A$161, 0), MATCH(C149, artisDB!$A$109:$AP$109, 0)),0)</f>
        <v>0</v>
      </c>
      <c r="H149" s="43">
        <f>IFERROR(INDEX('Char 3'!$X$26:$Z$35, MATCH(C149, 'Char 3'!$X$26:$X$35, 0), 3)*HLOOKUP('Char 3'!$Z$7, artifactSubstatValues, MATCH(C149, 'Artifact Database'!$A$1:$A$11, 0)),0)</f>
        <v>0</v>
      </c>
      <c r="I149" s="81">
        <f>VLOOKUP(C149, 'Char 3'!$R$5:$T$50, 3,0)</f>
        <v>0</v>
      </c>
      <c r="J149" s="36"/>
      <c r="K149" s="81">
        <f t="shared" si="10"/>
        <v>0</v>
      </c>
      <c r="L149" s="33"/>
      <c r="N149" s="33"/>
      <c r="O149" s="280"/>
      <c r="P149" s="280"/>
      <c r="Q149" s="280"/>
      <c r="R149" s="33"/>
    </row>
    <row r="150" spans="2:24" x14ac:dyDescent="0.25">
      <c r="B150" s="33"/>
      <c r="C150" s="34" t="s">
        <v>97</v>
      </c>
      <c r="D150" s="43">
        <f t="shared" si="11"/>
        <v>0</v>
      </c>
      <c r="E150" s="81">
        <f t="shared" si="12"/>
        <v>0</v>
      </c>
      <c r="F150" s="43">
        <f>IFERROR(INDEX(char3Weapons, MATCH(C150, weapons!$A$133:$A$197, 0), MATCH(char3WeaponName,weapons!$A$133:$CV$133, 0)),0)</f>
        <v>0</v>
      </c>
      <c r="G150" s="81">
        <f>IFERROR(INDEX(char3ArtiSetStats, MATCH('Char 3'!$L$14,artisDB!$A$109:$A$161, 0), MATCH(C150, artisDB!$A$109:$AP$109, 0))+INDEX(char3ArtiSetStats, MATCH('Char 3'!$L$15, artisDB!$A$109:$A$161, 0), MATCH(C150, artisDB!$A$109:$AP$109, 0)),0)</f>
        <v>0</v>
      </c>
      <c r="H150" s="43">
        <f>IFERROR(INDEX('Char 3'!$X$26:$Z$35, MATCH(C150, 'Char 3'!$X$26:$X$35, 0), 3)*HLOOKUP('Char 3'!$Z$7, artifactSubstatValues, MATCH(C150, 'Artifact Database'!$A$1:$A$11, 0)),0)</f>
        <v>0</v>
      </c>
      <c r="I150" s="81">
        <f>VLOOKUP(C150, 'Char 3'!$R$5:$T$50, 3,0)</f>
        <v>0</v>
      </c>
      <c r="J150" s="36"/>
      <c r="K150" s="81">
        <f t="shared" si="10"/>
        <v>0</v>
      </c>
      <c r="L150" s="33"/>
      <c r="N150" s="33"/>
      <c r="O150" s="281" t="s">
        <v>746</v>
      </c>
      <c r="P150" s="281"/>
      <c r="Q150" s="7">
        <f>char3BaseHP*(1+char3FinalHPPercent)+char3FinalFlatHP</f>
        <v>23110.1698</v>
      </c>
      <c r="R150" s="33"/>
    </row>
    <row r="151" spans="2:24" x14ac:dyDescent="0.25">
      <c r="B151" s="33"/>
      <c r="C151" s="34" t="s">
        <v>98</v>
      </c>
      <c r="D151" s="43">
        <f t="shared" si="11"/>
        <v>0</v>
      </c>
      <c r="E151" s="81">
        <f t="shared" si="12"/>
        <v>0</v>
      </c>
      <c r="F151" s="43">
        <f>IFERROR(INDEX(char3Weapons, MATCH(C151, weapons!$A$133:$A$197, 0), MATCH(char3WeaponName,weapons!$A$133:$CV$133, 0)),0)</f>
        <v>0</v>
      </c>
      <c r="G151" s="81">
        <f>IFERROR(INDEX(char3ArtiSetStats, MATCH('Char 3'!$L$14,artisDB!$A$109:$A$161, 0), MATCH(C151, artisDB!$A$109:$AP$109, 0))+INDEX(char3ArtiSetStats, MATCH('Char 3'!$L$15, artisDB!$A$109:$A$161, 0), MATCH(C151, artisDB!$A$109:$AP$109, 0)),0)</f>
        <v>0</v>
      </c>
      <c r="H151" s="43">
        <f>IFERROR(INDEX('Char 3'!$X$26:$Z$35, MATCH(C151, 'Char 3'!$X$26:$X$35, 0), 3)*HLOOKUP('Char 3'!$Z$7, artifactSubstatValues, MATCH(C151, 'Artifact Database'!$A$1:$A$11, 0)),0)</f>
        <v>0</v>
      </c>
      <c r="I151" s="81">
        <f>VLOOKUP(C151, 'Char 3'!$R$5:$T$50, 3,0)</f>
        <v>0</v>
      </c>
      <c r="J151" s="36"/>
      <c r="K151" s="81">
        <f t="shared" si="10"/>
        <v>0</v>
      </c>
      <c r="L151" s="33"/>
      <c r="N151" s="33"/>
      <c r="O151" s="281" t="s">
        <v>745</v>
      </c>
      <c r="P151" s="281"/>
      <c r="Q151" s="7">
        <f>char3BaseDEF*(1+char3FinalDEFPercent)+char3FinalFlatDEF</f>
        <v>773.33200000000011</v>
      </c>
      <c r="R151" s="33"/>
    </row>
    <row r="152" spans="2:24" x14ac:dyDescent="0.25">
      <c r="B152" s="33"/>
      <c r="C152" s="34" t="s">
        <v>419</v>
      </c>
      <c r="D152" s="43">
        <f t="shared" si="11"/>
        <v>0</v>
      </c>
      <c r="E152" s="81">
        <f t="shared" si="12"/>
        <v>0</v>
      </c>
      <c r="F152" s="43">
        <f>IFERROR(INDEX(char3Weapons, MATCH(C152, weapons!$A$133:$A$197, 0), MATCH(char3WeaponName,weapons!$A$133:$CV$133, 0)),0)</f>
        <v>0</v>
      </c>
      <c r="G152" s="81">
        <f>IFERROR(INDEX(char3ArtiSetStats, MATCH('Char 3'!$L$14,artisDB!$A$109:$A$161, 0), MATCH(C152, artisDB!$A$109:$AP$109, 0))+INDEX(char3ArtiSetStats, MATCH('Char 3'!$L$15, artisDB!$A$109:$A$161, 0), MATCH(C152, artisDB!$A$109:$AP$109, 0)),0)</f>
        <v>0</v>
      </c>
      <c r="H152" s="43">
        <f>IFERROR(INDEX('Char 3'!$X$26:$Z$35, MATCH(C152, 'Char 3'!$X$26:$X$35, 0), 3)*HLOOKUP('Char 3'!$Z$7, artifactSubstatValues, MATCH(C152, 'Artifact Database'!$A$1:$A$11, 0)),0)</f>
        <v>0</v>
      </c>
      <c r="I152" s="81">
        <f>VLOOKUP(C152, 'Char 3'!$R$5:$T$50, 3,0)</f>
        <v>0</v>
      </c>
      <c r="J152" s="36"/>
      <c r="K152" s="81">
        <f t="shared" si="10"/>
        <v>0</v>
      </c>
      <c r="L152" s="33"/>
      <c r="N152" s="33"/>
      <c r="O152" s="281" t="s">
        <v>744</v>
      </c>
      <c r="P152" s="281"/>
      <c r="Q152" s="7">
        <f>(char3WeaponBaseATK+char3BaseATK)*(1+char3FinalATKPercent)+char3FinalFlatATK</f>
        <v>1631.0755999999999</v>
      </c>
      <c r="R152" s="33"/>
    </row>
    <row r="153" spans="2:24" x14ac:dyDescent="0.25">
      <c r="B153" s="33"/>
      <c r="C153" s="34" t="s">
        <v>420</v>
      </c>
      <c r="D153" s="43">
        <f t="shared" si="11"/>
        <v>0</v>
      </c>
      <c r="E153" s="81">
        <f t="shared" si="12"/>
        <v>0</v>
      </c>
      <c r="F153" s="43">
        <f>IFERROR(INDEX(char3Weapons, MATCH(C153, weapons!$A$133:$A$197, 0), MATCH(char3WeaponName,weapons!$A$133:$CV$133, 0)),0)</f>
        <v>0</v>
      </c>
      <c r="G153" s="81">
        <f>IFERROR(INDEX(char3ArtiSetStats, MATCH('Char 3'!$L$14,artisDB!$A$109:$A$161, 0), MATCH(C153, artisDB!$A$109:$AP$109, 0))+INDEX(char3ArtiSetStats, MATCH('Char 3'!$L$15, artisDB!$A$109:$A$161, 0), MATCH(C153, artisDB!$A$109:$AP$109, 0)),0)</f>
        <v>0</v>
      </c>
      <c r="H153" s="43">
        <f>IFERROR(INDEX('Char 3'!$X$26:$Z$35, MATCH(C153, 'Char 3'!$X$26:$X$35, 0), 3)*HLOOKUP('Char 3'!$Z$7, artifactSubstatValues, MATCH(C153, 'Artifact Database'!$A$1:$A$11, 0)),0)</f>
        <v>0</v>
      </c>
      <c r="I153" s="81">
        <f>VLOOKUP(C153, 'Char 3'!$R$5:$T$50, 3,0)</f>
        <v>0</v>
      </c>
      <c r="J153" s="36"/>
      <c r="K153" s="81">
        <f t="shared" si="10"/>
        <v>0</v>
      </c>
      <c r="L153" s="33"/>
      <c r="N153" s="33"/>
      <c r="O153" s="33"/>
      <c r="P153" s="33"/>
      <c r="Q153" s="33"/>
      <c r="R153" s="33"/>
    </row>
    <row r="154" spans="2:24" x14ac:dyDescent="0.25">
      <c r="B154" s="33"/>
      <c r="C154" s="34" t="s">
        <v>433</v>
      </c>
      <c r="D154" s="43">
        <f t="shared" si="11"/>
        <v>0</v>
      </c>
      <c r="E154" s="81">
        <f t="shared" si="12"/>
        <v>0</v>
      </c>
      <c r="F154" s="43">
        <f>IFERROR(INDEX(char3Weapons, MATCH(C154, weapons!$A$133:$A$197, 0), MATCH(char3WeaponName,weapons!$A$133:$CV$133, 0)),0)</f>
        <v>0</v>
      </c>
      <c r="G154" s="81">
        <f>IFERROR(INDEX(char3ArtiSetStats, MATCH('Char 3'!$L$14,artisDB!$A$109:$A$161, 0), MATCH(C154, artisDB!$A$109:$AP$109, 0))+INDEX(char3ArtiSetStats, MATCH('Char 3'!$L$15, artisDB!$A$109:$A$161, 0), MATCH(C154, artisDB!$A$109:$AP$109, 0)),0)</f>
        <v>0</v>
      </c>
      <c r="H154" s="43">
        <f>IFERROR(INDEX('Char 3'!$X$26:$Z$35, MATCH(C154, 'Char 3'!$X$26:$X$35, 0), 3)*HLOOKUP('Char 3'!$Z$7, artifactSubstatValues, MATCH(C154, 'Artifact Database'!$A$1:$A$11, 0)),0)</f>
        <v>0</v>
      </c>
      <c r="I154" s="81">
        <f>VLOOKUP(C154, 'Char 3'!$R$5:$T$50, 3,0)</f>
        <v>0</v>
      </c>
      <c r="J154" s="36"/>
      <c r="K154" s="81">
        <f t="shared" si="10"/>
        <v>0</v>
      </c>
      <c r="L154" s="33"/>
    </row>
    <row r="155" spans="2:24" x14ac:dyDescent="0.25">
      <c r="B155" s="33"/>
      <c r="C155" s="34" t="s">
        <v>421</v>
      </c>
      <c r="D155" s="43">
        <f t="shared" si="11"/>
        <v>0</v>
      </c>
      <c r="E155" s="81">
        <f t="shared" si="12"/>
        <v>0</v>
      </c>
      <c r="F155" s="43">
        <f>IFERROR(INDEX(char3Weapons, MATCH(C155, weapons!$A$133:$A$197, 0), MATCH(char3WeaponName,weapons!$A$133:$CV$133, 0)),0)</f>
        <v>0</v>
      </c>
      <c r="G155" s="81">
        <f>IFERROR(INDEX(char3ArtiSetStats, MATCH('Char 3'!$L$14,artisDB!$A$109:$A$161, 0), MATCH(C155, artisDB!$A$109:$AP$109, 0))+INDEX(char3ArtiSetStats, MATCH('Char 3'!$L$15, artisDB!$A$109:$A$161, 0), MATCH(C155, artisDB!$A$109:$AP$109, 0)),0)</f>
        <v>0</v>
      </c>
      <c r="H155" s="43">
        <f>IFERROR(INDEX('Char 3'!$X$26:$Z$35, MATCH(C155, 'Char 3'!$X$26:$X$35, 0), 3)*HLOOKUP('Char 3'!$Z$7, artifactSubstatValues, MATCH(C155, 'Artifact Database'!$A$1:$A$11, 0)),0)</f>
        <v>0</v>
      </c>
      <c r="I155" s="81">
        <f>VLOOKUP(C155, 'Char 3'!$R$5:$T$50, 3,0)</f>
        <v>0</v>
      </c>
      <c r="J155" s="36"/>
      <c r="K155" s="81">
        <f t="shared" si="10"/>
        <v>0</v>
      </c>
      <c r="L155" s="33"/>
    </row>
    <row r="156" spans="2:24" x14ac:dyDescent="0.25">
      <c r="B156" s="33"/>
      <c r="C156" s="33"/>
      <c r="D156" s="33"/>
      <c r="E156" s="33"/>
      <c r="F156" s="33"/>
      <c r="G156" s="33"/>
      <c r="H156" s="33"/>
      <c r="I156" s="33"/>
      <c r="J156" s="33"/>
      <c r="K156" s="33"/>
      <c r="L156" s="33"/>
    </row>
    <row r="158" spans="2:24" x14ac:dyDescent="0.25">
      <c r="B158" s="33"/>
      <c r="C158" s="33"/>
      <c r="D158" s="33"/>
      <c r="E158" s="33"/>
      <c r="F158" s="33"/>
      <c r="G158" s="33"/>
      <c r="H158" s="33"/>
      <c r="I158" s="33"/>
      <c r="J158" s="33"/>
      <c r="K158" s="33"/>
      <c r="L158" s="33"/>
      <c r="N158" s="33"/>
      <c r="O158" s="33"/>
      <c r="P158" s="33"/>
      <c r="Q158" s="33"/>
      <c r="R158" s="33"/>
      <c r="T158" s="205"/>
      <c r="U158" s="205" t="s">
        <v>397</v>
      </c>
      <c r="V158" s="205" t="s">
        <v>51</v>
      </c>
      <c r="W158" s="205" t="s">
        <v>796</v>
      </c>
      <c r="X158" s="205" t="s">
        <v>785</v>
      </c>
    </row>
    <row r="159" spans="2:24" x14ac:dyDescent="0.25">
      <c r="B159" s="33"/>
      <c r="C159" s="279" t="s">
        <v>620</v>
      </c>
      <c r="D159" s="279"/>
      <c r="E159" s="279"/>
      <c r="F159" s="279"/>
      <c r="G159" s="279"/>
      <c r="H159" s="279"/>
      <c r="I159" s="279"/>
      <c r="J159" s="279"/>
      <c r="K159" s="279"/>
      <c r="L159" s="33"/>
      <c r="N159" s="33"/>
      <c r="O159" s="280" t="s">
        <v>416</v>
      </c>
      <c r="P159" s="280"/>
      <c r="Q159" s="280"/>
      <c r="R159" s="33"/>
      <c r="T159" s="7" t="s">
        <v>783</v>
      </c>
      <c r="U159" s="7" t="s">
        <v>64</v>
      </c>
      <c r="V159" s="7">
        <f>'Char 4'!$L$23</f>
        <v>20</v>
      </c>
      <c r="W159" s="7">
        <f>MATCH('Char 4'!$L$24, 'Artifact Database'!$F$1:$F$66, 0)+1</f>
        <v>2</v>
      </c>
      <c r="X159" s="7" cm="1">
        <f t="array" ref="X159">INDEX('Artifact Database'!$F$1:$W$66, Calcs!W159+V159, MATCH(Calcs!U159,'Artifact Database'!$F$1:$W$1, 0))</f>
        <v>4780</v>
      </c>
    </row>
    <row r="160" spans="2:24" x14ac:dyDescent="0.25">
      <c r="B160" s="33"/>
      <c r="C160" s="279"/>
      <c r="D160" s="279"/>
      <c r="E160" s="279"/>
      <c r="F160" s="279"/>
      <c r="G160" s="279"/>
      <c r="H160" s="279"/>
      <c r="I160" s="279"/>
      <c r="J160" s="279"/>
      <c r="K160" s="279"/>
      <c r="L160" s="33"/>
      <c r="N160" s="33"/>
      <c r="O160" s="280"/>
      <c r="P160" s="280"/>
      <c r="Q160" s="280"/>
      <c r="R160" s="33"/>
      <c r="T160" s="7" t="s">
        <v>784</v>
      </c>
      <c r="U160" s="7" t="s">
        <v>62</v>
      </c>
      <c r="V160" s="7">
        <f>'Char 4'!$L$25</f>
        <v>20</v>
      </c>
      <c r="W160" s="7">
        <f>MATCH('Char 4'!$L$26, 'Artifact Database'!$F$1:$F$66, 0)+1</f>
        <v>2</v>
      </c>
      <c r="X160" s="7" cm="1">
        <f t="array" ref="X160">INDEX('Artifact Database'!$F$1:$W$66, Calcs!W160+V160, MATCH(Calcs!U160,'Artifact Database'!$F$1:$W$1, 0))</f>
        <v>311</v>
      </c>
    </row>
    <row r="161" spans="2:24" x14ac:dyDescent="0.25">
      <c r="B161" s="33"/>
      <c r="C161" s="37" t="s">
        <v>397</v>
      </c>
      <c r="D161" s="36" t="s">
        <v>398</v>
      </c>
      <c r="E161" s="35" t="s">
        <v>399</v>
      </c>
      <c r="F161" s="36" t="s">
        <v>400</v>
      </c>
      <c r="G161" s="35" t="s">
        <v>401</v>
      </c>
      <c r="H161" s="36" t="s">
        <v>402</v>
      </c>
      <c r="I161" s="35" t="s">
        <v>61</v>
      </c>
      <c r="J161" s="36" t="s">
        <v>563</v>
      </c>
      <c r="K161" s="35" t="s">
        <v>403</v>
      </c>
      <c r="L161" s="33"/>
      <c r="N161" s="33"/>
      <c r="O161" s="281" t="s">
        <v>417</v>
      </c>
      <c r="P161" s="281"/>
      <c r="Q161" s="129">
        <f>char4Level</f>
        <v>90</v>
      </c>
      <c r="R161" s="33"/>
      <c r="T161" s="7" t="s">
        <v>436</v>
      </c>
      <c r="U161" s="7" t="str">
        <f>'Char 4'!$L$28</f>
        <v>EM</v>
      </c>
      <c r="V161" s="7">
        <f>'Char 4'!$L$27</f>
        <v>20</v>
      </c>
      <c r="W161" s="7">
        <f>MATCH('Char 4'!$L$29, 'Artifact Database'!$F$1:$F$66, 0)+1</f>
        <v>2</v>
      </c>
      <c r="X161" s="7" cm="1">
        <f t="array" ref="X161">INDEX('Artifact Database'!$F$1:$W$66, Calcs!W161+V161, MATCH(Calcs!U161,'Artifact Database'!$F$1:$W$1, 0))</f>
        <v>187</v>
      </c>
    </row>
    <row r="162" spans="2:24" x14ac:dyDescent="0.25">
      <c r="B162" s="33"/>
      <c r="C162" s="34" t="s">
        <v>62</v>
      </c>
      <c r="D162" s="36">
        <f>X160</f>
        <v>311</v>
      </c>
      <c r="E162" s="35">
        <v>0</v>
      </c>
      <c r="F162" s="36">
        <f>IFERROR(INDEX(char4Weapons, MATCH(C162, weapons!$A$199:$A$263, 0), MATCH(char4WeaponName,weapons!$A$199:$CV$199, 0)),0)</f>
        <v>0</v>
      </c>
      <c r="G162" s="35">
        <f>IFERROR(INDEX(char4ArtiSetStats, MATCH('Char 4'!$L$14,artisDB!$A$163:$A$215, 0), MATCH(C162, artisDB!$A$163:$AP$163, 0))+INDEX(char4ArtiSetStats, MATCH('Char 4'!$L$15, artisDB!$A$163:$A$215, 0), MATCH(C162, artisDB!$A$163:$AP$163, 0)),0)</f>
        <v>0</v>
      </c>
      <c r="H162" s="36">
        <f>IFERROR(INDEX('Char 4'!$X$26:$Z$35, MATCH(C162, 'Char 4'!$X$26:$X$35, 0), 3)*HLOOKUP('Char 4'!$Z$7, artifactSubstatValues, MATCH(C162, 'Artifact Database'!$A$1:$A$11, 0)),0)</f>
        <v>33.08</v>
      </c>
      <c r="I162" s="35">
        <f>VLOOKUP(C162, 'Char 4'!$R$5:$T$50, 3,0)</f>
        <v>0</v>
      </c>
      <c r="J162" s="36"/>
      <c r="K162" s="35">
        <f>SUM(D162:I162)</f>
        <v>344.08</v>
      </c>
      <c r="L162" s="33"/>
      <c r="N162" s="33"/>
      <c r="O162" s="33"/>
      <c r="P162" s="33"/>
      <c r="Q162" s="33"/>
      <c r="R162" s="33"/>
      <c r="T162" s="7" t="s">
        <v>435</v>
      </c>
      <c r="U162" s="7" t="str">
        <f>'Char 4'!$L$31</f>
        <v>EM</v>
      </c>
      <c r="V162" s="7">
        <f>'Char 4'!$L$30</f>
        <v>20</v>
      </c>
      <c r="W162" s="7">
        <f>MATCH('Char 4'!$L$32, 'Artifact Database'!$F$1:$F$66, 0)+1</f>
        <v>2</v>
      </c>
      <c r="X162" s="7" cm="1">
        <f t="array" ref="X162">INDEX('Artifact Database'!$F$1:$W$66, Calcs!W162+V162, MATCH(Calcs!U162,'Artifact Database'!$F$1:$W$1, 0))</f>
        <v>187</v>
      </c>
    </row>
    <row r="163" spans="2:24" x14ac:dyDescent="0.25">
      <c r="B163" s="33"/>
      <c r="C163" s="34" t="s">
        <v>63</v>
      </c>
      <c r="D163" s="36">
        <v>0</v>
      </c>
      <c r="E163" s="35">
        <v>0</v>
      </c>
      <c r="F163" s="36">
        <f>IFERROR(INDEX(char4Weapons, MATCH(C163, weapons!$A$199:$A$263, 0), MATCH(char4WeaponName,weapons!$A$199:$CV$199, 0)),0)</f>
        <v>0</v>
      </c>
      <c r="G163" s="35">
        <f>IFERROR(INDEX(char4ArtiSetStats, MATCH('Char 4'!$L$14,artisDB!$A$163:$A$215, 0), MATCH(C163, artisDB!$A$163:$AP$163, 0))+INDEX(char4ArtiSetStats, MATCH('Char 4'!$L$15, artisDB!$A$163:$A$215, 0), MATCH(C163, artisDB!$A$163:$AP$163, 0)),0)</f>
        <v>0</v>
      </c>
      <c r="H163" s="36">
        <f>IFERROR(INDEX('Char 4'!$X$26:$Z$35, MATCH(C163, 'Char 4'!$X$26:$X$35, 0), 3)*HLOOKUP('Char 4'!$Z$7, artifactSubstatValues, MATCH(C163, 'Artifact Database'!$A$1:$A$11, 0)),0)</f>
        <v>39.36</v>
      </c>
      <c r="I163" s="35">
        <f>VLOOKUP(C163, 'Char 4'!$R$5:$T$50, 3,0)</f>
        <v>0</v>
      </c>
      <c r="J163" s="36"/>
      <c r="K163" s="35">
        <f t="shared" ref="K163:K207" si="13">SUM(D163:I163)</f>
        <v>39.36</v>
      </c>
      <c r="L163" s="33"/>
      <c r="T163" s="7" t="s">
        <v>437</v>
      </c>
      <c r="U163" s="7" t="str">
        <f>'Char 4'!$L$34</f>
        <v>EM</v>
      </c>
      <c r="V163" s="7">
        <f>'Char 4'!$L$33</f>
        <v>20</v>
      </c>
      <c r="W163" s="7">
        <f>MATCH('Char 4'!$L$35, 'Artifact Database'!$F$1:$F$66, 0)+1</f>
        <v>2</v>
      </c>
      <c r="X163" s="7" cm="1">
        <f t="array" ref="X163">INDEX('Artifact Database'!$F$1:$W$66, Calcs!W163+V163, MATCH(Calcs!U163,'Artifact Database'!$F$1:$W$1, 0))</f>
        <v>187</v>
      </c>
    </row>
    <row r="164" spans="2:24" x14ac:dyDescent="0.25">
      <c r="B164" s="33"/>
      <c r="C164" s="34" t="s">
        <v>64</v>
      </c>
      <c r="D164" s="36">
        <f>X159</f>
        <v>4780</v>
      </c>
      <c r="E164" s="35">
        <v>0</v>
      </c>
      <c r="F164" s="36">
        <f>IFERROR(INDEX(char4Weapons, MATCH(C164, weapons!$A$199:$A$263, 0), MATCH(char4WeaponName,weapons!$A$199:$CV$199, 0)),0)</f>
        <v>0</v>
      </c>
      <c r="G164" s="35">
        <f>IFERROR(INDEX(char4ArtiSetStats, MATCH('Char 4'!$L$14,artisDB!$A$163:$A$215, 0), MATCH(C164, artisDB!$A$163:$AP$163, 0))+INDEX(char4ArtiSetStats, MATCH('Char 4'!$L$15, artisDB!$A$163:$A$215, 0), MATCH(C164, artisDB!$A$163:$AP$163, 0)),0)</f>
        <v>0</v>
      </c>
      <c r="H164" s="36">
        <f>IFERROR(INDEX('Char 4'!$X$26:$Z$35, MATCH(C164, 'Char 4'!$X$26:$X$35, 0), 3)*HLOOKUP('Char 4'!$Z$7, artifactSubstatValues, MATCH(C164, 'Artifact Database'!$A$1:$A$11, 0)),0)</f>
        <v>507.88</v>
      </c>
      <c r="I164" s="35">
        <f>VLOOKUP(C164, 'Char 4'!$R$5:$T$50, 3,0)</f>
        <v>0</v>
      </c>
      <c r="J164" s="36"/>
      <c r="K164" s="35">
        <f t="shared" si="13"/>
        <v>5287.88</v>
      </c>
      <c r="L164" s="33"/>
    </row>
    <row r="165" spans="2:24" x14ac:dyDescent="0.25">
      <c r="B165" s="33"/>
      <c r="C165" s="34" t="s">
        <v>69</v>
      </c>
      <c r="D165" s="36">
        <f>IF(C165=$U$161, $X$161, 0)+IF(C165=$U$162, $X$162, 0)+IF(C165 = $U$163, $X$163, 0)</f>
        <v>561</v>
      </c>
      <c r="E165" s="35">
        <f>IFERROR(VLOOKUP(C165,$T$166:$U$171, 2, 0), 0)</f>
        <v>0</v>
      </c>
      <c r="F165" s="36">
        <f>IFERROR(INDEX(char4Weapons, MATCH(C165, weapons!$A$199:$A$263, 0), MATCH(char4WeaponName,weapons!$A$199:$CV$199, 0)),0)</f>
        <v>0</v>
      </c>
      <c r="G165" s="35">
        <f>IFERROR(INDEX(char4ArtiSetStats, MATCH('Char 4'!$L$14,artisDB!$A$163:$A$215, 0), MATCH(C165, artisDB!$A$163:$AP$163, 0))+INDEX(char4ArtiSetStats, MATCH('Char 4'!$L$15, artisDB!$A$163:$A$215, 0), MATCH(C165, artisDB!$A$163:$AP$163, 0)),0)</f>
        <v>0</v>
      </c>
      <c r="H165" s="36">
        <f>IFERROR(INDEX('Char 4'!$X$26:$Z$35, MATCH(C165, 'Char 4'!$X$26:$X$35, 0), 3)*HLOOKUP('Char 4'!$Z$7, artifactSubstatValues, MATCH(C165, 'Artifact Database'!$A$1:$A$11, 0)),0)</f>
        <v>118.92</v>
      </c>
      <c r="I165" s="35">
        <f>VLOOKUP(C165, 'Char 4'!$R$5:$T$50, 3,0)</f>
        <v>0</v>
      </c>
      <c r="J165" s="36"/>
      <c r="K165" s="35">
        <f t="shared" si="13"/>
        <v>679.92</v>
      </c>
      <c r="L165" s="33"/>
      <c r="T165" s="7" t="s">
        <v>796</v>
      </c>
      <c r="U165" s="7">
        <f>MATCH(char4Name, 'Char Stats'!$A$1:$A$735, 0)</f>
        <v>481</v>
      </c>
    </row>
    <row r="166" spans="2:24" x14ac:dyDescent="0.25">
      <c r="B166" s="33"/>
      <c r="C166" s="34" t="s">
        <v>65</v>
      </c>
      <c r="D166" s="43">
        <f t="shared" ref="D166:D207" si="14">(IF(C166=$U$161, $X$161, 0)+IF(C166=$U$162, $X$162, 0)+IF(C166 = $U$163, $X$163, 0))/100</f>
        <v>0</v>
      </c>
      <c r="E166" s="81">
        <f t="shared" ref="E166:E207" si="15">IFERROR(VLOOKUP(C166,$T$166:$U$171, 2, 0), 0)</f>
        <v>0</v>
      </c>
      <c r="F166" s="43">
        <f>IFERROR(INDEX(char4Weapons, MATCH(C166, weapons!$A$199:$A$263, 0), MATCH(char4WeaponName,weapons!$A$199:$CV$199, 0)),0)</f>
        <v>0</v>
      </c>
      <c r="G166" s="81">
        <f>IFERROR(INDEX(char4ArtiSetStats, MATCH('Char 4'!$L$14,artisDB!$A$163:$A$215, 0), MATCH(C166, artisDB!$A$163:$AP$163, 0))+INDEX(char4ArtiSetStats, MATCH('Char 4'!$L$15, artisDB!$A$163:$A$215, 0), MATCH(C166, artisDB!$A$163:$AP$163, 0)),0)</f>
        <v>0</v>
      </c>
      <c r="H166" s="43">
        <f>IFERROR(INDEX('Char 4'!$X$26:$Z$35, MATCH(C166, 'Char 4'!$X$26:$X$35, 0), 3)*HLOOKUP('Char 4'!$Z$7, artifactSubstatValues, MATCH(C166, 'Artifact Database'!$A$1:$A$11, 0)),0)</f>
        <v>0.59519999999999995</v>
      </c>
      <c r="I166" s="81">
        <f>VLOOKUP(C166, 'Char 4'!$R$5:$T$50, 3,0)</f>
        <v>0</v>
      </c>
      <c r="J166" s="36"/>
      <c r="K166" s="81">
        <f t="shared" si="13"/>
        <v>0.59519999999999995</v>
      </c>
      <c r="L166" s="33"/>
      <c r="T166" s="7" t="s">
        <v>405</v>
      </c>
      <c r="U166" s="7" cm="1">
        <f t="array" ref="U166">INDEX('Char Stats'!$A$1:$G$735, MATCH($Q$161, 'Char Stats'!$A$1:$A$15, 0)+$U$165-1, MATCH(Calcs!T166, 'Char Stats'!$A$1:$G$1, 0))</f>
        <v>10531</v>
      </c>
    </row>
    <row r="167" spans="2:24" x14ac:dyDescent="0.25">
      <c r="B167" s="33"/>
      <c r="C167" s="34" t="s">
        <v>66</v>
      </c>
      <c r="D167" s="43">
        <f t="shared" si="14"/>
        <v>0</v>
      </c>
      <c r="E167" s="81">
        <f t="shared" si="15"/>
        <v>0</v>
      </c>
      <c r="F167" s="43">
        <f>IFERROR(INDEX(char4Weapons, MATCH(C167, weapons!$A$199:$A$263, 0), MATCH(char4WeaponName,weapons!$A$199:$CV$199, 0)),0)</f>
        <v>0</v>
      </c>
      <c r="G167" s="81">
        <f>IFERROR(INDEX(char4ArtiSetStats, MATCH('Char 4'!$L$14,artisDB!$A$163:$A$215, 0), MATCH(C167, artisDB!$A$163:$AP$163, 0))+INDEX(char4ArtiSetStats, MATCH('Char 4'!$L$15, artisDB!$A$163:$A$215, 0), MATCH(C167, artisDB!$A$163:$AP$163, 0)),0)</f>
        <v>0</v>
      </c>
      <c r="H167" s="43">
        <f>IFERROR(INDEX('Char 4'!$X$26:$Z$35, MATCH(C167, 'Char 4'!$X$26:$X$35, 0), 3)*HLOOKUP('Char 4'!$Z$7, artifactSubstatValues, MATCH(C167, 'Artifact Database'!$A$1:$A$11, 0)),0)</f>
        <v>0.124</v>
      </c>
      <c r="I167" s="81">
        <f>VLOOKUP(C167, 'Char 4'!$R$5:$T$50, 3,0)</f>
        <v>0</v>
      </c>
      <c r="J167" s="36"/>
      <c r="K167" s="81">
        <f t="shared" si="13"/>
        <v>0.124</v>
      </c>
      <c r="L167" s="33"/>
      <c r="T167" s="7" t="s">
        <v>406</v>
      </c>
      <c r="U167" s="7" cm="1">
        <f t="array" ref="U167">INDEX('Char Stats'!$A$1:$G$735, MATCH($Q$161, 'Char Stats'!$A$1:$A$15, 0)+$U$165-1, MATCH(Calcs!T167, 'Char Stats'!$A$1:$G$1, 0))</f>
        <v>263</v>
      </c>
    </row>
    <row r="168" spans="2:24" x14ac:dyDescent="0.25">
      <c r="B168" s="33"/>
      <c r="C168" s="34" t="s">
        <v>67</v>
      </c>
      <c r="D168" s="43">
        <f t="shared" si="14"/>
        <v>0</v>
      </c>
      <c r="E168" s="81">
        <f t="shared" si="15"/>
        <v>0</v>
      </c>
      <c r="F168" s="43">
        <f>IFERROR(INDEX(char4Weapons, MATCH(C168, weapons!$A$199:$A$263, 0), MATCH(char4WeaponName,weapons!$A$199:$CV$199, 0)),0)</f>
        <v>0</v>
      </c>
      <c r="G168" s="81">
        <f>IFERROR(INDEX(char4ArtiSetStats, MATCH('Char 4'!$L$14,artisDB!$A$163:$A$215, 0), MATCH(C168, artisDB!$A$163:$AP$163, 0))+INDEX(char4ArtiSetStats, MATCH('Char 4'!$L$15, artisDB!$A$163:$A$215, 0), MATCH(C168, artisDB!$A$163:$AP$163, 0)),0)</f>
        <v>0</v>
      </c>
      <c r="H168" s="43">
        <f>IFERROR(INDEX('Char 4'!$X$26:$Z$35, MATCH(C168, 'Char 4'!$X$26:$X$35, 0), 3)*HLOOKUP('Char 4'!$Z$7, artifactSubstatValues, MATCH(C168, 'Artifact Database'!$A$1:$A$11, 0)),0)</f>
        <v>9.9199999999999997E-2</v>
      </c>
      <c r="I168" s="81">
        <f>VLOOKUP(C168, 'Char 4'!$R$5:$T$50, 3,0)</f>
        <v>0</v>
      </c>
      <c r="J168" s="36"/>
      <c r="K168" s="81">
        <f t="shared" si="13"/>
        <v>9.9199999999999997E-2</v>
      </c>
      <c r="L168" s="33"/>
      <c r="T168" s="7" t="s">
        <v>407</v>
      </c>
      <c r="U168" s="7" cm="1">
        <f t="array" ref="U168">INDEX('Char Stats'!$A$1:$G$735, MATCH($Q$161, 'Char Stats'!$A$1:$A$15, 0)+$U$165-1, MATCH(Calcs!T168, 'Char Stats'!$A$1:$G$1, 0))</f>
        <v>669</v>
      </c>
    </row>
    <row r="169" spans="2:24" x14ac:dyDescent="0.25">
      <c r="B169" s="33"/>
      <c r="C169" s="34" t="s">
        <v>408</v>
      </c>
      <c r="D169" s="43">
        <f t="shared" si="14"/>
        <v>0</v>
      </c>
      <c r="E169" s="81">
        <f t="shared" ca="1" si="15"/>
        <v>0.05</v>
      </c>
      <c r="F169" s="43">
        <f>IFERROR(INDEX(char4Weapons, MATCH(C169, weapons!$A$199:$A$263, 0), MATCH(char4WeaponName,weapons!$A$199:$CV$199, 0)),0)</f>
        <v>0</v>
      </c>
      <c r="G169" s="81">
        <f>IFERROR(INDEX(char4ArtiSetStats, MATCH('Char 4'!$L$14,artisDB!$A$163:$A$215, 0), MATCH(C169, artisDB!$A$163:$AP$163, 0))+INDEX(char4ArtiSetStats, MATCH('Char 4'!$L$15, artisDB!$A$163:$A$215, 0), MATCH(C169, artisDB!$A$163:$AP$163, 0)),0)</f>
        <v>0</v>
      </c>
      <c r="H169" s="43">
        <f>IFERROR(INDEX('Char 4'!$X$26:$Z$35, MATCH(C169, 'Char 4'!$X$26:$X$35, 0), 3)*HLOOKUP('Char 4'!$Z$7, artifactSubstatValues, MATCH(C169, 'Artifact Database'!$A$1:$A$11, 0)),0)</f>
        <v>0.1986</v>
      </c>
      <c r="I169" s="81">
        <f>VLOOKUP(C169, 'Char 4'!$R$5:$T$50, 3,0)</f>
        <v>0.15</v>
      </c>
      <c r="J169" s="36"/>
      <c r="K169" s="81">
        <f ca="1">IF(SUM(D169:J169)&gt;100%, 100%, IF(SUM(D169:J169)&lt;0%, 0%, SUM(D169:J169)))</f>
        <v>0.39859999999999995</v>
      </c>
      <c r="L169" s="33"/>
      <c r="N169" s="33"/>
      <c r="O169" s="33"/>
      <c r="P169" s="33"/>
      <c r="Q169" s="33"/>
      <c r="R169" s="33"/>
      <c r="T169" s="7" t="str" cm="1">
        <f t="array" ref="T169">INDEX('Char Stats'!$A$1:$G$735, $U$165, 5)</f>
        <v>ER%</v>
      </c>
      <c r="U169" s="103">
        <f ca="1">INDEX(INDIRECT(char4Name&amp;"BaseStats"), MATCH(char4Level,  INDEX(INDIRECT(char4Name&amp;"BaseStats"), 0, 1), 0), MATCH(T169, INDEX(INDIRECT(char4Name&amp;"BaseStats"), 1, 0), 0))*IF(NOT(T169="EM"), 0.01, 1)</f>
        <v>0.32</v>
      </c>
    </row>
    <row r="170" spans="2:24" x14ac:dyDescent="0.25">
      <c r="B170" s="33"/>
      <c r="C170" s="34" t="s">
        <v>409</v>
      </c>
      <c r="D170" s="43">
        <f t="shared" si="14"/>
        <v>0</v>
      </c>
      <c r="E170" s="81">
        <f t="shared" ca="1" si="15"/>
        <v>0.5</v>
      </c>
      <c r="F170" s="43">
        <f>IFERROR(INDEX(char4Weapons, MATCH(C170, weapons!$A$199:$A$263, 0), MATCH(char4WeaponName,weapons!$A$199:$CV$199, 0)),0)</f>
        <v>0</v>
      </c>
      <c r="G170" s="81">
        <f>IFERROR(INDEX(char4ArtiSetStats, MATCH('Char 4'!$L$14,artisDB!$A$163:$A$215, 0), MATCH(C170, artisDB!$A$163:$AP$163, 0))+INDEX(char4ArtiSetStats, MATCH('Char 4'!$L$15, artisDB!$A$163:$A$215, 0), MATCH(C170, artisDB!$A$163:$AP$163, 0)),0)</f>
        <v>0</v>
      </c>
      <c r="H170" s="43">
        <f>IFERROR(INDEX('Char 4'!$X$26:$Z$35, MATCH(C170, 'Char 4'!$X$26:$X$35, 0), 3)*HLOOKUP('Char 4'!$Z$7, artifactSubstatValues, MATCH(C170, 'Artifact Database'!$A$1:$A$11, 0)),0)</f>
        <v>0.26479999999999998</v>
      </c>
      <c r="I170" s="81">
        <f>VLOOKUP(C170, 'Char 4'!$R$5:$T$50, 3,0)</f>
        <v>0</v>
      </c>
      <c r="J170" s="36"/>
      <c r="K170" s="81">
        <f t="shared" ca="1" si="13"/>
        <v>0.76479999999999992</v>
      </c>
      <c r="L170" s="33"/>
      <c r="N170" s="33"/>
      <c r="O170" s="280" t="s">
        <v>621</v>
      </c>
      <c r="P170" s="280"/>
      <c r="Q170" s="280"/>
      <c r="R170" s="33"/>
      <c r="T170" s="7" t="str" cm="1">
        <f t="array" ref="T170">INDEX('Char Stats'!$A$1:$G$735, $U$165, 6)</f>
        <v>CR%</v>
      </c>
      <c r="U170" s="103">
        <f ca="1">INDEX(INDIRECT(char4Name&amp;"BaseStats"), MATCH(char4Level,  INDEX(INDIRECT(char4Name&amp;"BaseStats"), 0, 1), 0), MATCH(T170, INDEX(INDIRECT(char4Name&amp;"BaseStats"), 1, 0), 0))*IF(NOT(T170="EM"), 0.01, 1)</f>
        <v>0.05</v>
      </c>
    </row>
    <row r="171" spans="2:24" x14ac:dyDescent="0.25">
      <c r="B171" s="33"/>
      <c r="C171" s="34" t="s">
        <v>68</v>
      </c>
      <c r="D171" s="43">
        <f t="shared" si="14"/>
        <v>0</v>
      </c>
      <c r="E171" s="81">
        <f t="shared" ca="1" si="15"/>
        <v>0.32</v>
      </c>
      <c r="F171" s="43">
        <f>IFERROR(INDEX(char4Weapons, MATCH(C171, weapons!$A$199:$A$263, 0), MATCH(char4WeaponName,weapons!$A$199:$CV$199, 0)),0)</f>
        <v>0.61299999999999999</v>
      </c>
      <c r="G171" s="81">
        <f>IFERROR(INDEX(char4ArtiSetStats, MATCH('Char 4'!$L$14,artisDB!$A$163:$A$215, 0), MATCH(C171, artisDB!$A$163:$AP$163, 0))+INDEX(char4ArtiSetStats, MATCH('Char 4'!$L$15, artisDB!$A$163:$A$215, 0), MATCH(C171, artisDB!$A$163:$AP$163, 0)),0)</f>
        <v>0</v>
      </c>
      <c r="H171" s="43">
        <f>IFERROR(INDEX('Char 4'!$X$26:$Z$35, MATCH(C171, 'Char 4'!$X$26:$X$35, 0), 3)*HLOOKUP('Char 4'!$Z$7, artifactSubstatValues, MATCH(C171, 'Artifact Database'!$A$1:$A$11, 0)),0)</f>
        <v>0.11020000000000001</v>
      </c>
      <c r="I171" s="81">
        <f>VLOOKUP(C171, 'Char 4'!$R$5:$T$50, 3,0)</f>
        <v>0</v>
      </c>
      <c r="J171" s="36"/>
      <c r="K171" s="81">
        <f ca="1">SUM(D171:I171)+100%</f>
        <v>2.0432000000000001</v>
      </c>
      <c r="L171" s="33"/>
      <c r="N171" s="33"/>
      <c r="O171" s="280"/>
      <c r="P171" s="280"/>
      <c r="Q171" s="280"/>
      <c r="R171" s="33"/>
      <c r="T171" s="7" t="str" cm="1">
        <f t="array" ref="T171">INDEX('Char Stats'!$A$1:$G$735, $U$165, 7)</f>
        <v>CDMG%</v>
      </c>
      <c r="U171" s="103">
        <f ca="1">INDEX(INDIRECT(char4Name&amp;"BaseStats"), MATCH(char4Level, INDEX(INDIRECT(char4Name&amp;"BaseStats"), 0, 1), 0), MATCH(T171, INDEX(INDIRECT(char4Name&amp;"BaseStats"), 1, 0), 0))*IF(NOT(T171="EM"), 0.01, 1)</f>
        <v>0.5</v>
      </c>
    </row>
    <row r="172" spans="2:24" x14ac:dyDescent="0.25">
      <c r="B172" s="33"/>
      <c r="C172" s="34" t="s">
        <v>82</v>
      </c>
      <c r="D172" s="43">
        <f t="shared" si="14"/>
        <v>0</v>
      </c>
      <c r="E172" s="81">
        <f t="shared" si="15"/>
        <v>0</v>
      </c>
      <c r="F172" s="43">
        <f>IFERROR(INDEX(char4Weapons, MATCH(C172, weapons!$A$199:$A$263, 0), MATCH(char4WeaponName,weapons!$A$199:$CV$199, 0)),0)</f>
        <v>0</v>
      </c>
      <c r="G172" s="81">
        <f>IFERROR(INDEX(char4ArtiSetStats, MATCH('Char 4'!$L$14,artisDB!$A$163:$A$215, 0), MATCH(C172, artisDB!$A$163:$AP$163, 0))+INDEX(char4ArtiSetStats, MATCH('Char 4'!$L$15, artisDB!$A$163:$A$215, 0), MATCH(C172, artisDB!$A$163:$AP$163, 0)),0)</f>
        <v>0</v>
      </c>
      <c r="H172" s="43">
        <f>IFERROR(INDEX('Char 4'!$X$26:$Z$35, MATCH(C172, 'Char 4'!$X$26:$X$35, 0), 3)*HLOOKUP('Char 4'!$Z$7, artifactSubstatValues, MATCH(C172, 'Artifact Database'!$A$1:$A$11, 0)),0)</f>
        <v>0</v>
      </c>
      <c r="I172" s="81">
        <f>VLOOKUP(C172, 'Char 4'!$R$5:$T$50, 3,0)</f>
        <v>0</v>
      </c>
      <c r="J172" s="36"/>
      <c r="K172" s="81">
        <f t="shared" si="13"/>
        <v>0</v>
      </c>
      <c r="L172" s="33"/>
      <c r="N172" s="33"/>
      <c r="O172" s="281" t="s">
        <v>417</v>
      </c>
      <c r="P172" s="281"/>
      <c r="Q172" s="102">
        <f>VALUE(LEFT(Q161, 2))</f>
        <v>90</v>
      </c>
      <c r="R172" s="33"/>
    </row>
    <row r="173" spans="2:24" x14ac:dyDescent="0.25">
      <c r="B173" s="33"/>
      <c r="C173" s="34" t="s">
        <v>70</v>
      </c>
      <c r="D173" s="43">
        <f t="shared" si="14"/>
        <v>0</v>
      </c>
      <c r="E173" s="81">
        <f t="shared" si="15"/>
        <v>0</v>
      </c>
      <c r="F173" s="43">
        <f>IFERROR(INDEX(char4Weapons, MATCH(C173, weapons!$A$199:$A$263, 0), MATCH(char4WeaponName,weapons!$A$199:$CV$199, 0)),0)</f>
        <v>0</v>
      </c>
      <c r="G173" s="81">
        <f>IFERROR(INDEX(char4ArtiSetStats, MATCH('Char 4'!$L$14,artisDB!$A$163:$A$215, 0), MATCH(C173, artisDB!$A$163:$AP$163, 0))+INDEX(char4ArtiSetStats, MATCH('Char 4'!$L$15, artisDB!$A$163:$A$215, 0), MATCH(C173, artisDB!$A$163:$AP$163, 0)),0)</f>
        <v>0</v>
      </c>
      <c r="H173" s="43">
        <f>IFERROR(INDEX('Char 4'!$X$26:$Z$35, MATCH(C173, 'Char 4'!$X$26:$X$35, 0), 3)*HLOOKUP('Char 4'!$Z$7, artifactSubstatValues, MATCH(C173, 'Artifact Database'!$A$1:$A$11, 0)),0)</f>
        <v>0</v>
      </c>
      <c r="I173" s="81">
        <f>VLOOKUP(C173, 'Char 4'!$R$5:$T$50, 3,0)</f>
        <v>0</v>
      </c>
      <c r="J173" s="36"/>
      <c r="K173" s="81">
        <f t="shared" si="13"/>
        <v>0</v>
      </c>
      <c r="L173" s="33"/>
      <c r="N173" s="33"/>
      <c r="O173" s="281" t="s">
        <v>25</v>
      </c>
      <c r="P173" s="281"/>
      <c r="Q173" s="7">
        <f>'Char 1'!$E$29</f>
        <v>100</v>
      </c>
      <c r="R173" s="33"/>
    </row>
    <row r="174" spans="2:24" x14ac:dyDescent="0.25">
      <c r="B174" s="33"/>
      <c r="C174" s="34" t="s">
        <v>71</v>
      </c>
      <c r="D174" s="43">
        <f t="shared" si="14"/>
        <v>0</v>
      </c>
      <c r="E174" s="81">
        <f t="shared" si="15"/>
        <v>0</v>
      </c>
      <c r="F174" s="43">
        <f>IFERROR(INDEX(char4Weapons, MATCH(C174, weapons!$A$199:$A$263, 0), MATCH(char4WeaponName,weapons!$A$199:$CV$199, 0)),0)</f>
        <v>0</v>
      </c>
      <c r="G174" s="81">
        <f>IFERROR(INDEX(char4ArtiSetStats, MATCH('Char 4'!$L$14,artisDB!$A$163:$A$215, 0), MATCH(C174, artisDB!$A$163:$AP$163, 0))+INDEX(char4ArtiSetStats, MATCH('Char 4'!$L$15, artisDB!$A$163:$A$215, 0), MATCH(C174, artisDB!$A$163:$AP$163, 0)),0)</f>
        <v>0.15</v>
      </c>
      <c r="H174" s="43">
        <f>IFERROR(INDEX('Char 4'!$X$26:$Z$35, MATCH(C174, 'Char 4'!$X$26:$X$35, 0), 3)*HLOOKUP('Char 4'!$Z$7, artifactSubstatValues, MATCH(C174, 'Artifact Database'!$A$1:$A$11, 0)),0)</f>
        <v>0</v>
      </c>
      <c r="I174" s="81">
        <f>VLOOKUP(C174, 'Char 4'!$R$5:$T$50, 3,0)</f>
        <v>0</v>
      </c>
      <c r="J174" s="36"/>
      <c r="K174" s="81">
        <f t="shared" si="13"/>
        <v>0.15</v>
      </c>
      <c r="L174" s="33"/>
      <c r="N174" s="33"/>
      <c r="O174" s="281" t="s">
        <v>642</v>
      </c>
      <c r="P174" s="281"/>
      <c r="Q174" s="7">
        <f>IF(Q172&lt;60, 0.0002325*Q172^3+0.05547*Q172^2-0.2523*Q172+14.47, 0.00194*Q172^3-0.319*Q172^2+30.7*Q172-868)</f>
        <v>725.3599999999999</v>
      </c>
      <c r="R174" s="33"/>
    </row>
    <row r="175" spans="2:24" x14ac:dyDescent="0.25">
      <c r="B175" s="33"/>
      <c r="C175" s="34" t="s">
        <v>72</v>
      </c>
      <c r="D175" s="43">
        <f t="shared" si="14"/>
        <v>0</v>
      </c>
      <c r="E175" s="81">
        <f t="shared" si="15"/>
        <v>0</v>
      </c>
      <c r="F175" s="43">
        <f>IFERROR(INDEX(char4Weapons, MATCH(C175, weapons!$A$199:$A$263, 0), MATCH(char4WeaponName,weapons!$A$199:$CV$199, 0)),0)</f>
        <v>0</v>
      </c>
      <c r="G175" s="81">
        <f>IFERROR(INDEX(char4ArtiSetStats, MATCH('Char 4'!$L$14,artisDB!$A$163:$A$215, 0), MATCH(C175, artisDB!$A$163:$AP$163, 0))+INDEX(char4ArtiSetStats, MATCH('Char 4'!$L$15, artisDB!$A$163:$A$215, 0), MATCH(C175, artisDB!$A$163:$AP$163, 0)),0)</f>
        <v>0</v>
      </c>
      <c r="H175" s="43">
        <f>IFERROR(INDEX('Char 4'!$X$26:$Z$35, MATCH(C175, 'Char 4'!$X$26:$X$35, 0), 3)*HLOOKUP('Char 4'!$Z$7, artifactSubstatValues, MATCH(C175, 'Artifact Database'!$A$1:$A$11, 0)),0)</f>
        <v>0</v>
      </c>
      <c r="I175" s="81">
        <f>VLOOKUP(C175, 'Char 4'!$R$5:$T$50, 3,0)</f>
        <v>0</v>
      </c>
      <c r="J175" s="36"/>
      <c r="K175" s="81">
        <f t="shared" si="13"/>
        <v>0</v>
      </c>
      <c r="L175" s="33"/>
      <c r="N175" s="33"/>
      <c r="O175" s="33"/>
      <c r="P175" s="33"/>
      <c r="Q175" s="33"/>
      <c r="R175" s="33"/>
    </row>
    <row r="176" spans="2:24" x14ac:dyDescent="0.25">
      <c r="B176" s="33"/>
      <c r="C176" s="34" t="s">
        <v>73</v>
      </c>
      <c r="D176" s="43">
        <f t="shared" si="14"/>
        <v>0</v>
      </c>
      <c r="E176" s="81">
        <f t="shared" si="15"/>
        <v>0</v>
      </c>
      <c r="F176" s="43">
        <f>IFERROR(INDEX(char4Weapons, MATCH(C176, weapons!$A$199:$A$263, 0), MATCH(char4WeaponName,weapons!$A$199:$CV$199, 0)),0)</f>
        <v>0</v>
      </c>
      <c r="G176" s="81">
        <f>IFERROR(INDEX(char4ArtiSetStats, MATCH('Char 4'!$L$14,artisDB!$A$163:$A$215, 0), MATCH(C176, artisDB!$A$163:$AP$163, 0))+INDEX(char4ArtiSetStats, MATCH('Char 4'!$L$15, artisDB!$A$163:$A$215, 0), MATCH(C176, artisDB!$A$163:$AP$163, 0)),0)</f>
        <v>0</v>
      </c>
      <c r="H176" s="43">
        <f>IFERROR(INDEX('Char 4'!$X$26:$Z$35, MATCH(C176, 'Char 4'!$X$26:$X$35, 0), 3)*HLOOKUP('Char 4'!$Z$7, artifactSubstatValues, MATCH(C176, 'Artifact Database'!$A$1:$A$11, 0)),0)</f>
        <v>0</v>
      </c>
      <c r="I176" s="81">
        <f>VLOOKUP(C176, 'Char 4'!$R$5:$T$50, 3,0)</f>
        <v>0</v>
      </c>
      <c r="J176" s="36"/>
      <c r="K176" s="81">
        <f t="shared" si="13"/>
        <v>0</v>
      </c>
      <c r="L176" s="33"/>
    </row>
    <row r="177" spans="2:18" x14ac:dyDescent="0.25">
      <c r="B177" s="33"/>
      <c r="C177" s="34" t="s">
        <v>74</v>
      </c>
      <c r="D177" s="43">
        <f t="shared" si="14"/>
        <v>0</v>
      </c>
      <c r="E177" s="81">
        <f t="shared" si="15"/>
        <v>0</v>
      </c>
      <c r="F177" s="43">
        <f>IFERROR(INDEX(char4Weapons, MATCH(C177, weapons!$A$199:$A$263, 0), MATCH(char4WeaponName,weapons!$A$199:$CV$199, 0)),0)</f>
        <v>0</v>
      </c>
      <c r="G177" s="81">
        <f>IFERROR(INDEX(char4ArtiSetStats, MATCH('Char 4'!$L$14,artisDB!$A$163:$A$215, 0), MATCH(C177, artisDB!$A$163:$AP$163, 0))+INDEX(char4ArtiSetStats, MATCH('Char 4'!$L$15, artisDB!$A$163:$A$215, 0), MATCH(C177, artisDB!$A$163:$AP$163, 0)),0)</f>
        <v>0</v>
      </c>
      <c r="H177" s="43">
        <f>IFERROR(INDEX('Char 4'!$X$26:$Z$35, MATCH(C177, 'Char 4'!$X$26:$X$35, 0), 3)*HLOOKUP('Char 4'!$Z$7, artifactSubstatValues, MATCH(C177, 'Artifact Database'!$A$1:$A$11, 0)),0)</f>
        <v>0</v>
      </c>
      <c r="I177" s="81">
        <f>VLOOKUP(C177, 'Char 4'!$R$5:$T$50, 3,0)</f>
        <v>0</v>
      </c>
      <c r="J177" s="36"/>
      <c r="K177" s="81">
        <f t="shared" si="13"/>
        <v>0</v>
      </c>
      <c r="L177" s="33"/>
      <c r="N177" s="33"/>
      <c r="O177" s="33"/>
      <c r="P177" s="33"/>
      <c r="Q177" s="33"/>
      <c r="R177" s="33"/>
    </row>
    <row r="178" spans="2:18" x14ac:dyDescent="0.25">
      <c r="B178" s="33"/>
      <c r="C178" s="34" t="s">
        <v>75</v>
      </c>
      <c r="D178" s="43">
        <f t="shared" si="14"/>
        <v>0</v>
      </c>
      <c r="E178" s="81">
        <f t="shared" si="15"/>
        <v>0</v>
      </c>
      <c r="F178" s="43">
        <f>IFERROR(INDEX(char4Weapons, MATCH(C178, weapons!$A$199:$A$263, 0), MATCH(char4WeaponName,weapons!$A$199:$CV$199, 0)),0)</f>
        <v>0</v>
      </c>
      <c r="G178" s="81">
        <f>IFERROR(INDEX(char4ArtiSetStats, MATCH('Char 4'!$L$14,artisDB!$A$163:$A$215, 0), MATCH(C178, artisDB!$A$163:$AP$163, 0))+INDEX(char4ArtiSetStats, MATCH('Char 4'!$L$15, artisDB!$A$163:$A$215, 0), MATCH(C178, artisDB!$A$163:$AP$163, 0)),0)</f>
        <v>0</v>
      </c>
      <c r="H178" s="43">
        <f>IFERROR(INDEX('Char 4'!$X$26:$Z$35, MATCH(C178, 'Char 4'!$X$26:$X$35, 0), 3)*HLOOKUP('Char 4'!$Z$7, artifactSubstatValues, MATCH(C178, 'Artifact Database'!$A$1:$A$11, 0)),0)</f>
        <v>0</v>
      </c>
      <c r="I178" s="81">
        <f>VLOOKUP(C178, 'Char 4'!$R$5:$T$50, 3,0)</f>
        <v>0</v>
      </c>
      <c r="J178" s="36"/>
      <c r="K178" s="81">
        <f t="shared" si="13"/>
        <v>0</v>
      </c>
      <c r="L178" s="33"/>
      <c r="N178" s="33"/>
      <c r="O178" s="280" t="s">
        <v>630</v>
      </c>
      <c r="P178" s="280"/>
      <c r="Q178" s="280"/>
      <c r="R178" s="33"/>
    </row>
    <row r="179" spans="2:18" x14ac:dyDescent="0.25">
      <c r="B179" s="33"/>
      <c r="C179" s="34" t="s">
        <v>76</v>
      </c>
      <c r="D179" s="43">
        <f t="shared" si="14"/>
        <v>0</v>
      </c>
      <c r="E179" s="81">
        <f t="shared" si="15"/>
        <v>0</v>
      </c>
      <c r="F179" s="43">
        <f>IFERROR(INDEX(char4Weapons, MATCH(C179, weapons!$A$199:$A$263, 0), MATCH(char4WeaponName,weapons!$A$199:$CV$199, 0)),0)</f>
        <v>0</v>
      </c>
      <c r="G179" s="81">
        <f>IFERROR(INDEX(char4ArtiSetStats, MATCH('Char 4'!$L$14,artisDB!$A$163:$A$215, 0), MATCH(C179, artisDB!$A$163:$AP$163, 0))+INDEX(char4ArtiSetStats, MATCH('Char 4'!$L$15, artisDB!$A$163:$A$215, 0), MATCH(C179, artisDB!$A$163:$AP$163, 0)),0)</f>
        <v>0</v>
      </c>
      <c r="H179" s="43">
        <f>IFERROR(INDEX('Char 4'!$X$26:$Z$35, MATCH(C179, 'Char 4'!$X$26:$X$35, 0), 3)*HLOOKUP('Char 4'!$Z$7, artifactSubstatValues, MATCH(C179, 'Artifact Database'!$A$1:$A$11, 0)),0)</f>
        <v>0</v>
      </c>
      <c r="I179" s="81">
        <f>VLOOKUP(C179, 'Char 4'!$R$5:$T$50, 3,0)</f>
        <v>0</v>
      </c>
      <c r="J179" s="36"/>
      <c r="K179" s="81">
        <f t="shared" si="13"/>
        <v>0</v>
      </c>
      <c r="L179" s="33"/>
      <c r="N179" s="33"/>
      <c r="O179" s="280"/>
      <c r="P179" s="280"/>
      <c r="Q179" s="280"/>
      <c r="R179" s="33"/>
    </row>
    <row r="180" spans="2:18" x14ac:dyDescent="0.25">
      <c r="B180" s="33"/>
      <c r="C180" s="34" t="s">
        <v>77</v>
      </c>
      <c r="D180" s="43">
        <f t="shared" si="14"/>
        <v>0</v>
      </c>
      <c r="E180" s="81">
        <f t="shared" si="15"/>
        <v>0</v>
      </c>
      <c r="F180" s="43">
        <f>IFERROR(INDEX(char4Weapons, MATCH(C180, weapons!$A$199:$A$263, 0), MATCH(char4WeaponName,weapons!$A$199:$CV$199, 0)),0)</f>
        <v>0</v>
      </c>
      <c r="G180" s="81">
        <f>IFERROR(INDEX(char4ArtiSetStats, MATCH('Char 4'!$L$14,artisDB!$A$163:$A$215, 0), MATCH(C180, artisDB!$A$163:$AP$163, 0))+INDEX(char4ArtiSetStats, MATCH('Char 4'!$L$15, artisDB!$A$163:$A$215, 0), MATCH(C180, artisDB!$A$163:$AP$163, 0)),0)</f>
        <v>0</v>
      </c>
      <c r="H180" s="43">
        <f>IFERROR(INDEX('Char 4'!$X$26:$Z$35, MATCH(C180, 'Char 4'!$X$26:$X$35, 0), 3)*HLOOKUP('Char 4'!$Z$7, artifactSubstatValues, MATCH(C180, 'Artifact Database'!$A$1:$A$11, 0)),0)</f>
        <v>0</v>
      </c>
      <c r="I180" s="81">
        <f>VLOOKUP(C180, 'Char 4'!$R$5:$T$50, 3,0)</f>
        <v>0</v>
      </c>
      <c r="J180" s="36"/>
      <c r="K180" s="81">
        <f t="shared" si="13"/>
        <v>0</v>
      </c>
      <c r="L180" s="33"/>
      <c r="N180" s="33"/>
      <c r="O180" s="281" t="s">
        <v>629</v>
      </c>
      <c r="P180" s="281"/>
      <c r="Q180" s="7">
        <f>INDEX(char4Weapons, MATCH("Base ATK", weapons!$A$199:$A$263, 0), MATCH(char4WeaponName, weapons!$A$199:$CV$199, 0))</f>
        <v>454</v>
      </c>
      <c r="R180" s="33"/>
    </row>
    <row r="181" spans="2:18" x14ac:dyDescent="0.25">
      <c r="B181" s="33"/>
      <c r="C181" s="34" t="s">
        <v>78</v>
      </c>
      <c r="D181" s="43">
        <f t="shared" si="14"/>
        <v>0</v>
      </c>
      <c r="E181" s="81">
        <f t="shared" si="15"/>
        <v>0</v>
      </c>
      <c r="F181" s="43">
        <f>IFERROR(INDEX(char4Weapons, MATCH(C181, weapons!$A$199:$A$263, 0), MATCH(char4WeaponName,weapons!$A$199:$CV$199, 0)),0)</f>
        <v>0</v>
      </c>
      <c r="G181" s="81">
        <f>IFERROR(INDEX(char4ArtiSetStats, MATCH('Char 4'!$L$14,artisDB!$A$163:$A$215, 0), MATCH(C181, artisDB!$A$163:$AP$163, 0))+INDEX(char4ArtiSetStats, MATCH('Char 4'!$L$15, artisDB!$A$163:$A$215, 0), MATCH(C181, artisDB!$A$163:$AP$163, 0)),0)</f>
        <v>0</v>
      </c>
      <c r="H181" s="43">
        <f>IFERROR(INDEX('Char 4'!$X$26:$Z$35, MATCH(C181, 'Char 4'!$X$26:$X$35, 0), 3)*HLOOKUP('Char 4'!$Z$7, artifactSubstatValues, MATCH(C181, 'Artifact Database'!$A$1:$A$11, 0)),0)</f>
        <v>0</v>
      </c>
      <c r="I181" s="81">
        <f>VLOOKUP(C181, 'Char 4'!$R$5:$T$50, 3,0)</f>
        <v>0</v>
      </c>
      <c r="J181" s="36"/>
      <c r="K181" s="81">
        <f t="shared" si="13"/>
        <v>0</v>
      </c>
      <c r="L181" s="33"/>
      <c r="N181" s="33"/>
      <c r="O181" s="281" t="s">
        <v>622</v>
      </c>
      <c r="P181" s="281"/>
      <c r="Q181" s="7">
        <f>U167</f>
        <v>263</v>
      </c>
      <c r="R181" s="33"/>
    </row>
    <row r="182" spans="2:18" x14ac:dyDescent="0.25">
      <c r="B182" s="33"/>
      <c r="C182" s="34" t="s">
        <v>79</v>
      </c>
      <c r="D182" s="43">
        <f t="shared" si="14"/>
        <v>0</v>
      </c>
      <c r="E182" s="81">
        <f t="shared" si="15"/>
        <v>0</v>
      </c>
      <c r="F182" s="43">
        <f>IFERROR(INDEX(char4Weapons, MATCH(C182, weapons!$A$199:$A$263, 0), MATCH(char4WeaponName,weapons!$A$199:$CV$199, 0)),0)</f>
        <v>0</v>
      </c>
      <c r="G182" s="81">
        <f>IFERROR(INDEX(char4ArtiSetStats, MATCH('Char 4'!$L$14,artisDB!$A$163:$A$215, 0), MATCH(C182, artisDB!$A$163:$AP$163, 0))+INDEX(char4ArtiSetStats, MATCH('Char 4'!$L$15, artisDB!$A$163:$A$215, 0), MATCH(C182, artisDB!$A$163:$AP$163, 0)),0)</f>
        <v>0</v>
      </c>
      <c r="H182" s="43">
        <f>IFERROR(INDEX('Char 4'!$X$26:$Z$35, MATCH(C182, 'Char 4'!$X$26:$X$35, 0), 3)*HLOOKUP('Char 4'!$Z$7, artifactSubstatValues, MATCH(C182, 'Artifact Database'!$A$1:$A$11, 0)),0)</f>
        <v>0</v>
      </c>
      <c r="I182" s="81">
        <f>VLOOKUP(C182, 'Char 4'!$R$5:$T$50, 3,0)</f>
        <v>0</v>
      </c>
      <c r="J182" s="36"/>
      <c r="K182" s="81">
        <f t="shared" si="13"/>
        <v>0</v>
      </c>
      <c r="L182" s="33"/>
      <c r="N182" s="33"/>
      <c r="O182" s="281" t="s">
        <v>631</v>
      </c>
      <c r="P182" s="281"/>
      <c r="Q182" s="7">
        <f>U168</f>
        <v>669</v>
      </c>
      <c r="R182" s="33"/>
    </row>
    <row r="183" spans="2:18" x14ac:dyDescent="0.25">
      <c r="B183" s="33"/>
      <c r="C183" s="34" t="s">
        <v>80</v>
      </c>
      <c r="D183" s="43">
        <f t="shared" si="14"/>
        <v>0</v>
      </c>
      <c r="E183" s="81">
        <f t="shared" si="15"/>
        <v>0</v>
      </c>
      <c r="F183" s="43">
        <f>IFERROR(INDEX(char4Weapons, MATCH(C183, weapons!$A$199:$A$263, 0), MATCH(char4WeaponName,weapons!$A$199:$CV$199, 0)),0)</f>
        <v>0</v>
      </c>
      <c r="G183" s="81">
        <f>IFERROR(INDEX(char4ArtiSetStats, MATCH('Char 4'!$L$14,artisDB!$A$163:$A$215, 0), MATCH(C183, artisDB!$A$163:$AP$163, 0))+INDEX(char4ArtiSetStats, MATCH('Char 4'!$L$15, artisDB!$A$163:$A$215, 0), MATCH(C183, artisDB!$A$163:$AP$163, 0)),0)</f>
        <v>0</v>
      </c>
      <c r="H183" s="43">
        <f>IFERROR(INDEX('Char 4'!$X$26:$Z$35, MATCH(C183, 'Char 4'!$X$26:$X$35, 0), 3)*HLOOKUP('Char 4'!$Z$7, artifactSubstatValues, MATCH(C183, 'Artifact Database'!$A$1:$A$11, 0)),0)</f>
        <v>0</v>
      </c>
      <c r="I183" s="81">
        <f>VLOOKUP(C183, 'Char 4'!$R$5:$T$50, 3,0)</f>
        <v>0</v>
      </c>
      <c r="J183" s="36"/>
      <c r="K183" s="81">
        <f t="shared" si="13"/>
        <v>0</v>
      </c>
      <c r="L183" s="33"/>
      <c r="N183" s="33"/>
      <c r="O183" s="281" t="s">
        <v>632</v>
      </c>
      <c r="P183" s="281"/>
      <c r="Q183" s="7">
        <f>U166</f>
        <v>10531</v>
      </c>
      <c r="R183" s="33"/>
    </row>
    <row r="184" spans="2:18" x14ac:dyDescent="0.25">
      <c r="B184" s="33"/>
      <c r="C184" s="34" t="s">
        <v>81</v>
      </c>
      <c r="D184" s="43">
        <f t="shared" si="14"/>
        <v>0</v>
      </c>
      <c r="E184" s="81">
        <f t="shared" si="15"/>
        <v>0</v>
      </c>
      <c r="F184" s="43">
        <f>IFERROR(INDEX(char4Weapons, MATCH(C184, weapons!$A$199:$A$263, 0), MATCH(char4WeaponName,weapons!$A$199:$CV$199, 0)),0)</f>
        <v>0</v>
      </c>
      <c r="G184" s="81">
        <f>IFERROR(INDEX(char4ArtiSetStats, MATCH('Char 4'!$L$14,artisDB!$A$163:$A$215, 0), MATCH(C184, artisDB!$A$163:$AP$163, 0))+INDEX(char4ArtiSetStats, MATCH('Char 4'!$L$15, artisDB!$A$163:$A$215, 0), MATCH(C184, artisDB!$A$163:$AP$163, 0)),0)</f>
        <v>0</v>
      </c>
      <c r="H184" s="43">
        <f>IFERROR(INDEX('Char 4'!$X$26:$Z$35, MATCH(C184, 'Char 4'!$X$26:$X$35, 0), 3)*HLOOKUP('Char 4'!$Z$7, artifactSubstatValues, MATCH(C184, 'Artifact Database'!$A$1:$A$11, 0)),0)</f>
        <v>0</v>
      </c>
      <c r="I184" s="81">
        <f>VLOOKUP(C184, 'Char 4'!$R$5:$T$50, 3,0)</f>
        <v>0</v>
      </c>
      <c r="J184" s="36"/>
      <c r="K184" s="81">
        <f t="shared" si="13"/>
        <v>0</v>
      </c>
      <c r="L184" s="33"/>
      <c r="N184" s="33"/>
      <c r="O184" s="33"/>
      <c r="P184" s="33"/>
      <c r="Q184" s="33"/>
      <c r="R184" s="33"/>
    </row>
    <row r="185" spans="2:18" x14ac:dyDescent="0.25">
      <c r="B185" s="33"/>
      <c r="C185" s="34" t="s">
        <v>83</v>
      </c>
      <c r="D185" s="43">
        <f t="shared" si="14"/>
        <v>0</v>
      </c>
      <c r="E185" s="81">
        <f t="shared" si="15"/>
        <v>0</v>
      </c>
      <c r="F185" s="43">
        <f>IFERROR(INDEX(char4Weapons, MATCH(C185, weapons!$A$199:$A$263, 0), MATCH(char4WeaponName,weapons!$A$199:$CV$199, 0)),0)</f>
        <v>0</v>
      </c>
      <c r="G185" s="81">
        <f>IFERROR(INDEX(char4ArtiSetStats, MATCH('Char 4'!$L$14,artisDB!$A$163:$A$215, 0), MATCH(C185, artisDB!$A$163:$AP$163, 0))+INDEX(char4ArtiSetStats, MATCH('Char 4'!$L$15, artisDB!$A$163:$A$215, 0), MATCH(C185, artisDB!$A$163:$AP$163, 0)),0)</f>
        <v>0.6</v>
      </c>
      <c r="H185" s="43">
        <f>IFERROR(INDEX('Char 4'!$X$26:$Z$35, MATCH(C185, 'Char 4'!$X$26:$X$35, 0), 3)*HLOOKUP('Char 4'!$Z$7, artifactSubstatValues, MATCH(C185, 'Artifact Database'!$A$1:$A$11, 0)),0)</f>
        <v>0</v>
      </c>
      <c r="I185" s="81">
        <f>VLOOKUP(C185, 'Char 4'!$R$5:$T$50, 3,0)</f>
        <v>0</v>
      </c>
      <c r="J185" s="36"/>
      <c r="K185" s="81">
        <f t="shared" si="13"/>
        <v>0.6</v>
      </c>
      <c r="L185" s="33"/>
    </row>
    <row r="186" spans="2:18" x14ac:dyDescent="0.25">
      <c r="B186" s="33"/>
      <c r="C186" s="34" t="s">
        <v>84</v>
      </c>
      <c r="D186" s="43">
        <f t="shared" si="14"/>
        <v>0</v>
      </c>
      <c r="E186" s="81">
        <f t="shared" si="15"/>
        <v>0</v>
      </c>
      <c r="F186" s="43">
        <f>IFERROR(INDEX(char4Weapons, MATCH(C186, weapons!$A$199:$A$263, 0), MATCH(char4WeaponName,weapons!$A$199:$CV$199, 0)),0)</f>
        <v>0</v>
      </c>
      <c r="G186" s="81">
        <f>IFERROR(INDEX(char4ArtiSetStats, MATCH('Char 4'!$L$14,artisDB!$A$163:$A$215, 0), MATCH(C186, artisDB!$A$163:$AP$163, 0))+INDEX(char4ArtiSetStats, MATCH('Char 4'!$L$15, artisDB!$A$163:$A$215, 0), MATCH(C186, artisDB!$A$163:$AP$163, 0)),0)</f>
        <v>0</v>
      </c>
      <c r="H186" s="43">
        <f>IFERROR(INDEX('Char 4'!$X$26:$Z$35, MATCH(C186, 'Char 4'!$X$26:$X$35, 0), 3)*HLOOKUP('Char 4'!$Z$7, artifactSubstatValues, MATCH(C186, 'Artifact Database'!$A$1:$A$11, 0)),0)</f>
        <v>0</v>
      </c>
      <c r="I186" s="81">
        <f>VLOOKUP(C186, 'Char 4'!$R$5:$T$50, 3,0)</f>
        <v>0</v>
      </c>
      <c r="J186" s="36"/>
      <c r="K186" s="81">
        <f t="shared" si="13"/>
        <v>0</v>
      </c>
      <c r="L186" s="33"/>
      <c r="N186" s="33"/>
      <c r="O186" s="33"/>
      <c r="P186" s="33"/>
      <c r="Q186" s="33"/>
      <c r="R186" s="33"/>
    </row>
    <row r="187" spans="2:18" x14ac:dyDescent="0.25">
      <c r="B187" s="33"/>
      <c r="C187" s="34" t="s">
        <v>85</v>
      </c>
      <c r="D187" s="43">
        <f t="shared" si="14"/>
        <v>0</v>
      </c>
      <c r="E187" s="81">
        <f t="shared" si="15"/>
        <v>0</v>
      </c>
      <c r="F187" s="43">
        <f>IFERROR(INDEX(char4Weapons, MATCH(C187, weapons!$A$199:$A$263, 0), MATCH(char4WeaponName,weapons!$A$199:$CV$199, 0)),0)</f>
        <v>0</v>
      </c>
      <c r="G187" s="81">
        <f>IFERROR(INDEX(char4ArtiSetStats, MATCH('Char 4'!$L$14,artisDB!$A$163:$A$215, 0), MATCH(C187, artisDB!$A$163:$AP$163, 0))+INDEX(char4ArtiSetStats, MATCH('Char 4'!$L$15, artisDB!$A$163:$A$215, 0), MATCH(C187, artisDB!$A$163:$AP$163, 0)),0)</f>
        <v>0</v>
      </c>
      <c r="H187" s="43">
        <f>IFERROR(INDEX('Char 4'!$X$26:$Z$35, MATCH(C187, 'Char 4'!$X$26:$X$35, 0), 3)*HLOOKUP('Char 4'!$Z$7, artifactSubstatValues, MATCH(C187, 'Artifact Database'!$A$1:$A$11, 0)),0)</f>
        <v>0</v>
      </c>
      <c r="I187" s="81">
        <f>VLOOKUP(C187, 'Char 4'!$R$5:$T$50, 3,0)</f>
        <v>0</v>
      </c>
      <c r="J187" s="36"/>
      <c r="K187" s="81">
        <f t="shared" si="13"/>
        <v>0</v>
      </c>
      <c r="L187" s="33"/>
      <c r="N187" s="33"/>
      <c r="O187" s="280" t="s">
        <v>668</v>
      </c>
      <c r="P187" s="280"/>
      <c r="Q187" s="280"/>
      <c r="R187" s="33"/>
    </row>
    <row r="188" spans="2:18" x14ac:dyDescent="0.25">
      <c r="B188" s="33"/>
      <c r="C188" s="34" t="s">
        <v>86</v>
      </c>
      <c r="D188" s="43">
        <f t="shared" si="14"/>
        <v>0</v>
      </c>
      <c r="E188" s="81">
        <f t="shared" si="15"/>
        <v>0</v>
      </c>
      <c r="F188" s="43">
        <f>IFERROR(INDEX(char4Weapons, MATCH(C188, weapons!$A$199:$A$263, 0), MATCH(char4WeaponName,weapons!$A$199:$CV$199, 0)),0)</f>
        <v>0</v>
      </c>
      <c r="G188" s="81">
        <f>IFERROR(INDEX(char4ArtiSetStats, MATCH('Char 4'!$L$14,artisDB!$A$163:$A$215, 0), MATCH(C188, artisDB!$A$163:$AP$163, 0))+INDEX(char4ArtiSetStats, MATCH('Char 4'!$L$15, artisDB!$A$163:$A$215, 0), MATCH(C188, artisDB!$A$163:$AP$163, 0)),0)</f>
        <v>0</v>
      </c>
      <c r="H188" s="43">
        <f>IFERROR(INDEX('Char 4'!$X$26:$Z$35, MATCH(C188, 'Char 4'!$X$26:$X$35, 0), 3)*HLOOKUP('Char 4'!$Z$7, artifactSubstatValues, MATCH(C188, 'Artifact Database'!$A$1:$A$11, 0)),0)</f>
        <v>0</v>
      </c>
      <c r="I188" s="81">
        <f>VLOOKUP(C188, 'Char 4'!$R$5:$T$50, 3,0)</f>
        <v>0</v>
      </c>
      <c r="J188" s="36"/>
      <c r="K188" s="81">
        <f t="shared" si="13"/>
        <v>0</v>
      </c>
      <c r="L188" s="33"/>
      <c r="N188" s="33"/>
      <c r="O188" s="280"/>
      <c r="P188" s="280"/>
      <c r="Q188" s="280"/>
      <c r="R188" s="33"/>
    </row>
    <row r="189" spans="2:18" x14ac:dyDescent="0.25">
      <c r="B189" s="33"/>
      <c r="C189" s="34" t="s">
        <v>87</v>
      </c>
      <c r="D189" s="43">
        <f t="shared" si="14"/>
        <v>0</v>
      </c>
      <c r="E189" s="81">
        <f t="shared" si="15"/>
        <v>0</v>
      </c>
      <c r="F189" s="43">
        <f>IFERROR(INDEX(char4Weapons, MATCH(C189, weapons!$A$199:$A$263, 0), MATCH(char4WeaponName,weapons!$A$199:$CV$199, 0)),0)</f>
        <v>0</v>
      </c>
      <c r="G189" s="81">
        <f>IFERROR(INDEX(char4ArtiSetStats, MATCH('Char 4'!$L$14,artisDB!$A$163:$A$215, 0), MATCH(C189, artisDB!$A$163:$AP$163, 0))+INDEX(char4ArtiSetStats, MATCH('Char 4'!$L$15, artisDB!$A$163:$A$215, 0), MATCH(C189, artisDB!$A$163:$AP$163, 0)),0)</f>
        <v>0</v>
      </c>
      <c r="H189" s="43">
        <f>IFERROR(INDEX('Char 4'!$X$26:$Z$35, MATCH(C189, 'Char 4'!$X$26:$X$35, 0), 3)*HLOOKUP('Char 4'!$Z$7, artifactSubstatValues, MATCH(C189, 'Artifact Database'!$A$1:$A$11, 0)),0)</f>
        <v>0</v>
      </c>
      <c r="I189" s="81">
        <f>VLOOKUP(C189, 'Char 4'!$R$5:$T$50, 3,0)</f>
        <v>0</v>
      </c>
      <c r="J189" s="36"/>
      <c r="K189" s="81">
        <f t="shared" si="13"/>
        <v>0</v>
      </c>
      <c r="L189" s="33"/>
      <c r="N189" s="33"/>
      <c r="O189" s="281" t="s">
        <v>669</v>
      </c>
      <c r="P189" s="281"/>
      <c r="Q189" s="7" t="str">
        <f>'Char 4'!E20</f>
        <v>Plunge</v>
      </c>
      <c r="R189" s="33"/>
    </row>
    <row r="190" spans="2:18" x14ac:dyDescent="0.25">
      <c r="B190" s="33"/>
      <c r="C190" s="34" t="s">
        <v>90</v>
      </c>
      <c r="D190" s="43">
        <f t="shared" si="14"/>
        <v>0</v>
      </c>
      <c r="E190" s="81">
        <f t="shared" si="15"/>
        <v>0</v>
      </c>
      <c r="F190" s="43">
        <f>IFERROR(INDEX(char4Weapons, MATCH(C190, weapons!$A$199:$A$263, 0), MATCH(char4WeaponName,weapons!$A$199:$CV$199, 0)),0)</f>
        <v>0</v>
      </c>
      <c r="G190" s="81">
        <f>IFERROR(INDEX(char4ArtiSetStats, MATCH('Char 4'!$L$14,artisDB!$A$163:$A$215, 0), MATCH(C190, artisDB!$A$163:$AP$163, 0))+INDEX(char4ArtiSetStats, MATCH('Char 4'!$L$15, artisDB!$A$163:$A$215, 0), MATCH(C190, artisDB!$A$163:$AP$163, 0)),0)</f>
        <v>0</v>
      </c>
      <c r="H190" s="43">
        <f>IFERROR(INDEX('Char 4'!$X$26:$Z$35, MATCH(C190, 'Char 4'!$X$26:$X$35, 0), 3)*HLOOKUP('Char 4'!$Z$7, artifactSubstatValues, MATCH(C190, 'Artifact Database'!$A$1:$A$11, 0)),0)</f>
        <v>0</v>
      </c>
      <c r="I190" s="81">
        <f>VLOOKUP(C190, 'Char 4'!$R$5:$T$50, 3,0)</f>
        <v>0</v>
      </c>
      <c r="J190" s="36"/>
      <c r="K190" s="81">
        <f t="shared" si="13"/>
        <v>0</v>
      </c>
      <c r="L190" s="33"/>
      <c r="N190" s="33"/>
      <c r="O190" s="281" t="s">
        <v>670</v>
      </c>
      <c r="P190" s="281"/>
      <c r="Q190" s="7" t="str">
        <f>'Char 4'!E23</f>
        <v>Burst</v>
      </c>
      <c r="R190" s="33"/>
    </row>
    <row r="191" spans="2:18" x14ac:dyDescent="0.25">
      <c r="B191" s="33"/>
      <c r="C191" s="34" t="s">
        <v>88</v>
      </c>
      <c r="D191" s="43">
        <f t="shared" si="14"/>
        <v>0</v>
      </c>
      <c r="E191" s="81">
        <f t="shared" si="15"/>
        <v>0</v>
      </c>
      <c r="F191" s="43">
        <f>IFERROR(INDEX(char4Weapons, MATCH(C191, weapons!$A$199:$A$263, 0), MATCH(char4WeaponName,weapons!$A$199:$CV$199, 0)),0)</f>
        <v>0</v>
      </c>
      <c r="G191" s="81">
        <f>IFERROR(INDEX(char4ArtiSetStats, MATCH('Char 4'!$L$14,artisDB!$A$163:$A$215, 0), MATCH(C191, artisDB!$A$163:$AP$163, 0))+INDEX(char4ArtiSetStats, MATCH('Char 4'!$L$15, artisDB!$A$163:$A$215, 0), MATCH(C191, artisDB!$A$163:$AP$163, 0)),0)</f>
        <v>0</v>
      </c>
      <c r="H191" s="43">
        <f>IFERROR(INDEX('Char 4'!$X$26:$Z$35, MATCH(C191, 'Char 4'!$X$26:$X$35, 0), 3)*HLOOKUP('Char 4'!$Z$7, artifactSubstatValues, MATCH(C191, 'Artifact Database'!$A$1:$A$11, 0)),0)</f>
        <v>0</v>
      </c>
      <c r="I191" s="81">
        <f>VLOOKUP(C191, 'Char 4'!$R$5:$T$50, 3,0)</f>
        <v>0</v>
      </c>
      <c r="J191" s="36"/>
      <c r="K191" s="81">
        <f t="shared" si="13"/>
        <v>0</v>
      </c>
      <c r="L191" s="33"/>
      <c r="N191" s="33"/>
      <c r="O191" s="33"/>
      <c r="P191" s="33"/>
      <c r="Q191" s="33"/>
      <c r="R191" s="33"/>
    </row>
    <row r="192" spans="2:18" x14ac:dyDescent="0.25">
      <c r="B192" s="33"/>
      <c r="C192" s="34" t="s">
        <v>89</v>
      </c>
      <c r="D192" s="43">
        <f t="shared" si="14"/>
        <v>0</v>
      </c>
      <c r="E192" s="81">
        <f t="shared" si="15"/>
        <v>0</v>
      </c>
      <c r="F192" s="43">
        <f>IFERROR(INDEX(char4Weapons, MATCH(C192, weapons!$A$199:$A$263, 0), MATCH(char4WeaponName,weapons!$A$199:$CV$199, 0)),0)</f>
        <v>0</v>
      </c>
      <c r="G192" s="81">
        <f>IFERROR(INDEX(char4ArtiSetStats, MATCH('Char 4'!$L$14,artisDB!$A$163:$A$215, 0), MATCH(C192, artisDB!$A$163:$AP$163, 0))+INDEX(char4ArtiSetStats, MATCH('Char 4'!$L$15, artisDB!$A$163:$A$215, 0), MATCH(C192, artisDB!$A$163:$AP$163, 0)),0)</f>
        <v>0</v>
      </c>
      <c r="H192" s="43">
        <f>IFERROR(INDEX('Char 4'!$X$26:$Z$35, MATCH(C192, 'Char 4'!$X$26:$X$35, 0), 3)*HLOOKUP('Char 4'!$Z$7, artifactSubstatValues, MATCH(C192, 'Artifact Database'!$A$1:$A$11, 0)),0)</f>
        <v>0</v>
      </c>
      <c r="I192" s="81">
        <f>VLOOKUP(C192, 'Char 4'!$R$5:$T$50, 3,0)</f>
        <v>0</v>
      </c>
      <c r="J192" s="36"/>
      <c r="K192" s="81">
        <f t="shared" si="13"/>
        <v>0</v>
      </c>
      <c r="L192" s="33"/>
    </row>
    <row r="193" spans="2:18" x14ac:dyDescent="0.25">
      <c r="B193" s="33"/>
      <c r="C193" s="34" t="s">
        <v>91</v>
      </c>
      <c r="D193" s="43">
        <f t="shared" si="14"/>
        <v>0</v>
      </c>
      <c r="E193" s="81">
        <f t="shared" si="15"/>
        <v>0</v>
      </c>
      <c r="F193" s="43">
        <f>IFERROR(INDEX(char4Weapons, MATCH(C193, weapons!$A$199:$A$263, 0), MATCH(char4WeaponName,weapons!$A$199:$CV$199, 0)),0)</f>
        <v>0</v>
      </c>
      <c r="G193" s="81">
        <f>IFERROR(INDEX(char4ArtiSetStats, MATCH('Char 4'!$L$14,artisDB!$A$163:$A$215, 0), MATCH(C193, artisDB!$A$163:$AP$163, 0))+INDEX(char4ArtiSetStats, MATCH('Char 4'!$L$15, artisDB!$A$163:$A$215, 0), MATCH(C193, artisDB!$A$163:$AP$163, 0)),0)</f>
        <v>0</v>
      </c>
      <c r="H193" s="43">
        <f>IFERROR(INDEX('Char 4'!$X$26:$Z$35, MATCH(C193, 'Char 4'!$X$26:$X$35, 0), 3)*HLOOKUP('Char 4'!$Z$7, artifactSubstatValues, MATCH(C193, 'Artifact Database'!$A$1:$A$11, 0)),0)</f>
        <v>0</v>
      </c>
      <c r="I193" s="81">
        <f>VLOOKUP(C193, 'Char 4'!$R$5:$T$50, 3,0)</f>
        <v>0</v>
      </c>
      <c r="J193" s="36"/>
      <c r="K193" s="81">
        <f t="shared" si="13"/>
        <v>0</v>
      </c>
      <c r="L193" s="33"/>
      <c r="N193" s="33"/>
      <c r="O193" s="33"/>
      <c r="P193" s="33"/>
      <c r="Q193" s="33"/>
      <c r="R193" s="33"/>
    </row>
    <row r="194" spans="2:18" x14ac:dyDescent="0.25">
      <c r="B194" s="33"/>
      <c r="C194" s="34" t="s">
        <v>453</v>
      </c>
      <c r="D194" s="43">
        <f t="shared" si="14"/>
        <v>0</v>
      </c>
      <c r="E194" s="81">
        <f t="shared" si="15"/>
        <v>0</v>
      </c>
      <c r="F194" s="43">
        <f>IFERROR(INDEX(char4Weapons, MATCH(C194, weapons!$A$199:$A$263, 0), MATCH(char4WeaponName,weapons!$A$199:$CV$199, 0)),0)</f>
        <v>0</v>
      </c>
      <c r="G194" s="81">
        <f>IFERROR(INDEX(char4ArtiSetStats, MATCH('Char 4'!$L$14,artisDB!$A$163:$A$215, 0), MATCH(C194, artisDB!$A$163:$AP$163, 0))+INDEX(char4ArtiSetStats, MATCH('Char 4'!$L$15, artisDB!$A$163:$A$215, 0), MATCH(C194, artisDB!$A$163:$AP$163, 0)),0)</f>
        <v>0</v>
      </c>
      <c r="H194" s="43">
        <f>IFERROR(INDEX('Char 4'!$X$26:$Z$35, MATCH(C194, 'Char 4'!$X$26:$X$35, 0), 3)*HLOOKUP('Char 4'!$Z$7, artifactSubstatValues, MATCH(C194, 'Artifact Database'!$A$1:$A$11, 0)),0)</f>
        <v>0</v>
      </c>
      <c r="I194" s="81">
        <f>VLOOKUP(C194, 'Char 4'!$R$5:$T$50, 3,0)</f>
        <v>0</v>
      </c>
      <c r="J194" s="36"/>
      <c r="K194" s="81">
        <f t="shared" si="13"/>
        <v>0</v>
      </c>
      <c r="L194" s="33"/>
      <c r="N194" s="33"/>
      <c r="O194" s="280" t="s">
        <v>675</v>
      </c>
      <c r="P194" s="280"/>
      <c r="Q194" s="280"/>
      <c r="R194" s="33"/>
    </row>
    <row r="195" spans="2:18" x14ac:dyDescent="0.25">
      <c r="B195" s="33"/>
      <c r="C195" s="34" t="s">
        <v>93</v>
      </c>
      <c r="D195" s="43">
        <f t="shared" si="14"/>
        <v>0</v>
      </c>
      <c r="E195" s="81">
        <f t="shared" si="15"/>
        <v>0</v>
      </c>
      <c r="F195" s="43">
        <f>IFERROR(INDEX(char4Weapons, MATCH(C195, weapons!$A$199:$A$263, 0), MATCH(char4WeaponName,weapons!$A$199:$CV$199, 0)),0)</f>
        <v>0</v>
      </c>
      <c r="G195" s="81">
        <f>IFERROR(INDEX(char4ArtiSetStats, MATCH('Char 4'!$L$14,artisDB!$A$163:$A$215, 0), MATCH(C195, artisDB!$A$163:$AP$163, 0))+INDEX(char4ArtiSetStats, MATCH('Char 4'!$L$15, artisDB!$A$163:$A$215, 0), MATCH(C195, artisDB!$A$163:$AP$163, 0)),0)</f>
        <v>0</v>
      </c>
      <c r="H195" s="43">
        <f>IFERROR(INDEX('Char 4'!$X$26:$Z$35, MATCH(C195, 'Char 4'!$X$26:$X$35, 0), 3)*HLOOKUP('Char 4'!$Z$7, artifactSubstatValues, MATCH(C195, 'Artifact Database'!$A$1:$A$11, 0)),0)</f>
        <v>0</v>
      </c>
      <c r="I195" s="81">
        <f>VLOOKUP(C195, 'Char 4'!$R$5:$T$50, 3,0)</f>
        <v>0</v>
      </c>
      <c r="J195" s="36"/>
      <c r="K195" s="81">
        <f t="shared" si="13"/>
        <v>0</v>
      </c>
      <c r="L195" s="33"/>
      <c r="N195" s="33"/>
      <c r="O195" s="280"/>
      <c r="P195" s="280"/>
      <c r="Q195" s="280"/>
      <c r="R195" s="33"/>
    </row>
    <row r="196" spans="2:18" x14ac:dyDescent="0.25">
      <c r="B196" s="33"/>
      <c r="C196" s="34" t="s">
        <v>422</v>
      </c>
      <c r="D196" s="43">
        <f t="shared" si="14"/>
        <v>0</v>
      </c>
      <c r="E196" s="81">
        <f t="shared" si="15"/>
        <v>0</v>
      </c>
      <c r="F196" s="43">
        <f>IFERROR(INDEX(char4Weapons, MATCH(C196, weapons!$A$199:$A$263, 0), MATCH(char4WeaponName,weapons!$A$199:$CV$199, 0)),0)</f>
        <v>0</v>
      </c>
      <c r="G196" s="81">
        <f>IFERROR(INDEX(char4ArtiSetStats, MATCH('Char 4'!$L$14,artisDB!$A$163:$A$215, 0), MATCH(C196, artisDB!$A$163:$AP$163, 0))+INDEX(char4ArtiSetStats, MATCH('Char 4'!$L$15, artisDB!$A$163:$A$215, 0), MATCH(C196, artisDB!$A$163:$AP$163, 0)),0)</f>
        <v>0</v>
      </c>
      <c r="H196" s="43">
        <f>IFERROR(INDEX('Char 4'!$X$26:$Z$35, MATCH(C196, 'Char 4'!$X$26:$X$35, 0), 3)*HLOOKUP('Char 4'!$Z$7, artifactSubstatValues, MATCH(C196, 'Artifact Database'!$A$1:$A$11, 0)),0)</f>
        <v>0</v>
      </c>
      <c r="I196" s="81">
        <f>VLOOKUP(C196, 'Char 4'!$R$5:$T$50, 3,0)</f>
        <v>0</v>
      </c>
      <c r="J196" s="36"/>
      <c r="K196" s="81">
        <f t="shared" si="13"/>
        <v>0</v>
      </c>
      <c r="L196" s="33"/>
      <c r="N196" s="33"/>
      <c r="O196" s="281" t="s">
        <v>394</v>
      </c>
      <c r="P196" s="281"/>
      <c r="Q196" s="7">
        <f>(char4LevelNum+100)/((char4LevelNum+100)+(enemyLevel+100)*(1-K193))</f>
        <v>0.48717948717948717</v>
      </c>
      <c r="R196" s="33"/>
    </row>
    <row r="197" spans="2:18" x14ac:dyDescent="0.25">
      <c r="B197" s="33"/>
      <c r="C197" s="34" t="s">
        <v>452</v>
      </c>
      <c r="D197" s="43">
        <f t="shared" si="14"/>
        <v>0</v>
      </c>
      <c r="E197" s="81">
        <f t="shared" si="15"/>
        <v>0</v>
      </c>
      <c r="F197" s="43">
        <f>IFERROR(INDEX(char4Weapons, MATCH(C197, weapons!$A$199:$A$263, 0), MATCH(char4WeaponName,weapons!$A$199:$CV$199, 0)),0)</f>
        <v>0</v>
      </c>
      <c r="G197" s="81">
        <f>IFERROR(INDEX(char4ArtiSetStats, MATCH('Char 4'!$L$14,artisDB!$A$163:$A$215, 0), MATCH(C197, artisDB!$A$163:$AP$163, 0))+INDEX(char4ArtiSetStats, MATCH('Char 4'!$L$15, artisDB!$A$163:$A$215, 0), MATCH(C197, artisDB!$A$163:$AP$163, 0)),0)</f>
        <v>0</v>
      </c>
      <c r="H197" s="43">
        <f>IFERROR(INDEX('Char 4'!$X$26:$Z$35, MATCH(C197, 'Char 4'!$X$26:$X$35, 0), 3)*HLOOKUP('Char 4'!$Z$7, artifactSubstatValues, MATCH(C197, 'Artifact Database'!$A$1:$A$11, 0)),0)</f>
        <v>0</v>
      </c>
      <c r="I197" s="81">
        <f>VLOOKUP(C197, 'Char 4'!$R$5:$T$50, 3,0)</f>
        <v>0</v>
      </c>
      <c r="J197" s="36"/>
      <c r="K197" s="81">
        <f t="shared" si="13"/>
        <v>0</v>
      </c>
      <c r="L197" s="33"/>
      <c r="N197" s="33"/>
      <c r="O197" s="33"/>
      <c r="P197" s="33"/>
      <c r="Q197" s="33"/>
      <c r="R197" s="33"/>
    </row>
    <row r="198" spans="2:18" x14ac:dyDescent="0.25">
      <c r="B198" s="33"/>
      <c r="C198" s="34" t="s">
        <v>92</v>
      </c>
      <c r="D198" s="43">
        <f t="shared" si="14"/>
        <v>0</v>
      </c>
      <c r="E198" s="81">
        <f t="shared" si="15"/>
        <v>0</v>
      </c>
      <c r="F198" s="43">
        <f>IFERROR(INDEX(char4Weapons, MATCH(C198, weapons!$A$199:$A$263, 0), MATCH(char4WeaponName,weapons!$A$199:$CV$199, 0)),0)</f>
        <v>0</v>
      </c>
      <c r="G198" s="81">
        <f>IFERROR(INDEX(char4ArtiSetStats, MATCH('Char 4'!$L$14,artisDB!$A$163:$A$215, 0), MATCH(C198, artisDB!$A$163:$AP$163, 0))+INDEX(char4ArtiSetStats, MATCH('Char 4'!$L$15, artisDB!$A$163:$A$215, 0), MATCH(C198, artisDB!$A$163:$AP$163, 0)),0)</f>
        <v>0</v>
      </c>
      <c r="H198" s="43">
        <f>IFERROR(INDEX('Char 4'!$X$26:$Z$35, MATCH(C198, 'Char 4'!$X$26:$X$35, 0), 3)*HLOOKUP('Char 4'!$Z$7, artifactSubstatValues, MATCH(C198, 'Artifact Database'!$A$1:$A$11, 0)),0)</f>
        <v>0</v>
      </c>
      <c r="I198" s="81">
        <f>VLOOKUP(C198, 'Char 4'!$R$5:$T$50, 3,0)</f>
        <v>0</v>
      </c>
      <c r="J198" s="36"/>
      <c r="K198" s="81">
        <f t="shared" si="13"/>
        <v>0</v>
      </c>
      <c r="L198" s="33"/>
    </row>
    <row r="199" spans="2:18" x14ac:dyDescent="0.25">
      <c r="B199" s="33"/>
      <c r="C199" s="34" t="s">
        <v>94</v>
      </c>
      <c r="D199" s="43">
        <f t="shared" si="14"/>
        <v>0</v>
      </c>
      <c r="E199" s="81">
        <f t="shared" si="15"/>
        <v>0</v>
      </c>
      <c r="F199" s="43">
        <f>IFERROR(INDEX(char4Weapons, MATCH(C199, weapons!$A$199:$A$263, 0), MATCH(char4WeaponName,weapons!$A$199:$CV$199, 0)),0)</f>
        <v>0</v>
      </c>
      <c r="G199" s="81">
        <f>IFERROR(INDEX(char4ArtiSetStats, MATCH('Char 4'!$L$14,artisDB!$A$163:$A$215, 0), MATCH(C199, artisDB!$A$163:$AP$163, 0))+INDEX(char4ArtiSetStats, MATCH('Char 4'!$L$15, artisDB!$A$163:$A$215, 0), MATCH(C199, artisDB!$A$163:$AP$163, 0)),0)</f>
        <v>0</v>
      </c>
      <c r="H199" s="43">
        <f>IFERROR(INDEX('Char 4'!$X$26:$Z$35, MATCH(C199, 'Char 4'!$X$26:$X$35, 0), 3)*HLOOKUP('Char 4'!$Z$7, artifactSubstatValues, MATCH(C199, 'Artifact Database'!$A$1:$A$11, 0)),0)</f>
        <v>0</v>
      </c>
      <c r="I199" s="81">
        <f>VLOOKUP(C199, 'Char 4'!$R$5:$T$50, 3,0)</f>
        <v>0</v>
      </c>
      <c r="J199" s="36"/>
      <c r="K199" s="81">
        <f t="shared" si="13"/>
        <v>0</v>
      </c>
      <c r="L199" s="33"/>
      <c r="N199" s="33"/>
      <c r="O199" s="33"/>
      <c r="P199" s="33"/>
      <c r="Q199" s="33"/>
      <c r="R199" s="33"/>
    </row>
    <row r="200" spans="2:18" x14ac:dyDescent="0.25">
      <c r="B200" s="33"/>
      <c r="C200" s="34" t="s">
        <v>95</v>
      </c>
      <c r="D200" s="43">
        <f t="shared" si="14"/>
        <v>0</v>
      </c>
      <c r="E200" s="81">
        <f t="shared" si="15"/>
        <v>0</v>
      </c>
      <c r="F200" s="43">
        <f>IFERROR(INDEX(char4Weapons, MATCH(C200, weapons!$A$199:$A$263, 0), MATCH(char4WeaponName,weapons!$A$199:$CV$199, 0)),0)</f>
        <v>0</v>
      </c>
      <c r="G200" s="81">
        <f>IFERROR(INDEX(char4ArtiSetStats, MATCH('Char 4'!$L$14,artisDB!$A$163:$A$215, 0), MATCH(C200, artisDB!$A$163:$AP$163, 0))+INDEX(char4ArtiSetStats, MATCH('Char 4'!$L$15, artisDB!$A$163:$A$215, 0), MATCH(C200, artisDB!$A$163:$AP$163, 0)),0)</f>
        <v>0</v>
      </c>
      <c r="H200" s="43">
        <f>IFERROR(INDEX('Char 4'!$X$26:$Z$35, MATCH(C200, 'Char 4'!$X$26:$X$35, 0), 3)*HLOOKUP('Char 4'!$Z$7, artifactSubstatValues, MATCH(C200, 'Artifact Database'!$A$1:$A$11, 0)),0)</f>
        <v>0</v>
      </c>
      <c r="I200" s="81">
        <f>VLOOKUP(C200, 'Char 4'!$R$5:$T$50, 3,0)</f>
        <v>0</v>
      </c>
      <c r="J200" s="36"/>
      <c r="K200" s="81">
        <f t="shared" si="13"/>
        <v>0</v>
      </c>
      <c r="L200" s="33"/>
      <c r="N200" s="33"/>
      <c r="O200" s="280" t="s">
        <v>743</v>
      </c>
      <c r="P200" s="280"/>
      <c r="Q200" s="280"/>
      <c r="R200" s="33"/>
    </row>
    <row r="201" spans="2:18" x14ac:dyDescent="0.25">
      <c r="B201" s="33"/>
      <c r="C201" s="34" t="s">
        <v>96</v>
      </c>
      <c r="D201" s="43">
        <f t="shared" si="14"/>
        <v>0</v>
      </c>
      <c r="E201" s="81">
        <f t="shared" si="15"/>
        <v>0</v>
      </c>
      <c r="F201" s="43">
        <f>IFERROR(INDEX(char4Weapons, MATCH(C201, weapons!$A$199:$A$263, 0), MATCH(char4WeaponName,weapons!$A$199:$CV$199, 0)),0)</f>
        <v>0</v>
      </c>
      <c r="G201" s="81">
        <f>IFERROR(INDEX(char4ArtiSetStats, MATCH('Char 4'!$L$14,artisDB!$A$163:$A$215, 0), MATCH(C201, artisDB!$A$163:$AP$163, 0))+INDEX(char4ArtiSetStats, MATCH('Char 4'!$L$15, artisDB!$A$163:$A$215, 0), MATCH(C201, artisDB!$A$163:$AP$163, 0)),0)</f>
        <v>0</v>
      </c>
      <c r="H201" s="43">
        <f>IFERROR(INDEX('Char 4'!$X$26:$Z$35, MATCH(C201, 'Char 4'!$X$26:$X$35, 0), 3)*HLOOKUP('Char 4'!$Z$7, artifactSubstatValues, MATCH(C201, 'Artifact Database'!$A$1:$A$11, 0)),0)</f>
        <v>0</v>
      </c>
      <c r="I201" s="81">
        <f>VLOOKUP(C201, 'Char 4'!$R$5:$T$50, 3,0)</f>
        <v>0</v>
      </c>
      <c r="J201" s="36"/>
      <c r="K201" s="81">
        <f t="shared" si="13"/>
        <v>0</v>
      </c>
      <c r="L201" s="33"/>
      <c r="N201" s="33"/>
      <c r="O201" s="280"/>
      <c r="P201" s="280"/>
      <c r="Q201" s="280"/>
      <c r="R201" s="33"/>
    </row>
    <row r="202" spans="2:18" x14ac:dyDescent="0.25">
      <c r="B202" s="33"/>
      <c r="C202" s="34" t="s">
        <v>97</v>
      </c>
      <c r="D202" s="43">
        <f t="shared" si="14"/>
        <v>0</v>
      </c>
      <c r="E202" s="81">
        <f t="shared" si="15"/>
        <v>0</v>
      </c>
      <c r="F202" s="43">
        <f>IFERROR(INDEX(char4Weapons, MATCH(C202, weapons!$A$199:$A$263, 0), MATCH(char4WeaponName,weapons!$A$199:$CV$199, 0)),0)</f>
        <v>0</v>
      </c>
      <c r="G202" s="81">
        <f>IFERROR(INDEX(char4ArtiSetStats, MATCH('Char 4'!$L$14,artisDB!$A$163:$A$215, 0), MATCH(C202, artisDB!$A$163:$AP$163, 0))+INDEX(char4ArtiSetStats, MATCH('Char 4'!$L$15, artisDB!$A$163:$A$215, 0), MATCH(C202, artisDB!$A$163:$AP$163, 0)),0)</f>
        <v>0</v>
      </c>
      <c r="H202" s="43">
        <f>IFERROR(INDEX('Char 4'!$X$26:$Z$35, MATCH(C202, 'Char 4'!$X$26:$X$35, 0), 3)*HLOOKUP('Char 4'!$Z$7, artifactSubstatValues, MATCH(C202, 'Artifact Database'!$A$1:$A$11, 0)),0)</f>
        <v>0</v>
      </c>
      <c r="I202" s="81">
        <f>VLOOKUP(C202, 'Char 4'!$R$5:$T$50, 3,0)</f>
        <v>0</v>
      </c>
      <c r="J202" s="36"/>
      <c r="K202" s="81">
        <f t="shared" si="13"/>
        <v>0</v>
      </c>
      <c r="L202" s="33"/>
      <c r="N202" s="33"/>
      <c r="O202" s="281" t="s">
        <v>746</v>
      </c>
      <c r="P202" s="281"/>
      <c r="Q202" s="7" cm="1">
        <f t="array" ref="Q202">char4BaseHP*(1+char4FinalHPPercent)+char4FinalFlatHP</f>
        <v>16863.555199999999</v>
      </c>
      <c r="R202" s="33"/>
    </row>
    <row r="203" spans="2:18" x14ac:dyDescent="0.25">
      <c r="B203" s="33"/>
      <c r="C203" s="34" t="s">
        <v>98</v>
      </c>
      <c r="D203" s="43">
        <f t="shared" si="14"/>
        <v>0</v>
      </c>
      <c r="E203" s="81">
        <f t="shared" si="15"/>
        <v>0</v>
      </c>
      <c r="F203" s="43">
        <f>IFERROR(INDEX(char4Weapons, MATCH(C203, weapons!$A$199:$A$263, 0), MATCH(char4WeaponName,weapons!$A$199:$CV$199, 0)),0)</f>
        <v>0</v>
      </c>
      <c r="G203" s="81">
        <f>IFERROR(INDEX(char4ArtiSetStats, MATCH('Char 4'!$L$14,artisDB!$A$163:$A$215, 0), MATCH(C203, artisDB!$A$163:$AP$163, 0))+INDEX(char4ArtiSetStats, MATCH('Char 4'!$L$15, artisDB!$A$163:$A$215, 0), MATCH(C203, artisDB!$A$163:$AP$163, 0)),0)</f>
        <v>0</v>
      </c>
      <c r="H203" s="43">
        <f>IFERROR(INDEX('Char 4'!$X$26:$Z$35, MATCH(C203, 'Char 4'!$X$26:$X$35, 0), 3)*HLOOKUP('Char 4'!$Z$7, artifactSubstatValues, MATCH(C203, 'Artifact Database'!$A$1:$A$11, 0)),0)</f>
        <v>0</v>
      </c>
      <c r="I203" s="81">
        <f>VLOOKUP(C203, 'Char 4'!$R$5:$T$50, 3,0)</f>
        <v>0</v>
      </c>
      <c r="J203" s="36"/>
      <c r="K203" s="81">
        <f t="shared" si="13"/>
        <v>0</v>
      </c>
      <c r="L203" s="33"/>
      <c r="N203" s="33"/>
      <c r="O203" s="281" t="s">
        <v>745</v>
      </c>
      <c r="P203" s="281"/>
      <c r="Q203" s="7" cm="1">
        <f t="array" ref="Q203">char4BaseDEF*(1+char4FinalDEFPercent)+char4FinalFlatDEF</f>
        <v>791.31600000000003</v>
      </c>
      <c r="R203" s="33"/>
    </row>
    <row r="204" spans="2:18" x14ac:dyDescent="0.25">
      <c r="B204" s="33"/>
      <c r="C204" s="34" t="s">
        <v>419</v>
      </c>
      <c r="D204" s="43">
        <f t="shared" si="14"/>
        <v>0</v>
      </c>
      <c r="E204" s="81">
        <f t="shared" si="15"/>
        <v>0</v>
      </c>
      <c r="F204" s="43">
        <f>IFERROR(INDEX(char4Weapons, MATCH(C204, weapons!$A$199:$A$263, 0), MATCH(char4WeaponName,weapons!$A$199:$CV$199, 0)),0)</f>
        <v>0</v>
      </c>
      <c r="G204" s="81">
        <f>IFERROR(INDEX(char4ArtiSetStats, MATCH('Char 4'!$L$14,artisDB!$A$163:$A$215, 0), MATCH(C204, artisDB!$A$163:$AP$163, 0))+INDEX(char4ArtiSetStats, MATCH('Char 4'!$L$15, artisDB!$A$163:$A$215, 0), MATCH(C204, artisDB!$A$163:$AP$163, 0)),0)</f>
        <v>0</v>
      </c>
      <c r="H204" s="43">
        <f>IFERROR(INDEX('Char 4'!$X$26:$Z$35, MATCH(C204, 'Char 4'!$X$26:$X$35, 0), 3)*HLOOKUP('Char 4'!$Z$7, artifactSubstatValues, MATCH(C204, 'Artifact Database'!$A$1:$A$11, 0)),0)</f>
        <v>0</v>
      </c>
      <c r="I204" s="81">
        <f>VLOOKUP(C204, 'Char 4'!$R$5:$T$50, 3,0)</f>
        <v>0</v>
      </c>
      <c r="J204" s="36"/>
      <c r="K204" s="81">
        <f t="shared" si="13"/>
        <v>0</v>
      </c>
      <c r="L204" s="33"/>
      <c r="N204" s="33"/>
      <c r="O204" s="281" t="s">
        <v>744</v>
      </c>
      <c r="P204" s="281"/>
      <c r="Q204" s="7" cm="1">
        <f t="array" ref="Q204">(char4WeaponBaseATK+char4BaseATK)*(1+char4FinalATKPercent)+char4FinalFlatATK</f>
        <v>1487.8383999999999</v>
      </c>
      <c r="R204" s="33"/>
    </row>
    <row r="205" spans="2:18" x14ac:dyDescent="0.25">
      <c r="B205" s="33"/>
      <c r="C205" s="34" t="s">
        <v>420</v>
      </c>
      <c r="D205" s="43">
        <f t="shared" si="14"/>
        <v>0</v>
      </c>
      <c r="E205" s="81">
        <f t="shared" si="15"/>
        <v>0</v>
      </c>
      <c r="F205" s="43">
        <f>IFERROR(INDEX(char4Weapons, MATCH(C205, weapons!$A$199:$A$263, 0), MATCH(char4WeaponName,weapons!$A$199:$CV$199, 0)),0)</f>
        <v>0</v>
      </c>
      <c r="G205" s="81">
        <f>IFERROR(INDEX(char4ArtiSetStats, MATCH('Char 4'!$L$14,artisDB!$A$163:$A$215, 0), MATCH(C205, artisDB!$A$163:$AP$163, 0))+INDEX(char4ArtiSetStats, MATCH('Char 4'!$L$15, artisDB!$A$163:$A$215, 0), MATCH(C205, artisDB!$A$163:$AP$163, 0)),0)</f>
        <v>0</v>
      </c>
      <c r="H205" s="43">
        <f>IFERROR(INDEX('Char 4'!$X$26:$Z$35, MATCH(C205, 'Char 4'!$X$26:$X$35, 0), 3)*HLOOKUP('Char 4'!$Z$7, artifactSubstatValues, MATCH(C205, 'Artifact Database'!$A$1:$A$11, 0)),0)</f>
        <v>0</v>
      </c>
      <c r="I205" s="81">
        <f>VLOOKUP(C205, 'Char 4'!$R$5:$T$50, 3,0)</f>
        <v>0</v>
      </c>
      <c r="J205" s="36"/>
      <c r="K205" s="81">
        <f t="shared" si="13"/>
        <v>0</v>
      </c>
      <c r="L205" s="33"/>
      <c r="N205" s="33"/>
      <c r="O205" s="33"/>
      <c r="P205" s="33"/>
      <c r="Q205" s="33"/>
      <c r="R205" s="33"/>
    </row>
    <row r="206" spans="2:18" x14ac:dyDescent="0.25">
      <c r="B206" s="33"/>
      <c r="C206" s="34" t="s">
        <v>433</v>
      </c>
      <c r="D206" s="43">
        <f t="shared" si="14"/>
        <v>0</v>
      </c>
      <c r="E206" s="81">
        <f t="shared" si="15"/>
        <v>0</v>
      </c>
      <c r="F206" s="43">
        <f>IFERROR(INDEX(char4Weapons, MATCH(C206, weapons!$A$199:$A$263, 0), MATCH(char4WeaponName,weapons!$A$199:$CV$199, 0)),0)</f>
        <v>0</v>
      </c>
      <c r="G206" s="81">
        <f>IFERROR(INDEX(char4ArtiSetStats, MATCH('Char 4'!$L$14,artisDB!$A$163:$A$215, 0), MATCH(C206, artisDB!$A$163:$AP$163, 0))+INDEX(char4ArtiSetStats, MATCH('Char 4'!$L$15, artisDB!$A$163:$A$215, 0), MATCH(C206, artisDB!$A$163:$AP$163, 0)),0)</f>
        <v>0</v>
      </c>
      <c r="H206" s="43">
        <f>IFERROR(INDEX('Char 4'!$X$26:$Z$35, MATCH(C206, 'Char 4'!$X$26:$X$35, 0), 3)*HLOOKUP('Char 4'!$Z$7, artifactSubstatValues, MATCH(C206, 'Artifact Database'!$A$1:$A$11, 0)),0)</f>
        <v>0</v>
      </c>
      <c r="I206" s="81">
        <f>VLOOKUP(C206, 'Char 4'!$R$5:$T$50, 3,0)</f>
        <v>0</v>
      </c>
      <c r="J206" s="36"/>
      <c r="K206" s="81">
        <f t="shared" si="13"/>
        <v>0</v>
      </c>
      <c r="L206" s="33"/>
    </row>
    <row r="207" spans="2:18" x14ac:dyDescent="0.25">
      <c r="B207" s="33"/>
      <c r="C207" s="34" t="s">
        <v>421</v>
      </c>
      <c r="D207" s="43">
        <f t="shared" si="14"/>
        <v>0</v>
      </c>
      <c r="E207" s="81">
        <f t="shared" si="15"/>
        <v>0</v>
      </c>
      <c r="F207" s="43">
        <f>IFERROR(INDEX(char4Weapons, MATCH(C207, weapons!$A$199:$A$263, 0), MATCH(char4WeaponName,weapons!$A$199:$CV$199, 0)),0)</f>
        <v>0</v>
      </c>
      <c r="G207" s="81">
        <f>IFERROR(INDEX(char4ArtiSetStats, MATCH('Char 4'!$L$14,artisDB!$A$163:$A$215, 0), MATCH(C207, artisDB!$A$163:$AP$163, 0))+INDEX(char4ArtiSetStats, MATCH('Char 4'!$L$15, artisDB!$A$163:$A$215, 0), MATCH(C207, artisDB!$A$163:$AP$163, 0)),0)</f>
        <v>0</v>
      </c>
      <c r="H207" s="43">
        <f>IFERROR(INDEX('Char 4'!$X$26:$Z$35, MATCH(C207, 'Char 4'!$X$26:$X$35, 0), 3)*HLOOKUP('Char 4'!$Z$7, artifactSubstatValues, MATCH(C207, 'Artifact Database'!$A$1:$A$11, 0)),0)</f>
        <v>0</v>
      </c>
      <c r="I207" s="81">
        <f>VLOOKUP(C207, 'Char 4'!$R$5:$T$50, 3,0)</f>
        <v>0</v>
      </c>
      <c r="J207" s="36"/>
      <c r="K207" s="81">
        <f t="shared" si="13"/>
        <v>0</v>
      </c>
      <c r="L207" s="33"/>
    </row>
    <row r="208" spans="2:18" x14ac:dyDescent="0.25">
      <c r="B208" s="33"/>
      <c r="C208" s="33"/>
      <c r="D208" s="33"/>
      <c r="E208" s="33"/>
      <c r="F208" s="33"/>
      <c r="G208" s="33"/>
      <c r="H208" s="33"/>
      <c r="I208" s="33"/>
      <c r="J208" s="33"/>
      <c r="K208" s="33"/>
      <c r="L208" s="33"/>
    </row>
    <row r="211" ht="15" customHeight="1" x14ac:dyDescent="0.25"/>
    <row r="212" ht="15" customHeight="1" x14ac:dyDescent="0.25"/>
  </sheetData>
  <mergeCells count="86">
    <mergeCell ref="C107:K108"/>
    <mergeCell ref="C159:K160"/>
    <mergeCell ref="O55:Q56"/>
    <mergeCell ref="O57:P57"/>
    <mergeCell ref="C3:K4"/>
    <mergeCell ref="O3:Q4"/>
    <mergeCell ref="O5:P5"/>
    <mergeCell ref="C55:K56"/>
    <mergeCell ref="O44:Q45"/>
    <mergeCell ref="O46:P46"/>
    <mergeCell ref="O47:P47"/>
    <mergeCell ref="O48:P48"/>
    <mergeCell ref="O66:Q67"/>
    <mergeCell ref="O68:P68"/>
    <mergeCell ref="O69:P69"/>
    <mergeCell ref="O70:P70"/>
    <mergeCell ref="O74:Q75"/>
    <mergeCell ref="O76:P76"/>
    <mergeCell ref="O77:P77"/>
    <mergeCell ref="O78:P78"/>
    <mergeCell ref="O79:P79"/>
    <mergeCell ref="O83:Q84"/>
    <mergeCell ref="O85:P85"/>
    <mergeCell ref="O86:P86"/>
    <mergeCell ref="O90:Q91"/>
    <mergeCell ref="O92:P92"/>
    <mergeCell ref="O107:Q108"/>
    <mergeCell ref="O96:Q97"/>
    <mergeCell ref="O98:P98"/>
    <mergeCell ref="O99:P99"/>
    <mergeCell ref="O100:P100"/>
    <mergeCell ref="O118:Q119"/>
    <mergeCell ref="O120:P120"/>
    <mergeCell ref="O121:P121"/>
    <mergeCell ref="O122:P122"/>
    <mergeCell ref="O109:P109"/>
    <mergeCell ref="O126:Q127"/>
    <mergeCell ref="O128:P128"/>
    <mergeCell ref="O129:P129"/>
    <mergeCell ref="O130:P130"/>
    <mergeCell ref="O131:P131"/>
    <mergeCell ref="O135:Q136"/>
    <mergeCell ref="O137:P137"/>
    <mergeCell ref="O138:P138"/>
    <mergeCell ref="O142:Q143"/>
    <mergeCell ref="O144:P144"/>
    <mergeCell ref="O148:Q149"/>
    <mergeCell ref="O150:P150"/>
    <mergeCell ref="O151:P151"/>
    <mergeCell ref="O152:P152"/>
    <mergeCell ref="O159:Q160"/>
    <mergeCell ref="O170:Q171"/>
    <mergeCell ref="O172:P172"/>
    <mergeCell ref="O173:P173"/>
    <mergeCell ref="O174:P174"/>
    <mergeCell ref="O161:P161"/>
    <mergeCell ref="O178:Q179"/>
    <mergeCell ref="O180:P180"/>
    <mergeCell ref="O181:P181"/>
    <mergeCell ref="O182:P182"/>
    <mergeCell ref="O183:P183"/>
    <mergeCell ref="O200:Q201"/>
    <mergeCell ref="O202:P202"/>
    <mergeCell ref="O203:P203"/>
    <mergeCell ref="O204:P204"/>
    <mergeCell ref="O187:Q188"/>
    <mergeCell ref="O189:P189"/>
    <mergeCell ref="O190:P190"/>
    <mergeCell ref="O194:Q195"/>
    <mergeCell ref="O196:P196"/>
    <mergeCell ref="O40:P40"/>
    <mergeCell ref="O27:P27"/>
    <mergeCell ref="O26:P26"/>
    <mergeCell ref="O25:P25"/>
    <mergeCell ref="O24:P24"/>
    <mergeCell ref="AC3:AG4"/>
    <mergeCell ref="O38:Q39"/>
    <mergeCell ref="O34:P34"/>
    <mergeCell ref="O33:P33"/>
    <mergeCell ref="O31:Q32"/>
    <mergeCell ref="O36:P36"/>
    <mergeCell ref="O22:Q23"/>
    <mergeCell ref="O18:P18"/>
    <mergeCell ref="O17:P17"/>
    <mergeCell ref="O16:P16"/>
    <mergeCell ref="O14:Q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FEF-A6C8-400F-BD99-2C01E9647B8B}">
  <sheetPr codeName="Sheet9"/>
  <dimension ref="A1:M56"/>
  <sheetViews>
    <sheetView topLeftCell="A13" workbookViewId="0">
      <selection activeCell="A40" sqref="A40"/>
    </sheetView>
  </sheetViews>
  <sheetFormatPr defaultColWidth="9.140625" defaultRowHeight="15" x14ac:dyDescent="0.25"/>
  <cols>
    <col min="1" max="1" width="30.5703125" style="7" customWidth="1"/>
    <col min="2" max="4" width="17" style="7" customWidth="1"/>
    <col min="5" max="5" width="18" style="7" bestFit="1" customWidth="1"/>
    <col min="6" max="18" width="17" style="7" customWidth="1"/>
    <col min="19" max="16384" width="9.140625" style="7"/>
  </cols>
  <sheetData>
    <row r="1" spans="1:13" s="244" customFormat="1" x14ac:dyDescent="0.25">
      <c r="A1" s="244" t="s">
        <v>1088</v>
      </c>
      <c r="B1" s="244" t="s">
        <v>747</v>
      </c>
      <c r="C1" s="244" t="s">
        <v>1089</v>
      </c>
      <c r="D1" s="244" t="s">
        <v>1090</v>
      </c>
      <c r="E1" s="244" t="s">
        <v>1095</v>
      </c>
      <c r="F1" s="244" t="s">
        <v>1096</v>
      </c>
      <c r="G1" s="244" t="s">
        <v>1101</v>
      </c>
      <c r="H1" s="244" t="s">
        <v>100</v>
      </c>
      <c r="I1" s="244" t="s">
        <v>1105</v>
      </c>
      <c r="J1" s="244" t="s">
        <v>802</v>
      </c>
      <c r="K1" s="244" t="s">
        <v>417</v>
      </c>
      <c r="L1" s="244" t="s">
        <v>1107</v>
      </c>
      <c r="M1" s="244" t="s">
        <v>1108</v>
      </c>
    </row>
    <row r="2" spans="1:13" s="211" customFormat="1" x14ac:dyDescent="0.25">
      <c r="A2" s="211" t="s">
        <v>556</v>
      </c>
      <c r="B2" s="211" t="s">
        <v>1042</v>
      </c>
      <c r="C2" s="211">
        <v>187850.8843008838</v>
      </c>
      <c r="D2" s="211">
        <f>C2/$C$9</f>
        <v>9392.5442150441904</v>
      </c>
      <c r="E2" s="213">
        <f>D2/$B$9</f>
        <v>0.30403986166525926</v>
      </c>
      <c r="F2" s="211" t="s">
        <v>1097</v>
      </c>
      <c r="G2" s="211" t="s">
        <v>1102</v>
      </c>
      <c r="H2" s="247">
        <v>1.36</v>
      </c>
      <c r="I2" s="211">
        <v>0</v>
      </c>
      <c r="J2" s="211" t="s">
        <v>1106</v>
      </c>
      <c r="K2" s="211">
        <v>90</v>
      </c>
      <c r="L2" s="211">
        <v>20</v>
      </c>
      <c r="M2" s="211">
        <v>20</v>
      </c>
    </row>
    <row r="3" spans="1:13" s="211" customFormat="1" x14ac:dyDescent="0.25">
      <c r="A3" s="211" t="s">
        <v>737</v>
      </c>
      <c r="B3" s="211" t="s">
        <v>254</v>
      </c>
      <c r="C3" s="211">
        <v>85258.534114919385</v>
      </c>
      <c r="D3" s="211">
        <f t="shared" ref="D3:D5" si="0">C3/$C$9</f>
        <v>4262.9267057459692</v>
      </c>
      <c r="E3" s="213">
        <f t="shared" ref="E3:E5" si="1">D3/$B$9</f>
        <v>0.13799239228793408</v>
      </c>
      <c r="F3" s="211" t="s">
        <v>1098</v>
      </c>
      <c r="G3" s="211" t="s">
        <v>1103</v>
      </c>
      <c r="H3" s="247">
        <v>1.66</v>
      </c>
      <c r="I3" s="211">
        <v>0</v>
      </c>
      <c r="J3" s="211" t="s">
        <v>1106</v>
      </c>
      <c r="K3" s="211">
        <v>90</v>
      </c>
      <c r="L3" s="211">
        <v>20</v>
      </c>
      <c r="M3" s="211">
        <v>20</v>
      </c>
    </row>
    <row r="4" spans="1:13" s="211" customFormat="1" x14ac:dyDescent="0.25">
      <c r="A4" s="211" t="s">
        <v>739</v>
      </c>
      <c r="B4" s="211" t="s">
        <v>227</v>
      </c>
      <c r="C4" s="211">
        <v>223304.32499796624</v>
      </c>
      <c r="D4" s="211">
        <f t="shared" si="0"/>
        <v>11165.216249898313</v>
      </c>
      <c r="E4" s="213">
        <f t="shared" si="1"/>
        <v>0.36142186039906932</v>
      </c>
      <c r="F4" s="211" t="s">
        <v>1099</v>
      </c>
      <c r="G4" s="211" t="s">
        <v>1102</v>
      </c>
      <c r="H4" s="247">
        <v>1.04</v>
      </c>
      <c r="I4" s="211">
        <v>0</v>
      </c>
      <c r="J4" s="211" t="s">
        <v>1106</v>
      </c>
      <c r="K4" s="211">
        <v>90</v>
      </c>
      <c r="L4" s="211">
        <v>20</v>
      </c>
      <c r="M4" s="211">
        <v>20</v>
      </c>
    </row>
    <row r="5" spans="1:13" s="211" customFormat="1" x14ac:dyDescent="0.25">
      <c r="A5" s="211" t="s">
        <v>738</v>
      </c>
      <c r="B5" s="211" t="s">
        <v>229</v>
      </c>
      <c r="C5" s="211">
        <v>121435.78221094365</v>
      </c>
      <c r="D5" s="211">
        <f t="shared" si="0"/>
        <v>6071.7891105471826</v>
      </c>
      <c r="E5" s="213">
        <f t="shared" si="1"/>
        <v>0.1965458856477374</v>
      </c>
      <c r="F5" s="211" t="s">
        <v>1100</v>
      </c>
      <c r="G5" s="211" t="s">
        <v>1104</v>
      </c>
      <c r="H5" s="247">
        <v>1.26</v>
      </c>
      <c r="I5" s="211">
        <v>0</v>
      </c>
      <c r="J5" s="211" t="s">
        <v>1106</v>
      </c>
      <c r="K5" s="211">
        <v>90</v>
      </c>
      <c r="L5" s="211">
        <v>20</v>
      </c>
      <c r="M5" s="211">
        <v>20</v>
      </c>
    </row>
    <row r="6" spans="1:13" s="211" customFormat="1" x14ac:dyDescent="0.25"/>
    <row r="7" spans="1:13" s="211" customFormat="1" x14ac:dyDescent="0.25">
      <c r="A7" s="245" t="s">
        <v>1091</v>
      </c>
    </row>
    <row r="8" spans="1:13" s="211" customFormat="1" x14ac:dyDescent="0.25">
      <c r="A8" s="243" t="s">
        <v>1092</v>
      </c>
      <c r="B8" s="238" t="s">
        <v>1094</v>
      </c>
      <c r="C8" s="238" t="s">
        <v>959</v>
      </c>
    </row>
    <row r="9" spans="1:13" s="211" customFormat="1" ht="75" x14ac:dyDescent="0.25">
      <c r="A9" s="237" t="s">
        <v>1093</v>
      </c>
      <c r="B9" s="246">
        <f>SUM(D2:D5)</f>
        <v>30892.476281235653</v>
      </c>
      <c r="C9" s="246">
        <v>20</v>
      </c>
    </row>
    <row r="10" spans="1:13" s="211" customFormat="1" x14ac:dyDescent="0.25"/>
    <row r="11" spans="1:13" s="211" customFormat="1" x14ac:dyDescent="0.25">
      <c r="A11" s="244" t="s">
        <v>1088</v>
      </c>
      <c r="B11" s="244" t="s">
        <v>747</v>
      </c>
      <c r="C11" s="244" t="s">
        <v>1089</v>
      </c>
      <c r="D11" s="244" t="s">
        <v>1090</v>
      </c>
      <c r="E11" s="244" t="s">
        <v>1095</v>
      </c>
      <c r="F11" s="244" t="s">
        <v>1096</v>
      </c>
      <c r="G11" s="244" t="s">
        <v>1101</v>
      </c>
      <c r="H11" s="244" t="s">
        <v>100</v>
      </c>
      <c r="I11" s="244" t="s">
        <v>1105</v>
      </c>
      <c r="J11" s="244" t="s">
        <v>802</v>
      </c>
      <c r="K11" s="244" t="s">
        <v>417</v>
      </c>
      <c r="L11" s="244" t="s">
        <v>1107</v>
      </c>
      <c r="M11" s="244" t="s">
        <v>1108</v>
      </c>
    </row>
    <row r="12" spans="1:13" s="211" customFormat="1" x14ac:dyDescent="0.25">
      <c r="A12" s="211" t="s">
        <v>556</v>
      </c>
      <c r="B12" s="211" t="s">
        <v>1042</v>
      </c>
      <c r="C12" s="211">
        <v>148718.81082270629</v>
      </c>
      <c r="D12" s="211">
        <f>C12/$C$9</f>
        <v>7435.9405411353146</v>
      </c>
      <c r="E12" s="213">
        <f>D12/$B$9</f>
        <v>0.24070393300429485</v>
      </c>
      <c r="F12" s="211" t="s">
        <v>1097</v>
      </c>
      <c r="G12" s="211" t="s">
        <v>1109</v>
      </c>
      <c r="H12" s="247">
        <v>1.36</v>
      </c>
      <c r="I12" s="211">
        <v>0</v>
      </c>
      <c r="J12" s="211" t="s">
        <v>1106</v>
      </c>
      <c r="K12" s="211">
        <v>90</v>
      </c>
      <c r="L12" s="211">
        <v>20</v>
      </c>
      <c r="M12" s="211">
        <v>20</v>
      </c>
    </row>
    <row r="13" spans="1:13" s="211" customFormat="1" x14ac:dyDescent="0.25">
      <c r="A13" s="211" t="s">
        <v>737</v>
      </c>
      <c r="B13" s="211" t="s">
        <v>254</v>
      </c>
      <c r="C13" s="211">
        <v>85258.534114919385</v>
      </c>
      <c r="D13" s="211">
        <f t="shared" ref="D13:D15" si="2">C13/$C$9</f>
        <v>4262.9267057459692</v>
      </c>
      <c r="E13" s="213">
        <f t="shared" ref="E13:E15" si="3">D13/$B$9</f>
        <v>0.13799239228793408</v>
      </c>
      <c r="F13" s="211" t="s">
        <v>1098</v>
      </c>
      <c r="G13" s="211" t="s">
        <v>1103</v>
      </c>
      <c r="H13" s="247">
        <v>1.66</v>
      </c>
      <c r="I13" s="211">
        <v>0</v>
      </c>
      <c r="J13" s="211" t="s">
        <v>1106</v>
      </c>
      <c r="K13" s="211">
        <v>90</v>
      </c>
      <c r="L13" s="211">
        <v>20</v>
      </c>
      <c r="M13" s="211">
        <v>20</v>
      </c>
    </row>
    <row r="14" spans="1:13" s="211" customFormat="1" x14ac:dyDescent="0.25">
      <c r="A14" s="211" t="s">
        <v>739</v>
      </c>
      <c r="B14" s="211" t="s">
        <v>227</v>
      </c>
      <c r="C14" s="211">
        <v>228306.39321268882</v>
      </c>
      <c r="D14" s="211">
        <f t="shared" si="2"/>
        <v>11415.319660634441</v>
      </c>
      <c r="E14" s="213">
        <f t="shared" si="3"/>
        <v>0.36951779315820665</v>
      </c>
      <c r="F14" s="211" t="s">
        <v>1099</v>
      </c>
      <c r="G14" s="211" t="s">
        <v>1102</v>
      </c>
      <c r="H14" s="247">
        <v>1.04</v>
      </c>
      <c r="I14" s="211">
        <v>0</v>
      </c>
      <c r="J14" s="211" t="s">
        <v>1106</v>
      </c>
      <c r="K14" s="211">
        <v>90</v>
      </c>
      <c r="L14" s="211">
        <v>20</v>
      </c>
      <c r="M14" s="211">
        <v>20</v>
      </c>
    </row>
    <row r="15" spans="1:13" s="211" customFormat="1" x14ac:dyDescent="0.25">
      <c r="A15" s="211" t="s">
        <v>738</v>
      </c>
      <c r="B15" s="211" t="s">
        <v>229</v>
      </c>
      <c r="C15" s="211">
        <v>123821.56204931234</v>
      </c>
      <c r="D15" s="211">
        <f t="shared" si="2"/>
        <v>6191.0781024656171</v>
      </c>
      <c r="E15" s="213">
        <f t="shared" si="3"/>
        <v>0.20040731102628148</v>
      </c>
      <c r="F15" s="211" t="s">
        <v>1100</v>
      </c>
      <c r="G15" s="211" t="s">
        <v>1104</v>
      </c>
      <c r="H15" s="247">
        <v>1.26</v>
      </c>
      <c r="I15" s="211">
        <v>0</v>
      </c>
      <c r="J15" s="211" t="s">
        <v>1106</v>
      </c>
      <c r="K15" s="211">
        <v>90</v>
      </c>
      <c r="L15" s="211">
        <v>20</v>
      </c>
      <c r="M15" s="211">
        <v>20</v>
      </c>
    </row>
    <row r="16" spans="1:13" s="211" customFormat="1" x14ac:dyDescent="0.25"/>
    <row r="17" spans="1:13" s="211" customFormat="1" x14ac:dyDescent="0.25">
      <c r="A17" s="245" t="s">
        <v>1091</v>
      </c>
    </row>
    <row r="18" spans="1:13" s="211" customFormat="1" x14ac:dyDescent="0.25">
      <c r="A18" s="243" t="s">
        <v>1092</v>
      </c>
      <c r="B18" s="238" t="s">
        <v>1094</v>
      </c>
      <c r="C18" s="238" t="s">
        <v>959</v>
      </c>
    </row>
    <row r="19" spans="1:13" s="211" customFormat="1" ht="75" x14ac:dyDescent="0.25">
      <c r="A19" s="237" t="s">
        <v>1093</v>
      </c>
      <c r="B19" s="246">
        <f>SUM(D12:D15)</f>
        <v>29305.26500998134</v>
      </c>
      <c r="C19" s="246">
        <v>20</v>
      </c>
    </row>
    <row r="20" spans="1:13" s="211" customFormat="1" x14ac:dyDescent="0.25"/>
    <row r="21" spans="1:13" s="211" customFormat="1" x14ac:dyDescent="0.25">
      <c r="A21" s="244" t="s">
        <v>1088</v>
      </c>
      <c r="B21" s="244" t="s">
        <v>747</v>
      </c>
      <c r="C21" s="244" t="s">
        <v>1089</v>
      </c>
      <c r="D21" s="244" t="s">
        <v>1090</v>
      </c>
      <c r="E21" s="244" t="s">
        <v>1095</v>
      </c>
      <c r="F21" s="244" t="s">
        <v>1096</v>
      </c>
      <c r="G21" s="244" t="s">
        <v>1101</v>
      </c>
      <c r="H21" s="244" t="s">
        <v>100</v>
      </c>
      <c r="I21" s="244" t="s">
        <v>1105</v>
      </c>
      <c r="J21" s="244" t="s">
        <v>802</v>
      </c>
      <c r="K21" s="244" t="s">
        <v>417</v>
      </c>
      <c r="L21" s="244" t="s">
        <v>1107</v>
      </c>
      <c r="M21" s="244" t="s">
        <v>1108</v>
      </c>
    </row>
    <row r="22" spans="1:13" s="211" customFormat="1" x14ac:dyDescent="0.25">
      <c r="A22" s="211" t="s">
        <v>556</v>
      </c>
      <c r="B22" s="211" t="s">
        <v>1042</v>
      </c>
      <c r="C22" s="211">
        <v>152047.00188372011</v>
      </c>
      <c r="D22" s="211">
        <f>C22/$C$9</f>
        <v>7602.3500941860057</v>
      </c>
      <c r="E22" s="213">
        <f>D22/$B$9</f>
        <v>0.24609066702767807</v>
      </c>
      <c r="F22" s="211" t="s">
        <v>1097</v>
      </c>
      <c r="G22" s="211" t="s">
        <v>1110</v>
      </c>
      <c r="H22" s="247">
        <v>1.36</v>
      </c>
      <c r="I22" s="211">
        <v>0</v>
      </c>
      <c r="J22" s="211" t="s">
        <v>1106</v>
      </c>
      <c r="K22" s="211">
        <v>90</v>
      </c>
      <c r="L22" s="211">
        <v>20</v>
      </c>
      <c r="M22" s="211">
        <v>20</v>
      </c>
    </row>
    <row r="23" spans="1:13" s="211" customFormat="1" x14ac:dyDescent="0.25">
      <c r="A23" s="211" t="s">
        <v>737</v>
      </c>
      <c r="B23" s="211" t="s">
        <v>254</v>
      </c>
      <c r="C23" s="211">
        <v>85258.534114919385</v>
      </c>
      <c r="D23" s="211">
        <f t="shared" ref="D23:D25" si="4">C23/$C$9</f>
        <v>4262.9267057459692</v>
      </c>
      <c r="E23" s="213">
        <f t="shared" ref="E23:E25" si="5">D23/$B$9</f>
        <v>0.13799239228793408</v>
      </c>
      <c r="F23" s="211" t="s">
        <v>1098</v>
      </c>
      <c r="G23" s="211" t="s">
        <v>1103</v>
      </c>
      <c r="H23" s="247">
        <v>1.66</v>
      </c>
      <c r="I23" s="211">
        <v>0</v>
      </c>
      <c r="J23" s="211" t="s">
        <v>1106</v>
      </c>
      <c r="K23" s="211">
        <v>90</v>
      </c>
      <c r="L23" s="211">
        <v>20</v>
      </c>
      <c r="M23" s="211">
        <v>20</v>
      </c>
    </row>
    <row r="24" spans="1:13" s="211" customFormat="1" x14ac:dyDescent="0.25">
      <c r="A24" s="211" t="s">
        <v>739</v>
      </c>
      <c r="B24" s="211" t="s">
        <v>227</v>
      </c>
      <c r="C24" s="211">
        <v>225805.35910532754</v>
      </c>
      <c r="D24" s="211">
        <f t="shared" si="4"/>
        <v>11290.267955266378</v>
      </c>
      <c r="E24" s="213">
        <f t="shared" si="5"/>
        <v>0.36546982677863804</v>
      </c>
      <c r="F24" s="211" t="s">
        <v>1099</v>
      </c>
      <c r="G24" s="211" t="s">
        <v>1102</v>
      </c>
      <c r="H24" s="247">
        <v>1.04</v>
      </c>
      <c r="I24" s="211">
        <v>0</v>
      </c>
      <c r="J24" s="211" t="s">
        <v>1106</v>
      </c>
      <c r="K24" s="211">
        <v>90</v>
      </c>
      <c r="L24" s="211">
        <v>20</v>
      </c>
      <c r="M24" s="211">
        <v>20</v>
      </c>
    </row>
    <row r="25" spans="1:13" s="211" customFormat="1" x14ac:dyDescent="0.25">
      <c r="A25" s="211" t="s">
        <v>738</v>
      </c>
      <c r="B25" s="211" t="s">
        <v>229</v>
      </c>
      <c r="C25" s="211">
        <v>122628.672130128</v>
      </c>
      <c r="D25" s="211">
        <f t="shared" si="4"/>
        <v>6131.4336065063999</v>
      </c>
      <c r="E25" s="213">
        <f t="shared" si="5"/>
        <v>0.19847659833700945</v>
      </c>
      <c r="F25" s="211" t="s">
        <v>1100</v>
      </c>
      <c r="G25" s="211" t="s">
        <v>1104</v>
      </c>
      <c r="H25" s="247">
        <v>1.26</v>
      </c>
      <c r="I25" s="211">
        <v>0</v>
      </c>
      <c r="J25" s="211" t="s">
        <v>1106</v>
      </c>
      <c r="K25" s="211">
        <v>90</v>
      </c>
      <c r="L25" s="211">
        <v>20</v>
      </c>
      <c r="M25" s="211">
        <v>20</v>
      </c>
    </row>
    <row r="26" spans="1:13" s="211" customFormat="1" x14ac:dyDescent="0.25"/>
    <row r="27" spans="1:13" s="211" customFormat="1" x14ac:dyDescent="0.25">
      <c r="A27" s="245" t="s">
        <v>1091</v>
      </c>
    </row>
    <row r="28" spans="1:13" s="211" customFormat="1" x14ac:dyDescent="0.25">
      <c r="A28" s="243" t="s">
        <v>1092</v>
      </c>
      <c r="B28" s="238" t="s">
        <v>1094</v>
      </c>
      <c r="C28" s="238" t="s">
        <v>959</v>
      </c>
    </row>
    <row r="29" spans="1:13" s="211" customFormat="1" ht="75" x14ac:dyDescent="0.25">
      <c r="A29" s="237" t="s">
        <v>1093</v>
      </c>
      <c r="B29" s="246">
        <f>SUM(D22:D25)</f>
        <v>29286.978361704751</v>
      </c>
      <c r="C29" s="246">
        <v>20</v>
      </c>
    </row>
    <row r="30" spans="1:13" s="211" customFormat="1" x14ac:dyDescent="0.25"/>
    <row r="31" spans="1:13" s="211" customFormat="1" x14ac:dyDescent="0.25"/>
    <row r="32" spans="1:13" s="211" customFormat="1" x14ac:dyDescent="0.25">
      <c r="A32" s="244" t="s">
        <v>1127</v>
      </c>
      <c r="B32" s="244" t="s">
        <v>747</v>
      </c>
      <c r="C32" s="244" t="s">
        <v>1089</v>
      </c>
      <c r="D32" s="244" t="s">
        <v>1090</v>
      </c>
      <c r="E32" s="244" t="s">
        <v>1095</v>
      </c>
      <c r="F32" s="244" t="s">
        <v>1096</v>
      </c>
      <c r="G32" s="244" t="s">
        <v>1101</v>
      </c>
      <c r="H32" s="244" t="s">
        <v>100</v>
      </c>
      <c r="I32" s="244" t="s">
        <v>1105</v>
      </c>
      <c r="J32" s="244" t="s">
        <v>802</v>
      </c>
      <c r="K32" s="244" t="s">
        <v>417</v>
      </c>
      <c r="L32" s="244" t="s">
        <v>1107</v>
      </c>
      <c r="M32" s="244" t="s">
        <v>1108</v>
      </c>
    </row>
    <row r="33" spans="1:13" s="211" customFormat="1" x14ac:dyDescent="0.25">
      <c r="A33" s="211" t="s">
        <v>556</v>
      </c>
      <c r="B33" s="211" t="s">
        <v>12</v>
      </c>
      <c r="C33" s="211">
        <v>568874.21563877387</v>
      </c>
      <c r="D33" s="211">
        <f>C33/$C$39</f>
        <v>28443.710781938695</v>
      </c>
      <c r="E33" s="213">
        <f>D33/$B$39</f>
        <v>0.71728225613759988</v>
      </c>
      <c r="F33" s="211" t="s">
        <v>1135</v>
      </c>
      <c r="G33" s="211" t="s">
        <v>1102</v>
      </c>
      <c r="H33" s="247">
        <v>1.1599999999999999</v>
      </c>
      <c r="I33" s="211">
        <v>0</v>
      </c>
      <c r="J33" s="211" t="s">
        <v>1106</v>
      </c>
      <c r="K33" s="211">
        <v>90</v>
      </c>
      <c r="L33" s="211">
        <v>20</v>
      </c>
      <c r="M33" s="211">
        <v>20</v>
      </c>
    </row>
    <row r="34" spans="1:13" s="211" customFormat="1" x14ac:dyDescent="0.25">
      <c r="A34" s="211" t="s">
        <v>737</v>
      </c>
      <c r="B34" s="211" t="s">
        <v>227</v>
      </c>
      <c r="C34" s="211">
        <v>76903.297845166147</v>
      </c>
      <c r="D34" s="211">
        <f>C34/$C$39</f>
        <v>3845.1648922583072</v>
      </c>
      <c r="E34" s="213">
        <f t="shared" ref="E34:E36" si="6">D34/$B$39</f>
        <v>9.6965848453622286E-2</v>
      </c>
      <c r="F34" s="211" t="s">
        <v>1139</v>
      </c>
      <c r="G34" s="211" t="s">
        <v>1141</v>
      </c>
      <c r="H34" s="247">
        <v>1</v>
      </c>
      <c r="I34" s="211">
        <v>0</v>
      </c>
      <c r="J34" s="211" t="s">
        <v>1106</v>
      </c>
      <c r="K34" s="211">
        <v>90</v>
      </c>
      <c r="L34" s="211">
        <v>20</v>
      </c>
      <c r="M34" s="211">
        <v>20</v>
      </c>
    </row>
    <row r="35" spans="1:13" s="211" customFormat="1" x14ac:dyDescent="0.25">
      <c r="A35" s="211" t="s">
        <v>739</v>
      </c>
      <c r="B35" s="211" t="s">
        <v>261</v>
      </c>
      <c r="C35" s="211">
        <v>35420.721623401187</v>
      </c>
      <c r="D35" s="211">
        <f>C35/$C$39</f>
        <v>1771.0360811700593</v>
      </c>
      <c r="E35" s="213">
        <f t="shared" si="6"/>
        <v>4.4661287893891635E-2</v>
      </c>
      <c r="F35" s="211" t="s">
        <v>1140</v>
      </c>
      <c r="G35" s="211" t="s">
        <v>1103</v>
      </c>
      <c r="H35" s="247">
        <v>1.54</v>
      </c>
      <c r="I35" s="211">
        <v>0</v>
      </c>
      <c r="J35" s="211" t="s">
        <v>1106</v>
      </c>
      <c r="K35" s="211">
        <v>90</v>
      </c>
      <c r="L35" s="211">
        <v>20</v>
      </c>
      <c r="M35" s="211">
        <v>20</v>
      </c>
    </row>
    <row r="36" spans="1:13" s="211" customFormat="1" x14ac:dyDescent="0.25">
      <c r="A36" s="211" t="s">
        <v>738</v>
      </c>
      <c r="B36" s="211" t="s">
        <v>229</v>
      </c>
      <c r="C36" s="211">
        <v>111898.5002030105</v>
      </c>
      <c r="D36" s="211">
        <f>C36/$C$39</f>
        <v>5594.9250101505249</v>
      </c>
      <c r="E36" s="213">
        <f t="shared" si="6"/>
        <v>0.14109060751488631</v>
      </c>
      <c r="F36" s="211" t="s">
        <v>1100</v>
      </c>
      <c r="G36" s="211" t="s">
        <v>1104</v>
      </c>
      <c r="H36" s="247">
        <v>1.4</v>
      </c>
      <c r="I36" s="211">
        <v>0</v>
      </c>
      <c r="J36" s="211" t="s">
        <v>1106</v>
      </c>
      <c r="K36" s="211">
        <v>90</v>
      </c>
      <c r="L36" s="211">
        <v>20</v>
      </c>
      <c r="M36" s="211">
        <v>20</v>
      </c>
    </row>
    <row r="37" spans="1:13" s="211" customFormat="1" x14ac:dyDescent="0.25"/>
    <row r="38" spans="1:13" s="211" customFormat="1" x14ac:dyDescent="0.25">
      <c r="A38" s="211" t="s">
        <v>1137</v>
      </c>
      <c r="B38" s="211" t="s">
        <v>1129</v>
      </c>
      <c r="C38" s="211" t="s">
        <v>1128</v>
      </c>
    </row>
    <row r="39" spans="1:13" s="211" customFormat="1" ht="75" x14ac:dyDescent="0.25">
      <c r="A39" s="250" t="s">
        <v>1138</v>
      </c>
      <c r="B39" s="246">
        <f>SUM(C33:C36)/C39</f>
        <v>39654.836765517583</v>
      </c>
      <c r="C39" s="246">
        <v>20</v>
      </c>
    </row>
    <row r="40" spans="1:13" s="211" customFormat="1" x14ac:dyDescent="0.25"/>
    <row r="41" spans="1:13" s="211" customFormat="1" x14ac:dyDescent="0.25"/>
    <row r="42" spans="1:13" s="211" customFormat="1" x14ac:dyDescent="0.25"/>
    <row r="43" spans="1:13" s="211" customFormat="1" x14ac:dyDescent="0.25"/>
    <row r="44" spans="1:13" s="211" customFormat="1" x14ac:dyDescent="0.25"/>
    <row r="45" spans="1:13" s="211" customFormat="1" x14ac:dyDescent="0.25"/>
    <row r="46" spans="1:13" s="211" customFormat="1" x14ac:dyDescent="0.25"/>
    <row r="47" spans="1:13" s="211" customFormat="1" x14ac:dyDescent="0.25"/>
    <row r="48" spans="1:13" s="211" customFormat="1" x14ac:dyDescent="0.25"/>
    <row r="49" spans="1:13" s="211" customFormat="1" x14ac:dyDescent="0.25"/>
    <row r="50" spans="1:13" s="211" customFormat="1" x14ac:dyDescent="0.25"/>
    <row r="51" spans="1:13" s="211" customFormat="1" x14ac:dyDescent="0.25"/>
    <row r="52" spans="1:13" x14ac:dyDescent="0.25">
      <c r="A52" s="211"/>
      <c r="B52" s="211"/>
      <c r="C52" s="211"/>
      <c r="D52" s="211"/>
      <c r="E52" s="211"/>
      <c r="F52" s="211"/>
      <c r="G52" s="211"/>
      <c r="H52" s="211"/>
      <c r="I52" s="211"/>
      <c r="J52" s="211"/>
      <c r="K52" s="211"/>
      <c r="L52" s="211"/>
      <c r="M52" s="211"/>
    </row>
    <row r="53" spans="1:13" x14ac:dyDescent="0.25">
      <c r="A53" s="211"/>
      <c r="B53" s="211"/>
      <c r="C53" s="211"/>
      <c r="D53" s="211"/>
      <c r="E53" s="211"/>
      <c r="F53" s="211"/>
      <c r="G53" s="211"/>
      <c r="H53" s="211"/>
      <c r="I53" s="211"/>
      <c r="J53" s="211"/>
      <c r="K53" s="211"/>
      <c r="L53" s="211"/>
      <c r="M53" s="211"/>
    </row>
    <row r="54" spans="1:13" x14ac:dyDescent="0.25">
      <c r="A54" s="211"/>
      <c r="B54" s="211"/>
      <c r="C54" s="211"/>
      <c r="D54" s="211"/>
      <c r="E54" s="211"/>
      <c r="F54" s="211"/>
      <c r="G54" s="211"/>
      <c r="H54" s="211"/>
      <c r="I54" s="211"/>
      <c r="J54" s="211"/>
      <c r="K54" s="211"/>
      <c r="L54" s="211"/>
      <c r="M54" s="211"/>
    </row>
    <row r="55" spans="1:13" x14ac:dyDescent="0.25">
      <c r="A55" s="211"/>
      <c r="B55" s="211"/>
      <c r="C55" s="211"/>
      <c r="D55" s="211"/>
      <c r="E55" s="211"/>
      <c r="F55" s="211"/>
      <c r="G55" s="211"/>
      <c r="H55" s="211"/>
      <c r="I55" s="211"/>
      <c r="J55" s="211"/>
      <c r="K55" s="211"/>
      <c r="L55" s="211"/>
      <c r="M55" s="211"/>
    </row>
    <row r="56" spans="1:13" x14ac:dyDescent="0.25">
      <c r="A56" s="211"/>
      <c r="B56" s="211"/>
      <c r="C56" s="211"/>
      <c r="D56" s="211"/>
      <c r="E56" s="211"/>
      <c r="F56" s="211"/>
      <c r="G56" s="211"/>
      <c r="H56" s="211"/>
      <c r="I56" s="211"/>
      <c r="J56" s="211"/>
      <c r="K56" s="211"/>
      <c r="L56" s="211"/>
      <c r="M56" s="21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8B74-57C2-47C9-AB1A-AFFFB589A471}">
  <sheetPr codeName="Sheet15"/>
  <dimension ref="A1:K117"/>
  <sheetViews>
    <sheetView zoomScale="80" zoomScaleNormal="80" workbookViewId="0">
      <selection activeCell="I51" sqref="I51"/>
    </sheetView>
  </sheetViews>
  <sheetFormatPr defaultColWidth="9.140625" defaultRowHeight="15" x14ac:dyDescent="0.25"/>
  <cols>
    <col min="1" max="1" width="35.42578125" style="7" customWidth="1"/>
    <col min="2" max="3" width="17" style="7" customWidth="1"/>
    <col min="4" max="4" width="18" style="7" bestFit="1" customWidth="1"/>
    <col min="5" max="5" width="32.5703125" style="7" bestFit="1" customWidth="1"/>
    <col min="6" max="8" width="17" style="7" customWidth="1"/>
    <col min="9" max="9" width="23.5703125" style="7" bestFit="1" customWidth="1"/>
    <col min="10" max="17" width="17" style="7" customWidth="1"/>
    <col min="18" max="16384" width="9.140625" style="7"/>
  </cols>
  <sheetData>
    <row r="1" spans="1:11" s="211" customFormat="1" x14ac:dyDescent="0.25">
      <c r="A1" s="17" t="s">
        <v>1016</v>
      </c>
      <c r="B1" s="7"/>
      <c r="C1" s="7"/>
      <c r="D1" s="7"/>
      <c r="E1" s="7"/>
      <c r="F1" s="7"/>
      <c r="G1" s="7"/>
      <c r="H1" s="7"/>
      <c r="I1" s="7"/>
      <c r="J1" s="7"/>
    </row>
    <row r="2" spans="1:11" s="211" customFormat="1" x14ac:dyDescent="0.25">
      <c r="A2" s="212" t="s">
        <v>979</v>
      </c>
      <c r="B2" s="7" t="s">
        <v>119</v>
      </c>
      <c r="C2" s="7" t="s">
        <v>1003</v>
      </c>
      <c r="D2" s="7"/>
      <c r="E2" s="212" t="s">
        <v>995</v>
      </c>
      <c r="F2" s="7" t="s">
        <v>119</v>
      </c>
      <c r="G2" s="7" t="s">
        <v>1003</v>
      </c>
      <c r="H2" s="7"/>
      <c r="I2" s="17" t="s">
        <v>1006</v>
      </c>
    </row>
    <row r="3" spans="1:11" s="211" customFormat="1" x14ac:dyDescent="0.25">
      <c r="A3" s="7" t="s">
        <v>994</v>
      </c>
      <c r="B3" s="7">
        <v>410345.23842808598</v>
      </c>
      <c r="C3" s="103">
        <f t="shared" ref="C3:C26" si="0">B3/$B$8</f>
        <v>1.0962978235805996</v>
      </c>
      <c r="D3" s="7"/>
      <c r="E3" s="7" t="s">
        <v>481</v>
      </c>
      <c r="F3" s="7">
        <v>361047.3499325033</v>
      </c>
      <c r="G3" s="103">
        <f>F3/$F$6</f>
        <v>1.054096725561851</v>
      </c>
      <c r="H3" s="7"/>
      <c r="I3" s="7" t="s">
        <v>1007</v>
      </c>
      <c r="J3" s="211" t="s">
        <v>119</v>
      </c>
      <c r="K3" s="211" t="s">
        <v>1003</v>
      </c>
    </row>
    <row r="4" spans="1:11" s="211" customFormat="1" x14ac:dyDescent="0.25">
      <c r="A4" s="7" t="s">
        <v>991</v>
      </c>
      <c r="B4" s="7">
        <v>404177.86362790246</v>
      </c>
      <c r="C4" s="103">
        <f t="shared" si="0"/>
        <v>1.0798207722163689</v>
      </c>
      <c r="D4" s="7"/>
      <c r="E4" s="7" t="s">
        <v>980</v>
      </c>
      <c r="F4" s="7">
        <v>356759.18907998648</v>
      </c>
      <c r="G4" s="103">
        <f>F4/$F$6</f>
        <v>1.0415772144390978</v>
      </c>
      <c r="H4" s="7"/>
      <c r="I4" s="7" t="s">
        <v>1014</v>
      </c>
      <c r="J4" s="7">
        <v>388401.09376790095</v>
      </c>
      <c r="K4" s="213">
        <f>J4/$J$8</f>
        <v>1.0298721225307996</v>
      </c>
    </row>
    <row r="5" spans="1:11" s="211" customFormat="1" x14ac:dyDescent="0.25">
      <c r="A5" s="7" t="s">
        <v>980</v>
      </c>
      <c r="B5" s="7">
        <v>399467.2130055973</v>
      </c>
      <c r="C5" s="103">
        <f t="shared" si="0"/>
        <v>1.0672355743360069</v>
      </c>
      <c r="D5" s="7"/>
      <c r="E5" s="7" t="s">
        <v>991</v>
      </c>
      <c r="F5" s="7">
        <v>344044.05866065947</v>
      </c>
      <c r="G5" s="103">
        <f>F5/$F$6</f>
        <v>1.0044547224927918</v>
      </c>
      <c r="H5" s="7"/>
      <c r="I5" s="7" t="s">
        <v>980</v>
      </c>
      <c r="J5" s="7">
        <v>385054.09707403451</v>
      </c>
      <c r="K5" s="213">
        <f t="shared" ref="K5:K21" si="1">J5/$J$8</f>
        <v>1.0209973313818446</v>
      </c>
    </row>
    <row r="6" spans="1:11" s="211" customFormat="1" x14ac:dyDescent="0.25">
      <c r="A6" s="7" t="s">
        <v>481</v>
      </c>
      <c r="B6" s="7">
        <v>385002.91880241525</v>
      </c>
      <c r="C6" s="103">
        <f t="shared" si="0"/>
        <v>1.0285920791286001</v>
      </c>
      <c r="D6" s="7"/>
      <c r="E6" s="7" t="s">
        <v>982</v>
      </c>
      <c r="F6" s="7">
        <v>342518.23497512442</v>
      </c>
      <c r="G6" s="103">
        <f t="shared" ref="G6:G7" si="2">F6/$F$6</f>
        <v>1</v>
      </c>
      <c r="H6" s="7"/>
      <c r="I6" s="7" t="s">
        <v>481</v>
      </c>
      <c r="J6" s="7">
        <v>384842.8971728558</v>
      </c>
      <c r="K6" s="213">
        <f t="shared" si="1"/>
        <v>1.0204373203674699</v>
      </c>
    </row>
    <row r="7" spans="1:11" s="211" customFormat="1" x14ac:dyDescent="0.25">
      <c r="A7" s="7" t="s">
        <v>990</v>
      </c>
      <c r="B7" s="7">
        <v>378681.98105763271</v>
      </c>
      <c r="C7" s="103">
        <f t="shared" si="0"/>
        <v>1.0117047617098847</v>
      </c>
      <c r="D7" s="7"/>
      <c r="E7" s="7" t="s">
        <v>990</v>
      </c>
      <c r="F7" s="239">
        <v>341417.52709647198</v>
      </c>
      <c r="G7" s="103">
        <f t="shared" si="2"/>
        <v>0.99678642546218776</v>
      </c>
      <c r="H7" s="7"/>
      <c r="I7" s="7" t="s">
        <v>987</v>
      </c>
      <c r="J7" s="7">
        <v>378974.018915553</v>
      </c>
      <c r="K7" s="213">
        <f t="shared" si="1"/>
        <v>1.0048755873942481</v>
      </c>
    </row>
    <row r="8" spans="1:11" s="211" customFormat="1" x14ac:dyDescent="0.25">
      <c r="A8" s="7" t="s">
        <v>982</v>
      </c>
      <c r="B8" s="7">
        <v>374300.87846737163</v>
      </c>
      <c r="C8" s="103">
        <f t="shared" si="0"/>
        <v>1</v>
      </c>
      <c r="D8" s="7"/>
      <c r="E8" s="7" t="s">
        <v>1001</v>
      </c>
      <c r="F8" s="7">
        <v>339532.7529292609</v>
      </c>
      <c r="G8" s="103">
        <f t="shared" ref="G8:G26" si="3">F8/$F$6</f>
        <v>0.99128372816098287</v>
      </c>
      <c r="H8" s="7"/>
      <c r="I8" s="7" t="s">
        <v>982</v>
      </c>
      <c r="J8" s="7">
        <v>377135.26298143424</v>
      </c>
      <c r="K8" s="213">
        <f t="shared" si="1"/>
        <v>1</v>
      </c>
    </row>
    <row r="9" spans="1:11" s="211" customFormat="1" x14ac:dyDescent="0.25">
      <c r="A9" s="7" t="s">
        <v>981</v>
      </c>
      <c r="B9" s="7">
        <v>373005.58287052694</v>
      </c>
      <c r="C9" s="103">
        <f t="shared" si="0"/>
        <v>0.99653942677840224</v>
      </c>
      <c r="D9" s="7"/>
      <c r="E9" s="7" t="s">
        <v>987</v>
      </c>
      <c r="F9" s="7">
        <v>335324.92801347072</v>
      </c>
      <c r="G9" s="103">
        <f t="shared" si="3"/>
        <v>0.97899876203035985</v>
      </c>
      <c r="H9" s="7"/>
      <c r="I9" s="7" t="s">
        <v>990</v>
      </c>
      <c r="J9" s="7">
        <v>370954.72933180421</v>
      </c>
      <c r="K9" s="213">
        <f t="shared" si="1"/>
        <v>0.98361189139204341</v>
      </c>
    </row>
    <row r="10" spans="1:11" s="211" customFormat="1" x14ac:dyDescent="0.25">
      <c r="A10" s="7" t="s">
        <v>998</v>
      </c>
      <c r="B10" s="7">
        <v>367399.88206913415</v>
      </c>
      <c r="C10" s="103">
        <f t="shared" si="0"/>
        <v>0.98156297033954454</v>
      </c>
      <c r="D10" s="7"/>
      <c r="E10" s="7" t="s">
        <v>998</v>
      </c>
      <c r="F10" s="7">
        <v>331774.64961473271</v>
      </c>
      <c r="G10" s="103">
        <f t="shared" si="3"/>
        <v>0.96863353753655779</v>
      </c>
      <c r="H10" s="7"/>
      <c r="I10" s="7" t="s">
        <v>1005</v>
      </c>
      <c r="J10" s="7">
        <v>358400.8187792555</v>
      </c>
      <c r="K10" s="213">
        <f t="shared" si="1"/>
        <v>0.95032433707186648</v>
      </c>
    </row>
    <row r="11" spans="1:11" s="211" customFormat="1" x14ac:dyDescent="0.25">
      <c r="A11" s="7" t="s">
        <v>987</v>
      </c>
      <c r="B11" s="7">
        <v>365159.72014581918</v>
      </c>
      <c r="C11" s="103">
        <f t="shared" si="0"/>
        <v>0.97557804737466225</v>
      </c>
      <c r="D11" s="7"/>
      <c r="E11" s="7" t="s">
        <v>989</v>
      </c>
      <c r="F11" s="7">
        <v>326299.25322499755</v>
      </c>
      <c r="G11" s="103">
        <f t="shared" si="3"/>
        <v>0.95264782982633089</v>
      </c>
      <c r="H11" s="7"/>
      <c r="I11" s="7" t="s">
        <v>988</v>
      </c>
      <c r="J11" s="7">
        <v>357942.48304451525</v>
      </c>
      <c r="K11" s="213">
        <f t="shared" si="1"/>
        <v>0.94910902845522616</v>
      </c>
    </row>
    <row r="12" spans="1:11" s="211" customFormat="1" x14ac:dyDescent="0.25">
      <c r="A12" s="7" t="s">
        <v>993</v>
      </c>
      <c r="B12" s="7">
        <v>364089.92742671008</v>
      </c>
      <c r="C12" s="103">
        <f t="shared" si="0"/>
        <v>0.97271993834887127</v>
      </c>
      <c r="D12" s="7"/>
      <c r="E12" s="7" t="s">
        <v>981</v>
      </c>
      <c r="F12" s="7">
        <v>326033.62028481532</v>
      </c>
      <c r="G12" s="103">
        <f t="shared" si="3"/>
        <v>0.95187230048786653</v>
      </c>
      <c r="H12" s="7"/>
      <c r="I12" s="7" t="s">
        <v>989</v>
      </c>
      <c r="J12" s="7">
        <v>357008.29243896122</v>
      </c>
      <c r="K12" s="213">
        <f t="shared" si="1"/>
        <v>0.94663195803182199</v>
      </c>
    </row>
    <row r="13" spans="1:11" s="211" customFormat="1" x14ac:dyDescent="0.25">
      <c r="A13" s="7" t="s">
        <v>989</v>
      </c>
      <c r="B13" s="7">
        <v>363879.94590981724</v>
      </c>
      <c r="C13" s="103">
        <f t="shared" si="0"/>
        <v>0.97215894175769935</v>
      </c>
      <c r="D13" s="7"/>
      <c r="E13" s="7" t="s">
        <v>480</v>
      </c>
      <c r="F13" s="7">
        <v>325571.78095520224</v>
      </c>
      <c r="G13" s="103">
        <f t="shared" si="3"/>
        <v>0.95052393627698994</v>
      </c>
      <c r="H13" s="7"/>
      <c r="I13" s="7" t="s">
        <v>1015</v>
      </c>
      <c r="J13" s="7">
        <v>352147.74399240105</v>
      </c>
      <c r="K13" s="213">
        <f t="shared" si="1"/>
        <v>0.9337438806663293</v>
      </c>
    </row>
    <row r="14" spans="1:11" s="211" customFormat="1" x14ac:dyDescent="0.25">
      <c r="A14" s="7" t="s">
        <v>992</v>
      </c>
      <c r="B14" s="7">
        <v>361006.24002661841</v>
      </c>
      <c r="C14" s="103">
        <f t="shared" si="0"/>
        <v>0.96448141266675624</v>
      </c>
      <c r="D14" s="7"/>
      <c r="E14" s="7" t="s">
        <v>1020</v>
      </c>
      <c r="F14" s="7">
        <v>321392.62537288631</v>
      </c>
      <c r="G14" s="103">
        <f t="shared" si="3"/>
        <v>0.93832267177316164</v>
      </c>
      <c r="H14" s="7"/>
      <c r="I14" s="7" t="s">
        <v>1010</v>
      </c>
      <c r="J14" s="7">
        <v>351172.55079557782</v>
      </c>
      <c r="K14" s="213">
        <f t="shared" si="1"/>
        <v>0.93115808906171016</v>
      </c>
    </row>
    <row r="15" spans="1:11" s="211" customFormat="1" x14ac:dyDescent="0.25">
      <c r="A15" s="7" t="s">
        <v>480</v>
      </c>
      <c r="B15" s="7">
        <v>356941.04406560521</v>
      </c>
      <c r="C15" s="103">
        <f t="shared" si="0"/>
        <v>0.95362064210789799</v>
      </c>
      <c r="D15" s="7"/>
      <c r="E15" s="7" t="s">
        <v>988</v>
      </c>
      <c r="F15" s="7">
        <v>316342.09728987783</v>
      </c>
      <c r="G15" s="103">
        <f t="shared" si="3"/>
        <v>0.92357738942819312</v>
      </c>
      <c r="H15" s="7"/>
      <c r="I15" s="7" t="s">
        <v>1008</v>
      </c>
      <c r="J15" s="7">
        <v>346909.21440595202</v>
      </c>
      <c r="K15" s="213">
        <f t="shared" si="1"/>
        <v>0.91985356040023714</v>
      </c>
    </row>
    <row r="16" spans="1:11" s="211" customFormat="1" x14ac:dyDescent="0.25">
      <c r="A16" s="7" t="s">
        <v>1002</v>
      </c>
      <c r="B16" s="7">
        <v>350034.2821829138</v>
      </c>
      <c r="C16" s="103">
        <f t="shared" si="0"/>
        <v>0.93516820910541043</v>
      </c>
      <c r="D16" s="7"/>
      <c r="E16" s="7" t="s">
        <v>996</v>
      </c>
      <c r="F16" s="7">
        <v>314405.74974036583</v>
      </c>
      <c r="G16" s="103">
        <f t="shared" si="3"/>
        <v>0.9179241209251231</v>
      </c>
      <c r="H16" s="7"/>
      <c r="I16" s="7" t="s">
        <v>1009</v>
      </c>
      <c r="J16" s="7">
        <v>341236.30415666383</v>
      </c>
      <c r="K16" s="213">
        <f t="shared" si="1"/>
        <v>0.90481145003261698</v>
      </c>
    </row>
    <row r="17" spans="1:11" s="211" customFormat="1" x14ac:dyDescent="0.25">
      <c r="A17" s="240" t="s">
        <v>1078</v>
      </c>
      <c r="B17" s="241">
        <v>345501.23846365151</v>
      </c>
      <c r="C17" s="242">
        <f t="shared" si="0"/>
        <v>0.92305751426060134</v>
      </c>
      <c r="D17" s="7"/>
      <c r="E17" s="7" t="s">
        <v>992</v>
      </c>
      <c r="F17" s="7">
        <v>312464.91854086949</v>
      </c>
      <c r="G17" s="103">
        <f t="shared" si="3"/>
        <v>0.91225776217012922</v>
      </c>
      <c r="H17" s="7"/>
      <c r="I17" s="7" t="s">
        <v>1013</v>
      </c>
      <c r="J17" s="7">
        <v>338610.57348659774</v>
      </c>
      <c r="K17" s="213">
        <f t="shared" si="1"/>
        <v>0.897849145183931</v>
      </c>
    </row>
    <row r="18" spans="1:11" s="211" customFormat="1" x14ac:dyDescent="0.25">
      <c r="A18" s="7" t="s">
        <v>1019</v>
      </c>
      <c r="B18" s="7">
        <v>343198.35738866188</v>
      </c>
      <c r="C18" s="103">
        <f t="shared" si="0"/>
        <v>0.91690502783198513</v>
      </c>
      <c r="D18" s="7"/>
      <c r="E18" s="7" t="s">
        <v>1000</v>
      </c>
      <c r="F18" s="7">
        <v>310209.26567517023</v>
      </c>
      <c r="G18" s="103">
        <f t="shared" si="3"/>
        <v>0.90567226500422482</v>
      </c>
      <c r="H18" s="7"/>
      <c r="I18" s="7" t="s">
        <v>999</v>
      </c>
      <c r="J18" s="7">
        <v>335605.84146259842</v>
      </c>
      <c r="K18" s="213">
        <f t="shared" si="1"/>
        <v>0.88988189226717773</v>
      </c>
    </row>
    <row r="19" spans="1:11" s="211" customFormat="1" x14ac:dyDescent="0.25">
      <c r="A19" s="7" t="s">
        <v>986</v>
      </c>
      <c r="B19" s="7">
        <v>342106.08769636584</v>
      </c>
      <c r="C19" s="103">
        <f t="shared" si="0"/>
        <v>0.91398686825734432</v>
      </c>
      <c r="D19" s="7"/>
      <c r="E19" s="7" t="s">
        <v>997</v>
      </c>
      <c r="F19" s="7">
        <v>307041.55950482783</v>
      </c>
      <c r="G19" s="103">
        <f t="shared" si="3"/>
        <v>0.89642398025064829</v>
      </c>
      <c r="H19" s="7"/>
      <c r="I19" s="7" t="s">
        <v>1011</v>
      </c>
      <c r="J19" s="7">
        <v>330166.29471364943</v>
      </c>
      <c r="K19" s="213">
        <f t="shared" si="1"/>
        <v>0.87545856121627907</v>
      </c>
    </row>
    <row r="20" spans="1:11" s="211" customFormat="1" x14ac:dyDescent="0.25">
      <c r="A20" s="7" t="s">
        <v>997</v>
      </c>
      <c r="B20" s="7">
        <v>341855.24232036399</v>
      </c>
      <c r="C20" s="103">
        <f t="shared" si="0"/>
        <v>0.91331669783982095</v>
      </c>
      <c r="D20" s="7"/>
      <c r="E20" s="7" t="s">
        <v>986</v>
      </c>
      <c r="F20" s="7">
        <v>306514.5671900945</v>
      </c>
      <c r="G20" s="103">
        <f t="shared" si="3"/>
        <v>0.89488539847332593</v>
      </c>
      <c r="H20" s="7"/>
      <c r="I20" s="7" t="s">
        <v>1012</v>
      </c>
      <c r="J20" s="7">
        <v>328187.87593123491</v>
      </c>
      <c r="K20" s="213">
        <f t="shared" si="1"/>
        <v>0.87021264820678168</v>
      </c>
    </row>
    <row r="21" spans="1:11" s="211" customFormat="1" x14ac:dyDescent="0.25">
      <c r="A21" s="7" t="s">
        <v>999</v>
      </c>
      <c r="B21" s="7">
        <v>340582.20605853951</v>
      </c>
      <c r="C21" s="103">
        <f t="shared" si="0"/>
        <v>0.90991559371461261</v>
      </c>
      <c r="D21" s="7"/>
      <c r="E21" s="7" t="s">
        <v>983</v>
      </c>
      <c r="F21" s="7">
        <v>302390.95606537233</v>
      </c>
      <c r="G21" s="103">
        <f t="shared" si="3"/>
        <v>0.88284629893451849</v>
      </c>
      <c r="H21" s="7"/>
      <c r="I21" s="7" t="s">
        <v>985</v>
      </c>
      <c r="J21" s="7">
        <v>324061.42317715799</v>
      </c>
      <c r="K21" s="213">
        <f t="shared" si="1"/>
        <v>0.85927107588746221</v>
      </c>
    </row>
    <row r="22" spans="1:11" s="211" customFormat="1" x14ac:dyDescent="0.25">
      <c r="A22" s="7" t="s">
        <v>988</v>
      </c>
      <c r="B22" s="7">
        <v>340547.17113738693</v>
      </c>
      <c r="C22" s="103">
        <f t="shared" si="0"/>
        <v>0.90982199275568343</v>
      </c>
      <c r="D22" s="7"/>
      <c r="E22" s="7" t="s">
        <v>999</v>
      </c>
      <c r="F22" s="7">
        <v>302041.50205357373</v>
      </c>
      <c r="G22" s="103">
        <f t="shared" si="3"/>
        <v>0.88182604956933075</v>
      </c>
      <c r="H22" s="7"/>
      <c r="I22" s="7"/>
      <c r="J22" s="7"/>
    </row>
    <row r="23" spans="1:11" s="211" customFormat="1" x14ac:dyDescent="0.25">
      <c r="A23" s="7" t="s">
        <v>984</v>
      </c>
      <c r="B23" s="7">
        <v>329169.04197534965</v>
      </c>
      <c r="C23" s="103">
        <f t="shared" si="0"/>
        <v>0.87942364261387596</v>
      </c>
      <c r="D23" s="7"/>
      <c r="E23" s="240" t="s">
        <v>1078</v>
      </c>
      <c r="F23" s="241">
        <v>301018.13212097611</v>
      </c>
      <c r="G23" s="242">
        <f t="shared" si="3"/>
        <v>0.87883826723221825</v>
      </c>
      <c r="H23" s="7"/>
      <c r="I23" s="7"/>
      <c r="J23" s="7"/>
    </row>
    <row r="24" spans="1:11" s="211" customFormat="1" x14ac:dyDescent="0.25">
      <c r="A24" s="7" t="s">
        <v>983</v>
      </c>
      <c r="B24" s="7">
        <v>325225.56357105717</v>
      </c>
      <c r="C24" s="103">
        <f t="shared" si="0"/>
        <v>0.86888805845911887</v>
      </c>
      <c r="D24" s="7"/>
      <c r="E24" s="7" t="s">
        <v>1021</v>
      </c>
      <c r="F24" s="7">
        <v>298760.32311605813</v>
      </c>
      <c r="G24" s="103">
        <f t="shared" si="3"/>
        <v>0.87224647510447373</v>
      </c>
      <c r="H24" s="7"/>
      <c r="I24" s="7"/>
      <c r="J24" s="7"/>
    </row>
    <row r="25" spans="1:11" s="211" customFormat="1" x14ac:dyDescent="0.25">
      <c r="A25" s="7" t="s">
        <v>1018</v>
      </c>
      <c r="B25" s="7">
        <v>320332.4880341423</v>
      </c>
      <c r="C25" s="103">
        <f t="shared" si="0"/>
        <v>0.85581548551472653</v>
      </c>
      <c r="D25" s="7"/>
      <c r="E25" s="7" t="s">
        <v>985</v>
      </c>
      <c r="F25" s="7">
        <v>295266.46422535455</v>
      </c>
      <c r="G25" s="103">
        <f t="shared" si="3"/>
        <v>0.86204597033147279</v>
      </c>
      <c r="H25" s="7"/>
      <c r="I25" s="7"/>
      <c r="J25" s="7"/>
    </row>
    <row r="26" spans="1:11" s="211" customFormat="1" x14ac:dyDescent="0.25">
      <c r="A26" s="7" t="s">
        <v>985</v>
      </c>
      <c r="B26" s="7">
        <v>310033.09358698392</v>
      </c>
      <c r="C26" s="103">
        <f t="shared" si="0"/>
        <v>0.82829913425920521</v>
      </c>
      <c r="E26" s="7" t="s">
        <v>984</v>
      </c>
      <c r="F26" s="7">
        <v>294496.74349949718</v>
      </c>
      <c r="G26" s="103">
        <f t="shared" si="3"/>
        <v>0.85979873019281783</v>
      </c>
    </row>
    <row r="27" spans="1:11" s="211" customFormat="1" x14ac:dyDescent="0.25"/>
    <row r="28" spans="1:11" s="211" customFormat="1" x14ac:dyDescent="0.25">
      <c r="A28" s="211" t="s">
        <v>1017</v>
      </c>
    </row>
    <row r="29" spans="1:11" s="211" customFormat="1" x14ac:dyDescent="0.25"/>
    <row r="30" spans="1:11" s="211" customFormat="1" x14ac:dyDescent="0.25"/>
    <row r="31" spans="1:11" s="211" customFormat="1" x14ac:dyDescent="0.25">
      <c r="A31" s="32" t="s">
        <v>1122</v>
      </c>
      <c r="B31" s="32" t="s">
        <v>1090</v>
      </c>
      <c r="C31" s="32" t="s">
        <v>1121</v>
      </c>
      <c r="D31" s="32"/>
      <c r="E31" s="32"/>
      <c r="F31" s="32"/>
      <c r="G31" s="32"/>
    </row>
    <row r="32" spans="1:11" s="211" customFormat="1" x14ac:dyDescent="0.25">
      <c r="A32" s="18" t="s">
        <v>511</v>
      </c>
      <c r="B32" s="32"/>
      <c r="C32" s="32"/>
      <c r="D32" s="32"/>
    </row>
    <row r="33" spans="1:4" s="211" customFormat="1" x14ac:dyDescent="0.25">
      <c r="A33" s="32" t="s">
        <v>1111</v>
      </c>
      <c r="B33" s="32">
        <v>42195.023142847611</v>
      </c>
      <c r="C33" s="248">
        <v>1</v>
      </c>
      <c r="D33" s="32"/>
    </row>
    <row r="34" spans="1:4" s="211" customFormat="1" x14ac:dyDescent="0.25">
      <c r="A34" s="32" t="s">
        <v>1114</v>
      </c>
      <c r="B34" s="32">
        <v>41576.714985669081</v>
      </c>
      <c r="C34" s="248">
        <v>0.98534641976412007</v>
      </c>
      <c r="D34" s="32"/>
    </row>
    <row r="35" spans="1:4" s="211" customFormat="1" x14ac:dyDescent="0.25">
      <c r="A35" s="32" t="s">
        <v>1113</v>
      </c>
      <c r="B35" s="32">
        <v>40809.045245698449</v>
      </c>
      <c r="C35" s="248">
        <v>0.96715304806310798</v>
      </c>
      <c r="D35" s="32"/>
    </row>
    <row r="36" spans="1:4" s="211" customFormat="1" x14ac:dyDescent="0.25">
      <c r="A36" s="32" t="s">
        <v>1112</v>
      </c>
      <c r="B36" s="32">
        <v>40033.885340092056</v>
      </c>
      <c r="C36" s="248">
        <v>0.94878216335042143</v>
      </c>
      <c r="D36" s="32"/>
    </row>
    <row r="37" spans="1:4" s="211" customFormat="1" x14ac:dyDescent="0.25">
      <c r="A37" s="32"/>
      <c r="B37" s="32"/>
      <c r="C37" s="248"/>
      <c r="D37" s="32"/>
    </row>
    <row r="38" spans="1:4" s="211" customFormat="1" x14ac:dyDescent="0.25">
      <c r="A38" s="32" t="s">
        <v>497</v>
      </c>
      <c r="B38" s="32" t="s">
        <v>1090</v>
      </c>
      <c r="C38" s="248"/>
      <c r="D38" s="32"/>
    </row>
    <row r="39" spans="1:4" s="211" customFormat="1" x14ac:dyDescent="0.25">
      <c r="A39" s="32" t="s">
        <v>1111</v>
      </c>
      <c r="B39" s="32">
        <v>42270.303992618923</v>
      </c>
      <c r="C39" s="248">
        <v>1</v>
      </c>
      <c r="D39" s="32"/>
    </row>
    <row r="40" spans="1:4" s="211" customFormat="1" x14ac:dyDescent="0.25">
      <c r="A40" s="32" t="s">
        <v>1114</v>
      </c>
      <c r="B40" s="32">
        <v>41863.562999322123</v>
      </c>
      <c r="C40" s="248">
        <v>0.99037761844892758</v>
      </c>
      <c r="D40" s="32"/>
    </row>
    <row r="41" spans="1:4" s="211" customFormat="1" x14ac:dyDescent="0.25">
      <c r="A41" s="32" t="s">
        <v>1113</v>
      </c>
      <c r="B41" s="32">
        <v>41560.518256982454</v>
      </c>
      <c r="C41" s="248">
        <v>0.98320840711814117</v>
      </c>
      <c r="D41" s="32"/>
    </row>
    <row r="42" spans="1:4" s="211" customFormat="1" x14ac:dyDescent="0.25">
      <c r="A42" s="32" t="s">
        <v>1112</v>
      </c>
      <c r="B42" s="32">
        <v>40905.682804029595</v>
      </c>
      <c r="C42" s="248">
        <v>0.96771678791740856</v>
      </c>
      <c r="D42" s="32"/>
    </row>
    <row r="43" spans="1:4" x14ac:dyDescent="0.25">
      <c r="A43" s="32"/>
      <c r="B43" s="32"/>
      <c r="C43" s="248"/>
      <c r="D43" s="32"/>
    </row>
    <row r="44" spans="1:4" x14ac:dyDescent="0.25">
      <c r="A44" s="32" t="s">
        <v>498</v>
      </c>
      <c r="B44" s="32" t="s">
        <v>1090</v>
      </c>
      <c r="C44" s="248"/>
      <c r="D44" s="32"/>
    </row>
    <row r="45" spans="1:4" x14ac:dyDescent="0.25">
      <c r="A45" s="32" t="s">
        <v>1111</v>
      </c>
      <c r="B45" s="32">
        <v>44671.882645004043</v>
      </c>
      <c r="C45" s="248">
        <v>1</v>
      </c>
      <c r="D45" s="32"/>
    </row>
    <row r="46" spans="1:4" x14ac:dyDescent="0.25">
      <c r="A46" s="32" t="s">
        <v>1114</v>
      </c>
      <c r="B46" s="32">
        <v>44090.538929501592</v>
      </c>
      <c r="C46" s="248">
        <v>0.98698636186609279</v>
      </c>
      <c r="D46" s="32"/>
    </row>
    <row r="47" spans="1:4" x14ac:dyDescent="0.25">
      <c r="A47" s="32" t="s">
        <v>1113</v>
      </c>
      <c r="B47" s="32">
        <v>43398.729798491775</v>
      </c>
      <c r="C47" s="248">
        <v>0.97149990617969506</v>
      </c>
      <c r="D47" s="32"/>
    </row>
    <row r="48" spans="1:4" x14ac:dyDescent="0.25">
      <c r="A48" s="32" t="s">
        <v>1112</v>
      </c>
      <c r="B48" s="32">
        <v>42670.482907155012</v>
      </c>
      <c r="C48" s="248">
        <v>0.95519777499073322</v>
      </c>
      <c r="D48" s="32"/>
    </row>
    <row r="49" spans="1:4" x14ac:dyDescent="0.25">
      <c r="A49" s="32"/>
      <c r="B49" s="32"/>
      <c r="C49" s="248"/>
      <c r="D49" s="32"/>
    </row>
    <row r="50" spans="1:4" x14ac:dyDescent="0.25">
      <c r="A50" s="32" t="s">
        <v>499</v>
      </c>
      <c r="B50" s="32" t="s">
        <v>1090</v>
      </c>
      <c r="C50" s="248"/>
      <c r="D50" s="32"/>
    </row>
    <row r="51" spans="1:4" x14ac:dyDescent="0.25">
      <c r="A51" s="32" t="s">
        <v>1111</v>
      </c>
      <c r="B51" s="32">
        <v>42112.473852405557</v>
      </c>
      <c r="C51" s="248">
        <v>1</v>
      </c>
      <c r="D51" s="32"/>
    </row>
    <row r="52" spans="1:4" x14ac:dyDescent="0.25">
      <c r="A52" s="32" t="s">
        <v>1114</v>
      </c>
      <c r="B52" s="32">
        <v>41624.157609324247</v>
      </c>
      <c r="C52" s="248">
        <v>0.98840447500679385</v>
      </c>
      <c r="D52" s="32"/>
    </row>
    <row r="53" spans="1:4" x14ac:dyDescent="0.25">
      <c r="A53" s="32" t="s">
        <v>1113</v>
      </c>
      <c r="B53" s="32">
        <v>41300.821127334108</v>
      </c>
      <c r="C53" s="248">
        <v>0.98072654843512386</v>
      </c>
      <c r="D53" s="32"/>
    </row>
    <row r="54" spans="1:4" x14ac:dyDescent="0.25">
      <c r="A54" s="32" t="s">
        <v>1112</v>
      </c>
      <c r="B54" s="32">
        <v>40812.612435547911</v>
      </c>
      <c r="C54" s="248">
        <v>0.96913357734781014</v>
      </c>
      <c r="D54" s="32"/>
    </row>
    <row r="56" spans="1:4" x14ac:dyDescent="0.25">
      <c r="A56" s="32" t="s">
        <v>1119</v>
      </c>
      <c r="B56" s="32" t="s">
        <v>1090</v>
      </c>
      <c r="C56" s="32"/>
    </row>
    <row r="57" spans="1:4" x14ac:dyDescent="0.25">
      <c r="A57" s="32" t="s">
        <v>1111</v>
      </c>
      <c r="B57" s="32">
        <v>41128.010468681445</v>
      </c>
      <c r="C57" s="248">
        <v>1</v>
      </c>
    </row>
    <row r="58" spans="1:4" x14ac:dyDescent="0.25">
      <c r="A58" s="32" t="s">
        <v>1114</v>
      </c>
      <c r="B58" s="32">
        <v>40573.079732059901</v>
      </c>
      <c r="C58" s="248">
        <v>0.98650723119602113</v>
      </c>
    </row>
    <row r="59" spans="1:4" x14ac:dyDescent="0.25">
      <c r="A59" s="32" t="s">
        <v>1113</v>
      </c>
      <c r="B59" s="32">
        <v>39878.935638691779</v>
      </c>
      <c r="C59" s="248">
        <v>0.96962958295926271</v>
      </c>
    </row>
    <row r="60" spans="1:4" x14ac:dyDescent="0.25">
      <c r="A60" s="32" t="s">
        <v>1112</v>
      </c>
      <c r="B60" s="32">
        <v>39126.892538118205</v>
      </c>
      <c r="C60" s="248">
        <v>0.95134415918107518</v>
      </c>
    </row>
    <row r="61" spans="1:4" x14ac:dyDescent="0.25">
      <c r="A61" s="32"/>
      <c r="B61" s="32"/>
      <c r="C61" s="248"/>
    </row>
    <row r="62" spans="1:4" x14ac:dyDescent="0.25">
      <c r="A62" s="32" t="s">
        <v>1118</v>
      </c>
      <c r="B62" s="32" t="s">
        <v>1090</v>
      </c>
      <c r="C62" s="248"/>
    </row>
    <row r="63" spans="1:4" x14ac:dyDescent="0.25">
      <c r="A63" s="32" t="s">
        <v>1111</v>
      </c>
      <c r="B63" s="32">
        <v>41514.051700816708</v>
      </c>
      <c r="C63" s="248">
        <v>1</v>
      </c>
    </row>
    <row r="64" spans="1:4" x14ac:dyDescent="0.25">
      <c r="A64" s="32" t="s">
        <v>1114</v>
      </c>
      <c r="B64" s="32">
        <v>41056.71671354428</v>
      </c>
      <c r="C64" s="248">
        <v>0.98898360992156709</v>
      </c>
    </row>
    <row r="65" spans="1:3" x14ac:dyDescent="0.25">
      <c r="A65" s="32" t="s">
        <v>1113</v>
      </c>
      <c r="B65" s="32">
        <v>40417.105724522582</v>
      </c>
      <c r="C65" s="248">
        <v>0.97357651370192455</v>
      </c>
    </row>
    <row r="66" spans="1:3" x14ac:dyDescent="0.25">
      <c r="A66" s="32" t="s">
        <v>1112</v>
      </c>
      <c r="B66" s="32">
        <v>39587.997139987281</v>
      </c>
      <c r="C66" s="248">
        <v>0.95360475593396399</v>
      </c>
    </row>
    <row r="67" spans="1:3" x14ac:dyDescent="0.25">
      <c r="A67" s="32"/>
      <c r="B67" s="32"/>
      <c r="C67" s="248"/>
    </row>
    <row r="68" spans="1:3" x14ac:dyDescent="0.25">
      <c r="A68" s="32" t="s">
        <v>1116</v>
      </c>
      <c r="B68" s="32" t="s">
        <v>1090</v>
      </c>
      <c r="C68" s="248"/>
    </row>
    <row r="69" spans="1:3" x14ac:dyDescent="0.25">
      <c r="A69" s="32" t="s">
        <v>1111</v>
      </c>
      <c r="B69" s="32">
        <v>41294.268706605573</v>
      </c>
      <c r="C69" s="248">
        <v>1</v>
      </c>
    </row>
    <row r="70" spans="1:3" x14ac:dyDescent="0.25">
      <c r="A70" s="32" t="s">
        <v>1114</v>
      </c>
      <c r="B70" s="32">
        <v>40639.534103404047</v>
      </c>
      <c r="C70" s="248">
        <v>0.98414466162717651</v>
      </c>
    </row>
    <row r="71" spans="1:3" x14ac:dyDescent="0.25">
      <c r="A71" s="32" t="s">
        <v>1113</v>
      </c>
      <c r="B71" s="32">
        <v>39855.724030013494</v>
      </c>
      <c r="C71" s="248">
        <v>0.96516357543917553</v>
      </c>
    </row>
    <row r="72" spans="1:3" x14ac:dyDescent="0.25">
      <c r="A72" s="32" t="s">
        <v>1112</v>
      </c>
      <c r="B72" s="32">
        <v>38945.076887080017</v>
      </c>
      <c r="C72" s="248">
        <v>0.94311094752115632</v>
      </c>
    </row>
    <row r="73" spans="1:3" x14ac:dyDescent="0.25">
      <c r="A73" s="32"/>
      <c r="B73" s="32"/>
      <c r="C73" s="248"/>
    </row>
    <row r="74" spans="1:3" x14ac:dyDescent="0.25">
      <c r="A74" s="32" t="s">
        <v>1117</v>
      </c>
      <c r="B74" s="32" t="s">
        <v>1090</v>
      </c>
      <c r="C74" s="248"/>
    </row>
    <row r="75" spans="1:3" x14ac:dyDescent="0.25">
      <c r="A75" s="32" t="s">
        <v>1111</v>
      </c>
      <c r="B75" s="32">
        <v>41229.155235393671</v>
      </c>
      <c r="C75" s="248">
        <v>1</v>
      </c>
    </row>
    <row r="76" spans="1:3" x14ac:dyDescent="0.25">
      <c r="A76" s="32" t="s">
        <v>1114</v>
      </c>
      <c r="B76" s="32">
        <v>40739.00742438047</v>
      </c>
      <c r="C76" s="248">
        <v>0.98811162129772601</v>
      </c>
    </row>
    <row r="77" spans="1:3" x14ac:dyDescent="0.25">
      <c r="A77" s="32" t="s">
        <v>1113</v>
      </c>
      <c r="B77" s="32">
        <v>39792.106974496608</v>
      </c>
      <c r="C77" s="248">
        <v>0.96514485313384712</v>
      </c>
    </row>
    <row r="78" spans="1:3" x14ac:dyDescent="0.25">
      <c r="A78" s="32" t="s">
        <v>1112</v>
      </c>
      <c r="B78" s="32">
        <v>38882.136337063013</v>
      </c>
      <c r="C78" s="248">
        <v>0.94307380578305344</v>
      </c>
    </row>
    <row r="80" spans="1:3" x14ac:dyDescent="0.25">
      <c r="A80" s="211" t="s">
        <v>1120</v>
      </c>
      <c r="B80" s="239" t="s">
        <v>1090</v>
      </c>
      <c r="C80" s="211"/>
    </row>
    <row r="81" spans="1:3" x14ac:dyDescent="0.25">
      <c r="A81" s="211" t="s">
        <v>1111</v>
      </c>
      <c r="B81" s="239">
        <v>41255.972036030966</v>
      </c>
      <c r="C81" s="249">
        <v>1</v>
      </c>
    </row>
    <row r="82" spans="1:3" x14ac:dyDescent="0.25">
      <c r="A82" s="211" t="s">
        <v>1114</v>
      </c>
      <c r="B82" s="239">
        <v>40731.325765362679</v>
      </c>
      <c r="C82" s="249">
        <v>0.98728314363287606</v>
      </c>
    </row>
    <row r="83" spans="1:3" x14ac:dyDescent="0.25">
      <c r="A83" s="211" t="s">
        <v>1113</v>
      </c>
      <c r="B83" s="239">
        <v>40037.142795151594</v>
      </c>
      <c r="C83" s="249">
        <v>0.97045690161378562</v>
      </c>
    </row>
    <row r="84" spans="1:3" x14ac:dyDescent="0.25">
      <c r="A84" s="211" t="s">
        <v>1112</v>
      </c>
      <c r="B84" s="239">
        <v>39278.117085119062</v>
      </c>
      <c r="C84" s="249">
        <v>0.95205894193489027</v>
      </c>
    </row>
    <row r="85" spans="1:3" x14ac:dyDescent="0.25">
      <c r="A85" s="211"/>
      <c r="B85" s="239"/>
      <c r="C85" s="249"/>
    </row>
    <row r="86" spans="1:3" x14ac:dyDescent="0.25">
      <c r="A86" s="211" t="s">
        <v>516</v>
      </c>
      <c r="B86" s="239" t="s">
        <v>1090</v>
      </c>
      <c r="C86" s="249"/>
    </row>
    <row r="87" spans="1:3" x14ac:dyDescent="0.25">
      <c r="A87" s="211" t="s">
        <v>1111</v>
      </c>
      <c r="B87" s="239">
        <v>41527.165827659112</v>
      </c>
      <c r="C87" s="249">
        <v>1</v>
      </c>
    </row>
    <row r="88" spans="1:3" x14ac:dyDescent="0.25">
      <c r="A88" s="211" t="s">
        <v>1114</v>
      </c>
      <c r="B88" s="239">
        <v>40856.22325272036</v>
      </c>
      <c r="C88" s="249">
        <v>0.98384328519496822</v>
      </c>
    </row>
    <row r="89" spans="1:3" x14ac:dyDescent="0.25">
      <c r="A89" s="211" t="s">
        <v>1113</v>
      </c>
      <c r="B89" s="239">
        <v>39927.202169044147</v>
      </c>
      <c r="C89" s="249">
        <v>0.96147187926922495</v>
      </c>
    </row>
    <row r="90" spans="1:3" x14ac:dyDescent="0.25">
      <c r="A90" s="211" t="s">
        <v>1112</v>
      </c>
      <c r="B90" s="239">
        <v>39005.391529030472</v>
      </c>
      <c r="C90" s="249">
        <v>0.93927410531471867</v>
      </c>
    </row>
    <row r="91" spans="1:3" x14ac:dyDescent="0.25">
      <c r="C91" s="103"/>
    </row>
    <row r="92" spans="1:3" x14ac:dyDescent="0.25">
      <c r="A92" s="7" t="s">
        <v>510</v>
      </c>
      <c r="B92" s="239" t="s">
        <v>1090</v>
      </c>
      <c r="C92" s="103"/>
    </row>
    <row r="93" spans="1:3" x14ac:dyDescent="0.25">
      <c r="A93" s="7" t="s">
        <v>1111</v>
      </c>
      <c r="B93" s="7">
        <v>41436.94223763905</v>
      </c>
      <c r="C93" s="103">
        <v>1</v>
      </c>
    </row>
    <row r="94" spans="1:3" x14ac:dyDescent="0.25">
      <c r="A94" s="7" t="s">
        <v>1114</v>
      </c>
      <c r="B94" s="7">
        <v>40871.927598262009</v>
      </c>
      <c r="C94" s="103">
        <v>0.98636447071464139</v>
      </c>
    </row>
    <row r="95" spans="1:3" x14ac:dyDescent="0.25">
      <c r="A95" s="7" t="s">
        <v>1113</v>
      </c>
      <c r="B95" s="7">
        <v>40191.834862061514</v>
      </c>
      <c r="C95" s="103">
        <v>0.96995175540615663</v>
      </c>
    </row>
    <row r="96" spans="1:3" x14ac:dyDescent="0.25">
      <c r="A96" s="7" t="s">
        <v>1112</v>
      </c>
      <c r="B96" s="7">
        <v>39365.729717282913</v>
      </c>
      <c r="C96" s="103">
        <v>0.95001531463210231</v>
      </c>
    </row>
    <row r="98" spans="1:5" x14ac:dyDescent="0.25">
      <c r="A98" s="7" t="s">
        <v>501</v>
      </c>
      <c r="B98" s="239" t="s">
        <v>1090</v>
      </c>
    </row>
    <row r="99" spans="1:5" x14ac:dyDescent="0.25">
      <c r="A99" s="7" t="s">
        <v>1111</v>
      </c>
      <c r="B99" s="7">
        <v>41145.46132100658</v>
      </c>
      <c r="C99" s="103">
        <v>1</v>
      </c>
    </row>
    <row r="100" spans="1:5" x14ac:dyDescent="0.25">
      <c r="A100" s="7" t="s">
        <v>1114</v>
      </c>
      <c r="B100" s="7">
        <v>40594.806317638308</v>
      </c>
      <c r="C100" s="103">
        <v>0.98661687132215625</v>
      </c>
    </row>
    <row r="101" spans="1:5" x14ac:dyDescent="0.25">
      <c r="A101" s="7" t="s">
        <v>1113</v>
      </c>
      <c r="B101" s="7">
        <v>39942.695874815836</v>
      </c>
      <c r="C101" s="103">
        <v>0.97076796789791542</v>
      </c>
    </row>
    <row r="102" spans="1:5" x14ac:dyDescent="0.25">
      <c r="A102" s="7" t="s">
        <v>1112</v>
      </c>
      <c r="B102" s="7">
        <v>39187.0285312462</v>
      </c>
      <c r="C102" s="103">
        <v>0.95240221577585005</v>
      </c>
    </row>
    <row r="105" spans="1:5" x14ac:dyDescent="0.25">
      <c r="A105" s="17" t="s">
        <v>1130</v>
      </c>
      <c r="B105" s="7" t="s">
        <v>1131</v>
      </c>
      <c r="C105" s="7" t="s">
        <v>1132</v>
      </c>
      <c r="D105" s="7" t="s">
        <v>1133</v>
      </c>
      <c r="E105" s="7" t="s">
        <v>1134</v>
      </c>
    </row>
    <row r="106" spans="1:5" x14ac:dyDescent="0.25">
      <c r="A106" s="7" t="s">
        <v>498</v>
      </c>
      <c r="B106" s="239">
        <v>44671.882645004043</v>
      </c>
      <c r="C106" s="103"/>
    </row>
    <row r="107" spans="1:5" x14ac:dyDescent="0.25">
      <c r="A107" s="7" t="s">
        <v>497</v>
      </c>
      <c r="B107" s="239">
        <v>42270.303992618923</v>
      </c>
      <c r="C107" s="103"/>
    </row>
    <row r="108" spans="1:5" x14ac:dyDescent="0.25">
      <c r="A108" s="7" t="s">
        <v>511</v>
      </c>
      <c r="B108" s="239">
        <v>42195.023142847611</v>
      </c>
      <c r="C108" s="103"/>
    </row>
    <row r="109" spans="1:5" x14ac:dyDescent="0.25">
      <c r="A109" s="7" t="s">
        <v>1123</v>
      </c>
      <c r="B109" s="239">
        <v>42112.473852405557</v>
      </c>
      <c r="C109" s="103"/>
    </row>
    <row r="110" spans="1:5" x14ac:dyDescent="0.25">
      <c r="A110" s="7" t="s">
        <v>516</v>
      </c>
      <c r="B110" s="239">
        <v>41527.165827659112</v>
      </c>
      <c r="C110" s="103"/>
    </row>
    <row r="111" spans="1:5" x14ac:dyDescent="0.25">
      <c r="A111" s="7" t="s">
        <v>500</v>
      </c>
      <c r="B111" s="239">
        <v>41514.051700816708</v>
      </c>
      <c r="C111" s="103"/>
    </row>
    <row r="112" spans="1:5" x14ac:dyDescent="0.25">
      <c r="A112" s="7" t="s">
        <v>510</v>
      </c>
      <c r="B112" s="239">
        <v>41436.94223763905</v>
      </c>
      <c r="C112" s="103"/>
    </row>
    <row r="113" spans="1:3" x14ac:dyDescent="0.25">
      <c r="A113" s="7" t="s">
        <v>1124</v>
      </c>
      <c r="B113" s="239">
        <v>41294.268706605573</v>
      </c>
      <c r="C113" s="103"/>
    </row>
    <row r="114" spans="1:3" x14ac:dyDescent="0.25">
      <c r="A114" s="7" t="s">
        <v>1120</v>
      </c>
      <c r="B114" s="239">
        <v>41255.972036030966</v>
      </c>
      <c r="C114" s="103"/>
    </row>
    <row r="115" spans="1:3" x14ac:dyDescent="0.25">
      <c r="A115" s="7" t="s">
        <v>1125</v>
      </c>
      <c r="B115" s="239">
        <v>41229.155235393671</v>
      </c>
      <c r="C115" s="103"/>
    </row>
    <row r="116" spans="1:3" x14ac:dyDescent="0.25">
      <c r="A116" s="7" t="s">
        <v>501</v>
      </c>
      <c r="B116" s="7">
        <v>41145.46132100658</v>
      </c>
      <c r="C116" s="103"/>
    </row>
    <row r="117" spans="1:3" x14ac:dyDescent="0.25">
      <c r="A117" s="7" t="s">
        <v>1115</v>
      </c>
      <c r="B117" s="239">
        <v>41128.010468681445</v>
      </c>
      <c r="C117" s="10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0BE43-2FCA-493C-BC7A-4807C7E2D012}">
  <sheetPr codeName="Sheet10"/>
  <dimension ref="A1:Z1219"/>
  <sheetViews>
    <sheetView topLeftCell="A439" zoomScaleNormal="100" workbookViewId="0">
      <pane xSplit="2" topLeftCell="C1" activePane="topRight" state="frozen"/>
      <selection activeCell="A79" sqref="A79"/>
      <selection pane="topRight" activeCell="C598" sqref="C598"/>
    </sheetView>
  </sheetViews>
  <sheetFormatPr defaultRowHeight="15" x14ac:dyDescent="0.25"/>
  <cols>
    <col min="1" max="1" width="11.140625" bestFit="1" customWidth="1"/>
    <col min="2" max="2" width="45.5703125" customWidth="1"/>
    <col min="3" max="3" width="10.140625" bestFit="1" customWidth="1"/>
    <col min="9" max="9" width="9.42578125" bestFit="1" customWidth="1"/>
    <col min="18" max="19" width="21.7109375" bestFit="1" customWidth="1"/>
  </cols>
  <sheetData>
    <row r="1" spans="1:26" x14ac:dyDescent="0.25">
      <c r="B1" s="3" t="s">
        <v>12</v>
      </c>
      <c r="C1" s="22">
        <v>1</v>
      </c>
      <c r="D1" s="22">
        <v>2</v>
      </c>
      <c r="E1" s="22">
        <v>3</v>
      </c>
      <c r="F1" s="22">
        <v>4</v>
      </c>
      <c r="G1" s="22">
        <v>5</v>
      </c>
      <c r="H1" s="22">
        <v>6</v>
      </c>
      <c r="I1" s="22">
        <v>7</v>
      </c>
      <c r="J1" s="22">
        <v>8</v>
      </c>
      <c r="K1" s="22">
        <v>9</v>
      </c>
      <c r="L1" s="22">
        <v>10</v>
      </c>
      <c r="M1" s="22">
        <v>11</v>
      </c>
      <c r="N1" s="22">
        <v>12</v>
      </c>
      <c r="O1" s="22">
        <v>13</v>
      </c>
      <c r="P1" s="22">
        <v>14</v>
      </c>
      <c r="Q1" s="22">
        <v>15</v>
      </c>
      <c r="R1" s="5" t="s">
        <v>11</v>
      </c>
      <c r="S1" s="5" t="s">
        <v>1023</v>
      </c>
      <c r="T1" t="s">
        <v>124</v>
      </c>
      <c r="U1" t="s">
        <v>943</v>
      </c>
      <c r="W1" t="s">
        <v>815</v>
      </c>
    </row>
    <row r="2" spans="1:26" x14ac:dyDescent="0.25">
      <c r="A2" t="s">
        <v>816</v>
      </c>
      <c r="B2" s="3" t="s">
        <v>10</v>
      </c>
      <c r="C2" s="23">
        <v>0.45729999999999998</v>
      </c>
      <c r="D2" s="23">
        <v>0.4945</v>
      </c>
      <c r="E2" s="23">
        <v>0.53169999999999995</v>
      </c>
      <c r="F2" s="23">
        <v>0.58489999999999998</v>
      </c>
      <c r="G2" s="23">
        <v>0.62209999999999999</v>
      </c>
      <c r="H2" s="23">
        <v>0.66459999999999997</v>
      </c>
      <c r="I2" s="23">
        <v>0.72309999999999997</v>
      </c>
      <c r="J2" s="23">
        <v>0.78159999999999996</v>
      </c>
      <c r="K2" s="23">
        <v>0.84009999999999996</v>
      </c>
      <c r="L2" s="23">
        <v>0.90390000000000004</v>
      </c>
      <c r="M2" s="23">
        <v>0.9677</v>
      </c>
      <c r="N2" s="23">
        <v>1.0315000000000001</v>
      </c>
      <c r="O2" s="23">
        <v>1.0952999999999999</v>
      </c>
      <c r="P2" s="23">
        <v>1.1591</v>
      </c>
      <c r="Q2" s="23">
        <v>1.2229000000000001</v>
      </c>
      <c r="R2" s="5" t="s">
        <v>6</v>
      </c>
      <c r="S2" s="5" t="s">
        <v>6</v>
      </c>
      <c r="T2" t="s">
        <v>125</v>
      </c>
      <c r="W2" s="207" t="s">
        <v>624</v>
      </c>
      <c r="X2" s="207" t="s">
        <v>625</v>
      </c>
      <c r="Y2" s="207" t="s">
        <v>626</v>
      </c>
      <c r="Z2" s="207" t="s">
        <v>627</v>
      </c>
    </row>
    <row r="3" spans="1:26" x14ac:dyDescent="0.25">
      <c r="B3" s="3" t="s">
        <v>9</v>
      </c>
      <c r="C3" s="23">
        <v>0.48680000000000001</v>
      </c>
      <c r="D3" s="23">
        <v>0.52649999999999997</v>
      </c>
      <c r="E3" s="23">
        <v>0.56610000000000005</v>
      </c>
      <c r="F3" s="23">
        <v>0.62270000000000003</v>
      </c>
      <c r="G3" s="23">
        <v>0.6623</v>
      </c>
      <c r="H3" s="23">
        <v>0.70760000000000001</v>
      </c>
      <c r="I3" s="23">
        <v>0.76990000000000003</v>
      </c>
      <c r="J3" s="23">
        <v>0.83220000000000005</v>
      </c>
      <c r="K3" s="23">
        <v>0.89439999999999997</v>
      </c>
      <c r="L3" s="23">
        <v>0.96240000000000003</v>
      </c>
      <c r="M3" s="23">
        <v>1.0303</v>
      </c>
      <c r="N3" s="23">
        <v>1.0982000000000001</v>
      </c>
      <c r="O3" s="23">
        <v>1.1661999999999999</v>
      </c>
      <c r="P3" s="23">
        <v>1.2341</v>
      </c>
      <c r="Q3" s="23">
        <v>1.302</v>
      </c>
      <c r="R3" s="5" t="s">
        <v>6</v>
      </c>
      <c r="S3" s="5" t="s">
        <v>6</v>
      </c>
      <c r="T3" t="s">
        <v>125</v>
      </c>
      <c r="V3" t="s">
        <v>796</v>
      </c>
      <c r="W3">
        <f>MATCH(char1Name&amp;"-Start",A:A, 0)</f>
        <v>865</v>
      </c>
      <c r="X3">
        <f>MATCH(char2Name&amp;"-Start",A:A, 0)</f>
        <v>332</v>
      </c>
      <c r="Y3">
        <f>MATCH(char3Name&amp;"-Start",A:A, 0)</f>
        <v>634</v>
      </c>
      <c r="Z3">
        <f>MATCH(char4Name&amp;"-Start",A:A, 0)</f>
        <v>969</v>
      </c>
    </row>
    <row r="4" spans="1:26" x14ac:dyDescent="0.25">
      <c r="B4" s="3" t="s">
        <v>8</v>
      </c>
      <c r="C4" s="23">
        <v>0.62619999999999998</v>
      </c>
      <c r="D4" s="23">
        <v>0.67720000000000002</v>
      </c>
      <c r="E4" s="23">
        <v>0.72819999999999996</v>
      </c>
      <c r="F4" s="23">
        <v>0.80100000000000005</v>
      </c>
      <c r="G4" s="23">
        <v>0.85189999999999999</v>
      </c>
      <c r="H4" s="23">
        <v>0.91020000000000001</v>
      </c>
      <c r="I4" s="23">
        <v>0.99029999999999996</v>
      </c>
      <c r="J4" s="23">
        <v>1.0704</v>
      </c>
      <c r="K4" s="23">
        <v>1.1505000000000001</v>
      </c>
      <c r="L4" s="23">
        <v>1.2379</v>
      </c>
      <c r="M4" s="23">
        <v>1.3252999999999999</v>
      </c>
      <c r="N4" s="23">
        <v>1.4126000000000001</v>
      </c>
      <c r="O4" s="24">
        <v>1.5</v>
      </c>
      <c r="P4" s="23">
        <v>1.5873999999999999</v>
      </c>
      <c r="Q4" s="23">
        <v>1.6748000000000001</v>
      </c>
      <c r="R4" s="5" t="s">
        <v>6</v>
      </c>
      <c r="S4" s="5" t="s">
        <v>6</v>
      </c>
      <c r="T4" t="s">
        <v>125</v>
      </c>
      <c r="V4" t="s">
        <v>903</v>
      </c>
      <c r="W4">
        <f>MATCH(char1Name&amp;"-End", A:A, 0)</f>
        <v>887</v>
      </c>
      <c r="X4">
        <f>MATCH(char2Name&amp;"-End", A:A, 0)</f>
        <v>355</v>
      </c>
      <c r="Y4">
        <f>MATCH(char3Name&amp;"-End", A:A, 0)</f>
        <v>653</v>
      </c>
      <c r="Z4">
        <f>MATCH(char4Name&amp;"-End", A:A, 0)</f>
        <v>994</v>
      </c>
    </row>
    <row r="5" spans="1:26" x14ac:dyDescent="0.25">
      <c r="B5" s="3" t="s">
        <v>194</v>
      </c>
      <c r="C5" s="23">
        <v>0.22650000000000001</v>
      </c>
      <c r="D5" s="23">
        <v>0.24490000000000001</v>
      </c>
      <c r="E5" s="23">
        <v>0.26329999999999998</v>
      </c>
      <c r="F5" s="23">
        <v>0.28970000000000001</v>
      </c>
      <c r="G5" s="23">
        <v>0.30809999999999998</v>
      </c>
      <c r="H5" s="23">
        <v>0.32919999999999999</v>
      </c>
      <c r="I5" s="23">
        <v>0.35810000000000003</v>
      </c>
      <c r="J5" s="23">
        <v>0.3871</v>
      </c>
      <c r="K5" s="23">
        <v>0.41609999999999997</v>
      </c>
      <c r="L5" s="23">
        <v>0.44769999999999999</v>
      </c>
      <c r="M5" s="23">
        <v>0.4793</v>
      </c>
      <c r="N5" s="23">
        <v>0.51090000000000002</v>
      </c>
      <c r="O5" s="23">
        <v>0.54249999999999998</v>
      </c>
      <c r="P5" s="23">
        <v>0.57410000000000005</v>
      </c>
      <c r="Q5" s="23">
        <v>0.60570000000000002</v>
      </c>
      <c r="R5" s="5" t="s">
        <v>6</v>
      </c>
      <c r="S5" s="5" t="s">
        <v>6</v>
      </c>
      <c r="T5" t="s">
        <v>125</v>
      </c>
      <c r="W5" s="207"/>
    </row>
    <row r="6" spans="1:26" x14ac:dyDescent="0.25">
      <c r="B6" s="3" t="s">
        <v>7</v>
      </c>
      <c r="C6" s="23">
        <v>0.78180000000000005</v>
      </c>
      <c r="D6" s="23">
        <v>0.84550000000000003</v>
      </c>
      <c r="E6" s="23">
        <v>0.90910000000000002</v>
      </c>
      <c r="F6" s="24">
        <v>1</v>
      </c>
      <c r="G6" s="23">
        <v>1.0636000000000001</v>
      </c>
      <c r="H6" s="23">
        <v>1.1364000000000001</v>
      </c>
      <c r="I6" s="23">
        <v>1.2363999999999999</v>
      </c>
      <c r="J6" s="23">
        <v>1.3364</v>
      </c>
      <c r="K6" s="23">
        <v>1.4363999999999999</v>
      </c>
      <c r="L6" s="23">
        <v>1.5455000000000001</v>
      </c>
      <c r="M6" s="23">
        <v>1.6545000000000001</v>
      </c>
      <c r="N6" s="23">
        <v>1.7636000000000001</v>
      </c>
      <c r="O6" s="23">
        <v>1.8727</v>
      </c>
      <c r="P6" s="23">
        <v>1.9818</v>
      </c>
      <c r="Q6" s="23">
        <v>2.0909</v>
      </c>
      <c r="R6" s="5" t="s">
        <v>6</v>
      </c>
      <c r="S6" s="5" t="s">
        <v>6</v>
      </c>
      <c r="T6" t="s">
        <v>125</v>
      </c>
    </row>
    <row r="7" spans="1:26" x14ac:dyDescent="0.25">
      <c r="B7" s="3" t="s">
        <v>195</v>
      </c>
      <c r="C7" s="23">
        <v>0.55130000000000001</v>
      </c>
      <c r="D7" s="23">
        <v>0.59609999999999996</v>
      </c>
      <c r="E7" s="23">
        <v>0.64100000000000001</v>
      </c>
      <c r="F7" s="23">
        <v>0.70509999999999995</v>
      </c>
      <c r="G7" s="24">
        <v>0.75</v>
      </c>
      <c r="H7" s="23">
        <v>0.80130000000000001</v>
      </c>
      <c r="I7" s="23">
        <v>0.87180000000000002</v>
      </c>
      <c r="J7" s="23">
        <v>0.94230000000000003</v>
      </c>
      <c r="K7" s="23">
        <v>1.0127999999999999</v>
      </c>
      <c r="L7" s="23">
        <v>1.0896999999999999</v>
      </c>
      <c r="M7" s="23">
        <v>1.1666000000000001</v>
      </c>
      <c r="N7" s="23">
        <v>1.2435</v>
      </c>
      <c r="O7" s="23">
        <v>1.3205</v>
      </c>
      <c r="P7" s="23">
        <v>1.3974</v>
      </c>
      <c r="Q7" s="23">
        <v>1.4743000000000002</v>
      </c>
      <c r="R7" s="5" t="s">
        <v>5</v>
      </c>
      <c r="S7" s="5" t="s">
        <v>5</v>
      </c>
      <c r="T7" t="s">
        <v>125</v>
      </c>
    </row>
    <row r="8" spans="1:26" x14ac:dyDescent="0.25">
      <c r="B8" s="3" t="s">
        <v>152</v>
      </c>
      <c r="C8" s="25">
        <v>0.63929999999999998</v>
      </c>
      <c r="D8" s="25">
        <v>0.69140000000000001</v>
      </c>
      <c r="E8" s="25">
        <v>0.74339999999999995</v>
      </c>
      <c r="F8" s="25">
        <v>0.81769999999999998</v>
      </c>
      <c r="G8" s="25">
        <v>0.86980000000000002</v>
      </c>
      <c r="H8" s="25">
        <v>0.92930000000000001</v>
      </c>
      <c r="I8" s="25">
        <v>1.0109999999999999</v>
      </c>
      <c r="J8" s="25">
        <v>1.0928</v>
      </c>
      <c r="K8" s="25">
        <v>1.1746000000000001</v>
      </c>
      <c r="L8" s="25">
        <v>1.2638</v>
      </c>
      <c r="M8" s="25">
        <v>1.353</v>
      </c>
      <c r="N8" s="25">
        <v>1.4421999999999999</v>
      </c>
      <c r="O8" s="25">
        <v>1.5314000000000001</v>
      </c>
      <c r="P8" s="25">
        <v>1.6206</v>
      </c>
      <c r="Q8" s="25">
        <v>1.7098</v>
      </c>
      <c r="R8" s="5" t="s">
        <v>3</v>
      </c>
      <c r="S8" s="5" t="s">
        <v>3</v>
      </c>
      <c r="T8" t="s">
        <v>125</v>
      </c>
      <c r="W8" s="207"/>
    </row>
    <row r="9" spans="1:26" x14ac:dyDescent="0.25">
      <c r="B9" s="3" t="s">
        <v>133</v>
      </c>
      <c r="C9" s="26">
        <v>1.2784</v>
      </c>
      <c r="D9" s="23">
        <v>1.3824000000000001</v>
      </c>
      <c r="E9" s="23">
        <v>1.4864999999999999</v>
      </c>
      <c r="F9" s="23">
        <v>1.6351</v>
      </c>
      <c r="G9" s="26">
        <v>1.7392000000000001</v>
      </c>
      <c r="H9" s="26">
        <v>1.8581000000000001</v>
      </c>
      <c r="I9" s="26">
        <v>2.0215999999999998</v>
      </c>
      <c r="J9" s="26">
        <v>2.1850999999999998</v>
      </c>
      <c r="K9" s="26">
        <v>2.3485999999999998</v>
      </c>
      <c r="L9" s="26">
        <v>2.5270000000000001</v>
      </c>
      <c r="M9" s="26">
        <v>2.7054</v>
      </c>
      <c r="N9" s="26">
        <v>2.8837999999999999</v>
      </c>
      <c r="O9" s="26">
        <v>3.0621999999999998</v>
      </c>
      <c r="P9" s="26">
        <v>3.2404999999999999</v>
      </c>
      <c r="Q9" s="26">
        <v>3.4188999999999998</v>
      </c>
      <c r="R9" s="5" t="s">
        <v>3</v>
      </c>
      <c r="S9" s="5" t="s">
        <v>3</v>
      </c>
      <c r="T9" t="s">
        <v>125</v>
      </c>
    </row>
    <row r="10" spans="1:26" x14ac:dyDescent="0.25">
      <c r="B10" s="3" t="s">
        <v>134</v>
      </c>
      <c r="C10" s="23">
        <v>1.5968</v>
      </c>
      <c r="D10" s="23">
        <v>1.7266999999999999</v>
      </c>
      <c r="E10" s="23">
        <v>1.8567</v>
      </c>
      <c r="F10" s="23">
        <v>2.0424000000000002</v>
      </c>
      <c r="G10" s="23">
        <v>2.1722999999999999</v>
      </c>
      <c r="H10" s="23">
        <v>2.3209</v>
      </c>
      <c r="I10" s="23">
        <v>2.5251000000000001</v>
      </c>
      <c r="J10" s="23">
        <v>2.7292999999999998</v>
      </c>
      <c r="K10" s="23">
        <v>2.9336000000000002</v>
      </c>
      <c r="L10" s="23">
        <v>3.1564000000000001</v>
      </c>
      <c r="M10" s="23">
        <v>3.3792</v>
      </c>
      <c r="N10" s="23">
        <v>3.6019999999999999</v>
      </c>
      <c r="O10" s="23">
        <v>3.8248000000000002</v>
      </c>
      <c r="P10" s="23">
        <v>4.0476000000000001</v>
      </c>
      <c r="Q10" s="26">
        <v>4.2704000000000004</v>
      </c>
      <c r="R10" s="5" t="s">
        <v>3</v>
      </c>
      <c r="S10" s="5" t="s">
        <v>3</v>
      </c>
      <c r="T10" t="s">
        <v>125</v>
      </c>
    </row>
    <row r="11" spans="1:26" x14ac:dyDescent="0.25">
      <c r="B11" s="3" t="s">
        <v>4</v>
      </c>
      <c r="C11" s="23">
        <v>2.3919999999999999</v>
      </c>
      <c r="D11" s="23">
        <v>2.5714000000000001</v>
      </c>
      <c r="E11" s="23">
        <v>2.7507999999999999</v>
      </c>
      <c r="F11" s="24">
        <v>2.99</v>
      </c>
      <c r="G11" s="23">
        <v>3.1694</v>
      </c>
      <c r="H11" s="23">
        <v>3.3488000000000002</v>
      </c>
      <c r="I11" s="23">
        <v>3.5880000000000001</v>
      </c>
      <c r="J11" s="23">
        <v>3.8271999999999999</v>
      </c>
      <c r="K11" s="23">
        <v>4.0663999999999998</v>
      </c>
      <c r="L11" s="23">
        <v>4.3056000000000001</v>
      </c>
      <c r="M11" s="23">
        <v>4.5448000000000004</v>
      </c>
      <c r="N11" s="23">
        <v>4.7839999999999998</v>
      </c>
      <c r="O11" s="23">
        <v>5.0830000000000002</v>
      </c>
      <c r="P11" s="23">
        <v>5.3819999999999997</v>
      </c>
      <c r="Q11" s="23">
        <v>5.681</v>
      </c>
      <c r="R11" s="5" t="s">
        <v>19</v>
      </c>
      <c r="S11" s="5" t="s">
        <v>19</v>
      </c>
      <c r="T11" t="s">
        <v>125</v>
      </c>
      <c r="W11" s="207"/>
    </row>
    <row r="12" spans="1:26" x14ac:dyDescent="0.25">
      <c r="B12" s="3" t="s">
        <v>2</v>
      </c>
      <c r="C12" s="23">
        <v>1.123</v>
      </c>
      <c r="D12" s="23">
        <v>1.2072000000000001</v>
      </c>
      <c r="E12" s="23">
        <v>1.2915000000000001</v>
      </c>
      <c r="F12" s="23">
        <v>1.4037999999999999</v>
      </c>
      <c r="G12" s="23">
        <v>1.488</v>
      </c>
      <c r="H12" s="23">
        <v>1.5722</v>
      </c>
      <c r="I12" s="23">
        <v>1.6845000000000001</v>
      </c>
      <c r="J12" s="23">
        <v>1.7968</v>
      </c>
      <c r="K12" s="23">
        <v>1.9091</v>
      </c>
      <c r="L12" s="23">
        <v>2.0213999999999999</v>
      </c>
      <c r="M12" s="23">
        <v>2.1337000000000002</v>
      </c>
      <c r="N12" s="23">
        <v>2.246</v>
      </c>
      <c r="O12" s="23">
        <v>2.3864000000000001</v>
      </c>
      <c r="P12" s="23">
        <v>2.5268000000000002</v>
      </c>
      <c r="Q12" s="23">
        <v>2.6671</v>
      </c>
      <c r="R12" s="5" t="s">
        <v>0</v>
      </c>
      <c r="S12" s="5" t="s">
        <v>0</v>
      </c>
      <c r="T12" t="s">
        <v>125</v>
      </c>
    </row>
    <row r="13" spans="1:26" x14ac:dyDescent="0.25">
      <c r="B13" s="3" t="s">
        <v>1</v>
      </c>
      <c r="C13" s="23">
        <v>1.6845000000000001</v>
      </c>
      <c r="D13" s="23">
        <v>1.8108</v>
      </c>
      <c r="E13" s="23">
        <v>1.9372</v>
      </c>
      <c r="F13" s="23">
        <v>2.1055999999999999</v>
      </c>
      <c r="G13" s="23">
        <v>2.2320000000000002</v>
      </c>
      <c r="H13" s="23">
        <v>2.3582999999999998</v>
      </c>
      <c r="I13" s="23">
        <v>2.5268000000000002</v>
      </c>
      <c r="J13" s="23">
        <v>2.6951999999999998</v>
      </c>
      <c r="K13" s="23">
        <v>2.8635999999999999</v>
      </c>
      <c r="L13" s="23">
        <v>3.0320999999999998</v>
      </c>
      <c r="M13" s="23">
        <v>3.2004999999999999</v>
      </c>
      <c r="N13" s="23">
        <v>3.3690000000000002</v>
      </c>
      <c r="O13" s="23">
        <v>3.5796000000000001</v>
      </c>
      <c r="P13" s="23">
        <v>3.7900999999999998</v>
      </c>
      <c r="Q13" s="23">
        <v>4.0007000000000001</v>
      </c>
      <c r="R13" s="5" t="s">
        <v>0</v>
      </c>
      <c r="S13" s="5" t="s">
        <v>0</v>
      </c>
      <c r="T13" t="s">
        <v>125</v>
      </c>
    </row>
    <row r="14" spans="1:26" x14ac:dyDescent="0.25">
      <c r="B14" s="3" t="s">
        <v>763</v>
      </c>
      <c r="C14" s="23"/>
      <c r="D14" s="23"/>
      <c r="E14" s="23"/>
      <c r="F14" s="23"/>
      <c r="G14" s="23"/>
      <c r="H14" s="23"/>
      <c r="I14" s="23"/>
      <c r="J14" s="23"/>
      <c r="K14" s="23"/>
      <c r="L14" s="23"/>
      <c r="M14" s="23"/>
      <c r="N14" s="23"/>
      <c r="O14" s="23"/>
      <c r="P14" s="23"/>
      <c r="Q14" s="23"/>
      <c r="R14" s="5" t="s">
        <v>763</v>
      </c>
      <c r="S14" s="5" t="s">
        <v>763</v>
      </c>
      <c r="T14" t="s">
        <v>764</v>
      </c>
    </row>
    <row r="15" spans="1:26" x14ac:dyDescent="0.25">
      <c r="B15" s="3" t="s">
        <v>386</v>
      </c>
      <c r="C15" s="23"/>
      <c r="D15" s="23"/>
      <c r="E15" s="23"/>
      <c r="F15" s="23"/>
      <c r="G15" s="23"/>
      <c r="H15" s="23"/>
      <c r="I15" s="23"/>
      <c r="J15" s="23"/>
      <c r="K15" s="23"/>
      <c r="L15" s="23"/>
      <c r="M15" s="23"/>
      <c r="N15" s="23"/>
      <c r="O15" s="23"/>
      <c r="P15" s="23"/>
      <c r="Q15" s="23"/>
      <c r="R15" s="5" t="s">
        <v>392</v>
      </c>
      <c r="S15" s="5" t="s">
        <v>392</v>
      </c>
      <c r="T15" t="s">
        <v>69</v>
      </c>
    </row>
    <row r="16" spans="1:26" x14ac:dyDescent="0.25">
      <c r="B16" s="3" t="s">
        <v>388</v>
      </c>
      <c r="C16" s="23"/>
      <c r="D16" s="23"/>
      <c r="E16" s="23"/>
      <c r="F16" s="23"/>
      <c r="G16" s="23"/>
      <c r="H16" s="23"/>
      <c r="I16" s="23"/>
      <c r="J16" s="23"/>
      <c r="K16" s="23"/>
      <c r="L16" s="23"/>
      <c r="M16" s="23"/>
      <c r="N16" s="23"/>
      <c r="O16" s="23"/>
      <c r="P16" s="23"/>
      <c r="Q16" s="23"/>
      <c r="R16" s="5" t="s">
        <v>392</v>
      </c>
      <c r="S16" s="5" t="s">
        <v>392</v>
      </c>
      <c r="T16" t="s">
        <v>69</v>
      </c>
    </row>
    <row r="17" spans="1:20" x14ac:dyDescent="0.25">
      <c r="B17" s="3" t="s">
        <v>389</v>
      </c>
      <c r="C17" s="23"/>
      <c r="D17" s="23"/>
      <c r="E17" s="23"/>
      <c r="F17" s="23"/>
      <c r="G17" s="23"/>
      <c r="H17" s="23"/>
      <c r="I17" s="23"/>
      <c r="J17" s="23"/>
      <c r="K17" s="23"/>
      <c r="L17" s="23"/>
      <c r="M17" s="23"/>
      <c r="N17" s="23"/>
      <c r="O17" s="23"/>
      <c r="P17" s="23"/>
      <c r="Q17" s="23"/>
      <c r="R17" s="5" t="s">
        <v>392</v>
      </c>
      <c r="S17" s="5" t="s">
        <v>392</v>
      </c>
      <c r="T17" t="s">
        <v>69</v>
      </c>
    </row>
    <row r="18" spans="1:20" x14ac:dyDescent="0.25">
      <c r="B18" s="3" t="s">
        <v>385</v>
      </c>
      <c r="C18" s="23"/>
      <c r="D18" s="23"/>
      <c r="E18" s="23"/>
      <c r="F18" s="23"/>
      <c r="G18" s="23"/>
      <c r="H18" s="23"/>
      <c r="I18" s="23"/>
      <c r="J18" s="23"/>
      <c r="K18" s="23"/>
      <c r="L18" s="23"/>
      <c r="M18" s="23"/>
      <c r="N18" s="23"/>
      <c r="O18" s="23"/>
      <c r="P18" s="23"/>
      <c r="Q18" s="23"/>
      <c r="R18" s="5" t="s">
        <v>392</v>
      </c>
      <c r="S18" s="5" t="s">
        <v>392</v>
      </c>
      <c r="T18" t="s">
        <v>69</v>
      </c>
    </row>
    <row r="19" spans="1:20" x14ac:dyDescent="0.25">
      <c r="B19" s="3" t="s">
        <v>387</v>
      </c>
      <c r="C19" s="23"/>
      <c r="D19" s="23"/>
      <c r="E19" s="23"/>
      <c r="F19" s="23"/>
      <c r="G19" s="23"/>
      <c r="H19" s="23"/>
      <c r="I19" s="23"/>
      <c r="J19" s="23"/>
      <c r="K19" s="23"/>
      <c r="L19" s="23"/>
      <c r="M19" s="23"/>
      <c r="N19" s="23"/>
      <c r="O19" s="23"/>
      <c r="P19" s="23"/>
      <c r="Q19" s="23"/>
      <c r="R19" s="5" t="s">
        <v>392</v>
      </c>
      <c r="S19" s="5" t="s">
        <v>392</v>
      </c>
      <c r="T19" t="s">
        <v>69</v>
      </c>
    </row>
    <row r="20" spans="1:20" x14ac:dyDescent="0.25">
      <c r="B20" s="3" t="s">
        <v>390</v>
      </c>
      <c r="C20" s="23"/>
      <c r="D20" s="23"/>
      <c r="E20" s="23"/>
      <c r="F20" s="23"/>
      <c r="G20" s="23"/>
      <c r="H20" s="23"/>
      <c r="I20" s="23"/>
      <c r="J20" s="23"/>
      <c r="K20" s="23"/>
      <c r="L20" s="23"/>
      <c r="M20" s="23"/>
      <c r="N20" s="23"/>
      <c r="O20" s="23"/>
      <c r="P20" s="23"/>
      <c r="Q20" s="23"/>
      <c r="R20" s="5" t="s">
        <v>392</v>
      </c>
      <c r="S20" s="5" t="s">
        <v>392</v>
      </c>
      <c r="T20" t="s">
        <v>69</v>
      </c>
    </row>
    <row r="21" spans="1:20" x14ac:dyDescent="0.25">
      <c r="B21" s="3" t="s">
        <v>391</v>
      </c>
      <c r="C21" s="23"/>
      <c r="D21" s="23"/>
      <c r="E21" s="23"/>
      <c r="F21" s="23"/>
      <c r="G21" s="23"/>
      <c r="H21" s="23"/>
      <c r="I21" s="23"/>
      <c r="J21" s="23"/>
      <c r="K21" s="23"/>
      <c r="L21" s="23"/>
      <c r="M21" s="23"/>
      <c r="N21" s="23"/>
      <c r="O21" s="23"/>
      <c r="P21" s="23"/>
      <c r="Q21" s="23"/>
      <c r="R21" s="5" t="s">
        <v>392</v>
      </c>
      <c r="S21" s="5" t="s">
        <v>392</v>
      </c>
      <c r="T21" t="s">
        <v>69</v>
      </c>
    </row>
    <row r="22" spans="1:20" x14ac:dyDescent="0.25">
      <c r="A22" t="s">
        <v>817</v>
      </c>
      <c r="B22" s="3" t="s">
        <v>393</v>
      </c>
      <c r="C22" s="23"/>
      <c r="D22" s="23"/>
      <c r="E22" s="23"/>
      <c r="F22" s="23"/>
      <c r="G22" s="23"/>
      <c r="H22" s="23"/>
      <c r="I22" s="23"/>
      <c r="J22" s="23"/>
      <c r="K22" s="23"/>
      <c r="L22" s="23"/>
      <c r="M22" s="23"/>
      <c r="N22" s="23"/>
      <c r="O22" s="23"/>
      <c r="P22" s="23"/>
      <c r="Q22" s="23"/>
      <c r="R22" s="5" t="s">
        <v>392</v>
      </c>
      <c r="S22" s="5" t="s">
        <v>392</v>
      </c>
      <c r="T22" t="s">
        <v>69</v>
      </c>
    </row>
    <row r="23" spans="1:20" x14ac:dyDescent="0.25">
      <c r="B23" s="3" t="s">
        <v>18</v>
      </c>
      <c r="C23" s="27">
        <v>1</v>
      </c>
      <c r="D23" s="27">
        <v>2</v>
      </c>
      <c r="E23" s="27">
        <v>3</v>
      </c>
      <c r="F23" s="27">
        <v>4</v>
      </c>
      <c r="G23" s="27">
        <v>5</v>
      </c>
      <c r="H23" s="27">
        <v>6</v>
      </c>
      <c r="I23" s="27">
        <v>7</v>
      </c>
      <c r="J23" s="27">
        <v>8</v>
      </c>
      <c r="K23" s="27">
        <v>9</v>
      </c>
      <c r="L23" s="27">
        <v>10</v>
      </c>
      <c r="M23" s="27">
        <v>11</v>
      </c>
      <c r="N23" s="27">
        <v>12</v>
      </c>
      <c r="O23" s="27">
        <v>13</v>
      </c>
      <c r="P23" s="27">
        <v>14</v>
      </c>
      <c r="Q23" s="27">
        <v>15</v>
      </c>
      <c r="R23" s="5" t="s">
        <v>11</v>
      </c>
      <c r="S23" s="5" t="s">
        <v>1024</v>
      </c>
      <c r="T23" t="s">
        <v>124</v>
      </c>
    </row>
    <row r="24" spans="1:20" x14ac:dyDescent="0.25">
      <c r="A24" t="s">
        <v>818</v>
      </c>
      <c r="B24" s="3" t="s">
        <v>10</v>
      </c>
      <c r="C24" s="25">
        <v>0.3674</v>
      </c>
      <c r="D24" s="25">
        <v>0.39729999999999999</v>
      </c>
      <c r="E24" s="25">
        <v>0.42720000000000002</v>
      </c>
      <c r="F24" s="25">
        <v>0.46989999999999998</v>
      </c>
      <c r="G24" s="25">
        <v>0.49980000000000002</v>
      </c>
      <c r="H24" s="25">
        <v>0.53400000000000003</v>
      </c>
      <c r="I24" s="25">
        <v>0.58099999999999996</v>
      </c>
      <c r="J24" s="25">
        <v>0.628</v>
      </c>
      <c r="K24" s="25">
        <v>0.67500000000000004</v>
      </c>
      <c r="L24" s="25">
        <v>0.72619999999999996</v>
      </c>
      <c r="M24" s="25">
        <v>0.78500000000000003</v>
      </c>
      <c r="N24" s="25">
        <v>0.85409999999999997</v>
      </c>
      <c r="O24" s="25">
        <v>0.92310000000000003</v>
      </c>
      <c r="P24" s="25">
        <v>0.99219999999999997</v>
      </c>
      <c r="Q24" s="25">
        <v>1.0676000000000001</v>
      </c>
      <c r="R24" s="5" t="s">
        <v>6</v>
      </c>
      <c r="S24" s="5" t="s">
        <v>6</v>
      </c>
      <c r="T24" t="s">
        <v>125</v>
      </c>
    </row>
    <row r="25" spans="1:20" x14ac:dyDescent="0.25">
      <c r="B25" s="3" t="s">
        <v>9</v>
      </c>
      <c r="C25" s="25">
        <v>0.3674</v>
      </c>
      <c r="D25" s="25">
        <v>0.39729999999999999</v>
      </c>
      <c r="E25" s="25">
        <v>0.42720000000000002</v>
      </c>
      <c r="F25" s="25">
        <v>0.46989999999999998</v>
      </c>
      <c r="G25" s="25">
        <v>0.49980000000000002</v>
      </c>
      <c r="H25" s="25">
        <v>0.53400000000000003</v>
      </c>
      <c r="I25" s="25">
        <v>0.58099999999999996</v>
      </c>
      <c r="J25" s="25">
        <v>0.628</v>
      </c>
      <c r="K25" s="25">
        <v>0.67500000000000004</v>
      </c>
      <c r="L25" s="25">
        <v>0.72619999999999996</v>
      </c>
      <c r="M25" s="25">
        <v>0.78500000000000003</v>
      </c>
      <c r="N25" s="25">
        <v>0.85409999999999997</v>
      </c>
      <c r="O25" s="25">
        <v>0.92310000000000003</v>
      </c>
      <c r="P25" s="25">
        <v>0.99219999999999997</v>
      </c>
      <c r="Q25" s="25">
        <v>1.0676000000000001</v>
      </c>
      <c r="R25" s="5" t="s">
        <v>6</v>
      </c>
      <c r="S25" s="5" t="s">
        <v>6</v>
      </c>
      <c r="T25" t="s">
        <v>125</v>
      </c>
    </row>
    <row r="26" spans="1:20" x14ac:dyDescent="0.25">
      <c r="B26" s="3" t="s">
        <v>8</v>
      </c>
      <c r="C26" s="25">
        <v>0.47449999999999998</v>
      </c>
      <c r="D26" s="25">
        <v>0.51319999999999999</v>
      </c>
      <c r="E26" s="25">
        <v>0.55179999999999996</v>
      </c>
      <c r="F26" s="25">
        <v>0.60699999999999998</v>
      </c>
      <c r="G26" s="25">
        <v>0.64559999999999995</v>
      </c>
      <c r="H26" s="25">
        <v>0.68979999999999997</v>
      </c>
      <c r="I26" s="25">
        <v>0.75039999999999996</v>
      </c>
      <c r="J26" s="25">
        <v>0.81110000000000004</v>
      </c>
      <c r="K26" s="25">
        <v>0.87180000000000002</v>
      </c>
      <c r="L26" s="25">
        <v>0.93810000000000004</v>
      </c>
      <c r="M26" s="25">
        <v>1.0139</v>
      </c>
      <c r="N26" s="25">
        <v>1.1032</v>
      </c>
      <c r="O26" s="25">
        <v>1.1923999999999999</v>
      </c>
      <c r="P26" s="25">
        <v>1.2816000000000001</v>
      </c>
      <c r="Q26" s="25">
        <v>1.3789</v>
      </c>
      <c r="R26" s="5" t="s">
        <v>6</v>
      </c>
      <c r="S26" s="5" t="s">
        <v>6</v>
      </c>
      <c r="T26" t="s">
        <v>125</v>
      </c>
    </row>
    <row r="27" spans="1:20" x14ac:dyDescent="0.25">
      <c r="B27" s="3" t="s">
        <v>13</v>
      </c>
      <c r="C27" s="25">
        <v>0.4975</v>
      </c>
      <c r="D27" s="25">
        <v>0.53800000000000003</v>
      </c>
      <c r="E27" s="25">
        <v>0.57850000000000001</v>
      </c>
      <c r="F27" s="25">
        <v>0.63639999999999997</v>
      </c>
      <c r="G27" s="25">
        <v>0.67679999999999996</v>
      </c>
      <c r="H27" s="25">
        <v>0.72309999999999997</v>
      </c>
      <c r="I27" s="25">
        <v>0.78680000000000005</v>
      </c>
      <c r="J27" s="25">
        <v>0.85040000000000004</v>
      </c>
      <c r="K27" s="25">
        <v>0.91400000000000003</v>
      </c>
      <c r="L27" s="25">
        <v>0.98350000000000004</v>
      </c>
      <c r="M27" s="25">
        <v>1.0629999999999999</v>
      </c>
      <c r="N27" s="25">
        <v>1.1565000000000001</v>
      </c>
      <c r="O27" s="25">
        <v>1.2501</v>
      </c>
      <c r="P27" s="25">
        <v>1.3435999999999999</v>
      </c>
      <c r="Q27" s="25">
        <v>1.4457</v>
      </c>
      <c r="R27" s="5" t="s">
        <v>6</v>
      </c>
      <c r="S27" s="5" t="s">
        <v>6</v>
      </c>
      <c r="T27" t="s">
        <v>125</v>
      </c>
    </row>
    <row r="28" spans="1:20" x14ac:dyDescent="0.25">
      <c r="B28" s="3" t="s">
        <v>7</v>
      </c>
      <c r="C28" s="25">
        <v>0.62070000000000003</v>
      </c>
      <c r="D28" s="25">
        <v>0.67130000000000001</v>
      </c>
      <c r="E28" s="25">
        <v>0.7218</v>
      </c>
      <c r="F28" s="25">
        <v>0.79400000000000004</v>
      </c>
      <c r="G28" s="25">
        <v>0.84450000000000003</v>
      </c>
      <c r="H28" s="25">
        <v>0.9022</v>
      </c>
      <c r="I28" s="25">
        <v>0.98160000000000003</v>
      </c>
      <c r="J28" s="25">
        <v>1.0609999999999999</v>
      </c>
      <c r="K28" s="25">
        <v>1.1404000000000001</v>
      </c>
      <c r="L28" s="25">
        <v>1.2270000000000001</v>
      </c>
      <c r="M28" s="25">
        <v>1.3263</v>
      </c>
      <c r="N28" s="25">
        <v>1.4430000000000001</v>
      </c>
      <c r="O28" s="25">
        <v>1.5597000000000001</v>
      </c>
      <c r="P28" s="25">
        <v>1.6763999999999999</v>
      </c>
      <c r="Q28" s="25">
        <v>1.8038000000000001</v>
      </c>
      <c r="R28" s="5" t="s">
        <v>6</v>
      </c>
      <c r="S28" s="5" t="s">
        <v>6</v>
      </c>
      <c r="T28" t="s">
        <v>125</v>
      </c>
    </row>
    <row r="29" spans="1:20" x14ac:dyDescent="0.25">
      <c r="B29" s="4" t="s">
        <v>16</v>
      </c>
      <c r="C29" s="25">
        <v>0.47299999999999998</v>
      </c>
      <c r="D29" s="25">
        <v>0.51149999999999995</v>
      </c>
      <c r="E29" s="25">
        <v>0.55000000000000004</v>
      </c>
      <c r="F29" s="25">
        <v>0.60499999999999998</v>
      </c>
      <c r="G29" s="25">
        <v>0.64349999999999996</v>
      </c>
      <c r="H29" s="25">
        <v>0.6875</v>
      </c>
      <c r="I29" s="25">
        <v>0.748</v>
      </c>
      <c r="J29" s="25">
        <v>0.8085</v>
      </c>
      <c r="K29" s="25">
        <v>0.86899999999999999</v>
      </c>
      <c r="L29" s="25">
        <v>0.93500000000000005</v>
      </c>
      <c r="M29" s="25">
        <v>1.0105999999999999</v>
      </c>
      <c r="N29" s="25">
        <v>1.0995999999999999</v>
      </c>
      <c r="O29" s="25">
        <v>1.1884999999999999</v>
      </c>
      <c r="P29" s="25">
        <v>1.2774000000000001</v>
      </c>
      <c r="Q29" s="25">
        <v>1.3745000000000001</v>
      </c>
      <c r="R29" s="5" t="s">
        <v>5</v>
      </c>
      <c r="S29" s="5" t="s">
        <v>5</v>
      </c>
      <c r="T29" t="s">
        <v>125</v>
      </c>
    </row>
    <row r="30" spans="1:20" x14ac:dyDescent="0.25">
      <c r="B30" s="4" t="s">
        <v>17</v>
      </c>
      <c r="C30" s="25">
        <v>0.60199999999999998</v>
      </c>
      <c r="D30" s="25">
        <v>0.65100000000000002</v>
      </c>
      <c r="E30" s="25">
        <v>0.7</v>
      </c>
      <c r="F30" s="25">
        <v>0.77</v>
      </c>
      <c r="G30" s="25">
        <v>0.81899999999999995</v>
      </c>
      <c r="H30" s="25">
        <v>0.875</v>
      </c>
      <c r="I30" s="25">
        <v>0.95199999999999996</v>
      </c>
      <c r="J30" s="25">
        <v>1.0289999999999999</v>
      </c>
      <c r="K30" s="25">
        <v>1.1060000000000001</v>
      </c>
      <c r="L30" s="25">
        <v>1.19</v>
      </c>
      <c r="M30" s="25">
        <v>1.2862</v>
      </c>
      <c r="N30" s="25">
        <v>1.3994</v>
      </c>
      <c r="O30" s="25">
        <v>1.5125999999999999</v>
      </c>
      <c r="P30" s="25">
        <v>1.6257999999999999</v>
      </c>
      <c r="Q30" s="25">
        <v>1.7493000000000001</v>
      </c>
      <c r="R30" s="5" t="s">
        <v>5</v>
      </c>
      <c r="S30" s="5" t="s">
        <v>5</v>
      </c>
      <c r="T30" t="s">
        <v>125</v>
      </c>
    </row>
    <row r="31" spans="1:20" ht="15" customHeight="1" x14ac:dyDescent="0.25">
      <c r="B31" s="3" t="s">
        <v>152</v>
      </c>
      <c r="C31" s="25">
        <v>0.63929999999999998</v>
      </c>
      <c r="D31" s="25">
        <v>0.69140000000000001</v>
      </c>
      <c r="E31" s="25">
        <v>0.74339999999999995</v>
      </c>
      <c r="F31" s="25">
        <v>0.81769999999999998</v>
      </c>
      <c r="G31" s="25">
        <v>0.86980000000000002</v>
      </c>
      <c r="H31" s="25">
        <v>0.92930000000000001</v>
      </c>
      <c r="I31" s="25">
        <v>1.0109999999999999</v>
      </c>
      <c r="J31" s="25">
        <v>1.0928</v>
      </c>
      <c r="K31" s="25">
        <v>1.1746000000000001</v>
      </c>
      <c r="L31" s="25">
        <v>1.2638</v>
      </c>
      <c r="M31" s="25">
        <v>1.353</v>
      </c>
      <c r="N31" s="25">
        <v>1.4421999999999999</v>
      </c>
      <c r="O31" s="25">
        <v>1.5314000000000001</v>
      </c>
      <c r="P31" s="25">
        <v>1.6206</v>
      </c>
      <c r="Q31" s="25">
        <v>1.7098</v>
      </c>
      <c r="R31" s="5" t="s">
        <v>3</v>
      </c>
      <c r="S31" s="5" t="s">
        <v>3</v>
      </c>
      <c r="T31" t="s">
        <v>125</v>
      </c>
    </row>
    <row r="32" spans="1:20" x14ac:dyDescent="0.25">
      <c r="B32" s="4" t="s">
        <v>133</v>
      </c>
      <c r="C32" s="25">
        <v>1.2784</v>
      </c>
      <c r="D32" s="25">
        <v>1.3824000000000001</v>
      </c>
      <c r="E32" s="25">
        <v>1.4864999999999999</v>
      </c>
      <c r="F32" s="25">
        <v>1.6351</v>
      </c>
      <c r="G32" s="25">
        <v>1.7392000000000001</v>
      </c>
      <c r="H32" s="25">
        <v>1.8581000000000001</v>
      </c>
      <c r="I32" s="25">
        <v>2.0215999999999998</v>
      </c>
      <c r="J32" s="25">
        <v>2.1850999999999998</v>
      </c>
      <c r="K32" s="25">
        <v>2.3485999999999998</v>
      </c>
      <c r="L32" s="25">
        <v>2.5270000000000001</v>
      </c>
      <c r="M32" s="25">
        <v>2.7054</v>
      </c>
      <c r="N32" s="25">
        <v>2.8837999999999999</v>
      </c>
      <c r="O32" s="25">
        <v>3.0621999999999998</v>
      </c>
      <c r="P32" s="25">
        <v>3.2404999999999999</v>
      </c>
      <c r="Q32" s="25">
        <v>3.4188999999999998</v>
      </c>
      <c r="R32" s="5" t="s">
        <v>3</v>
      </c>
      <c r="S32" s="5" t="s">
        <v>3</v>
      </c>
      <c r="T32" t="s">
        <v>125</v>
      </c>
    </row>
    <row r="33" spans="1:20" x14ac:dyDescent="0.25">
      <c r="B33" s="4" t="s">
        <v>134</v>
      </c>
      <c r="C33" s="25">
        <v>1.5968</v>
      </c>
      <c r="D33" s="25">
        <v>1.7266999999999999</v>
      </c>
      <c r="E33" s="25">
        <v>1.8567</v>
      </c>
      <c r="F33" s="25">
        <v>2.0424000000000002</v>
      </c>
      <c r="G33" s="25">
        <v>2.1722999999999999</v>
      </c>
      <c r="H33" s="25">
        <v>2.3209</v>
      </c>
      <c r="I33" s="25">
        <v>2.5251000000000001</v>
      </c>
      <c r="J33" s="25">
        <v>2.7292999999999998</v>
      </c>
      <c r="K33" s="25">
        <v>2.9336000000000002</v>
      </c>
      <c r="L33" s="25">
        <v>3.1564000000000001</v>
      </c>
      <c r="M33" s="25">
        <v>3.3792</v>
      </c>
      <c r="N33" s="25">
        <v>3.6019999999999999</v>
      </c>
      <c r="O33" s="25">
        <v>3.8248000000000002</v>
      </c>
      <c r="P33" s="25">
        <v>4.0476000000000001</v>
      </c>
      <c r="Q33" s="25">
        <v>4.2704000000000004</v>
      </c>
      <c r="R33" s="5" t="s">
        <v>3</v>
      </c>
      <c r="S33" s="5" t="s">
        <v>3</v>
      </c>
      <c r="T33" t="s">
        <v>125</v>
      </c>
    </row>
    <row r="34" spans="1:20" x14ac:dyDescent="0.25">
      <c r="B34" t="s">
        <v>127</v>
      </c>
      <c r="C34" s="25">
        <v>1.304</v>
      </c>
      <c r="D34" s="25">
        <v>1.4017999999999999</v>
      </c>
      <c r="E34" s="25">
        <v>1.4996</v>
      </c>
      <c r="F34" s="25">
        <v>1.63</v>
      </c>
      <c r="G34" s="25">
        <v>1.7278</v>
      </c>
      <c r="H34" s="25">
        <v>1.8255999999999999</v>
      </c>
      <c r="I34" s="25">
        <v>1.956</v>
      </c>
      <c r="J34" s="25">
        <v>2.0863999999999998</v>
      </c>
      <c r="K34" s="25">
        <v>2.2168000000000001</v>
      </c>
      <c r="L34" s="25">
        <v>2.3472</v>
      </c>
      <c r="M34" s="25">
        <v>2.4775999999999998</v>
      </c>
      <c r="N34" s="25">
        <v>2.6080000000000001</v>
      </c>
      <c r="O34" s="25">
        <v>2.7709999999999999</v>
      </c>
      <c r="P34" s="25">
        <v>2.9340000000000002</v>
      </c>
      <c r="Q34" s="25">
        <v>3.097</v>
      </c>
      <c r="R34" s="5" t="s">
        <v>19</v>
      </c>
      <c r="S34" s="5" t="s">
        <v>19</v>
      </c>
      <c r="T34" t="s">
        <v>125</v>
      </c>
    </row>
    <row r="35" spans="1:20" x14ac:dyDescent="0.25">
      <c r="B35" t="s">
        <v>126</v>
      </c>
      <c r="C35" s="25">
        <v>0.33600000000000002</v>
      </c>
      <c r="D35" s="25">
        <v>1.4361999999999999</v>
      </c>
      <c r="E35" s="25">
        <v>1.5364</v>
      </c>
      <c r="F35" s="25">
        <v>1.67</v>
      </c>
      <c r="G35" s="25">
        <v>1.7702</v>
      </c>
      <c r="H35" s="25">
        <v>1.8704000000000001</v>
      </c>
      <c r="I35" s="25">
        <v>2.004</v>
      </c>
      <c r="J35" s="25">
        <v>2.1375999999999999</v>
      </c>
      <c r="K35" s="25">
        <v>2.2711999999999999</v>
      </c>
      <c r="L35" s="25">
        <v>2.4047999999999998</v>
      </c>
      <c r="M35" s="25">
        <v>2.5384000000000002</v>
      </c>
      <c r="N35" s="25">
        <v>2.6720000000000002</v>
      </c>
      <c r="O35" s="25">
        <v>2.839</v>
      </c>
      <c r="P35" s="25">
        <v>3.0059999999999998</v>
      </c>
      <c r="Q35" s="25">
        <v>3.173</v>
      </c>
      <c r="R35" s="5" t="s">
        <v>19</v>
      </c>
      <c r="S35" s="5" t="s">
        <v>19</v>
      </c>
      <c r="T35" t="s">
        <v>128</v>
      </c>
    </row>
    <row r="36" spans="1:20" x14ac:dyDescent="0.25">
      <c r="B36" t="s">
        <v>129</v>
      </c>
      <c r="C36" s="25">
        <v>3.6720000000000002</v>
      </c>
      <c r="D36" s="25">
        <v>3.9474</v>
      </c>
      <c r="E36" s="25">
        <v>4.2228000000000003</v>
      </c>
      <c r="F36" s="25">
        <v>4.59</v>
      </c>
      <c r="G36" s="25">
        <v>4.8654000000000002</v>
      </c>
      <c r="H36" s="25">
        <v>5.1407999999999996</v>
      </c>
      <c r="I36" s="25">
        <v>5.508</v>
      </c>
      <c r="J36" s="25">
        <v>5.8752000000000004</v>
      </c>
      <c r="K36" s="25">
        <v>6.2423999999999999</v>
      </c>
      <c r="L36" s="25">
        <v>6.6096000000000004</v>
      </c>
      <c r="M36" s="25">
        <v>6.9767999999999999</v>
      </c>
      <c r="N36" s="25">
        <v>7.3440000000000003</v>
      </c>
      <c r="O36" s="25">
        <v>7.8029999999999999</v>
      </c>
      <c r="P36" s="25">
        <v>8.2620000000000005</v>
      </c>
      <c r="Q36" s="25">
        <v>8.7210000000000001</v>
      </c>
      <c r="R36" s="5" t="s">
        <v>0</v>
      </c>
      <c r="S36" s="5" t="s">
        <v>0</v>
      </c>
      <c r="T36" t="s">
        <v>125</v>
      </c>
    </row>
    <row r="37" spans="1:20" x14ac:dyDescent="0.25">
      <c r="B37" t="s">
        <v>130</v>
      </c>
      <c r="C37" s="25">
        <v>0.72</v>
      </c>
      <c r="D37" s="25">
        <v>0.77400000000000002</v>
      </c>
      <c r="E37" s="25">
        <v>0.82799999999999996</v>
      </c>
      <c r="F37" s="25">
        <v>0.9</v>
      </c>
      <c r="G37" s="25">
        <v>0.95399999999999996</v>
      </c>
      <c r="H37" s="25">
        <v>1.008</v>
      </c>
      <c r="I37" s="25">
        <v>1.08</v>
      </c>
      <c r="J37" s="25">
        <v>1.1519999999999999</v>
      </c>
      <c r="K37" s="25">
        <v>1.224</v>
      </c>
      <c r="L37" s="25">
        <v>1.296</v>
      </c>
      <c r="M37" s="25">
        <v>1.3680000000000001</v>
      </c>
      <c r="N37" s="25">
        <v>1.44</v>
      </c>
      <c r="O37" s="25">
        <v>1.53</v>
      </c>
      <c r="P37" s="25">
        <v>1.62</v>
      </c>
      <c r="Q37" s="25">
        <v>1.71</v>
      </c>
      <c r="R37" s="5" t="s">
        <v>0</v>
      </c>
      <c r="S37" s="5" t="s">
        <v>0</v>
      </c>
      <c r="T37" t="s">
        <v>125</v>
      </c>
    </row>
    <row r="38" spans="1:20" x14ac:dyDescent="0.25">
      <c r="B38" s="3" t="s">
        <v>763</v>
      </c>
      <c r="C38" s="23"/>
      <c r="D38" s="23"/>
      <c r="E38" s="23"/>
      <c r="F38" s="23"/>
      <c r="G38" s="23"/>
      <c r="H38" s="23"/>
      <c r="I38" s="23"/>
      <c r="J38" s="23"/>
      <c r="K38" s="23"/>
      <c r="L38" s="23"/>
      <c r="M38" s="23"/>
      <c r="N38" s="23"/>
      <c r="O38" s="23"/>
      <c r="P38" s="23"/>
      <c r="Q38" s="23"/>
      <c r="R38" s="5" t="s">
        <v>763</v>
      </c>
      <c r="S38" s="5" t="s">
        <v>763</v>
      </c>
      <c r="T38" t="s">
        <v>764</v>
      </c>
    </row>
    <row r="39" spans="1:20" x14ac:dyDescent="0.25">
      <c r="B39" s="3" t="s">
        <v>386</v>
      </c>
      <c r="C39" s="23"/>
      <c r="D39" s="23"/>
      <c r="E39" s="23"/>
      <c r="F39" s="23"/>
      <c r="G39" s="23"/>
      <c r="H39" s="23"/>
      <c r="I39" s="23"/>
      <c r="J39" s="23"/>
      <c r="K39" s="23"/>
      <c r="L39" s="23"/>
      <c r="M39" s="23"/>
      <c r="N39" s="23"/>
      <c r="O39" s="23"/>
      <c r="P39" s="23"/>
      <c r="Q39" s="23"/>
      <c r="R39" s="5" t="s">
        <v>392</v>
      </c>
      <c r="S39" s="5" t="s">
        <v>392</v>
      </c>
      <c r="T39" t="s">
        <v>69</v>
      </c>
    </row>
    <row r="40" spans="1:20" x14ac:dyDescent="0.25">
      <c r="B40" s="3" t="s">
        <v>388</v>
      </c>
      <c r="C40" s="23"/>
      <c r="D40" s="23"/>
      <c r="E40" s="23"/>
      <c r="F40" s="23"/>
      <c r="G40" s="23"/>
      <c r="H40" s="23"/>
      <c r="I40" s="23"/>
      <c r="J40" s="23"/>
      <c r="K40" s="23"/>
      <c r="L40" s="23"/>
      <c r="M40" s="23"/>
      <c r="N40" s="23"/>
      <c r="O40" s="23"/>
      <c r="P40" s="23"/>
      <c r="Q40" s="23"/>
      <c r="R40" s="5" t="s">
        <v>392</v>
      </c>
      <c r="S40" s="5" t="s">
        <v>392</v>
      </c>
      <c r="T40" t="s">
        <v>69</v>
      </c>
    </row>
    <row r="41" spans="1:20" x14ac:dyDescent="0.25">
      <c r="B41" s="3" t="s">
        <v>389</v>
      </c>
      <c r="C41" s="23"/>
      <c r="D41" s="23"/>
      <c r="E41" s="23"/>
      <c r="F41" s="23"/>
      <c r="G41" s="23"/>
      <c r="H41" s="23"/>
      <c r="I41" s="23"/>
      <c r="J41" s="23"/>
      <c r="K41" s="23"/>
      <c r="L41" s="23"/>
      <c r="M41" s="23"/>
      <c r="N41" s="23"/>
      <c r="O41" s="23"/>
      <c r="P41" s="23"/>
      <c r="Q41" s="23"/>
      <c r="R41" s="5" t="s">
        <v>392</v>
      </c>
      <c r="S41" s="5" t="s">
        <v>392</v>
      </c>
      <c r="T41" t="s">
        <v>69</v>
      </c>
    </row>
    <row r="42" spans="1:20" x14ac:dyDescent="0.25">
      <c r="B42" s="3" t="s">
        <v>385</v>
      </c>
      <c r="C42" s="23"/>
      <c r="D42" s="23"/>
      <c r="E42" s="23"/>
      <c r="F42" s="23"/>
      <c r="G42" s="23"/>
      <c r="H42" s="23"/>
      <c r="I42" s="23"/>
      <c r="J42" s="23"/>
      <c r="K42" s="23"/>
      <c r="L42" s="23"/>
      <c r="M42" s="23"/>
      <c r="N42" s="23"/>
      <c r="O42" s="23"/>
      <c r="P42" s="23"/>
      <c r="Q42" s="23"/>
      <c r="R42" s="5" t="s">
        <v>392</v>
      </c>
      <c r="S42" s="5" t="s">
        <v>392</v>
      </c>
      <c r="T42" t="s">
        <v>69</v>
      </c>
    </row>
    <row r="43" spans="1:20" x14ac:dyDescent="0.25">
      <c r="B43" s="3" t="s">
        <v>387</v>
      </c>
      <c r="C43" s="23"/>
      <c r="D43" s="23"/>
      <c r="E43" s="23"/>
      <c r="F43" s="23"/>
      <c r="G43" s="23"/>
      <c r="H43" s="23"/>
      <c r="I43" s="23"/>
      <c r="J43" s="23"/>
      <c r="K43" s="23"/>
      <c r="L43" s="23"/>
      <c r="M43" s="23"/>
      <c r="N43" s="23"/>
      <c r="O43" s="23"/>
      <c r="P43" s="23"/>
      <c r="Q43" s="23"/>
      <c r="R43" s="5" t="s">
        <v>392</v>
      </c>
      <c r="S43" s="5" t="s">
        <v>392</v>
      </c>
      <c r="T43" t="s">
        <v>69</v>
      </c>
    </row>
    <row r="44" spans="1:20" x14ac:dyDescent="0.25">
      <c r="B44" s="3" t="s">
        <v>390</v>
      </c>
      <c r="C44" s="23"/>
      <c r="D44" s="23"/>
      <c r="E44" s="23"/>
      <c r="F44" s="23"/>
      <c r="G44" s="23"/>
      <c r="H44" s="23"/>
      <c r="I44" s="23"/>
      <c r="J44" s="23"/>
      <c r="K44" s="23"/>
      <c r="L44" s="23"/>
      <c r="M44" s="23"/>
      <c r="N44" s="23"/>
      <c r="O44" s="23"/>
      <c r="P44" s="23"/>
      <c r="Q44" s="23"/>
      <c r="R44" s="5" t="s">
        <v>392</v>
      </c>
      <c r="S44" s="5" t="s">
        <v>392</v>
      </c>
      <c r="T44" t="s">
        <v>69</v>
      </c>
    </row>
    <row r="45" spans="1:20" x14ac:dyDescent="0.25">
      <c r="B45" s="3" t="s">
        <v>391</v>
      </c>
      <c r="C45" s="23"/>
      <c r="D45" s="23"/>
      <c r="E45" s="23"/>
      <c r="F45" s="23"/>
      <c r="G45" s="23"/>
      <c r="H45" s="23"/>
      <c r="I45" s="23"/>
      <c r="J45" s="23"/>
      <c r="K45" s="23"/>
      <c r="L45" s="23"/>
      <c r="M45" s="23"/>
      <c r="N45" s="23"/>
      <c r="O45" s="23"/>
      <c r="P45" s="23"/>
      <c r="Q45" s="23"/>
      <c r="R45" s="5" t="s">
        <v>392</v>
      </c>
      <c r="S45" s="5" t="s">
        <v>392</v>
      </c>
      <c r="T45" t="s">
        <v>69</v>
      </c>
    </row>
    <row r="46" spans="1:20" x14ac:dyDescent="0.25">
      <c r="A46" t="s">
        <v>819</v>
      </c>
      <c r="B46" s="3" t="s">
        <v>393</v>
      </c>
      <c r="C46" s="23"/>
      <c r="D46" s="23"/>
      <c r="E46" s="23"/>
      <c r="F46" s="23"/>
      <c r="G46" s="23"/>
      <c r="H46" s="23"/>
      <c r="I46" s="23"/>
      <c r="J46" s="23"/>
      <c r="K46" s="23"/>
      <c r="L46" s="23"/>
      <c r="M46" s="23"/>
      <c r="N46" s="23"/>
      <c r="O46" s="23"/>
      <c r="P46" s="23"/>
      <c r="Q46" s="23"/>
      <c r="R46" s="5" t="s">
        <v>392</v>
      </c>
      <c r="S46" s="5" t="s">
        <v>392</v>
      </c>
      <c r="T46" t="s">
        <v>69</v>
      </c>
    </row>
    <row r="47" spans="1:20" x14ac:dyDescent="0.25">
      <c r="B47" t="s">
        <v>135</v>
      </c>
      <c r="C47" s="28">
        <v>1</v>
      </c>
      <c r="D47" s="28">
        <v>2</v>
      </c>
      <c r="E47" s="28">
        <v>3</v>
      </c>
      <c r="F47" s="28">
        <v>4</v>
      </c>
      <c r="G47" s="28">
        <v>5</v>
      </c>
      <c r="H47" s="28">
        <v>6</v>
      </c>
      <c r="I47" s="28">
        <v>7</v>
      </c>
      <c r="J47" s="28">
        <v>8</v>
      </c>
      <c r="K47" s="28">
        <v>9</v>
      </c>
      <c r="L47" s="28">
        <v>10</v>
      </c>
      <c r="M47" s="28">
        <v>11</v>
      </c>
      <c r="N47" s="28">
        <v>12</v>
      </c>
      <c r="O47" s="28">
        <v>13</v>
      </c>
      <c r="P47" s="28">
        <v>14</v>
      </c>
      <c r="Q47" s="28">
        <v>15</v>
      </c>
      <c r="R47" s="5" t="s">
        <v>11</v>
      </c>
      <c r="S47" s="5" t="s">
        <v>1024</v>
      </c>
      <c r="T47" t="s">
        <v>124</v>
      </c>
    </row>
    <row r="48" spans="1:20" x14ac:dyDescent="0.25">
      <c r="A48" t="s">
        <v>820</v>
      </c>
      <c r="B48" t="s">
        <v>10</v>
      </c>
      <c r="C48" s="25">
        <v>0.36120000000000002</v>
      </c>
      <c r="D48" s="25">
        <v>0.3906</v>
      </c>
      <c r="E48" s="25">
        <v>0.42</v>
      </c>
      <c r="F48" s="25">
        <v>0.46200000000000002</v>
      </c>
      <c r="G48" s="25">
        <v>0.4914</v>
      </c>
      <c r="H48" s="25">
        <v>0.52500000000000002</v>
      </c>
      <c r="I48" s="25">
        <v>0.57120000000000004</v>
      </c>
      <c r="J48" s="25">
        <v>0.61739999999999995</v>
      </c>
      <c r="K48" s="25">
        <v>0.66359999999999997</v>
      </c>
      <c r="L48" s="25">
        <v>0.71399999999999997</v>
      </c>
      <c r="M48" s="25">
        <v>0.76439999999999997</v>
      </c>
      <c r="N48" s="25">
        <v>0.81479999999999997</v>
      </c>
      <c r="O48" s="25">
        <v>0.86519999999999997</v>
      </c>
      <c r="P48" s="25">
        <v>0.91559999999999997</v>
      </c>
      <c r="Q48" s="25">
        <v>0.96599999999999997</v>
      </c>
      <c r="R48" s="5" t="s">
        <v>6</v>
      </c>
      <c r="S48" s="5" t="s">
        <v>6</v>
      </c>
      <c r="T48" t="s">
        <v>125</v>
      </c>
    </row>
    <row r="49" spans="2:20" x14ac:dyDescent="0.25">
      <c r="B49" t="s">
        <v>9</v>
      </c>
      <c r="C49" s="25">
        <v>0.36120000000000002</v>
      </c>
      <c r="D49" s="25">
        <v>0.3906</v>
      </c>
      <c r="E49" s="25">
        <v>0.42</v>
      </c>
      <c r="F49" s="25">
        <v>0.46200000000000002</v>
      </c>
      <c r="G49" s="25">
        <v>0.4914</v>
      </c>
      <c r="H49" s="25">
        <v>0.52500000000000002</v>
      </c>
      <c r="I49" s="25">
        <v>0.57120000000000004</v>
      </c>
      <c r="J49" s="25">
        <v>0.61739999999999995</v>
      </c>
      <c r="K49" s="25">
        <v>0.66359999999999997</v>
      </c>
      <c r="L49" s="25">
        <v>0.71399999999999997</v>
      </c>
      <c r="M49" s="25">
        <v>0.76439999999999997</v>
      </c>
      <c r="N49" s="25">
        <v>0.81479999999999997</v>
      </c>
      <c r="O49" s="25">
        <v>0.86519999999999997</v>
      </c>
      <c r="P49" s="25">
        <v>0.91559999999999997</v>
      </c>
      <c r="Q49" s="25">
        <v>0.96599999999999997</v>
      </c>
      <c r="R49" s="5" t="s">
        <v>6</v>
      </c>
      <c r="S49" s="5" t="s">
        <v>6</v>
      </c>
      <c r="T49" t="s">
        <v>125</v>
      </c>
    </row>
    <row r="50" spans="2:20" x14ac:dyDescent="0.25">
      <c r="B50" t="s">
        <v>8</v>
      </c>
      <c r="C50" s="25">
        <v>0.46439999999999998</v>
      </c>
      <c r="D50" s="25">
        <v>0.50219999999999998</v>
      </c>
      <c r="E50" s="25">
        <v>0.54</v>
      </c>
      <c r="F50" s="25">
        <v>0.59399999999999997</v>
      </c>
      <c r="G50" s="25">
        <v>0.63180000000000003</v>
      </c>
      <c r="H50" s="25">
        <v>0.67500000000000004</v>
      </c>
      <c r="I50" s="25">
        <v>0.73440000000000005</v>
      </c>
      <c r="J50" s="25">
        <v>0.79379999999999995</v>
      </c>
      <c r="K50" s="25">
        <v>0.85319999999999996</v>
      </c>
      <c r="L50" s="25">
        <v>0.91800000000000004</v>
      </c>
      <c r="M50" s="25">
        <v>0.98280000000000001</v>
      </c>
      <c r="N50" s="25">
        <v>1.0476000000000001</v>
      </c>
      <c r="O50" s="25">
        <v>1.1124000000000001</v>
      </c>
      <c r="P50" s="25">
        <v>1.1772</v>
      </c>
      <c r="Q50" s="25">
        <v>1.242</v>
      </c>
      <c r="R50" s="5" t="s">
        <v>6</v>
      </c>
      <c r="S50" s="5" t="s">
        <v>6</v>
      </c>
      <c r="T50" t="s">
        <v>125</v>
      </c>
    </row>
    <row r="51" spans="2:20" x14ac:dyDescent="0.25">
      <c r="B51" t="s">
        <v>13</v>
      </c>
      <c r="C51" s="25">
        <v>0.47299999999999998</v>
      </c>
      <c r="D51" s="25">
        <v>0.51149999999999995</v>
      </c>
      <c r="E51" s="25">
        <v>0.55000000000000004</v>
      </c>
      <c r="F51" s="25">
        <v>0.60499999999999998</v>
      </c>
      <c r="G51" s="25">
        <v>0.64349999999999996</v>
      </c>
      <c r="H51" s="25">
        <v>0.6875</v>
      </c>
      <c r="I51" s="25">
        <v>0.748</v>
      </c>
      <c r="J51" s="25">
        <v>0.8085</v>
      </c>
      <c r="K51" s="25">
        <v>0.86899999999999999</v>
      </c>
      <c r="L51" s="25">
        <v>0.93500000000000005</v>
      </c>
      <c r="M51" s="25">
        <v>1.0009999999999999</v>
      </c>
      <c r="N51" s="25">
        <v>1.0669999999999999</v>
      </c>
      <c r="O51" s="25">
        <v>1.133</v>
      </c>
      <c r="P51" s="25">
        <v>1.1990000000000001</v>
      </c>
      <c r="Q51" s="25">
        <v>1.2649999999999999</v>
      </c>
      <c r="R51" s="5" t="s">
        <v>6</v>
      </c>
      <c r="S51" s="5" t="s">
        <v>6</v>
      </c>
      <c r="T51" t="s">
        <v>125</v>
      </c>
    </row>
    <row r="52" spans="2:20" x14ac:dyDescent="0.25">
      <c r="B52" t="s">
        <v>7</v>
      </c>
      <c r="C52" s="25">
        <v>0.59340000000000004</v>
      </c>
      <c r="D52" s="25">
        <v>0.64170000000000005</v>
      </c>
      <c r="E52" s="25">
        <v>0.69</v>
      </c>
      <c r="F52" s="25">
        <v>0.75900000000000001</v>
      </c>
      <c r="G52" s="25">
        <v>0.80730000000000002</v>
      </c>
      <c r="H52" s="25">
        <v>0.86250000000000004</v>
      </c>
      <c r="I52" s="25">
        <v>0.93840000000000001</v>
      </c>
      <c r="J52" s="25">
        <v>1.0143</v>
      </c>
      <c r="K52" s="25">
        <v>1.0902000000000001</v>
      </c>
      <c r="L52" s="25">
        <v>1.173</v>
      </c>
      <c r="M52" s="25">
        <v>1.2558</v>
      </c>
      <c r="N52" s="25">
        <v>1.3386</v>
      </c>
      <c r="O52" s="25">
        <v>1.4214</v>
      </c>
      <c r="P52" s="25">
        <v>1.5042</v>
      </c>
      <c r="Q52" s="25">
        <v>1.587</v>
      </c>
      <c r="R52" s="5" t="s">
        <v>6</v>
      </c>
      <c r="S52" s="5" t="s">
        <v>6</v>
      </c>
      <c r="T52" t="s">
        <v>125</v>
      </c>
    </row>
    <row r="53" spans="2:20" x14ac:dyDescent="0.25">
      <c r="B53" t="s">
        <v>131</v>
      </c>
      <c r="C53" s="25">
        <v>0.43859999999999999</v>
      </c>
      <c r="D53" s="25">
        <v>0.4743</v>
      </c>
      <c r="E53" s="25">
        <v>0.51</v>
      </c>
      <c r="F53" s="25">
        <v>0.56100000000000005</v>
      </c>
      <c r="G53" s="25">
        <v>0.59670000000000001</v>
      </c>
      <c r="H53" s="25">
        <v>0.63749999999999996</v>
      </c>
      <c r="I53" s="25">
        <v>0.69359999999999999</v>
      </c>
      <c r="J53" s="25">
        <v>0.74970000000000003</v>
      </c>
      <c r="K53" s="25">
        <v>0.80579999999999996</v>
      </c>
      <c r="L53" s="25">
        <v>0.86699999999999999</v>
      </c>
      <c r="M53" s="25">
        <v>0.92820000000000003</v>
      </c>
      <c r="N53" s="25">
        <v>0.98939999999999995</v>
      </c>
      <c r="O53" s="25">
        <v>1.0506</v>
      </c>
      <c r="P53" s="25">
        <v>1.1117999999999999</v>
      </c>
      <c r="Q53" s="25">
        <v>1.173</v>
      </c>
      <c r="R53" s="5" t="s">
        <v>5</v>
      </c>
      <c r="S53" s="5" t="s">
        <v>5</v>
      </c>
      <c r="T53" t="s">
        <v>125</v>
      </c>
    </row>
    <row r="54" spans="2:20" x14ac:dyDescent="0.25">
      <c r="B54" t="s">
        <v>132</v>
      </c>
      <c r="C54" s="25">
        <v>1.24</v>
      </c>
      <c r="D54" s="25">
        <v>1.333</v>
      </c>
      <c r="E54" s="25">
        <v>1.4259999999999999</v>
      </c>
      <c r="F54" s="25">
        <v>1.55</v>
      </c>
      <c r="G54" s="25">
        <v>1.643</v>
      </c>
      <c r="H54" s="25">
        <v>1.736</v>
      </c>
      <c r="I54" s="25">
        <v>1.86</v>
      </c>
      <c r="J54" s="25">
        <v>1.984</v>
      </c>
      <c r="K54" s="25">
        <v>2.1080000000000001</v>
      </c>
      <c r="L54" s="25">
        <v>2.2320000000000002</v>
      </c>
      <c r="M54" s="25">
        <v>2.3559999999999999</v>
      </c>
      <c r="N54" s="25">
        <v>2.48</v>
      </c>
      <c r="O54" s="25">
        <v>2.6349999999999998</v>
      </c>
      <c r="P54" s="25">
        <v>2.79</v>
      </c>
      <c r="Q54" s="25">
        <v>2.9449999999999998</v>
      </c>
      <c r="R54" s="5" t="s">
        <v>5</v>
      </c>
      <c r="S54" s="5" t="s">
        <v>5</v>
      </c>
      <c r="T54" t="s">
        <v>125</v>
      </c>
    </row>
    <row r="55" spans="2:20" x14ac:dyDescent="0.25">
      <c r="B55" t="s">
        <v>152</v>
      </c>
      <c r="C55" s="25">
        <v>0.56830000000000003</v>
      </c>
      <c r="D55" s="25">
        <v>0.61450000000000005</v>
      </c>
      <c r="E55" s="25">
        <v>0.66080000000000005</v>
      </c>
      <c r="F55" s="25">
        <v>0.72689999999999999</v>
      </c>
      <c r="G55" s="25">
        <v>0.77310000000000001</v>
      </c>
      <c r="H55" s="25">
        <v>0.82599999999999996</v>
      </c>
      <c r="I55" s="25">
        <v>0.89870000000000005</v>
      </c>
      <c r="J55" s="25">
        <v>0.97140000000000004</v>
      </c>
      <c r="K55" s="25">
        <v>1.0441</v>
      </c>
      <c r="L55" s="25">
        <v>1.1234</v>
      </c>
      <c r="M55" s="25">
        <v>1.2027000000000001</v>
      </c>
      <c r="N55" s="25">
        <v>1.282</v>
      </c>
      <c r="O55" s="25">
        <v>1.3612</v>
      </c>
      <c r="P55" s="25">
        <v>1.4404999999999999</v>
      </c>
      <c r="Q55" s="25">
        <v>1.5198</v>
      </c>
      <c r="R55" s="5" t="s">
        <v>3</v>
      </c>
      <c r="S55" s="5" t="s">
        <v>3</v>
      </c>
      <c r="T55" t="s">
        <v>125</v>
      </c>
    </row>
    <row r="56" spans="2:20" x14ac:dyDescent="0.25">
      <c r="B56" t="s">
        <v>133</v>
      </c>
      <c r="C56" s="25">
        <v>1.1363000000000001</v>
      </c>
      <c r="D56" s="25">
        <v>1.2287999999999999</v>
      </c>
      <c r="E56" s="25">
        <v>1.3212999999999999</v>
      </c>
      <c r="F56" s="25">
        <v>1.4535</v>
      </c>
      <c r="G56" s="25">
        <v>1.5459000000000001</v>
      </c>
      <c r="H56" s="25">
        <v>1.6516999999999999</v>
      </c>
      <c r="I56" s="25">
        <v>1.7969999999999999</v>
      </c>
      <c r="J56" s="25">
        <v>1.9422999999999999</v>
      </c>
      <c r="K56" s="25">
        <v>2.0876999999999999</v>
      </c>
      <c r="L56" s="25">
        <v>2.2462</v>
      </c>
      <c r="M56" s="25">
        <v>2.4047999999999998</v>
      </c>
      <c r="N56" s="25">
        <v>2.5634000000000001</v>
      </c>
      <c r="O56" s="25">
        <v>2.7219000000000002</v>
      </c>
      <c r="P56" s="25">
        <v>2.8805000000000001</v>
      </c>
      <c r="Q56" s="25">
        <v>3.0390000000000001</v>
      </c>
      <c r="R56" s="5" t="s">
        <v>3</v>
      </c>
      <c r="S56" s="5" t="s">
        <v>3</v>
      </c>
      <c r="T56" t="s">
        <v>125</v>
      </c>
    </row>
    <row r="57" spans="2:20" ht="15" customHeight="1" x14ac:dyDescent="0.25">
      <c r="B57" t="s">
        <v>134</v>
      </c>
      <c r="C57" s="25">
        <v>1.4193</v>
      </c>
      <c r="D57" s="25">
        <v>1.5348999999999999</v>
      </c>
      <c r="E57" s="25">
        <v>1.6504000000000001</v>
      </c>
      <c r="F57" s="25">
        <v>1.8153999999999999</v>
      </c>
      <c r="G57" s="25">
        <v>1.931</v>
      </c>
      <c r="H57" s="25">
        <v>2.0630000000000002</v>
      </c>
      <c r="I57" s="25">
        <v>2.2444999999999999</v>
      </c>
      <c r="J57" s="25">
        <v>2.4260999999999999</v>
      </c>
      <c r="K57" s="25">
        <v>2.6076000000000001</v>
      </c>
      <c r="L57" s="25">
        <v>2.8056999999999999</v>
      </c>
      <c r="M57" s="25">
        <v>3.0036999999999998</v>
      </c>
      <c r="N57" s="25">
        <v>3.2018</v>
      </c>
      <c r="O57" s="25">
        <v>3.3997999999999999</v>
      </c>
      <c r="P57" s="25">
        <v>3.5979000000000001</v>
      </c>
      <c r="Q57" s="25">
        <v>3.7959000000000001</v>
      </c>
      <c r="R57" s="5" t="s">
        <v>3</v>
      </c>
      <c r="S57" s="5" t="s">
        <v>3</v>
      </c>
      <c r="T57" t="s">
        <v>125</v>
      </c>
    </row>
    <row r="58" spans="2:20" x14ac:dyDescent="0.25">
      <c r="B58" t="s">
        <v>4</v>
      </c>
      <c r="C58" s="25">
        <v>1.232</v>
      </c>
      <c r="D58" s="25">
        <v>1.3244</v>
      </c>
      <c r="E58" s="25">
        <v>1.4168000000000001</v>
      </c>
      <c r="F58" s="25">
        <v>1.54</v>
      </c>
      <c r="G58" s="25">
        <v>1.6324000000000001</v>
      </c>
      <c r="H58" s="25">
        <v>1.7248000000000001</v>
      </c>
      <c r="I58" s="25">
        <v>1.8480000000000001</v>
      </c>
      <c r="J58" s="25">
        <v>1.9712000000000001</v>
      </c>
      <c r="K58" s="25">
        <v>2.0943999999999998</v>
      </c>
      <c r="L58" s="25">
        <v>2.2176</v>
      </c>
      <c r="M58" s="25">
        <v>2.3408000000000002</v>
      </c>
      <c r="N58" s="25">
        <v>2.464</v>
      </c>
      <c r="O58" s="25">
        <v>2.6179999999999999</v>
      </c>
      <c r="P58" s="25">
        <v>2.7719999999999998</v>
      </c>
      <c r="Q58" s="25">
        <v>2.9260000000000002</v>
      </c>
      <c r="R58" s="5" t="s">
        <v>19</v>
      </c>
      <c r="S58" s="5" t="s">
        <v>19</v>
      </c>
      <c r="T58" t="s">
        <v>125</v>
      </c>
    </row>
    <row r="59" spans="2:20" x14ac:dyDescent="0.25">
      <c r="B59" t="s">
        <v>136</v>
      </c>
      <c r="C59" s="25">
        <v>0.28079999999999999</v>
      </c>
      <c r="D59" s="25">
        <v>0.3019</v>
      </c>
      <c r="E59" s="25">
        <v>0.32290000000000002</v>
      </c>
      <c r="F59" s="25">
        <v>0.35099999999999998</v>
      </c>
      <c r="G59" s="25">
        <v>0.37209999999999999</v>
      </c>
      <c r="H59" s="25">
        <v>0.3931</v>
      </c>
      <c r="I59" s="25">
        <v>0.42120000000000002</v>
      </c>
      <c r="J59" s="25">
        <v>0.44929999999999998</v>
      </c>
      <c r="K59" s="25">
        <v>0.47739999999999999</v>
      </c>
      <c r="L59" s="25">
        <v>0.50539999999999996</v>
      </c>
      <c r="M59" s="25">
        <v>0.53349999999999997</v>
      </c>
      <c r="N59" s="25">
        <v>0.56159999999999999</v>
      </c>
      <c r="O59" s="25">
        <v>0.59670000000000001</v>
      </c>
      <c r="P59" s="25">
        <v>0.63180000000000003</v>
      </c>
      <c r="Q59" s="25">
        <v>0.66690000000000005</v>
      </c>
      <c r="R59" s="5" t="s">
        <v>0</v>
      </c>
      <c r="S59" s="5" t="s">
        <v>0</v>
      </c>
      <c r="T59" t="s">
        <v>125</v>
      </c>
    </row>
    <row r="60" spans="2:20" x14ac:dyDescent="0.25">
      <c r="B60" t="s">
        <v>137</v>
      </c>
      <c r="C60" s="25">
        <v>5.0544000000000002</v>
      </c>
      <c r="D60" s="25">
        <v>5.4335000000000004</v>
      </c>
      <c r="E60" s="25">
        <v>5.8125999999999998</v>
      </c>
      <c r="F60" s="25">
        <v>6.3179999999999996</v>
      </c>
      <c r="G60" s="25">
        <v>6.6970999999999998</v>
      </c>
      <c r="H60" s="25">
        <v>7.0762</v>
      </c>
      <c r="I60" s="25">
        <v>7.5815999999999999</v>
      </c>
      <c r="J60" s="25">
        <v>8.0869999999999997</v>
      </c>
      <c r="K60" s="25">
        <v>8.5924999999999994</v>
      </c>
      <c r="L60" s="25">
        <v>9.0978999999999992</v>
      </c>
      <c r="M60" s="25">
        <v>9.6034000000000006</v>
      </c>
      <c r="N60" s="25">
        <v>10.1088</v>
      </c>
      <c r="O60" s="25">
        <v>10.740600000000001</v>
      </c>
      <c r="P60" s="25">
        <v>11.372400000000001</v>
      </c>
      <c r="Q60" s="25">
        <v>12.004200000000001</v>
      </c>
      <c r="R60" s="5" t="s">
        <v>0</v>
      </c>
      <c r="S60" s="5" t="s">
        <v>0</v>
      </c>
      <c r="T60" t="s">
        <v>125</v>
      </c>
    </row>
    <row r="61" spans="2:20" x14ac:dyDescent="0.25">
      <c r="B61" s="3" t="s">
        <v>763</v>
      </c>
      <c r="C61" s="23"/>
      <c r="D61" s="23"/>
      <c r="E61" s="23"/>
      <c r="F61" s="23"/>
      <c r="G61" s="23"/>
      <c r="H61" s="23"/>
      <c r="I61" s="23"/>
      <c r="J61" s="23"/>
      <c r="K61" s="23"/>
      <c r="L61" s="23"/>
      <c r="M61" s="23"/>
      <c r="N61" s="23"/>
      <c r="O61" s="23"/>
      <c r="P61" s="23"/>
      <c r="Q61" s="23"/>
      <c r="R61" s="5" t="s">
        <v>763</v>
      </c>
      <c r="S61" s="5" t="s">
        <v>763</v>
      </c>
      <c r="T61" t="s">
        <v>764</v>
      </c>
    </row>
    <row r="62" spans="2:20" x14ac:dyDescent="0.25">
      <c r="B62" s="3" t="s">
        <v>386</v>
      </c>
      <c r="C62" s="23"/>
      <c r="D62" s="23"/>
      <c r="E62" s="23"/>
      <c r="F62" s="23"/>
      <c r="G62" s="23"/>
      <c r="H62" s="23"/>
      <c r="I62" s="23"/>
      <c r="J62" s="23"/>
      <c r="K62" s="23"/>
      <c r="L62" s="23"/>
      <c r="M62" s="23"/>
      <c r="N62" s="23"/>
      <c r="O62" s="23"/>
      <c r="P62" s="23"/>
      <c r="Q62" s="23"/>
      <c r="R62" s="5" t="s">
        <v>392</v>
      </c>
      <c r="S62" s="5" t="s">
        <v>392</v>
      </c>
      <c r="T62" t="s">
        <v>69</v>
      </c>
    </row>
    <row r="63" spans="2:20" x14ac:dyDescent="0.25">
      <c r="B63" s="3" t="s">
        <v>388</v>
      </c>
      <c r="C63" s="23"/>
      <c r="D63" s="23"/>
      <c r="E63" s="23"/>
      <c r="F63" s="23"/>
      <c r="G63" s="23"/>
      <c r="H63" s="23"/>
      <c r="I63" s="23"/>
      <c r="J63" s="23"/>
      <c r="K63" s="23"/>
      <c r="L63" s="23"/>
      <c r="M63" s="23"/>
      <c r="N63" s="23"/>
      <c r="O63" s="23"/>
      <c r="P63" s="23"/>
      <c r="Q63" s="23"/>
      <c r="R63" s="5" t="s">
        <v>392</v>
      </c>
      <c r="S63" s="5" t="s">
        <v>392</v>
      </c>
      <c r="T63" t="s">
        <v>69</v>
      </c>
    </row>
    <row r="64" spans="2:20" x14ac:dyDescent="0.25">
      <c r="B64" s="3" t="s">
        <v>389</v>
      </c>
      <c r="C64" s="23"/>
      <c r="D64" s="23"/>
      <c r="E64" s="23"/>
      <c r="F64" s="23"/>
      <c r="G64" s="23"/>
      <c r="H64" s="23"/>
      <c r="I64" s="23"/>
      <c r="J64" s="23"/>
      <c r="K64" s="23"/>
      <c r="L64" s="23"/>
      <c r="M64" s="23"/>
      <c r="N64" s="23"/>
      <c r="O64" s="23"/>
      <c r="P64" s="23"/>
      <c r="Q64" s="23"/>
      <c r="R64" s="5" t="s">
        <v>392</v>
      </c>
      <c r="S64" s="5" t="s">
        <v>392</v>
      </c>
      <c r="T64" t="s">
        <v>69</v>
      </c>
    </row>
    <row r="65" spans="1:20" x14ac:dyDescent="0.25">
      <c r="B65" s="3" t="s">
        <v>385</v>
      </c>
      <c r="C65" s="23"/>
      <c r="D65" s="23"/>
      <c r="E65" s="23"/>
      <c r="F65" s="23"/>
      <c r="G65" s="23"/>
      <c r="H65" s="23"/>
      <c r="I65" s="23"/>
      <c r="J65" s="23"/>
      <c r="K65" s="23"/>
      <c r="L65" s="23"/>
      <c r="M65" s="23"/>
      <c r="N65" s="23"/>
      <c r="O65" s="23"/>
      <c r="P65" s="23"/>
      <c r="Q65" s="23"/>
      <c r="R65" s="5" t="s">
        <v>392</v>
      </c>
      <c r="S65" s="5" t="s">
        <v>392</v>
      </c>
      <c r="T65" t="s">
        <v>69</v>
      </c>
    </row>
    <row r="66" spans="1:20" x14ac:dyDescent="0.25">
      <c r="B66" s="3" t="s">
        <v>387</v>
      </c>
      <c r="C66" s="23"/>
      <c r="D66" s="23"/>
      <c r="E66" s="23"/>
      <c r="F66" s="23"/>
      <c r="G66" s="23"/>
      <c r="H66" s="23"/>
      <c r="I66" s="23"/>
      <c r="J66" s="23"/>
      <c r="K66" s="23"/>
      <c r="L66" s="23"/>
      <c r="M66" s="23"/>
      <c r="N66" s="23"/>
      <c r="O66" s="23"/>
      <c r="P66" s="23"/>
      <c r="Q66" s="23"/>
      <c r="R66" s="5" t="s">
        <v>392</v>
      </c>
      <c r="S66" s="5" t="s">
        <v>392</v>
      </c>
      <c r="T66" t="s">
        <v>69</v>
      </c>
    </row>
    <row r="67" spans="1:20" x14ac:dyDescent="0.25">
      <c r="B67" s="3" t="s">
        <v>390</v>
      </c>
      <c r="C67" s="23"/>
      <c r="D67" s="23"/>
      <c r="E67" s="23"/>
      <c r="F67" s="23"/>
      <c r="G67" s="23"/>
      <c r="H67" s="23"/>
      <c r="I67" s="23"/>
      <c r="J67" s="23"/>
      <c r="K67" s="23"/>
      <c r="L67" s="23"/>
      <c r="M67" s="23"/>
      <c r="N67" s="23"/>
      <c r="O67" s="23"/>
      <c r="P67" s="23"/>
      <c r="Q67" s="23"/>
      <c r="R67" s="5" t="s">
        <v>392</v>
      </c>
      <c r="S67" s="5" t="s">
        <v>392</v>
      </c>
      <c r="T67" t="s">
        <v>69</v>
      </c>
    </row>
    <row r="68" spans="1:20" x14ac:dyDescent="0.25">
      <c r="B68" s="3" t="s">
        <v>391</v>
      </c>
      <c r="C68" s="23"/>
      <c r="D68" s="23"/>
      <c r="E68" s="23"/>
      <c r="F68" s="23"/>
      <c r="G68" s="23"/>
      <c r="H68" s="23"/>
      <c r="I68" s="23"/>
      <c r="J68" s="23"/>
      <c r="K68" s="23"/>
      <c r="L68" s="23"/>
      <c r="M68" s="23"/>
      <c r="N68" s="23"/>
      <c r="O68" s="23"/>
      <c r="P68" s="23"/>
      <c r="Q68" s="23"/>
      <c r="R68" s="5" t="s">
        <v>392</v>
      </c>
      <c r="S68" s="5" t="s">
        <v>392</v>
      </c>
      <c r="T68" t="s">
        <v>69</v>
      </c>
    </row>
    <row r="69" spans="1:20" x14ac:dyDescent="0.25">
      <c r="A69" t="s">
        <v>821</v>
      </c>
      <c r="B69" s="3" t="s">
        <v>393</v>
      </c>
      <c r="C69" s="23"/>
      <c r="D69" s="23"/>
      <c r="E69" s="23"/>
      <c r="F69" s="23"/>
      <c r="G69" s="23"/>
      <c r="H69" s="23"/>
      <c r="I69" s="23"/>
      <c r="J69" s="23"/>
      <c r="K69" s="23"/>
      <c r="L69" s="23"/>
      <c r="M69" s="23"/>
      <c r="N69" s="23"/>
      <c r="O69" s="23"/>
      <c r="P69" s="23"/>
      <c r="Q69" s="23"/>
      <c r="R69" s="5" t="s">
        <v>392</v>
      </c>
      <c r="S69" s="5" t="s">
        <v>392</v>
      </c>
      <c r="T69" t="s">
        <v>69</v>
      </c>
    </row>
    <row r="70" spans="1:20" x14ac:dyDescent="0.25">
      <c r="B70" t="s">
        <v>426</v>
      </c>
      <c r="C70" s="28">
        <v>1</v>
      </c>
      <c r="D70" s="28">
        <v>2</v>
      </c>
      <c r="E70" s="28">
        <v>3</v>
      </c>
      <c r="F70" s="28">
        <v>4</v>
      </c>
      <c r="G70" s="28">
        <v>5</v>
      </c>
      <c r="H70" s="28">
        <v>6</v>
      </c>
      <c r="I70" s="28">
        <v>7</v>
      </c>
      <c r="J70" s="28">
        <v>8</v>
      </c>
      <c r="K70" s="28">
        <v>9</v>
      </c>
      <c r="L70" s="28">
        <v>10</v>
      </c>
      <c r="M70" s="28">
        <v>11</v>
      </c>
      <c r="N70" s="28">
        <v>12</v>
      </c>
      <c r="O70" s="28">
        <v>13</v>
      </c>
      <c r="P70" s="28">
        <v>14</v>
      </c>
      <c r="Q70" s="28">
        <v>15</v>
      </c>
      <c r="R70" s="5" t="s">
        <v>11</v>
      </c>
      <c r="S70" s="5" t="s">
        <v>1024</v>
      </c>
      <c r="T70" t="s">
        <v>124</v>
      </c>
    </row>
    <row r="71" spans="1:20" x14ac:dyDescent="0.25">
      <c r="A71" t="s">
        <v>822</v>
      </c>
      <c r="B71" t="s">
        <v>10</v>
      </c>
      <c r="C71" s="2">
        <v>0.4446</v>
      </c>
      <c r="D71" s="2">
        <v>0.48080000000000001</v>
      </c>
      <c r="E71" s="2">
        <v>0.51700000000000002</v>
      </c>
      <c r="F71" s="2">
        <v>0.56869999999999998</v>
      </c>
      <c r="G71" s="2">
        <v>0.60489999999999999</v>
      </c>
      <c r="H71" s="2">
        <v>0.64629999999999999</v>
      </c>
      <c r="I71" s="2">
        <v>0.70309999999999995</v>
      </c>
      <c r="J71" s="2">
        <v>0.76</v>
      </c>
      <c r="K71" s="2">
        <v>0.81689999999999996</v>
      </c>
      <c r="L71" s="2">
        <v>0.87890000000000001</v>
      </c>
      <c r="M71" s="2">
        <v>0.94089999999999996</v>
      </c>
      <c r="N71" s="2">
        <v>1.0029999999999999</v>
      </c>
      <c r="O71" s="2">
        <v>1.0649999999999999</v>
      </c>
      <c r="P71" s="2">
        <v>1.1271</v>
      </c>
      <c r="Q71" s="2">
        <v>1.1891</v>
      </c>
      <c r="R71" s="5" t="s">
        <v>6</v>
      </c>
      <c r="S71" s="5" t="s">
        <v>6</v>
      </c>
      <c r="T71" t="s">
        <v>125</v>
      </c>
    </row>
    <row r="72" spans="1:20" x14ac:dyDescent="0.25">
      <c r="B72" t="s">
        <v>9</v>
      </c>
      <c r="C72" s="2">
        <v>0.43430000000000002</v>
      </c>
      <c r="D72" s="2">
        <v>0.46970000000000001</v>
      </c>
      <c r="E72" s="2">
        <v>0.505</v>
      </c>
      <c r="F72" s="2">
        <v>0.55549999999999999</v>
      </c>
      <c r="G72" s="2">
        <v>0.59089999999999998</v>
      </c>
      <c r="H72" s="2">
        <v>0.63129999999999997</v>
      </c>
      <c r="I72" s="2">
        <v>0.68679999999999997</v>
      </c>
      <c r="J72" s="2">
        <v>0.74229999999999996</v>
      </c>
      <c r="K72" s="2">
        <v>0.79790000000000005</v>
      </c>
      <c r="L72" s="2">
        <v>0.85850000000000004</v>
      </c>
      <c r="M72" s="2">
        <v>0.91910000000000003</v>
      </c>
      <c r="N72" s="2">
        <v>0.97970000000000002</v>
      </c>
      <c r="O72" s="2">
        <v>1.0403</v>
      </c>
      <c r="P72" s="2">
        <v>1.1009</v>
      </c>
      <c r="Q72" s="2">
        <v>1.1615</v>
      </c>
      <c r="R72" s="5" t="s">
        <v>6</v>
      </c>
      <c r="S72" s="5" t="s">
        <v>6</v>
      </c>
      <c r="T72" t="s">
        <v>125</v>
      </c>
    </row>
    <row r="73" spans="1:20" x14ac:dyDescent="0.25">
      <c r="B73" t="s">
        <v>8</v>
      </c>
      <c r="C73" s="2">
        <v>0.52980000000000005</v>
      </c>
      <c r="D73" s="2">
        <v>0.57289999999999996</v>
      </c>
      <c r="E73" s="2">
        <v>0.61599999999999999</v>
      </c>
      <c r="F73" s="2">
        <v>0.67759999999999998</v>
      </c>
      <c r="G73" s="2">
        <v>0.72070000000000001</v>
      </c>
      <c r="H73" s="2">
        <v>0.77</v>
      </c>
      <c r="I73" s="2">
        <v>0.83779999999999999</v>
      </c>
      <c r="J73" s="2">
        <v>0.90549999999999997</v>
      </c>
      <c r="K73" s="2">
        <v>0.97330000000000005</v>
      </c>
      <c r="L73" s="2">
        <v>1.0471999999999999</v>
      </c>
      <c r="M73" s="2">
        <v>1.1211</v>
      </c>
      <c r="N73" s="2">
        <v>1.1950000000000001</v>
      </c>
      <c r="O73" s="2">
        <v>1.2689999999999999</v>
      </c>
      <c r="P73" s="2">
        <v>1.3429</v>
      </c>
      <c r="Q73" s="2">
        <v>1.4168000000000001</v>
      </c>
      <c r="R73" s="5" t="s">
        <v>6</v>
      </c>
      <c r="S73" s="5" t="s">
        <v>6</v>
      </c>
      <c r="T73" t="s">
        <v>125</v>
      </c>
    </row>
    <row r="74" spans="1:20" x14ac:dyDescent="0.25">
      <c r="B74" t="s">
        <v>13</v>
      </c>
      <c r="C74" s="2">
        <v>0.58309999999999995</v>
      </c>
      <c r="D74" s="2">
        <v>0.63049999999999995</v>
      </c>
      <c r="E74" s="2">
        <v>0.67800000000000005</v>
      </c>
      <c r="F74" s="2">
        <v>0.74580000000000002</v>
      </c>
      <c r="G74" s="2">
        <v>0.79330000000000001</v>
      </c>
      <c r="H74" s="2">
        <v>0.84750000000000003</v>
      </c>
      <c r="I74" s="2">
        <v>0.92210000000000003</v>
      </c>
      <c r="J74" s="2">
        <v>0.99670000000000003</v>
      </c>
      <c r="K74" s="2">
        <v>1.0711999999999999</v>
      </c>
      <c r="L74" s="2">
        <v>1.1526000000000001</v>
      </c>
      <c r="M74" s="2">
        <v>1.234</v>
      </c>
      <c r="N74" s="2">
        <v>1.3152999999999999</v>
      </c>
      <c r="O74" s="2">
        <v>1.3967000000000001</v>
      </c>
      <c r="P74" s="2">
        <v>1.478</v>
      </c>
      <c r="Q74" s="2">
        <v>1.5593999999999999</v>
      </c>
      <c r="R74" s="5" t="s">
        <v>6</v>
      </c>
      <c r="S74" s="5" t="s">
        <v>6</v>
      </c>
      <c r="T74" t="s">
        <v>125</v>
      </c>
    </row>
    <row r="75" spans="1:20" x14ac:dyDescent="0.25">
      <c r="B75" t="s">
        <v>7</v>
      </c>
      <c r="C75" s="2">
        <v>0.70779999999999998</v>
      </c>
      <c r="D75" s="2">
        <v>0.76539999999999997</v>
      </c>
      <c r="E75" s="2">
        <v>0.82299999999999995</v>
      </c>
      <c r="F75" s="2">
        <v>0.90529999999999999</v>
      </c>
      <c r="G75" s="2">
        <v>0.96289999999999998</v>
      </c>
      <c r="H75" s="2">
        <v>1.0287999999999999</v>
      </c>
      <c r="I75" s="2">
        <v>1.1193</v>
      </c>
      <c r="J75" s="2">
        <v>1.2098</v>
      </c>
      <c r="K75" s="2">
        <v>1.3003</v>
      </c>
      <c r="L75" s="2">
        <v>1.3991</v>
      </c>
      <c r="M75" s="2">
        <v>1.4979</v>
      </c>
      <c r="N75" s="2">
        <v>1.5966</v>
      </c>
      <c r="O75" s="2">
        <v>1.6954</v>
      </c>
      <c r="P75" s="2">
        <v>1.7941</v>
      </c>
      <c r="Q75" s="2">
        <v>1.8929</v>
      </c>
      <c r="R75" s="5" t="s">
        <v>6</v>
      </c>
      <c r="S75" s="5" t="s">
        <v>6</v>
      </c>
      <c r="T75" t="s">
        <v>125</v>
      </c>
    </row>
    <row r="76" spans="1:20" x14ac:dyDescent="0.25">
      <c r="B76" t="s">
        <v>138</v>
      </c>
      <c r="C76" s="2">
        <v>0.55900000000000005</v>
      </c>
      <c r="D76" s="2">
        <v>0.60450000000000004</v>
      </c>
      <c r="E76" s="2">
        <v>0.65</v>
      </c>
      <c r="F76" s="2">
        <v>0.71499999999999997</v>
      </c>
      <c r="G76" s="2">
        <v>0.76049999999999995</v>
      </c>
      <c r="H76" s="2">
        <v>0.8125</v>
      </c>
      <c r="I76" s="2">
        <v>0.88400000000000001</v>
      </c>
      <c r="J76" s="2">
        <v>0.95550000000000002</v>
      </c>
      <c r="K76" s="2">
        <v>1.0269999999999999</v>
      </c>
      <c r="L76" s="2">
        <v>1.105</v>
      </c>
      <c r="M76" s="2">
        <v>1.1830000000000001</v>
      </c>
      <c r="N76" s="2">
        <v>1.2609999999999999</v>
      </c>
      <c r="O76" s="2">
        <v>1.339</v>
      </c>
      <c r="P76" s="2">
        <v>1.417</v>
      </c>
      <c r="Q76" s="2">
        <v>1.4950000000000001</v>
      </c>
      <c r="R76" s="5" t="s">
        <v>5</v>
      </c>
      <c r="S76" s="5" t="s">
        <v>5</v>
      </c>
      <c r="T76" t="s">
        <v>125</v>
      </c>
    </row>
    <row r="77" spans="1:20" x14ac:dyDescent="0.25">
      <c r="B77" t="s">
        <v>139</v>
      </c>
      <c r="C77" s="2">
        <v>0.60719999999999996</v>
      </c>
      <c r="D77" s="2">
        <v>0.65659999999999996</v>
      </c>
      <c r="E77" s="2">
        <v>0.70599999999999996</v>
      </c>
      <c r="F77" s="2">
        <v>0.77659999999999996</v>
      </c>
      <c r="G77" s="2">
        <v>0.82599999999999996</v>
      </c>
      <c r="H77" s="2">
        <v>0.88249999999999995</v>
      </c>
      <c r="I77" s="2">
        <v>0.96020000000000005</v>
      </c>
      <c r="J77" s="2">
        <v>1.0378000000000001</v>
      </c>
      <c r="K77" s="2">
        <v>1.1154999999999999</v>
      </c>
      <c r="L77" s="2">
        <v>1.2001999999999999</v>
      </c>
      <c r="M77" s="2">
        <v>1.2848999999999999</v>
      </c>
      <c r="N77" s="2">
        <v>1.3695999999999999</v>
      </c>
      <c r="O77" s="2">
        <v>1.4543999999999999</v>
      </c>
      <c r="P77" s="2">
        <v>1.5390999999999999</v>
      </c>
      <c r="Q77" s="2">
        <v>1.6237999999999999</v>
      </c>
      <c r="R77" s="5" t="s">
        <v>5</v>
      </c>
      <c r="S77" s="5" t="s">
        <v>5</v>
      </c>
      <c r="T77" t="s">
        <v>125</v>
      </c>
    </row>
    <row r="78" spans="1:20" x14ac:dyDescent="0.25">
      <c r="B78" t="s">
        <v>152</v>
      </c>
      <c r="C78" s="2">
        <v>0.63929999999999998</v>
      </c>
      <c r="D78" s="2">
        <v>0.69140000000000001</v>
      </c>
      <c r="E78" s="2">
        <v>0.74339999999999995</v>
      </c>
      <c r="F78" s="2">
        <v>0.81769999999999998</v>
      </c>
      <c r="G78" s="2">
        <v>0.86980000000000002</v>
      </c>
      <c r="H78" s="2">
        <v>0.92930000000000001</v>
      </c>
      <c r="I78" s="2">
        <v>1.0109999999999999</v>
      </c>
      <c r="J78" s="2">
        <v>1.0928</v>
      </c>
      <c r="K78" s="2">
        <v>1.1746000000000001</v>
      </c>
      <c r="L78" s="2">
        <v>1.2638</v>
      </c>
      <c r="M78" s="2">
        <v>1.353</v>
      </c>
      <c r="N78" s="2">
        <v>1.4421999999999999</v>
      </c>
      <c r="O78" s="2">
        <v>1.5314000000000001</v>
      </c>
      <c r="P78" s="2">
        <v>1.6206</v>
      </c>
      <c r="Q78" s="2">
        <v>1.7098</v>
      </c>
      <c r="R78" s="5" t="s">
        <v>3</v>
      </c>
      <c r="S78" s="5" t="s">
        <v>3</v>
      </c>
      <c r="T78" t="s">
        <v>125</v>
      </c>
    </row>
    <row r="79" spans="1:20" x14ac:dyDescent="0.25">
      <c r="B79" t="s">
        <v>133</v>
      </c>
      <c r="C79" s="2">
        <v>1.2784</v>
      </c>
      <c r="D79" s="2">
        <v>1.3824000000000001</v>
      </c>
      <c r="E79" s="2">
        <v>1.4864999999999999</v>
      </c>
      <c r="F79" s="2">
        <v>1.6351</v>
      </c>
      <c r="G79" s="2">
        <v>1.7392000000000001</v>
      </c>
      <c r="H79" s="2">
        <v>1.8581000000000001</v>
      </c>
      <c r="I79" s="2">
        <v>2.0215999999999998</v>
      </c>
      <c r="J79" s="2">
        <v>2.1850999999999998</v>
      </c>
      <c r="K79" s="2">
        <v>2.3485999999999998</v>
      </c>
      <c r="L79" s="2">
        <v>2.5270000000000001</v>
      </c>
      <c r="M79" s="2">
        <v>2.7054</v>
      </c>
      <c r="N79" s="2">
        <v>2.8837999999999999</v>
      </c>
      <c r="O79" s="2">
        <v>3.0621999999999998</v>
      </c>
      <c r="P79" s="2">
        <v>3.2404999999999999</v>
      </c>
      <c r="Q79" s="2">
        <v>3.4188999999999998</v>
      </c>
      <c r="R79" s="5" t="s">
        <v>3</v>
      </c>
      <c r="S79" s="5" t="s">
        <v>3</v>
      </c>
      <c r="T79" t="s">
        <v>125</v>
      </c>
    </row>
    <row r="80" spans="1:20" x14ac:dyDescent="0.25">
      <c r="B80" t="s">
        <v>134</v>
      </c>
      <c r="C80" s="2">
        <v>1.5968</v>
      </c>
      <c r="D80" s="2">
        <v>1.7266999999999999</v>
      </c>
      <c r="E80" s="2">
        <v>1.8567</v>
      </c>
      <c r="F80" s="2">
        <v>2.0424000000000002</v>
      </c>
      <c r="G80" s="2">
        <v>2.1722999999999999</v>
      </c>
      <c r="H80" s="2">
        <v>2.3209</v>
      </c>
      <c r="I80" s="2">
        <v>2.5251000000000001</v>
      </c>
      <c r="J80" s="2">
        <v>2.7292999999999998</v>
      </c>
      <c r="K80" s="2">
        <v>2.9336000000000002</v>
      </c>
      <c r="L80" s="2">
        <v>3.1564000000000001</v>
      </c>
      <c r="M80" s="2">
        <v>3.3792</v>
      </c>
      <c r="N80" s="2">
        <v>3.6019999999999999</v>
      </c>
      <c r="O80" s="2">
        <v>3.8248000000000002</v>
      </c>
      <c r="P80" s="2">
        <v>4.0476000000000001</v>
      </c>
      <c r="Q80" s="2">
        <v>4.2704000000000004</v>
      </c>
      <c r="R80" s="5" t="s">
        <v>3</v>
      </c>
      <c r="S80" s="5" t="s">
        <v>3</v>
      </c>
      <c r="T80" t="s">
        <v>125</v>
      </c>
    </row>
    <row r="81" spans="2:20" x14ac:dyDescent="0.25">
      <c r="B81" t="s">
        <v>140</v>
      </c>
      <c r="C81" s="2">
        <v>0.12</v>
      </c>
      <c r="D81" s="2">
        <v>0.129</v>
      </c>
      <c r="E81" s="2">
        <v>0.13800000000000001</v>
      </c>
      <c r="F81" s="2">
        <v>0.15</v>
      </c>
      <c r="G81" s="2">
        <v>0.159</v>
      </c>
      <c r="H81" s="2">
        <v>0.16800000000000001</v>
      </c>
      <c r="I81" s="2">
        <v>0.18</v>
      </c>
      <c r="J81" s="2">
        <v>0.192</v>
      </c>
      <c r="K81" s="2">
        <v>0.20399999999999999</v>
      </c>
      <c r="L81" s="2">
        <v>0.216</v>
      </c>
      <c r="M81" s="2">
        <v>0.22800000000000001</v>
      </c>
      <c r="N81" s="2">
        <v>0.24</v>
      </c>
      <c r="O81" s="2">
        <v>0.255</v>
      </c>
      <c r="P81" s="2">
        <v>0.27</v>
      </c>
      <c r="Q81" s="2">
        <v>0.28499999999999998</v>
      </c>
      <c r="R81" s="5" t="s">
        <v>19</v>
      </c>
      <c r="S81" s="5" t="s">
        <v>19</v>
      </c>
      <c r="T81" t="s">
        <v>125</v>
      </c>
    </row>
    <row r="82" spans="2:20" x14ac:dyDescent="0.25">
      <c r="B82" t="s">
        <v>141</v>
      </c>
      <c r="C82" s="2">
        <v>0.16800000000000001</v>
      </c>
      <c r="D82" s="2">
        <v>0.18060000000000001</v>
      </c>
      <c r="E82" s="2">
        <v>0.19320000000000001</v>
      </c>
      <c r="F82" s="2">
        <v>0.21</v>
      </c>
      <c r="G82" s="2">
        <v>0.22259999999999999</v>
      </c>
      <c r="H82" s="2">
        <v>0.23519999999999999</v>
      </c>
      <c r="I82" s="2">
        <v>0.252</v>
      </c>
      <c r="J82" s="2">
        <v>0.26879999999999998</v>
      </c>
      <c r="K82" s="2">
        <v>0.28560000000000002</v>
      </c>
      <c r="L82" s="2">
        <v>0.3024</v>
      </c>
      <c r="M82" s="2">
        <v>0.31919999999999998</v>
      </c>
      <c r="N82" s="2">
        <v>0.33600000000000002</v>
      </c>
      <c r="O82" s="2">
        <v>0.35699999999999998</v>
      </c>
      <c r="P82" s="2">
        <v>0.378</v>
      </c>
      <c r="Q82" s="2">
        <v>0.39900000000000002</v>
      </c>
      <c r="R82" s="5" t="s">
        <v>19</v>
      </c>
      <c r="S82" s="5" t="s">
        <v>19</v>
      </c>
      <c r="T82" t="s">
        <v>125</v>
      </c>
    </row>
    <row r="83" spans="2:20" x14ac:dyDescent="0.25">
      <c r="B83" t="s">
        <v>144</v>
      </c>
      <c r="C83" s="2">
        <f>0.25*C81</f>
        <v>0.03</v>
      </c>
      <c r="D83" s="2">
        <f t="shared" ref="D83:Q83" si="0">0.25*D81</f>
        <v>3.2250000000000001E-2</v>
      </c>
      <c r="E83" s="2">
        <f t="shared" si="0"/>
        <v>3.4500000000000003E-2</v>
      </c>
      <c r="F83" s="2">
        <f t="shared" si="0"/>
        <v>3.7499999999999999E-2</v>
      </c>
      <c r="G83" s="2">
        <f t="shared" si="0"/>
        <v>3.9750000000000001E-2</v>
      </c>
      <c r="H83" s="2">
        <f t="shared" si="0"/>
        <v>4.2000000000000003E-2</v>
      </c>
      <c r="I83" s="2">
        <f t="shared" si="0"/>
        <v>4.4999999999999998E-2</v>
      </c>
      <c r="J83" s="2">
        <f t="shared" si="0"/>
        <v>4.8000000000000001E-2</v>
      </c>
      <c r="K83" s="2">
        <f t="shared" si="0"/>
        <v>5.0999999999999997E-2</v>
      </c>
      <c r="L83" s="2">
        <f t="shared" si="0"/>
        <v>5.3999999999999999E-2</v>
      </c>
      <c r="M83" s="2">
        <f t="shared" si="0"/>
        <v>5.7000000000000002E-2</v>
      </c>
      <c r="N83" s="2">
        <f t="shared" si="0"/>
        <v>0.06</v>
      </c>
      <c r="O83" s="2">
        <f t="shared" si="0"/>
        <v>6.3750000000000001E-2</v>
      </c>
      <c r="P83" s="2">
        <f t="shared" si="0"/>
        <v>6.7500000000000004E-2</v>
      </c>
      <c r="Q83" s="2">
        <f t="shared" si="0"/>
        <v>7.1249999999999994E-2</v>
      </c>
      <c r="R83" s="5" t="s">
        <v>23</v>
      </c>
      <c r="S83" s="5" t="s">
        <v>23</v>
      </c>
      <c r="T83" t="s">
        <v>125</v>
      </c>
    </row>
    <row r="84" spans="2:20" x14ac:dyDescent="0.25">
      <c r="B84" t="s">
        <v>145</v>
      </c>
      <c r="C84" s="2">
        <f>0.25*C82</f>
        <v>4.2000000000000003E-2</v>
      </c>
      <c r="D84" s="2">
        <f t="shared" ref="D84:Q84" si="1">0.25*D82</f>
        <v>4.5150000000000003E-2</v>
      </c>
      <c r="E84" s="2">
        <f t="shared" si="1"/>
        <v>4.8300000000000003E-2</v>
      </c>
      <c r="F84" s="2">
        <f t="shared" si="1"/>
        <v>5.2499999999999998E-2</v>
      </c>
      <c r="G84" s="2">
        <f t="shared" si="1"/>
        <v>5.5649999999999998E-2</v>
      </c>
      <c r="H84" s="2">
        <f t="shared" si="1"/>
        <v>5.8799999999999998E-2</v>
      </c>
      <c r="I84" s="2">
        <f t="shared" si="1"/>
        <v>6.3E-2</v>
      </c>
      <c r="J84" s="2">
        <f t="shared" si="1"/>
        <v>6.7199999999999996E-2</v>
      </c>
      <c r="K84" s="2">
        <f t="shared" si="1"/>
        <v>7.1400000000000005E-2</v>
      </c>
      <c r="L84" s="2">
        <f t="shared" si="1"/>
        <v>7.5600000000000001E-2</v>
      </c>
      <c r="M84" s="2">
        <f t="shared" si="1"/>
        <v>7.9799999999999996E-2</v>
      </c>
      <c r="N84" s="2">
        <f t="shared" si="1"/>
        <v>8.4000000000000005E-2</v>
      </c>
      <c r="O84" s="2">
        <f t="shared" si="1"/>
        <v>8.9249999999999996E-2</v>
      </c>
      <c r="P84" s="2">
        <f t="shared" si="1"/>
        <v>9.4500000000000001E-2</v>
      </c>
      <c r="Q84" s="2">
        <f t="shared" si="1"/>
        <v>9.9750000000000005E-2</v>
      </c>
      <c r="R84" s="5" t="s">
        <v>23</v>
      </c>
      <c r="S84" s="5" t="s">
        <v>23</v>
      </c>
      <c r="T84" t="s">
        <v>125</v>
      </c>
    </row>
    <row r="85" spans="2:20" x14ac:dyDescent="0.25">
      <c r="B85" t="s">
        <v>142</v>
      </c>
      <c r="C85" s="2">
        <v>1.76</v>
      </c>
      <c r="D85" s="2">
        <v>1.8919999999999999</v>
      </c>
      <c r="E85" s="2">
        <v>2.024</v>
      </c>
      <c r="F85" s="2">
        <v>2.2000000000000002</v>
      </c>
      <c r="G85" s="2">
        <v>2.3319999999999999</v>
      </c>
      <c r="H85" s="2">
        <v>2.464</v>
      </c>
      <c r="I85" s="2">
        <v>2.64</v>
      </c>
      <c r="J85" s="2">
        <v>2.8159999999999998</v>
      </c>
      <c r="K85" s="2">
        <v>2.992</v>
      </c>
      <c r="L85" s="2">
        <v>3.1680000000000001</v>
      </c>
      <c r="M85" s="2">
        <v>3.3439999999999999</v>
      </c>
      <c r="N85" s="2">
        <v>3.52</v>
      </c>
      <c r="O85" s="2">
        <v>3.74</v>
      </c>
      <c r="P85" s="2">
        <v>3.96</v>
      </c>
      <c r="Q85" s="2">
        <v>4.18</v>
      </c>
      <c r="R85" s="5" t="s">
        <v>19</v>
      </c>
      <c r="S85" s="5" t="s">
        <v>19</v>
      </c>
      <c r="T85" t="s">
        <v>125</v>
      </c>
    </row>
    <row r="86" spans="2:20" x14ac:dyDescent="0.25">
      <c r="B86" t="s">
        <v>143</v>
      </c>
      <c r="C86" s="2">
        <v>1.92</v>
      </c>
      <c r="D86" s="2">
        <v>2.0640000000000001</v>
      </c>
      <c r="E86" s="2">
        <v>2.2080000000000002</v>
      </c>
      <c r="F86" s="2">
        <v>2.4</v>
      </c>
      <c r="G86" s="2">
        <v>2.544</v>
      </c>
      <c r="H86" s="2">
        <v>2.6880000000000002</v>
      </c>
      <c r="I86" s="2">
        <v>2.88</v>
      </c>
      <c r="J86" s="2">
        <v>3.0720000000000001</v>
      </c>
      <c r="K86" s="2">
        <v>3.2639999999999998</v>
      </c>
      <c r="L86" s="2">
        <v>3.456</v>
      </c>
      <c r="M86" s="2">
        <v>3.6480000000000001</v>
      </c>
      <c r="N86" s="2">
        <v>3.84</v>
      </c>
      <c r="O86" s="2">
        <v>4.08</v>
      </c>
      <c r="P86" s="2">
        <v>4.32</v>
      </c>
      <c r="Q86" s="2">
        <v>4.5599999999999996</v>
      </c>
      <c r="R86" s="5" t="s">
        <v>19</v>
      </c>
      <c r="S86" s="5" t="s">
        <v>19</v>
      </c>
      <c r="T86" t="s">
        <v>125</v>
      </c>
    </row>
    <row r="87" spans="2:20" x14ac:dyDescent="0.25">
      <c r="B87" t="s">
        <v>146</v>
      </c>
      <c r="C87" s="2">
        <f>0.25*C85</f>
        <v>0.44</v>
      </c>
      <c r="D87" s="2">
        <f t="shared" ref="D87:Q87" si="2">0.25*D85</f>
        <v>0.47299999999999998</v>
      </c>
      <c r="E87" s="2">
        <f t="shared" si="2"/>
        <v>0.50600000000000001</v>
      </c>
      <c r="F87" s="2">
        <f t="shared" si="2"/>
        <v>0.55000000000000004</v>
      </c>
      <c r="G87" s="2">
        <f t="shared" si="2"/>
        <v>0.58299999999999996</v>
      </c>
      <c r="H87" s="2">
        <f t="shared" si="2"/>
        <v>0.61599999999999999</v>
      </c>
      <c r="I87" s="2">
        <f t="shared" si="2"/>
        <v>0.66</v>
      </c>
      <c r="J87" s="2">
        <f t="shared" si="2"/>
        <v>0.70399999999999996</v>
      </c>
      <c r="K87" s="2">
        <f t="shared" si="2"/>
        <v>0.748</v>
      </c>
      <c r="L87" s="2">
        <f t="shared" si="2"/>
        <v>0.79200000000000004</v>
      </c>
      <c r="M87" s="2">
        <f t="shared" si="2"/>
        <v>0.83599999999999997</v>
      </c>
      <c r="N87" s="2">
        <f t="shared" si="2"/>
        <v>0.88</v>
      </c>
      <c r="O87" s="2">
        <f t="shared" si="2"/>
        <v>0.93500000000000005</v>
      </c>
      <c r="P87" s="2">
        <f t="shared" si="2"/>
        <v>0.99</v>
      </c>
      <c r="Q87" s="2">
        <f t="shared" si="2"/>
        <v>1.0449999999999999</v>
      </c>
      <c r="R87" s="5" t="s">
        <v>23</v>
      </c>
      <c r="S87" s="5" t="s">
        <v>23</v>
      </c>
      <c r="T87" t="s">
        <v>125</v>
      </c>
    </row>
    <row r="88" spans="2:20" x14ac:dyDescent="0.25">
      <c r="B88" t="s">
        <v>147</v>
      </c>
      <c r="C88" s="2">
        <f>0.25*C86</f>
        <v>0.48</v>
      </c>
      <c r="D88" s="2">
        <f t="shared" ref="D88:Q88" si="3">0.25*D86</f>
        <v>0.51600000000000001</v>
      </c>
      <c r="E88" s="2">
        <f t="shared" si="3"/>
        <v>0.55200000000000005</v>
      </c>
      <c r="F88" s="2">
        <f t="shared" si="3"/>
        <v>0.6</v>
      </c>
      <c r="G88" s="2">
        <f t="shared" si="3"/>
        <v>0.63600000000000001</v>
      </c>
      <c r="H88" s="2">
        <f t="shared" si="3"/>
        <v>0.67200000000000004</v>
      </c>
      <c r="I88" s="2">
        <f t="shared" si="3"/>
        <v>0.72</v>
      </c>
      <c r="J88" s="2">
        <f t="shared" si="3"/>
        <v>0.76800000000000002</v>
      </c>
      <c r="K88" s="2">
        <f t="shared" si="3"/>
        <v>0.81599999999999995</v>
      </c>
      <c r="L88" s="2">
        <f t="shared" si="3"/>
        <v>0.86399999999999999</v>
      </c>
      <c r="M88" s="2">
        <f t="shared" si="3"/>
        <v>0.91200000000000003</v>
      </c>
      <c r="N88" s="2">
        <f t="shared" si="3"/>
        <v>0.96</v>
      </c>
      <c r="O88" s="2">
        <f t="shared" si="3"/>
        <v>1.02</v>
      </c>
      <c r="P88" s="2">
        <f t="shared" si="3"/>
        <v>1.08</v>
      </c>
      <c r="Q88" s="2">
        <f t="shared" si="3"/>
        <v>1.1399999999999999</v>
      </c>
      <c r="R88" s="5" t="s">
        <v>23</v>
      </c>
      <c r="S88" s="5" t="s">
        <v>23</v>
      </c>
      <c r="T88" t="s">
        <v>125</v>
      </c>
    </row>
    <row r="89" spans="2:20" x14ac:dyDescent="0.25">
      <c r="B89" t="s">
        <v>149</v>
      </c>
      <c r="C89" s="2">
        <v>0.80800000000000005</v>
      </c>
      <c r="D89" s="2">
        <v>0.86860000000000004</v>
      </c>
      <c r="E89" s="2">
        <v>0.92920000000000003</v>
      </c>
      <c r="F89" s="2">
        <v>1.01</v>
      </c>
      <c r="G89" s="2">
        <v>1.0706</v>
      </c>
      <c r="H89" s="2">
        <v>1.1312</v>
      </c>
      <c r="I89" s="2">
        <v>1.212</v>
      </c>
      <c r="J89" s="2">
        <v>1.2927999999999999</v>
      </c>
      <c r="K89" s="2">
        <v>1.3735999999999999</v>
      </c>
      <c r="L89" s="2">
        <v>1.4543999999999999</v>
      </c>
      <c r="M89" s="2">
        <v>1.5351999999999999</v>
      </c>
      <c r="N89" s="2">
        <v>1.6160000000000001</v>
      </c>
      <c r="O89" s="2">
        <v>1.7170000000000001</v>
      </c>
      <c r="P89" s="2">
        <v>1.8180000000000001</v>
      </c>
      <c r="Q89" s="2">
        <v>1.919</v>
      </c>
      <c r="R89" s="5" t="s">
        <v>0</v>
      </c>
      <c r="S89" s="5" t="s">
        <v>0</v>
      </c>
      <c r="T89" t="s">
        <v>125</v>
      </c>
    </row>
    <row r="90" spans="2:20" x14ac:dyDescent="0.25">
      <c r="B90" t="s">
        <v>150</v>
      </c>
      <c r="C90" s="2">
        <v>0.248</v>
      </c>
      <c r="D90" s="2">
        <v>0.2666</v>
      </c>
      <c r="E90" s="2">
        <v>0.28520000000000001</v>
      </c>
      <c r="F90" s="2">
        <v>0.31</v>
      </c>
      <c r="G90" s="2">
        <v>0.3286</v>
      </c>
      <c r="H90" s="2">
        <v>0.34720000000000001</v>
      </c>
      <c r="I90" s="2">
        <v>0.372</v>
      </c>
      <c r="J90" s="2">
        <v>0.39679999999999999</v>
      </c>
      <c r="K90" s="2">
        <v>0.42159999999999997</v>
      </c>
      <c r="L90" s="2">
        <v>0.44640000000000002</v>
      </c>
      <c r="M90" s="2">
        <v>0.47120000000000001</v>
      </c>
      <c r="N90" s="2">
        <v>0.496</v>
      </c>
      <c r="O90" s="2">
        <v>0.52700000000000002</v>
      </c>
      <c r="P90" s="2">
        <v>0.55800000000000005</v>
      </c>
      <c r="Q90" s="2">
        <v>0.58899999999999997</v>
      </c>
      <c r="R90" s="5" t="s">
        <v>24</v>
      </c>
      <c r="S90" s="5" t="s">
        <v>24</v>
      </c>
      <c r="T90" t="s">
        <v>125</v>
      </c>
    </row>
    <row r="91" spans="2:20" x14ac:dyDescent="0.25">
      <c r="B91" s="3" t="s">
        <v>763</v>
      </c>
      <c r="C91" s="23"/>
      <c r="D91" s="23"/>
      <c r="E91" s="23"/>
      <c r="F91" s="23"/>
      <c r="G91" s="23"/>
      <c r="H91" s="23"/>
      <c r="I91" s="23"/>
      <c r="J91" s="23"/>
      <c r="K91" s="23"/>
      <c r="L91" s="23"/>
      <c r="M91" s="23"/>
      <c r="N91" s="23"/>
      <c r="O91" s="23"/>
      <c r="P91" s="23"/>
      <c r="Q91" s="23"/>
      <c r="R91" s="5" t="s">
        <v>763</v>
      </c>
      <c r="S91" s="5" t="s">
        <v>763</v>
      </c>
      <c r="T91" t="s">
        <v>764</v>
      </c>
    </row>
    <row r="92" spans="2:20" x14ac:dyDescent="0.25">
      <c r="B92" s="3" t="s">
        <v>386</v>
      </c>
      <c r="C92" s="23"/>
      <c r="D92" s="23"/>
      <c r="E92" s="23"/>
      <c r="F92" s="23"/>
      <c r="G92" s="23"/>
      <c r="H92" s="23"/>
      <c r="I92" s="23"/>
      <c r="J92" s="23"/>
      <c r="K92" s="23"/>
      <c r="L92" s="23"/>
      <c r="M92" s="23"/>
      <c r="N92" s="23"/>
      <c r="O92" s="23"/>
      <c r="P92" s="23"/>
      <c r="Q92" s="23"/>
      <c r="R92" s="5" t="s">
        <v>392</v>
      </c>
      <c r="S92" s="5" t="s">
        <v>392</v>
      </c>
      <c r="T92" t="s">
        <v>69</v>
      </c>
    </row>
    <row r="93" spans="2:20" x14ac:dyDescent="0.25">
      <c r="B93" s="3" t="s">
        <v>388</v>
      </c>
      <c r="C93" s="23"/>
      <c r="D93" s="23"/>
      <c r="E93" s="23"/>
      <c r="F93" s="23"/>
      <c r="G93" s="23"/>
      <c r="H93" s="23"/>
      <c r="I93" s="23"/>
      <c r="J93" s="23"/>
      <c r="K93" s="23"/>
      <c r="L93" s="23"/>
      <c r="M93" s="23"/>
      <c r="N93" s="23"/>
      <c r="O93" s="23"/>
      <c r="P93" s="23"/>
      <c r="Q93" s="23"/>
      <c r="R93" s="5" t="s">
        <v>392</v>
      </c>
      <c r="S93" s="5" t="s">
        <v>392</v>
      </c>
      <c r="T93" t="s">
        <v>69</v>
      </c>
    </row>
    <row r="94" spans="2:20" x14ac:dyDescent="0.25">
      <c r="B94" s="3" t="s">
        <v>389</v>
      </c>
      <c r="C94" s="23"/>
      <c r="D94" s="23"/>
      <c r="E94" s="23"/>
      <c r="F94" s="23"/>
      <c r="G94" s="23"/>
      <c r="H94" s="23"/>
      <c r="I94" s="23"/>
      <c r="J94" s="23"/>
      <c r="K94" s="23"/>
      <c r="L94" s="23"/>
      <c r="M94" s="23"/>
      <c r="N94" s="23"/>
      <c r="O94" s="23"/>
      <c r="P94" s="23"/>
      <c r="Q94" s="23"/>
      <c r="R94" s="5" t="s">
        <v>392</v>
      </c>
      <c r="S94" s="5" t="s">
        <v>392</v>
      </c>
      <c r="T94" t="s">
        <v>69</v>
      </c>
    </row>
    <row r="95" spans="2:20" x14ac:dyDescent="0.25">
      <c r="B95" s="3" t="s">
        <v>385</v>
      </c>
      <c r="C95" s="23"/>
      <c r="D95" s="23"/>
      <c r="E95" s="23"/>
      <c r="F95" s="23"/>
      <c r="G95" s="23"/>
      <c r="H95" s="23"/>
      <c r="I95" s="23"/>
      <c r="J95" s="23"/>
      <c r="K95" s="23"/>
      <c r="L95" s="23"/>
      <c r="M95" s="23"/>
      <c r="N95" s="23"/>
      <c r="O95" s="23"/>
      <c r="P95" s="23"/>
      <c r="Q95" s="23"/>
      <c r="R95" s="5" t="s">
        <v>392</v>
      </c>
      <c r="S95" s="5" t="s">
        <v>392</v>
      </c>
      <c r="T95" t="s">
        <v>69</v>
      </c>
    </row>
    <row r="96" spans="2:20" x14ac:dyDescent="0.25">
      <c r="B96" s="3" t="s">
        <v>387</v>
      </c>
      <c r="C96" s="23"/>
      <c r="D96" s="23"/>
      <c r="E96" s="23"/>
      <c r="F96" s="23"/>
      <c r="G96" s="23"/>
      <c r="H96" s="23"/>
      <c r="I96" s="23"/>
      <c r="J96" s="23"/>
      <c r="K96" s="23"/>
      <c r="L96" s="23"/>
      <c r="M96" s="23"/>
      <c r="N96" s="23"/>
      <c r="O96" s="23"/>
      <c r="P96" s="23"/>
      <c r="Q96" s="23"/>
      <c r="R96" s="5" t="s">
        <v>392</v>
      </c>
      <c r="S96" s="5" t="s">
        <v>392</v>
      </c>
      <c r="T96" t="s">
        <v>69</v>
      </c>
    </row>
    <row r="97" spans="1:21" x14ac:dyDescent="0.25">
      <c r="B97" s="3" t="s">
        <v>390</v>
      </c>
      <c r="C97" s="23"/>
      <c r="D97" s="23"/>
      <c r="E97" s="23"/>
      <c r="F97" s="23"/>
      <c r="G97" s="23"/>
      <c r="H97" s="23"/>
      <c r="I97" s="23"/>
      <c r="J97" s="23"/>
      <c r="K97" s="23"/>
      <c r="L97" s="23"/>
      <c r="M97" s="23"/>
      <c r="N97" s="23"/>
      <c r="O97" s="23"/>
      <c r="P97" s="23"/>
      <c r="Q97" s="23"/>
      <c r="R97" s="5" t="s">
        <v>392</v>
      </c>
      <c r="S97" s="5" t="s">
        <v>392</v>
      </c>
      <c r="T97" t="s">
        <v>69</v>
      </c>
    </row>
    <row r="98" spans="1:21" x14ac:dyDescent="0.25">
      <c r="B98" s="3" t="s">
        <v>391</v>
      </c>
      <c r="C98" s="23"/>
      <c r="D98" s="23"/>
      <c r="E98" s="23"/>
      <c r="F98" s="23"/>
      <c r="G98" s="23"/>
      <c r="H98" s="23"/>
      <c r="I98" s="23"/>
      <c r="J98" s="23"/>
      <c r="K98" s="23"/>
      <c r="L98" s="23"/>
      <c r="M98" s="23"/>
      <c r="N98" s="23"/>
      <c r="O98" s="23"/>
      <c r="P98" s="23"/>
      <c r="Q98" s="23"/>
      <c r="R98" s="5" t="s">
        <v>392</v>
      </c>
      <c r="S98" s="5" t="s">
        <v>392</v>
      </c>
      <c r="T98" t="s">
        <v>69</v>
      </c>
    </row>
    <row r="99" spans="1:21" x14ac:dyDescent="0.25">
      <c r="A99" t="s">
        <v>823</v>
      </c>
      <c r="B99" s="3" t="s">
        <v>393</v>
      </c>
      <c r="C99" s="23"/>
      <c r="D99" s="23"/>
      <c r="E99" s="23"/>
      <c r="F99" s="23"/>
      <c r="G99" s="23"/>
      <c r="H99" s="23"/>
      <c r="I99" s="23"/>
      <c r="J99" s="23"/>
      <c r="K99" s="23"/>
      <c r="L99" s="23"/>
      <c r="M99" s="23"/>
      <c r="N99" s="23"/>
      <c r="O99" s="23"/>
      <c r="P99" s="23"/>
      <c r="Q99" s="23"/>
      <c r="R99" s="5" t="s">
        <v>392</v>
      </c>
      <c r="S99" s="5" t="s">
        <v>392</v>
      </c>
      <c r="T99" t="s">
        <v>69</v>
      </c>
    </row>
    <row r="100" spans="1:21" x14ac:dyDescent="0.25">
      <c r="B100" t="s">
        <v>151</v>
      </c>
      <c r="C100" s="21">
        <v>1</v>
      </c>
      <c r="D100" s="21">
        <v>2</v>
      </c>
      <c r="E100" s="21">
        <v>3</v>
      </c>
      <c r="F100" s="21">
        <v>4</v>
      </c>
      <c r="G100" s="21">
        <v>5</v>
      </c>
      <c r="H100" s="21">
        <v>6</v>
      </c>
      <c r="I100" s="21">
        <v>7</v>
      </c>
      <c r="J100" s="21">
        <v>8</v>
      </c>
      <c r="K100" s="21">
        <v>9</v>
      </c>
      <c r="L100" s="21">
        <v>10</v>
      </c>
      <c r="M100" s="21">
        <v>11</v>
      </c>
      <c r="N100" s="21">
        <v>12</v>
      </c>
      <c r="O100" s="21">
        <v>13</v>
      </c>
      <c r="P100" s="21">
        <v>14</v>
      </c>
      <c r="Q100" s="21">
        <v>15</v>
      </c>
      <c r="R100" s="5" t="s">
        <v>11</v>
      </c>
      <c r="S100" s="5" t="s">
        <v>1024</v>
      </c>
      <c r="T100" t="s">
        <v>124</v>
      </c>
    </row>
    <row r="101" spans="1:21" x14ac:dyDescent="0.25">
      <c r="A101" t="s">
        <v>824</v>
      </c>
      <c r="B101" t="s">
        <v>10</v>
      </c>
      <c r="C101" s="2">
        <v>0.37840000000000001</v>
      </c>
      <c r="D101" s="2">
        <v>0.40679999999999999</v>
      </c>
      <c r="E101" s="2">
        <v>0.43519999999999998</v>
      </c>
      <c r="F101" s="2">
        <v>0.47299999999999998</v>
      </c>
      <c r="G101" s="2">
        <v>0.50139999999999996</v>
      </c>
      <c r="H101" s="2">
        <v>0.52980000000000005</v>
      </c>
      <c r="I101" s="2">
        <v>0.56759999999999999</v>
      </c>
      <c r="J101" s="2">
        <v>0.60540000000000005</v>
      </c>
      <c r="K101" s="2">
        <v>0.64329999999999998</v>
      </c>
      <c r="L101" s="2">
        <v>0.68110000000000004</v>
      </c>
      <c r="M101" s="2">
        <v>0.72050000000000003</v>
      </c>
      <c r="N101" s="2">
        <v>0.77190000000000003</v>
      </c>
      <c r="O101" s="2">
        <v>0.82340000000000002</v>
      </c>
      <c r="P101" s="2">
        <v>0.87490000000000001</v>
      </c>
      <c r="Q101" s="2">
        <v>0.92630000000000001</v>
      </c>
      <c r="R101" s="5" t="s">
        <v>6</v>
      </c>
      <c r="S101" s="5" t="s">
        <v>6</v>
      </c>
      <c r="T101" t="s">
        <v>125</v>
      </c>
    </row>
    <row r="102" spans="1:21" x14ac:dyDescent="0.25">
      <c r="B102" t="s">
        <v>9</v>
      </c>
      <c r="C102" s="2">
        <v>0.35520000000000002</v>
      </c>
      <c r="D102" s="2">
        <v>0.38179999999999997</v>
      </c>
      <c r="E102" s="2">
        <v>0.40849999999999997</v>
      </c>
      <c r="F102" s="2">
        <v>0.44400000000000001</v>
      </c>
      <c r="G102" s="2">
        <v>0.47060000000000002</v>
      </c>
      <c r="H102" s="2">
        <v>0.49730000000000002</v>
      </c>
      <c r="I102" s="2">
        <v>0.53280000000000005</v>
      </c>
      <c r="J102" s="2">
        <v>0.56830000000000003</v>
      </c>
      <c r="K102" s="2">
        <v>0.6038</v>
      </c>
      <c r="L102" s="2">
        <v>0.63939999999999997</v>
      </c>
      <c r="M102" s="2">
        <v>0.67630000000000001</v>
      </c>
      <c r="N102" s="2">
        <v>0.72460000000000002</v>
      </c>
      <c r="O102" s="2">
        <v>0.77290000000000003</v>
      </c>
      <c r="P102" s="2">
        <v>0.82120000000000004</v>
      </c>
      <c r="Q102" s="2">
        <v>0.86950000000000005</v>
      </c>
      <c r="R102" s="5" t="s">
        <v>6</v>
      </c>
      <c r="S102" s="5" t="s">
        <v>6</v>
      </c>
      <c r="T102" t="s">
        <v>125</v>
      </c>
    </row>
    <row r="103" spans="1:21" x14ac:dyDescent="0.25">
      <c r="B103" t="s">
        <v>8</v>
      </c>
      <c r="C103" s="2">
        <v>0.41039999999999999</v>
      </c>
      <c r="D103" s="2">
        <v>0.44119999999999998</v>
      </c>
      <c r="E103" s="2">
        <v>0.47199999999999998</v>
      </c>
      <c r="F103" s="2">
        <v>0.51300000000000001</v>
      </c>
      <c r="G103" s="2">
        <v>0.54379999999999995</v>
      </c>
      <c r="H103" s="2">
        <v>0.5746</v>
      </c>
      <c r="I103" s="2">
        <v>0.61560000000000004</v>
      </c>
      <c r="J103" s="2">
        <v>0.65659999999999996</v>
      </c>
      <c r="K103" s="2">
        <v>0.69769999999999999</v>
      </c>
      <c r="L103" s="2">
        <v>0.73870000000000002</v>
      </c>
      <c r="M103" s="2">
        <v>0.78139999999999998</v>
      </c>
      <c r="N103" s="2">
        <v>0.83720000000000006</v>
      </c>
      <c r="O103" s="2">
        <v>0.89300000000000002</v>
      </c>
      <c r="P103" s="2">
        <v>0.94879999999999998</v>
      </c>
      <c r="Q103" s="2">
        <v>1.0046999999999999</v>
      </c>
      <c r="R103" s="5" t="s">
        <v>6</v>
      </c>
      <c r="S103" s="5" t="s">
        <v>6</v>
      </c>
      <c r="T103" t="s">
        <v>125</v>
      </c>
    </row>
    <row r="104" spans="1:21" x14ac:dyDescent="0.25">
      <c r="B104" t="s">
        <v>13</v>
      </c>
      <c r="C104" s="2">
        <v>0.55200000000000005</v>
      </c>
      <c r="D104" s="2">
        <v>0.59340000000000004</v>
      </c>
      <c r="E104" s="2">
        <v>0.63480000000000003</v>
      </c>
      <c r="F104" s="2">
        <v>0.69</v>
      </c>
      <c r="G104" s="2">
        <v>0.73140000000000005</v>
      </c>
      <c r="H104" s="2">
        <v>0.77280000000000004</v>
      </c>
      <c r="I104" s="2">
        <v>0.82799999999999996</v>
      </c>
      <c r="J104" s="2">
        <v>0.88319999999999999</v>
      </c>
      <c r="K104" s="2">
        <v>0.93840000000000001</v>
      </c>
      <c r="L104" s="2">
        <v>0.99360000000000004</v>
      </c>
      <c r="M104" s="2">
        <v>1.0509999999999999</v>
      </c>
      <c r="N104" s="2">
        <v>1.1261000000000001</v>
      </c>
      <c r="O104" s="2">
        <v>1.2012</v>
      </c>
      <c r="P104" s="2">
        <v>1.2762</v>
      </c>
      <c r="Q104" s="2">
        <v>1.3512999999999999</v>
      </c>
      <c r="R104" s="5" t="s">
        <v>6</v>
      </c>
      <c r="S104" s="5" t="s">
        <v>6</v>
      </c>
      <c r="T104" t="s">
        <v>125</v>
      </c>
    </row>
    <row r="105" spans="1:21" x14ac:dyDescent="0.25">
      <c r="B105" t="s">
        <v>14</v>
      </c>
      <c r="C105" s="2">
        <v>1.6624000000000001</v>
      </c>
      <c r="D105" s="2">
        <v>1.7870999999999999</v>
      </c>
      <c r="E105" s="2">
        <v>1.9117999999999999</v>
      </c>
      <c r="F105" s="2">
        <v>2.0779999999999998</v>
      </c>
      <c r="G105" s="2">
        <v>2.2027000000000001</v>
      </c>
      <c r="H105" s="2">
        <v>2.3273999999999999</v>
      </c>
      <c r="I105" s="2">
        <v>2.4935999999999998</v>
      </c>
      <c r="J105" s="2">
        <v>2.6598000000000002</v>
      </c>
      <c r="K105" s="2">
        <v>2.8260999999999998</v>
      </c>
      <c r="L105" s="2">
        <v>2.9923000000000002</v>
      </c>
      <c r="M105" s="2">
        <v>3.1652</v>
      </c>
      <c r="N105" s="2">
        <v>3.3913000000000002</v>
      </c>
      <c r="O105" s="2">
        <v>3.6173999999999999</v>
      </c>
      <c r="P105" s="2">
        <v>3.8435000000000001</v>
      </c>
      <c r="Q105" s="2">
        <v>4.0696000000000003</v>
      </c>
      <c r="R105" s="5" t="s">
        <v>5</v>
      </c>
      <c r="S105" s="5" t="s">
        <v>5</v>
      </c>
      <c r="T105" t="s">
        <v>125</v>
      </c>
    </row>
    <row r="106" spans="1:21" x14ac:dyDescent="0.25">
      <c r="B106" t="s">
        <v>152</v>
      </c>
      <c r="C106" s="2">
        <v>0.56830000000000003</v>
      </c>
      <c r="D106" s="2">
        <v>0.61450000000000005</v>
      </c>
      <c r="E106" s="2">
        <v>0.66080000000000005</v>
      </c>
      <c r="F106" s="2">
        <v>0.72689999999999999</v>
      </c>
      <c r="G106" s="2">
        <v>0.77310000000000001</v>
      </c>
      <c r="H106" s="2">
        <v>0.82599999999999996</v>
      </c>
      <c r="I106" s="2">
        <v>0.89870000000000005</v>
      </c>
      <c r="J106" s="2">
        <v>0.97140000000000004</v>
      </c>
      <c r="K106" s="2">
        <v>1.0441</v>
      </c>
      <c r="L106" s="2">
        <v>1.1234</v>
      </c>
      <c r="M106" s="2">
        <v>1.2027000000000001</v>
      </c>
      <c r="N106" s="2">
        <v>1.282</v>
      </c>
      <c r="O106" s="2">
        <v>1.3612</v>
      </c>
      <c r="P106" s="2">
        <v>1.4404999999999999</v>
      </c>
      <c r="Q106" s="2">
        <v>1.5198</v>
      </c>
      <c r="R106" s="5" t="s">
        <v>3</v>
      </c>
      <c r="S106" s="5" t="s">
        <v>3</v>
      </c>
      <c r="T106" t="s">
        <v>125</v>
      </c>
    </row>
    <row r="107" spans="1:21" x14ac:dyDescent="0.25">
      <c r="B107" t="s">
        <v>133</v>
      </c>
      <c r="C107" s="2">
        <v>1.1363000000000001</v>
      </c>
      <c r="D107" s="2">
        <v>1.2287999999999999</v>
      </c>
      <c r="E107" s="2">
        <v>1.3212999999999999</v>
      </c>
      <c r="F107" s="2">
        <v>1.4535</v>
      </c>
      <c r="G107" s="2">
        <v>1.5459000000000001</v>
      </c>
      <c r="H107" s="2">
        <v>1.6516999999999999</v>
      </c>
      <c r="I107" s="2">
        <v>1.7969999999999999</v>
      </c>
      <c r="J107" s="2">
        <v>1.9422999999999999</v>
      </c>
      <c r="K107" s="2">
        <v>2.0876999999999999</v>
      </c>
      <c r="L107" s="2">
        <v>2.2462</v>
      </c>
      <c r="M107" s="2">
        <v>2.4047999999999998</v>
      </c>
      <c r="N107" s="2">
        <v>2.5634000000000001</v>
      </c>
      <c r="O107" s="2">
        <v>2.7219000000000002</v>
      </c>
      <c r="P107" s="2">
        <v>2.8805000000000001</v>
      </c>
      <c r="Q107" s="2">
        <v>3.0390000000000001</v>
      </c>
      <c r="R107" s="5" t="s">
        <v>3</v>
      </c>
      <c r="S107" s="5" t="s">
        <v>3</v>
      </c>
      <c r="T107" t="s">
        <v>125</v>
      </c>
    </row>
    <row r="108" spans="1:21" x14ac:dyDescent="0.25">
      <c r="B108" t="s">
        <v>134</v>
      </c>
      <c r="C108" s="2">
        <v>1.4193</v>
      </c>
      <c r="D108" s="2">
        <v>1.5348999999999999</v>
      </c>
      <c r="E108" s="2">
        <v>1.6504000000000001</v>
      </c>
      <c r="F108" s="2">
        <v>1.8153999999999999</v>
      </c>
      <c r="G108" s="2">
        <v>1.931</v>
      </c>
      <c r="H108" s="2">
        <v>2.0630000000000002</v>
      </c>
      <c r="I108" s="2">
        <v>2.2444999999999999</v>
      </c>
      <c r="J108" s="2">
        <v>2.4260999999999999</v>
      </c>
      <c r="K108" s="2">
        <v>2.6076000000000001</v>
      </c>
      <c r="L108" s="2">
        <v>2.8056999999999999</v>
      </c>
      <c r="M108" s="2">
        <v>3.0036999999999998</v>
      </c>
      <c r="N108" s="2">
        <v>3.2018</v>
      </c>
      <c r="O108" s="2">
        <v>3.3997999999999999</v>
      </c>
      <c r="P108" s="2">
        <v>3.5979000000000001</v>
      </c>
      <c r="Q108" s="2">
        <v>3.7959000000000001</v>
      </c>
      <c r="R108" s="5" t="s">
        <v>3</v>
      </c>
      <c r="S108" s="5" t="s">
        <v>3</v>
      </c>
      <c r="T108" t="s">
        <v>125</v>
      </c>
    </row>
    <row r="109" spans="1:21" x14ac:dyDescent="0.25">
      <c r="B109" t="s">
        <v>908</v>
      </c>
      <c r="C109" s="2">
        <v>7.4999999999999997E-3</v>
      </c>
      <c r="D109" s="2">
        <v>8.0999999999999996E-3</v>
      </c>
      <c r="E109" s="2">
        <v>8.6E-3</v>
      </c>
      <c r="F109" s="2">
        <v>9.4000000000000004E-3</v>
      </c>
      <c r="G109" s="2">
        <v>9.9000000000000008E-3</v>
      </c>
      <c r="H109" s="2">
        <v>1.0500000000000001E-2</v>
      </c>
      <c r="I109" s="2">
        <v>1.1299999999999999E-2</v>
      </c>
      <c r="J109" s="2">
        <v>1.2E-2</v>
      </c>
      <c r="K109" s="2">
        <v>1.2699999999999999E-2</v>
      </c>
      <c r="L109" s="2">
        <v>1.35E-2</v>
      </c>
      <c r="M109" s="2">
        <v>1.43E-2</v>
      </c>
      <c r="N109" s="2">
        <v>1.4999999999999999E-2</v>
      </c>
      <c r="O109" s="2">
        <v>1.5900000000000001E-2</v>
      </c>
      <c r="P109" s="2">
        <v>1.6899999999999998E-2</v>
      </c>
      <c r="Q109" s="2">
        <v>1.78E-2</v>
      </c>
      <c r="R109" s="5" t="s">
        <v>19</v>
      </c>
      <c r="S109" s="5" t="s">
        <v>19</v>
      </c>
      <c r="T109" t="s">
        <v>223</v>
      </c>
      <c r="U109" t="s">
        <v>944</v>
      </c>
    </row>
    <row r="110" spans="1:21" x14ac:dyDescent="0.25">
      <c r="B110" t="s">
        <v>909</v>
      </c>
      <c r="C110">
        <v>72</v>
      </c>
      <c r="D110">
        <v>79</v>
      </c>
      <c r="E110">
        <v>87</v>
      </c>
      <c r="F110">
        <v>96</v>
      </c>
      <c r="G110">
        <v>105</v>
      </c>
      <c r="H110">
        <v>114</v>
      </c>
      <c r="I110">
        <v>125</v>
      </c>
      <c r="J110">
        <v>135</v>
      </c>
      <c r="K110">
        <v>147</v>
      </c>
      <c r="L110">
        <v>159</v>
      </c>
      <c r="M110">
        <v>172</v>
      </c>
      <c r="N110">
        <v>185</v>
      </c>
      <c r="O110">
        <v>199</v>
      </c>
      <c r="P110">
        <v>213</v>
      </c>
      <c r="Q110">
        <v>228</v>
      </c>
      <c r="R110" s="5" t="s">
        <v>19</v>
      </c>
      <c r="S110" s="5" t="s">
        <v>19</v>
      </c>
      <c r="T110" t="s">
        <v>223</v>
      </c>
      <c r="U110" t="s">
        <v>945</v>
      </c>
    </row>
    <row r="111" spans="1:21" x14ac:dyDescent="0.25">
      <c r="B111" t="s">
        <v>913</v>
      </c>
      <c r="C111" s="2">
        <v>0.04</v>
      </c>
      <c r="D111" s="2">
        <v>4.2999999999999997E-2</v>
      </c>
      <c r="E111" s="2">
        <v>4.5999999999999999E-2</v>
      </c>
      <c r="F111" s="2">
        <v>0.05</v>
      </c>
      <c r="G111" s="2">
        <v>5.2999999999999999E-2</v>
      </c>
      <c r="H111" s="2">
        <v>5.6000000000000001E-2</v>
      </c>
      <c r="I111" s="2">
        <v>0.06</v>
      </c>
      <c r="J111" s="2">
        <v>6.4000000000000001E-2</v>
      </c>
      <c r="K111" s="2">
        <v>6.8000000000000005E-2</v>
      </c>
      <c r="L111" s="2">
        <v>7.1999999999999995E-2</v>
      </c>
      <c r="M111" s="2">
        <v>7.5999999999999998E-2</v>
      </c>
      <c r="N111" s="2">
        <v>0.08</v>
      </c>
      <c r="O111" s="2">
        <v>8.5000000000000006E-2</v>
      </c>
      <c r="P111" s="2">
        <v>0.09</v>
      </c>
      <c r="Q111" s="2">
        <v>9.5000000000000001E-2</v>
      </c>
      <c r="R111" s="5" t="s">
        <v>19</v>
      </c>
      <c r="S111" s="5" t="s">
        <v>19</v>
      </c>
      <c r="T111" t="s">
        <v>223</v>
      </c>
      <c r="U111" t="s">
        <v>944</v>
      </c>
    </row>
    <row r="112" spans="1:21" x14ac:dyDescent="0.25">
      <c r="B112" t="s">
        <v>910</v>
      </c>
      <c r="C112">
        <v>385</v>
      </c>
      <c r="D112">
        <v>424</v>
      </c>
      <c r="E112">
        <v>465</v>
      </c>
      <c r="F112">
        <v>510</v>
      </c>
      <c r="G112">
        <v>559</v>
      </c>
      <c r="H112">
        <v>610</v>
      </c>
      <c r="I112">
        <v>664</v>
      </c>
      <c r="J112">
        <v>722</v>
      </c>
      <c r="K112">
        <v>783</v>
      </c>
      <c r="L112">
        <v>847</v>
      </c>
      <c r="M112">
        <v>915</v>
      </c>
      <c r="N112">
        <v>986</v>
      </c>
      <c r="O112">
        <v>1059</v>
      </c>
      <c r="P112">
        <v>1136</v>
      </c>
      <c r="Q112">
        <v>1217</v>
      </c>
      <c r="R112" s="5" t="s">
        <v>19</v>
      </c>
      <c r="S112" s="5" t="s">
        <v>19</v>
      </c>
      <c r="T112" t="s">
        <v>223</v>
      </c>
      <c r="U112" t="s">
        <v>945</v>
      </c>
    </row>
    <row r="113" spans="1:21" x14ac:dyDescent="0.25">
      <c r="B113" t="s">
        <v>907</v>
      </c>
      <c r="C113" s="2">
        <v>0.17599999999999999</v>
      </c>
      <c r="D113" s="2">
        <v>0.18920000000000001</v>
      </c>
      <c r="E113" s="2">
        <v>0.2024</v>
      </c>
      <c r="F113" s="2">
        <v>0.22</v>
      </c>
      <c r="G113" s="2">
        <v>0.23319999999999999</v>
      </c>
      <c r="H113" s="2">
        <v>0.24640000000000001</v>
      </c>
      <c r="I113" s="2">
        <v>0.26400000000000001</v>
      </c>
      <c r="J113" s="2">
        <v>0.28160000000000002</v>
      </c>
      <c r="K113" s="2">
        <v>0.29920000000000002</v>
      </c>
      <c r="L113" s="2">
        <v>0.31680000000000003</v>
      </c>
      <c r="M113" s="2">
        <v>0.33439999999999998</v>
      </c>
      <c r="N113" s="2">
        <v>0.35199999999999998</v>
      </c>
      <c r="O113" s="2">
        <v>0.374</v>
      </c>
      <c r="P113" s="2">
        <v>0.39600000000000002</v>
      </c>
      <c r="Q113" s="2">
        <v>0.41799999999999998</v>
      </c>
      <c r="R113" t="s">
        <v>0</v>
      </c>
      <c r="S113" t="s">
        <v>0</v>
      </c>
      <c r="T113" t="s">
        <v>223</v>
      </c>
      <c r="U113" t="s">
        <v>944</v>
      </c>
    </row>
    <row r="114" spans="1:21" x14ac:dyDescent="0.25">
      <c r="B114" t="s">
        <v>906</v>
      </c>
      <c r="C114">
        <v>1694</v>
      </c>
      <c r="D114">
        <v>1864</v>
      </c>
      <c r="E114">
        <v>2047</v>
      </c>
      <c r="F114">
        <v>2245</v>
      </c>
      <c r="G114">
        <v>2457</v>
      </c>
      <c r="H114">
        <v>2683</v>
      </c>
      <c r="I114">
        <v>2923</v>
      </c>
      <c r="J114">
        <v>3177</v>
      </c>
      <c r="K114">
        <v>3445</v>
      </c>
      <c r="L114">
        <v>3728</v>
      </c>
      <c r="M114">
        <v>4024</v>
      </c>
      <c r="N114">
        <v>4335</v>
      </c>
      <c r="O114">
        <v>4660</v>
      </c>
      <c r="P114">
        <v>4999</v>
      </c>
      <c r="Q114">
        <v>5352</v>
      </c>
      <c r="R114" t="s">
        <v>0</v>
      </c>
      <c r="S114" t="s">
        <v>0</v>
      </c>
      <c r="T114" t="s">
        <v>223</v>
      </c>
      <c r="U114" t="s">
        <v>945</v>
      </c>
    </row>
    <row r="115" spans="1:21" x14ac:dyDescent="0.25">
      <c r="B115" t="s">
        <v>153</v>
      </c>
      <c r="C115" s="2">
        <v>0.58399999999999996</v>
      </c>
      <c r="D115" s="2">
        <v>0.62780000000000002</v>
      </c>
      <c r="E115" s="2">
        <v>0.67159999999999997</v>
      </c>
      <c r="F115" s="2">
        <v>0.73</v>
      </c>
      <c r="G115" s="2">
        <v>0.77380000000000004</v>
      </c>
      <c r="H115" s="2">
        <v>0.81759999999999999</v>
      </c>
      <c r="I115" s="2">
        <v>0.876</v>
      </c>
      <c r="J115" s="2">
        <v>0.93440000000000001</v>
      </c>
      <c r="K115" s="2">
        <v>0.99280000000000002</v>
      </c>
      <c r="L115" s="2">
        <v>1.0511999999999999</v>
      </c>
      <c r="M115" s="2">
        <v>1.1095999999999999</v>
      </c>
      <c r="N115" s="2">
        <v>1.1679999999999999</v>
      </c>
      <c r="O115" s="2">
        <v>1.2410000000000001</v>
      </c>
      <c r="P115" s="2">
        <v>1.3140000000000001</v>
      </c>
      <c r="Q115" s="2">
        <v>1.387</v>
      </c>
      <c r="R115" s="5" t="s">
        <v>19</v>
      </c>
      <c r="S115" s="5" t="s">
        <v>19</v>
      </c>
      <c r="T115" t="s">
        <v>125</v>
      </c>
    </row>
    <row r="116" spans="1:21" x14ac:dyDescent="0.25">
      <c r="B116" s="3" t="s">
        <v>763</v>
      </c>
      <c r="C116" s="23"/>
      <c r="D116" s="23"/>
      <c r="E116" s="23"/>
      <c r="F116" s="23"/>
      <c r="G116" s="23"/>
      <c r="H116" s="23"/>
      <c r="I116" s="23"/>
      <c r="J116" s="23"/>
      <c r="K116" s="23"/>
      <c r="L116" s="23"/>
      <c r="M116" s="23"/>
      <c r="N116" s="23"/>
      <c r="O116" s="23"/>
      <c r="P116" s="23"/>
      <c r="Q116" s="23"/>
      <c r="R116" s="5" t="s">
        <v>763</v>
      </c>
      <c r="S116" s="5" t="s">
        <v>763</v>
      </c>
      <c r="T116" t="s">
        <v>764</v>
      </c>
    </row>
    <row r="117" spans="1:21" x14ac:dyDescent="0.25">
      <c r="B117" s="3" t="s">
        <v>386</v>
      </c>
      <c r="C117" s="23"/>
      <c r="D117" s="23"/>
      <c r="E117" s="23"/>
      <c r="F117" s="23"/>
      <c r="G117" s="23"/>
      <c r="H117" s="23"/>
      <c r="I117" s="23"/>
      <c r="J117" s="23"/>
      <c r="K117" s="23"/>
      <c r="L117" s="23"/>
      <c r="M117" s="23"/>
      <c r="N117" s="23"/>
      <c r="O117" s="23"/>
      <c r="P117" s="23"/>
      <c r="Q117" s="23"/>
      <c r="R117" s="5" t="s">
        <v>392</v>
      </c>
      <c r="S117" s="5" t="s">
        <v>392</v>
      </c>
      <c r="T117" t="s">
        <v>69</v>
      </c>
    </row>
    <row r="118" spans="1:21" x14ac:dyDescent="0.25">
      <c r="B118" s="3" t="s">
        <v>388</v>
      </c>
      <c r="C118" s="23"/>
      <c r="D118" s="23"/>
      <c r="E118" s="23"/>
      <c r="F118" s="23"/>
      <c r="G118" s="23"/>
      <c r="H118" s="23"/>
      <c r="I118" s="23"/>
      <c r="J118" s="23"/>
      <c r="K118" s="23"/>
      <c r="L118" s="23"/>
      <c r="M118" s="23"/>
      <c r="N118" s="23"/>
      <c r="O118" s="23"/>
      <c r="P118" s="23"/>
      <c r="Q118" s="23"/>
      <c r="R118" s="5" t="s">
        <v>392</v>
      </c>
      <c r="S118" s="5" t="s">
        <v>392</v>
      </c>
      <c r="T118" t="s">
        <v>69</v>
      </c>
    </row>
    <row r="119" spans="1:21" x14ac:dyDescent="0.25">
      <c r="B119" s="3" t="s">
        <v>389</v>
      </c>
      <c r="C119" s="23"/>
      <c r="D119" s="23"/>
      <c r="E119" s="23"/>
      <c r="F119" s="23"/>
      <c r="G119" s="23"/>
      <c r="H119" s="23"/>
      <c r="I119" s="23"/>
      <c r="J119" s="23"/>
      <c r="K119" s="23"/>
      <c r="L119" s="23"/>
      <c r="M119" s="23"/>
      <c r="N119" s="23"/>
      <c r="O119" s="23"/>
      <c r="P119" s="23"/>
      <c r="Q119" s="23"/>
      <c r="R119" s="5" t="s">
        <v>392</v>
      </c>
      <c r="S119" s="5" t="s">
        <v>392</v>
      </c>
      <c r="T119" t="s">
        <v>69</v>
      </c>
    </row>
    <row r="120" spans="1:21" x14ac:dyDescent="0.25">
      <c r="B120" s="3" t="s">
        <v>385</v>
      </c>
      <c r="C120" s="23"/>
      <c r="D120" s="23"/>
      <c r="E120" s="23"/>
      <c r="F120" s="23"/>
      <c r="G120" s="23"/>
      <c r="H120" s="23"/>
      <c r="I120" s="23"/>
      <c r="J120" s="23"/>
      <c r="K120" s="23"/>
      <c r="L120" s="23"/>
      <c r="M120" s="23"/>
      <c r="N120" s="23"/>
      <c r="O120" s="23"/>
      <c r="P120" s="23"/>
      <c r="Q120" s="23"/>
      <c r="R120" s="5" t="s">
        <v>392</v>
      </c>
      <c r="S120" s="5" t="s">
        <v>392</v>
      </c>
      <c r="T120" t="s">
        <v>69</v>
      </c>
    </row>
    <row r="121" spans="1:21" x14ac:dyDescent="0.25">
      <c r="B121" s="3" t="s">
        <v>387</v>
      </c>
      <c r="C121" s="23"/>
      <c r="D121" s="23"/>
      <c r="E121" s="23"/>
      <c r="F121" s="23"/>
      <c r="G121" s="23"/>
      <c r="H121" s="23"/>
      <c r="I121" s="23"/>
      <c r="J121" s="23"/>
      <c r="K121" s="23"/>
      <c r="L121" s="23"/>
      <c r="M121" s="23"/>
      <c r="N121" s="23"/>
      <c r="O121" s="23"/>
      <c r="P121" s="23"/>
      <c r="Q121" s="23"/>
      <c r="R121" s="5" t="s">
        <v>392</v>
      </c>
      <c r="S121" s="5" t="s">
        <v>392</v>
      </c>
      <c r="T121" t="s">
        <v>69</v>
      </c>
    </row>
    <row r="122" spans="1:21" x14ac:dyDescent="0.25">
      <c r="B122" s="3" t="s">
        <v>390</v>
      </c>
      <c r="C122" s="23"/>
      <c r="D122" s="23"/>
      <c r="E122" s="23"/>
      <c r="F122" s="23"/>
      <c r="G122" s="23"/>
      <c r="H122" s="23"/>
      <c r="I122" s="23"/>
      <c r="J122" s="23"/>
      <c r="K122" s="23"/>
      <c r="L122" s="23"/>
      <c r="M122" s="23"/>
      <c r="N122" s="23"/>
      <c r="O122" s="23"/>
      <c r="P122" s="23"/>
      <c r="Q122" s="23"/>
      <c r="R122" s="5" t="s">
        <v>392</v>
      </c>
      <c r="S122" s="5" t="s">
        <v>392</v>
      </c>
      <c r="T122" t="s">
        <v>69</v>
      </c>
    </row>
    <row r="123" spans="1:21" x14ac:dyDescent="0.25">
      <c r="B123" s="3" t="s">
        <v>391</v>
      </c>
      <c r="C123" s="23"/>
      <c r="D123" s="23"/>
      <c r="E123" s="23"/>
      <c r="F123" s="23"/>
      <c r="G123" s="23"/>
      <c r="H123" s="23"/>
      <c r="I123" s="23"/>
      <c r="J123" s="23"/>
      <c r="K123" s="23"/>
      <c r="L123" s="23"/>
      <c r="M123" s="23"/>
      <c r="N123" s="23"/>
      <c r="O123" s="23"/>
      <c r="P123" s="23"/>
      <c r="Q123" s="23"/>
      <c r="R123" s="5" t="s">
        <v>392</v>
      </c>
      <c r="S123" s="5" t="s">
        <v>392</v>
      </c>
      <c r="T123" t="s">
        <v>69</v>
      </c>
    </row>
    <row r="124" spans="1:21" x14ac:dyDescent="0.25">
      <c r="A124" t="s">
        <v>825</v>
      </c>
      <c r="B124" s="3" t="s">
        <v>393</v>
      </c>
      <c r="C124" s="23"/>
      <c r="D124" s="23"/>
      <c r="E124" s="23"/>
      <c r="F124" s="23"/>
      <c r="G124" s="23"/>
      <c r="H124" s="23"/>
      <c r="I124" s="23"/>
      <c r="J124" s="23"/>
      <c r="K124" s="23"/>
      <c r="L124" s="23"/>
      <c r="M124" s="23"/>
      <c r="N124" s="23"/>
      <c r="O124" s="23"/>
      <c r="P124" s="23"/>
      <c r="Q124" s="23"/>
      <c r="R124" s="5" t="s">
        <v>392</v>
      </c>
      <c r="S124" s="5" t="s">
        <v>392</v>
      </c>
      <c r="T124" t="s">
        <v>69</v>
      </c>
    </row>
    <row r="125" spans="1:21" x14ac:dyDescent="0.25">
      <c r="B125" t="s">
        <v>156</v>
      </c>
      <c r="C125" s="21">
        <v>1</v>
      </c>
      <c r="D125" s="21">
        <v>2</v>
      </c>
      <c r="E125" s="21">
        <v>3</v>
      </c>
      <c r="F125" s="21">
        <v>4</v>
      </c>
      <c r="G125" s="21">
        <v>5</v>
      </c>
      <c r="H125" s="21">
        <v>6</v>
      </c>
      <c r="I125" s="21">
        <v>7</v>
      </c>
      <c r="J125" s="21">
        <v>8</v>
      </c>
      <c r="K125" s="21">
        <v>9</v>
      </c>
      <c r="L125" s="21">
        <v>10</v>
      </c>
      <c r="M125" s="21">
        <v>11</v>
      </c>
      <c r="N125" s="21">
        <v>12</v>
      </c>
      <c r="O125" s="21">
        <v>13</v>
      </c>
      <c r="P125" s="21">
        <v>14</v>
      </c>
      <c r="Q125" s="21">
        <v>15</v>
      </c>
      <c r="R125" s="5" t="s">
        <v>11</v>
      </c>
      <c r="S125" s="5" t="s">
        <v>1024</v>
      </c>
      <c r="T125" t="s">
        <v>124</v>
      </c>
    </row>
    <row r="126" spans="1:21" x14ac:dyDescent="0.25">
      <c r="A126" t="s">
        <v>826</v>
      </c>
      <c r="B126" t="s">
        <v>10</v>
      </c>
      <c r="C126" s="2">
        <v>0.71120000000000005</v>
      </c>
      <c r="D126" s="2">
        <v>0.76910000000000001</v>
      </c>
      <c r="E126" s="2">
        <v>0.82699999999999996</v>
      </c>
      <c r="F126" s="2">
        <v>0.90969999999999995</v>
      </c>
      <c r="G126" s="2">
        <v>0.96760000000000002</v>
      </c>
      <c r="H126" s="2">
        <v>1.0338000000000001</v>
      </c>
      <c r="I126" s="2">
        <v>1.1247</v>
      </c>
      <c r="J126" s="2">
        <v>1.2157</v>
      </c>
      <c r="K126" s="2">
        <v>1.3067</v>
      </c>
      <c r="L126" s="2">
        <v>1.4058999999999999</v>
      </c>
      <c r="M126" s="2">
        <v>1.5196000000000001</v>
      </c>
      <c r="N126" s="2">
        <v>1.6533</v>
      </c>
      <c r="O126" s="2">
        <v>1.7870999999999999</v>
      </c>
      <c r="P126" s="2">
        <v>1.9208000000000001</v>
      </c>
      <c r="Q126" s="2">
        <v>2.0667</v>
      </c>
      <c r="R126" s="5" t="s">
        <v>6</v>
      </c>
      <c r="S126" s="5" t="s">
        <v>6</v>
      </c>
      <c r="T126" t="s">
        <v>125</v>
      </c>
    </row>
    <row r="127" spans="1:21" x14ac:dyDescent="0.25">
      <c r="B127" t="s">
        <v>9</v>
      </c>
      <c r="C127" s="2">
        <v>0.70860000000000001</v>
      </c>
      <c r="D127" s="2">
        <v>0.76629999999999998</v>
      </c>
      <c r="E127" s="2">
        <v>0.82399999999999995</v>
      </c>
      <c r="F127" s="2">
        <v>0.90639999999999998</v>
      </c>
      <c r="G127" s="2">
        <v>0.96409999999999996</v>
      </c>
      <c r="H127" s="2">
        <v>1.03</v>
      </c>
      <c r="I127" s="2">
        <v>1.1206</v>
      </c>
      <c r="J127" s="2">
        <v>1.2113</v>
      </c>
      <c r="K127" s="2">
        <v>1.3019000000000001</v>
      </c>
      <c r="L127" s="2">
        <v>1.4008</v>
      </c>
      <c r="M127" s="2">
        <v>1.5141</v>
      </c>
      <c r="N127" s="2">
        <v>1.6473</v>
      </c>
      <c r="O127" s="2">
        <v>1.7806</v>
      </c>
      <c r="P127" s="2">
        <v>1.9137999999999999</v>
      </c>
      <c r="Q127" s="2">
        <v>2.0592000000000001</v>
      </c>
      <c r="R127" s="5" t="s">
        <v>6</v>
      </c>
      <c r="S127" s="5" t="s">
        <v>6</v>
      </c>
      <c r="T127" t="s">
        <v>125</v>
      </c>
    </row>
    <row r="128" spans="1:21" x14ac:dyDescent="0.25">
      <c r="B128" t="s">
        <v>8</v>
      </c>
      <c r="C128" s="2">
        <v>0.88319999999999999</v>
      </c>
      <c r="D128" s="2">
        <v>0.95509999999999995</v>
      </c>
      <c r="E128" s="2">
        <v>1.0269999999999999</v>
      </c>
      <c r="F128" s="2">
        <v>1.1296999999999999</v>
      </c>
      <c r="G128" s="2">
        <v>1.2016</v>
      </c>
      <c r="H128" s="2">
        <v>1.2838000000000001</v>
      </c>
      <c r="I128" s="2">
        <v>1.3967000000000001</v>
      </c>
      <c r="J128" s="2">
        <v>1.5097</v>
      </c>
      <c r="K128" s="2">
        <v>1.6227</v>
      </c>
      <c r="L128" s="2">
        <v>1.7459</v>
      </c>
      <c r="M128" s="2">
        <v>1.8871</v>
      </c>
      <c r="N128" s="2">
        <v>2.0531999999999999</v>
      </c>
      <c r="O128" s="2">
        <v>2.2191999999999998</v>
      </c>
      <c r="P128" s="2">
        <v>2.3853</v>
      </c>
      <c r="Q128" s="2">
        <v>2.5665</v>
      </c>
      <c r="R128" s="5" t="s">
        <v>6</v>
      </c>
      <c r="S128" s="5" t="s">
        <v>6</v>
      </c>
      <c r="T128" t="s">
        <v>125</v>
      </c>
    </row>
    <row r="129" spans="2:20" x14ac:dyDescent="0.25">
      <c r="B129" t="s">
        <v>13</v>
      </c>
      <c r="C129" s="2">
        <v>0.86519999999999997</v>
      </c>
      <c r="D129" s="2">
        <v>0.93559999999999999</v>
      </c>
      <c r="E129" s="2">
        <v>1.006</v>
      </c>
      <c r="F129" s="2">
        <v>1.1066</v>
      </c>
      <c r="G129" s="2">
        <v>1.177</v>
      </c>
      <c r="H129" s="2">
        <v>1.2575000000000001</v>
      </c>
      <c r="I129" s="2">
        <v>1.3682000000000001</v>
      </c>
      <c r="J129" s="2">
        <v>1.4787999999999999</v>
      </c>
      <c r="K129" s="2">
        <v>1.5894999999999999</v>
      </c>
      <c r="L129" s="2">
        <v>1.7101999999999999</v>
      </c>
      <c r="M129" s="2">
        <v>1.8485</v>
      </c>
      <c r="N129" s="2">
        <v>2.0112000000000001</v>
      </c>
      <c r="O129" s="2">
        <v>2.1739000000000002</v>
      </c>
      <c r="P129" s="2">
        <v>2.3365</v>
      </c>
      <c r="Q129" s="2">
        <v>2.5139999999999998</v>
      </c>
      <c r="R129" s="5" t="s">
        <v>6</v>
      </c>
      <c r="S129" s="5" t="s">
        <v>6</v>
      </c>
      <c r="T129" t="s">
        <v>125</v>
      </c>
    </row>
    <row r="130" spans="2:20" x14ac:dyDescent="0.25">
      <c r="B130" t="s">
        <v>7</v>
      </c>
      <c r="C130" s="2">
        <v>1.1214</v>
      </c>
      <c r="D130" s="2">
        <v>1.2126999999999999</v>
      </c>
      <c r="E130" s="2">
        <v>1.304</v>
      </c>
      <c r="F130" s="2">
        <v>1.4343999999999999</v>
      </c>
      <c r="G130" s="2">
        <v>1.5257000000000001</v>
      </c>
      <c r="H130" s="2">
        <v>1.63</v>
      </c>
      <c r="I130" s="2">
        <v>1.7734000000000001</v>
      </c>
      <c r="J130" s="2">
        <v>1.9169</v>
      </c>
      <c r="K130" s="2">
        <v>2.0602999999999998</v>
      </c>
      <c r="L130" s="2">
        <v>2.2168000000000001</v>
      </c>
      <c r="M130" s="2">
        <v>2.3961000000000001</v>
      </c>
      <c r="N130" s="2">
        <v>2.6070000000000002</v>
      </c>
      <c r="O130" s="2">
        <v>2.8178000000000001</v>
      </c>
      <c r="P130" s="2">
        <v>3.0287000000000002</v>
      </c>
      <c r="Q130" s="2">
        <v>3.2587000000000002</v>
      </c>
      <c r="R130" s="5" t="s">
        <v>6</v>
      </c>
      <c r="S130" s="5" t="s">
        <v>6</v>
      </c>
      <c r="T130" t="s">
        <v>125</v>
      </c>
    </row>
    <row r="131" spans="2:20" x14ac:dyDescent="0.25">
      <c r="B131" t="s">
        <v>154</v>
      </c>
      <c r="C131" s="2">
        <v>0.56240000000000001</v>
      </c>
      <c r="D131" s="2">
        <v>0.60819999999999996</v>
      </c>
      <c r="E131" s="2">
        <v>0.65400000000000003</v>
      </c>
      <c r="F131" s="2">
        <v>0.71940000000000004</v>
      </c>
      <c r="G131" s="2">
        <v>0.76519999999999999</v>
      </c>
      <c r="H131" s="2">
        <v>0.8175</v>
      </c>
      <c r="I131" s="2">
        <v>0.88939999999999997</v>
      </c>
      <c r="J131" s="2">
        <v>0.96140000000000003</v>
      </c>
      <c r="K131" s="2">
        <v>1.0333000000000001</v>
      </c>
      <c r="L131" s="2">
        <v>1.1117999999999999</v>
      </c>
      <c r="M131" s="2">
        <v>1.2017</v>
      </c>
      <c r="N131" s="2">
        <v>1.3075000000000001</v>
      </c>
      <c r="O131" s="2">
        <v>1.4132</v>
      </c>
      <c r="P131" s="2">
        <v>1.5189999999999999</v>
      </c>
      <c r="Q131" s="2">
        <v>1.6343000000000001</v>
      </c>
      <c r="R131" s="5" t="s">
        <v>5</v>
      </c>
      <c r="S131" s="5" t="s">
        <v>5</v>
      </c>
      <c r="T131" t="s">
        <v>125</v>
      </c>
    </row>
    <row r="132" spans="2:20" x14ac:dyDescent="0.25">
      <c r="B132" t="s">
        <v>155</v>
      </c>
      <c r="C132" s="2">
        <v>1.0182</v>
      </c>
      <c r="D132" s="2">
        <v>1.1011</v>
      </c>
      <c r="E132" s="2">
        <v>1.1839999999999999</v>
      </c>
      <c r="F132" s="2">
        <v>1.3024</v>
      </c>
      <c r="G132" s="2">
        <v>1.3853</v>
      </c>
      <c r="H132" s="2">
        <v>1.48</v>
      </c>
      <c r="I132" s="2">
        <v>1.6102000000000001</v>
      </c>
      <c r="J132" s="2">
        <v>1.7404999999999999</v>
      </c>
      <c r="K132" s="2">
        <v>1.8707</v>
      </c>
      <c r="L132" s="2">
        <v>2.0127999999999999</v>
      </c>
      <c r="M132" s="2">
        <v>2.1756000000000002</v>
      </c>
      <c r="N132" s="2">
        <v>2.3671000000000002</v>
      </c>
      <c r="O132" s="2">
        <v>2.5585</v>
      </c>
      <c r="P132" s="2">
        <v>2.75</v>
      </c>
      <c r="Q132" s="2">
        <v>2.9588000000000001</v>
      </c>
      <c r="R132" s="5" t="s">
        <v>5</v>
      </c>
      <c r="S132" s="5" t="s">
        <v>5</v>
      </c>
      <c r="T132" t="s">
        <v>125</v>
      </c>
    </row>
    <row r="133" spans="2:20" x14ac:dyDescent="0.25">
      <c r="B133" t="s">
        <v>152</v>
      </c>
      <c r="C133" s="2">
        <v>0.74590000000000001</v>
      </c>
      <c r="D133" s="2">
        <v>0.80659999999999998</v>
      </c>
      <c r="E133" s="2">
        <v>0.86729999999999996</v>
      </c>
      <c r="F133" s="2">
        <v>0.95399999999999996</v>
      </c>
      <c r="G133" s="2">
        <v>1.0146999999999999</v>
      </c>
      <c r="H133" s="2">
        <v>1.0841000000000001</v>
      </c>
      <c r="I133" s="2">
        <v>1.1795</v>
      </c>
      <c r="J133" s="2">
        <v>1.2748999999999999</v>
      </c>
      <c r="K133" s="2">
        <v>1.3703000000000001</v>
      </c>
      <c r="L133" s="2">
        <v>1.4743999999999999</v>
      </c>
      <c r="M133" s="2">
        <v>1.5785</v>
      </c>
      <c r="N133" s="2">
        <v>1.6826000000000001</v>
      </c>
      <c r="O133" s="2">
        <v>1.7866</v>
      </c>
      <c r="P133" s="2">
        <v>1.8907</v>
      </c>
      <c r="Q133" s="2">
        <v>1.9947999999999999</v>
      </c>
      <c r="R133" s="5" t="s">
        <v>3</v>
      </c>
      <c r="S133" s="5" t="s">
        <v>3</v>
      </c>
      <c r="T133" t="s">
        <v>125</v>
      </c>
    </row>
    <row r="134" spans="2:20" x14ac:dyDescent="0.25">
      <c r="B134" t="s">
        <v>133</v>
      </c>
      <c r="C134" s="2">
        <v>1.4914000000000001</v>
      </c>
      <c r="D134" s="2">
        <v>1.6128</v>
      </c>
      <c r="E134" s="2">
        <v>1.7342</v>
      </c>
      <c r="F134" s="2">
        <v>1.9077</v>
      </c>
      <c r="G134" s="2">
        <v>2.0291000000000001</v>
      </c>
      <c r="H134" s="2">
        <v>2.1678000000000002</v>
      </c>
      <c r="I134" s="2">
        <v>2.3586</v>
      </c>
      <c r="J134" s="2">
        <v>2.5493000000000001</v>
      </c>
      <c r="K134" s="2">
        <v>2.7401</v>
      </c>
      <c r="L134" s="2">
        <v>2.9481999999999999</v>
      </c>
      <c r="M134" s="2">
        <v>3.1562999999999999</v>
      </c>
      <c r="N134" s="2">
        <v>3.3643999999999998</v>
      </c>
      <c r="O134" s="2">
        <v>3.5724999999999998</v>
      </c>
      <c r="P134" s="2">
        <v>3.7806000000000002</v>
      </c>
      <c r="Q134" s="2">
        <v>3.9887000000000001</v>
      </c>
      <c r="R134" s="5" t="s">
        <v>3</v>
      </c>
      <c r="S134" s="5" t="s">
        <v>3</v>
      </c>
      <c r="T134" t="s">
        <v>125</v>
      </c>
    </row>
    <row r="135" spans="2:20" x14ac:dyDescent="0.25">
      <c r="B135" t="s">
        <v>134</v>
      </c>
      <c r="C135" s="2">
        <v>1.8629</v>
      </c>
      <c r="D135" s="2">
        <v>2.0145</v>
      </c>
      <c r="E135" s="2">
        <v>2.1661999999999999</v>
      </c>
      <c r="F135" s="2">
        <v>2.3828</v>
      </c>
      <c r="G135" s="2">
        <v>2.5344000000000002</v>
      </c>
      <c r="H135" s="2">
        <v>2.7077</v>
      </c>
      <c r="I135" s="2">
        <v>2.9460000000000002</v>
      </c>
      <c r="J135" s="2">
        <v>3.1842000000000001</v>
      </c>
      <c r="K135" s="2">
        <v>3.4224999999999999</v>
      </c>
      <c r="L135" s="2">
        <v>3.6825000000000001</v>
      </c>
      <c r="M135" s="2">
        <v>3.9424000000000001</v>
      </c>
      <c r="N135" s="2">
        <v>4.2023000000000001</v>
      </c>
      <c r="O135" s="2">
        <v>4.4622999999999999</v>
      </c>
      <c r="P135" s="2">
        <v>4.7222</v>
      </c>
      <c r="Q135" s="2">
        <v>4.9821</v>
      </c>
      <c r="R135" s="5" t="s">
        <v>3</v>
      </c>
      <c r="S135" s="5" t="s">
        <v>3</v>
      </c>
      <c r="T135" t="s">
        <v>125</v>
      </c>
    </row>
    <row r="136" spans="2:20" x14ac:dyDescent="0.25">
      <c r="B136" t="s">
        <v>157</v>
      </c>
      <c r="C136" s="2">
        <v>1.216</v>
      </c>
      <c r="D136" s="2">
        <v>1.3071999999999999</v>
      </c>
      <c r="E136" s="2">
        <v>1.3984000000000001</v>
      </c>
      <c r="F136" s="2">
        <v>1.52</v>
      </c>
      <c r="G136" s="2">
        <v>1.6112</v>
      </c>
      <c r="H136" s="2">
        <v>1.7023999999999999</v>
      </c>
      <c r="I136" s="2">
        <v>1.8240000000000001</v>
      </c>
      <c r="J136" s="2">
        <v>1.9456</v>
      </c>
      <c r="K136" s="2">
        <v>2.0672000000000001</v>
      </c>
      <c r="L136" s="2">
        <v>2.1888000000000001</v>
      </c>
      <c r="M136" s="2">
        <v>2.3104</v>
      </c>
      <c r="N136" s="2">
        <v>2.4319999999999999</v>
      </c>
      <c r="O136" s="2">
        <v>2.5840000000000001</v>
      </c>
      <c r="P136" s="2">
        <v>2.7360000000000002</v>
      </c>
      <c r="Q136" s="2">
        <v>2.8879999999999999</v>
      </c>
      <c r="R136" s="5" t="s">
        <v>19</v>
      </c>
      <c r="S136" s="5" t="s">
        <v>19</v>
      </c>
      <c r="T136" t="s">
        <v>125</v>
      </c>
    </row>
    <row r="137" spans="2:20" x14ac:dyDescent="0.25">
      <c r="B137" t="s">
        <v>158</v>
      </c>
      <c r="C137" s="2">
        <v>2.8159999999999998</v>
      </c>
      <c r="D137" s="2">
        <v>3.0271999999999997</v>
      </c>
      <c r="E137" s="2">
        <v>3.2384000000000004</v>
      </c>
      <c r="F137" s="2">
        <v>3.52</v>
      </c>
      <c r="G137" s="2">
        <v>3.7312000000000003</v>
      </c>
      <c r="H137" s="2">
        <v>3.9424000000000001</v>
      </c>
      <c r="I137" s="2">
        <v>4.2240000000000002</v>
      </c>
      <c r="J137" s="2">
        <v>4.5056000000000003</v>
      </c>
      <c r="K137" s="2">
        <v>4.7872000000000003</v>
      </c>
      <c r="L137" s="2">
        <v>5.0687999999999995</v>
      </c>
      <c r="M137" s="2">
        <v>5.3504000000000005</v>
      </c>
      <c r="N137" s="2">
        <v>5.6319999999999997</v>
      </c>
      <c r="O137" s="2">
        <v>5.984</v>
      </c>
      <c r="P137" s="2">
        <v>6.3360000000000003</v>
      </c>
      <c r="Q137" s="2">
        <v>6.6879999999999997</v>
      </c>
      <c r="R137" s="5" t="s">
        <v>19</v>
      </c>
      <c r="S137" s="5" t="s">
        <v>19</v>
      </c>
      <c r="T137" t="s">
        <v>125</v>
      </c>
    </row>
    <row r="138" spans="2:20" x14ac:dyDescent="0.25">
      <c r="B138" t="s">
        <v>159</v>
      </c>
      <c r="C138" s="2">
        <v>4.4160000000000004</v>
      </c>
      <c r="D138" s="2">
        <v>4.7471999999999994</v>
      </c>
      <c r="E138" s="2">
        <v>5.0784000000000002</v>
      </c>
      <c r="F138" s="2">
        <v>5.52</v>
      </c>
      <c r="G138" s="2">
        <v>5.8512000000000004</v>
      </c>
      <c r="H138" s="2">
        <v>6.1824000000000003</v>
      </c>
      <c r="I138" s="2">
        <v>6.6240000000000006</v>
      </c>
      <c r="J138" s="2">
        <v>7.0655999999999999</v>
      </c>
      <c r="K138" s="2">
        <v>7.507200000000001</v>
      </c>
      <c r="L138" s="2">
        <v>7.9487999999999994</v>
      </c>
      <c r="M138" s="2">
        <v>8.3903999999999996</v>
      </c>
      <c r="N138" s="2">
        <v>8.8320000000000007</v>
      </c>
      <c r="O138" s="2">
        <v>9.3840000000000003</v>
      </c>
      <c r="P138" s="2">
        <v>9.9359999999999999</v>
      </c>
      <c r="Q138" s="2">
        <v>10.488</v>
      </c>
      <c r="R138" s="5" t="s">
        <v>19</v>
      </c>
      <c r="S138" s="5" t="s">
        <v>19</v>
      </c>
      <c r="T138" t="s">
        <v>125</v>
      </c>
    </row>
    <row r="139" spans="2:20" x14ac:dyDescent="0.25">
      <c r="B139" t="s">
        <v>160</v>
      </c>
      <c r="C139" s="2">
        <v>1.216</v>
      </c>
      <c r="D139" s="2">
        <v>1.3071999999999999</v>
      </c>
      <c r="E139" s="2">
        <v>1.3984000000000001</v>
      </c>
      <c r="F139" s="2">
        <v>1.52</v>
      </c>
      <c r="G139" s="2">
        <v>1.6112</v>
      </c>
      <c r="H139" s="2">
        <v>1.7023999999999999</v>
      </c>
      <c r="I139" s="2">
        <v>1.8240000000000001</v>
      </c>
      <c r="J139" s="2">
        <v>1.9456</v>
      </c>
      <c r="K139" s="2">
        <v>2.0672000000000001</v>
      </c>
      <c r="L139" s="2">
        <v>2.1888000000000001</v>
      </c>
      <c r="M139" s="2">
        <v>2.3104</v>
      </c>
      <c r="N139" s="2">
        <v>2.4319999999999999</v>
      </c>
      <c r="O139" s="2">
        <v>2.5840000000000001</v>
      </c>
      <c r="P139" s="2">
        <v>2.7360000000000002</v>
      </c>
      <c r="Q139" s="2">
        <v>2.8879999999999999</v>
      </c>
      <c r="R139" s="5" t="s">
        <v>0</v>
      </c>
      <c r="S139" s="5" t="s">
        <v>0</v>
      </c>
      <c r="T139" t="s">
        <v>125</v>
      </c>
    </row>
    <row r="140" spans="2:20" x14ac:dyDescent="0.25">
      <c r="B140" t="s">
        <v>161</v>
      </c>
      <c r="C140" s="2">
        <v>0.96</v>
      </c>
      <c r="D140" s="2">
        <v>1.032</v>
      </c>
      <c r="E140" s="2">
        <v>1.1040000000000001</v>
      </c>
      <c r="F140" s="2">
        <v>1.2</v>
      </c>
      <c r="G140" s="2">
        <v>1.272</v>
      </c>
      <c r="H140" s="2">
        <v>1.3440000000000001</v>
      </c>
      <c r="I140" s="2">
        <v>1.44</v>
      </c>
      <c r="J140" s="2">
        <v>1.536</v>
      </c>
      <c r="K140" s="2">
        <v>1.6319999999999999</v>
      </c>
      <c r="L140" s="2">
        <v>1.728</v>
      </c>
      <c r="M140" s="2">
        <v>1.8240000000000001</v>
      </c>
      <c r="N140" s="2">
        <v>1.92</v>
      </c>
      <c r="O140" s="2">
        <v>2.04</v>
      </c>
      <c r="P140" s="2">
        <v>2.16</v>
      </c>
      <c r="Q140" s="2">
        <v>2.2799999999999998</v>
      </c>
      <c r="R140" s="5" t="s">
        <v>0</v>
      </c>
      <c r="S140" s="5" t="s">
        <v>0</v>
      </c>
      <c r="T140" t="s">
        <v>125</v>
      </c>
    </row>
    <row r="141" spans="2:20" x14ac:dyDescent="0.25">
      <c r="B141" s="3" t="s">
        <v>763</v>
      </c>
      <c r="C141" s="23"/>
      <c r="D141" s="23"/>
      <c r="E141" s="23"/>
      <c r="F141" s="23"/>
      <c r="G141" s="23"/>
      <c r="H141" s="23"/>
      <c r="I141" s="23"/>
      <c r="J141" s="23"/>
      <c r="K141" s="23"/>
      <c r="L141" s="23"/>
      <c r="M141" s="23"/>
      <c r="N141" s="23"/>
      <c r="O141" s="23"/>
      <c r="P141" s="23"/>
      <c r="Q141" s="23"/>
      <c r="R141" s="5" t="s">
        <v>763</v>
      </c>
      <c r="S141" s="5" t="s">
        <v>763</v>
      </c>
      <c r="T141" t="s">
        <v>764</v>
      </c>
    </row>
    <row r="142" spans="2:20" x14ac:dyDescent="0.25">
      <c r="B142" s="3" t="s">
        <v>386</v>
      </c>
      <c r="C142" s="23"/>
      <c r="D142" s="23"/>
      <c r="E142" s="23"/>
      <c r="F142" s="23"/>
      <c r="G142" s="23"/>
      <c r="H142" s="23"/>
      <c r="I142" s="23"/>
      <c r="J142" s="23"/>
      <c r="K142" s="23"/>
      <c r="L142" s="23"/>
      <c r="M142" s="23"/>
      <c r="N142" s="23"/>
      <c r="O142" s="23"/>
      <c r="P142" s="23"/>
      <c r="Q142" s="23"/>
      <c r="R142" s="5" t="s">
        <v>392</v>
      </c>
      <c r="S142" s="5" t="s">
        <v>392</v>
      </c>
      <c r="T142" t="s">
        <v>69</v>
      </c>
    </row>
    <row r="143" spans="2:20" x14ac:dyDescent="0.25">
      <c r="B143" s="3" t="s">
        <v>388</v>
      </c>
      <c r="C143" s="23"/>
      <c r="D143" s="23"/>
      <c r="E143" s="23"/>
      <c r="F143" s="23"/>
      <c r="G143" s="23"/>
      <c r="H143" s="23"/>
      <c r="I143" s="23"/>
      <c r="J143" s="23"/>
      <c r="K143" s="23"/>
      <c r="L143" s="23"/>
      <c r="M143" s="23"/>
      <c r="N143" s="23"/>
      <c r="O143" s="23"/>
      <c r="P143" s="23"/>
      <c r="Q143" s="23"/>
      <c r="R143" s="5" t="s">
        <v>392</v>
      </c>
      <c r="S143" s="5" t="s">
        <v>392</v>
      </c>
      <c r="T143" t="s">
        <v>69</v>
      </c>
    </row>
    <row r="144" spans="2:20" x14ac:dyDescent="0.25">
      <c r="B144" s="3" t="s">
        <v>389</v>
      </c>
      <c r="C144" s="23"/>
      <c r="D144" s="23"/>
      <c r="E144" s="23"/>
      <c r="F144" s="23"/>
      <c r="G144" s="23"/>
      <c r="H144" s="23"/>
      <c r="I144" s="23"/>
      <c r="J144" s="23"/>
      <c r="K144" s="23"/>
      <c r="L144" s="23"/>
      <c r="M144" s="23"/>
      <c r="N144" s="23"/>
      <c r="O144" s="23"/>
      <c r="P144" s="23"/>
      <c r="Q144" s="23"/>
      <c r="R144" s="5" t="s">
        <v>392</v>
      </c>
      <c r="S144" s="5" t="s">
        <v>392</v>
      </c>
      <c r="T144" t="s">
        <v>69</v>
      </c>
    </row>
    <row r="145" spans="1:20" x14ac:dyDescent="0.25">
      <c r="B145" s="3" t="s">
        <v>385</v>
      </c>
      <c r="C145" s="23"/>
      <c r="D145" s="23"/>
      <c r="E145" s="23"/>
      <c r="F145" s="23"/>
      <c r="G145" s="23"/>
      <c r="H145" s="23"/>
      <c r="I145" s="23"/>
      <c r="J145" s="23"/>
      <c r="K145" s="23"/>
      <c r="L145" s="23"/>
      <c r="M145" s="23"/>
      <c r="N145" s="23"/>
      <c r="O145" s="23"/>
      <c r="P145" s="23"/>
      <c r="Q145" s="23"/>
      <c r="R145" s="5" t="s">
        <v>392</v>
      </c>
      <c r="S145" s="5" t="s">
        <v>392</v>
      </c>
      <c r="T145" t="s">
        <v>69</v>
      </c>
    </row>
    <row r="146" spans="1:20" x14ac:dyDescent="0.25">
      <c r="B146" s="3" t="s">
        <v>387</v>
      </c>
      <c r="C146" s="23"/>
      <c r="D146" s="23"/>
      <c r="E146" s="23"/>
      <c r="F146" s="23"/>
      <c r="G146" s="23"/>
      <c r="H146" s="23"/>
      <c r="I146" s="23"/>
      <c r="J146" s="23"/>
      <c r="K146" s="23"/>
      <c r="L146" s="23"/>
      <c r="M146" s="23"/>
      <c r="N146" s="23"/>
      <c r="O146" s="23"/>
      <c r="P146" s="23"/>
      <c r="Q146" s="23"/>
      <c r="R146" s="5" t="s">
        <v>392</v>
      </c>
      <c r="S146" s="5" t="s">
        <v>392</v>
      </c>
      <c r="T146" t="s">
        <v>69</v>
      </c>
    </row>
    <row r="147" spans="1:20" x14ac:dyDescent="0.25">
      <c r="B147" s="3" t="s">
        <v>390</v>
      </c>
      <c r="C147" s="23"/>
      <c r="D147" s="23"/>
      <c r="E147" s="23"/>
      <c r="F147" s="23"/>
      <c r="G147" s="23"/>
      <c r="H147" s="23"/>
      <c r="I147" s="23"/>
      <c r="J147" s="23"/>
      <c r="K147" s="23"/>
      <c r="L147" s="23"/>
      <c r="M147" s="23"/>
      <c r="N147" s="23"/>
      <c r="O147" s="23"/>
      <c r="P147" s="23"/>
      <c r="Q147" s="23"/>
      <c r="R147" s="5" t="s">
        <v>392</v>
      </c>
      <c r="S147" s="5" t="s">
        <v>392</v>
      </c>
      <c r="T147" t="s">
        <v>69</v>
      </c>
    </row>
    <row r="148" spans="1:20" x14ac:dyDescent="0.25">
      <c r="B148" s="3" t="s">
        <v>391</v>
      </c>
      <c r="C148" s="23"/>
      <c r="D148" s="23"/>
      <c r="E148" s="23"/>
      <c r="F148" s="23"/>
      <c r="G148" s="23"/>
      <c r="H148" s="23"/>
      <c r="I148" s="23"/>
      <c r="J148" s="23"/>
      <c r="K148" s="23"/>
      <c r="L148" s="23"/>
      <c r="M148" s="23"/>
      <c r="N148" s="23"/>
      <c r="O148" s="23"/>
      <c r="P148" s="23"/>
      <c r="Q148" s="23"/>
      <c r="R148" s="5" t="s">
        <v>392</v>
      </c>
      <c r="S148" s="5" t="s">
        <v>392</v>
      </c>
      <c r="T148" t="s">
        <v>69</v>
      </c>
    </row>
    <row r="149" spans="1:20" x14ac:dyDescent="0.25">
      <c r="A149" t="s">
        <v>827</v>
      </c>
      <c r="B149" s="3" t="s">
        <v>393</v>
      </c>
      <c r="C149" s="23"/>
      <c r="D149" s="23"/>
      <c r="E149" s="23"/>
      <c r="F149" s="23"/>
      <c r="G149" s="23"/>
      <c r="H149" s="23"/>
      <c r="I149" s="23"/>
      <c r="J149" s="23"/>
      <c r="K149" s="23"/>
      <c r="L149" s="23"/>
      <c r="M149" s="23"/>
      <c r="N149" s="23"/>
      <c r="O149" s="23"/>
      <c r="P149" s="23"/>
      <c r="Q149" s="23"/>
      <c r="R149" s="5" t="s">
        <v>392</v>
      </c>
      <c r="S149" s="5" t="s">
        <v>392</v>
      </c>
      <c r="T149" t="s">
        <v>69</v>
      </c>
    </row>
    <row r="150" spans="1:20" x14ac:dyDescent="0.25">
      <c r="B150" t="s">
        <v>162</v>
      </c>
      <c r="C150" s="21">
        <v>1</v>
      </c>
      <c r="D150" s="21">
        <v>2</v>
      </c>
      <c r="E150" s="21">
        <v>3</v>
      </c>
      <c r="F150" s="21">
        <v>4</v>
      </c>
      <c r="G150" s="21">
        <v>5</v>
      </c>
      <c r="H150" s="21">
        <v>6</v>
      </c>
      <c r="I150" s="21">
        <v>7</v>
      </c>
      <c r="J150" s="21">
        <v>8</v>
      </c>
      <c r="K150" s="21">
        <v>9</v>
      </c>
      <c r="L150" s="21">
        <v>10</v>
      </c>
      <c r="M150" s="21">
        <v>11</v>
      </c>
      <c r="N150" s="21">
        <v>12</v>
      </c>
      <c r="O150" s="21">
        <v>13</v>
      </c>
      <c r="P150" s="21">
        <v>14</v>
      </c>
      <c r="Q150" s="21">
        <v>15</v>
      </c>
      <c r="R150" s="5" t="s">
        <v>11</v>
      </c>
      <c r="S150" s="5" t="s">
        <v>1024</v>
      </c>
      <c r="T150" t="s">
        <v>124</v>
      </c>
    </row>
    <row r="151" spans="1:20" x14ac:dyDescent="0.25">
      <c r="A151" t="s">
        <v>828</v>
      </c>
      <c r="B151" t="s">
        <v>10</v>
      </c>
      <c r="C151" s="2">
        <v>0.44550000000000001</v>
      </c>
      <c r="D151" s="2">
        <v>0.48170000000000002</v>
      </c>
      <c r="E151" s="2">
        <v>0.51800000000000002</v>
      </c>
      <c r="F151" s="2">
        <v>0.56979999999999997</v>
      </c>
      <c r="G151" s="2">
        <v>0.60609999999999997</v>
      </c>
      <c r="H151" s="2">
        <v>0.64749999999999996</v>
      </c>
      <c r="I151" s="2">
        <v>0.70450000000000002</v>
      </c>
      <c r="J151" s="2">
        <v>0.76149999999999995</v>
      </c>
      <c r="K151" s="2">
        <v>0.81840000000000002</v>
      </c>
      <c r="L151" s="2">
        <v>0.88060000000000005</v>
      </c>
      <c r="M151" s="2">
        <v>0.94279999999999997</v>
      </c>
      <c r="N151" s="2">
        <v>1.0048999999999999</v>
      </c>
      <c r="O151" s="2">
        <v>1.0670999999999999</v>
      </c>
      <c r="P151" s="2">
        <v>1.1292</v>
      </c>
      <c r="Q151" s="2">
        <v>1.1914</v>
      </c>
      <c r="R151" s="5" t="s">
        <v>6</v>
      </c>
      <c r="S151" s="5" t="s">
        <v>6</v>
      </c>
      <c r="T151" t="s">
        <v>125</v>
      </c>
    </row>
    <row r="152" spans="1:20" x14ac:dyDescent="0.25">
      <c r="B152" t="s">
        <v>9</v>
      </c>
      <c r="C152" s="2">
        <v>0.4274</v>
      </c>
      <c r="D152" s="2">
        <v>0.4622</v>
      </c>
      <c r="E152" s="2">
        <v>0.497</v>
      </c>
      <c r="F152" s="2">
        <v>0.54669999999999996</v>
      </c>
      <c r="G152" s="2">
        <v>0.58150000000000002</v>
      </c>
      <c r="H152" s="2">
        <v>0.62129999999999996</v>
      </c>
      <c r="I152" s="2">
        <v>0.67589999999999995</v>
      </c>
      <c r="J152" s="2">
        <v>0.73060000000000003</v>
      </c>
      <c r="K152" s="2">
        <v>0.7853</v>
      </c>
      <c r="L152" s="2">
        <v>0.84489999999999998</v>
      </c>
      <c r="M152" s="2">
        <v>0.90449999999999997</v>
      </c>
      <c r="N152" s="2">
        <v>0.96419999999999995</v>
      </c>
      <c r="O152" s="2">
        <v>1.0238</v>
      </c>
      <c r="P152" s="2">
        <v>1.0834999999999999</v>
      </c>
      <c r="Q152" s="2">
        <v>1.1431</v>
      </c>
      <c r="R152" s="5" t="s">
        <v>6</v>
      </c>
      <c r="S152" s="5" t="s">
        <v>6</v>
      </c>
      <c r="T152" t="s">
        <v>125</v>
      </c>
    </row>
    <row r="153" spans="1:20" x14ac:dyDescent="0.25">
      <c r="B153" t="s">
        <v>8</v>
      </c>
      <c r="C153" s="2">
        <v>0.54610000000000003</v>
      </c>
      <c r="D153" s="2">
        <v>0.59060000000000001</v>
      </c>
      <c r="E153" s="2">
        <v>0.63500000000000001</v>
      </c>
      <c r="F153" s="2">
        <v>0.69850000000000001</v>
      </c>
      <c r="G153" s="2">
        <v>0.74299999999999999</v>
      </c>
      <c r="H153" s="2">
        <v>0.79379999999999995</v>
      </c>
      <c r="I153" s="2">
        <v>0.86360000000000003</v>
      </c>
      <c r="J153" s="2">
        <v>0.9335</v>
      </c>
      <c r="K153" s="2">
        <v>1.0033000000000001</v>
      </c>
      <c r="L153" s="2">
        <v>1.0794999999999999</v>
      </c>
      <c r="M153" s="2">
        <v>1.1556999999999999</v>
      </c>
      <c r="N153" s="2">
        <v>1.2319</v>
      </c>
      <c r="O153" s="2">
        <v>1.3081</v>
      </c>
      <c r="P153" s="2">
        <v>1.3843000000000001</v>
      </c>
      <c r="Q153" s="2">
        <v>1.4604999999999999</v>
      </c>
      <c r="R153" s="5" t="s">
        <v>6</v>
      </c>
      <c r="S153" s="5" t="s">
        <v>6</v>
      </c>
      <c r="T153" t="s">
        <v>125</v>
      </c>
    </row>
    <row r="154" spans="1:20" x14ac:dyDescent="0.25">
      <c r="B154" t="s">
        <v>13</v>
      </c>
      <c r="C154" s="2">
        <v>0.5968</v>
      </c>
      <c r="D154" s="2">
        <v>0.64539999999999997</v>
      </c>
      <c r="E154" s="2">
        <v>0.69399999999999995</v>
      </c>
      <c r="F154" s="2">
        <v>0.76339999999999997</v>
      </c>
      <c r="G154" s="2">
        <v>0.81200000000000006</v>
      </c>
      <c r="H154" s="2">
        <v>0.86750000000000005</v>
      </c>
      <c r="I154" s="2">
        <v>0.94379999999999997</v>
      </c>
      <c r="J154" s="2">
        <v>1.0202</v>
      </c>
      <c r="K154" s="2">
        <v>1.0965</v>
      </c>
      <c r="L154" s="2">
        <v>1.1798</v>
      </c>
      <c r="M154" s="2">
        <v>1.2630999999999999</v>
      </c>
      <c r="N154" s="2">
        <v>1.3464</v>
      </c>
      <c r="O154" s="2">
        <v>1.4296</v>
      </c>
      <c r="P154" s="2">
        <v>1.5128999999999999</v>
      </c>
      <c r="Q154" s="2">
        <v>1.5962000000000001</v>
      </c>
      <c r="R154" s="5" t="s">
        <v>6</v>
      </c>
      <c r="S154" s="5" t="s">
        <v>6</v>
      </c>
      <c r="T154" t="s">
        <v>125</v>
      </c>
    </row>
    <row r="155" spans="1:20" x14ac:dyDescent="0.25">
      <c r="B155" t="s">
        <v>7</v>
      </c>
      <c r="C155" s="2">
        <v>0.71899999999999997</v>
      </c>
      <c r="D155" s="2">
        <v>0.77749999999999997</v>
      </c>
      <c r="E155" s="2">
        <v>0.83599999999999997</v>
      </c>
      <c r="F155" s="2">
        <v>0.91959999999999997</v>
      </c>
      <c r="G155" s="2">
        <v>0.97809999999999997</v>
      </c>
      <c r="H155" s="2">
        <v>1.0449999999999999</v>
      </c>
      <c r="I155" s="2">
        <v>1.137</v>
      </c>
      <c r="J155" s="2">
        <v>1.2289000000000001</v>
      </c>
      <c r="K155" s="2">
        <v>1.3209</v>
      </c>
      <c r="L155" s="2">
        <v>1.4212</v>
      </c>
      <c r="M155" s="2">
        <v>1.5215000000000001</v>
      </c>
      <c r="N155" s="2">
        <v>1.6217999999999999</v>
      </c>
      <c r="O155" s="2">
        <v>1.7222</v>
      </c>
      <c r="P155" s="2">
        <v>1.8225</v>
      </c>
      <c r="Q155" s="2">
        <v>1.9228000000000001</v>
      </c>
      <c r="R155" s="5" t="s">
        <v>6</v>
      </c>
      <c r="S155" s="5" t="s">
        <v>6</v>
      </c>
      <c r="T155" t="s">
        <v>125</v>
      </c>
    </row>
    <row r="156" spans="1:20" x14ac:dyDescent="0.25">
      <c r="B156" t="s">
        <v>138</v>
      </c>
      <c r="C156" s="2">
        <v>0.55900000000000005</v>
      </c>
      <c r="D156" s="2">
        <v>0.60450000000000004</v>
      </c>
      <c r="E156" s="2">
        <v>0.65</v>
      </c>
      <c r="F156" s="2">
        <v>0.71499999999999997</v>
      </c>
      <c r="G156" s="2">
        <v>0.76049999999999995</v>
      </c>
      <c r="H156" s="2">
        <v>0.8125</v>
      </c>
      <c r="I156" s="2">
        <v>0.88400000000000001</v>
      </c>
      <c r="J156" s="2">
        <v>0.95550000000000002</v>
      </c>
      <c r="K156" s="2">
        <v>1.0269999999999999</v>
      </c>
      <c r="L156" s="2">
        <v>1.105</v>
      </c>
      <c r="M156" s="2">
        <v>1.1830000000000001</v>
      </c>
      <c r="N156" s="2">
        <v>1.2609999999999999</v>
      </c>
      <c r="O156" s="2">
        <v>1.339</v>
      </c>
      <c r="P156" s="2">
        <v>1.417</v>
      </c>
      <c r="Q156" s="2">
        <v>1.4950000000000001</v>
      </c>
      <c r="R156" s="5" t="s">
        <v>5</v>
      </c>
      <c r="S156" s="5" t="s">
        <v>5</v>
      </c>
      <c r="T156" t="s">
        <v>125</v>
      </c>
    </row>
    <row r="157" spans="1:20" x14ac:dyDescent="0.25">
      <c r="B157" t="s">
        <v>139</v>
      </c>
      <c r="C157" s="2">
        <v>0.60719999999999996</v>
      </c>
      <c r="D157" s="2">
        <v>0.65659999999999996</v>
      </c>
      <c r="E157" s="2">
        <v>0.70599999999999996</v>
      </c>
      <c r="F157" s="2">
        <v>0.77659999999999996</v>
      </c>
      <c r="G157" s="2">
        <v>0.82599999999999996</v>
      </c>
      <c r="H157" s="2">
        <v>0.88249999999999995</v>
      </c>
      <c r="I157" s="2">
        <v>0.96020000000000005</v>
      </c>
      <c r="J157" s="2">
        <v>1.0378000000000001</v>
      </c>
      <c r="K157" s="2">
        <v>1.1154999999999999</v>
      </c>
      <c r="L157" s="2">
        <v>1.2001999999999999</v>
      </c>
      <c r="M157" s="2">
        <v>1.2848999999999999</v>
      </c>
      <c r="N157" s="2">
        <v>1.3695999999999999</v>
      </c>
      <c r="O157" s="2">
        <v>1.4543999999999999</v>
      </c>
      <c r="P157" s="2">
        <v>1.5390999999999999</v>
      </c>
      <c r="Q157" s="2">
        <v>1.6237999999999999</v>
      </c>
      <c r="R157" s="5" t="s">
        <v>5</v>
      </c>
      <c r="S157" s="5" t="s">
        <v>5</v>
      </c>
      <c r="T157" t="s">
        <v>125</v>
      </c>
    </row>
    <row r="158" spans="1:20" x14ac:dyDescent="0.25">
      <c r="B158" t="s">
        <v>152</v>
      </c>
      <c r="C158" s="2">
        <v>0.63929999999999998</v>
      </c>
      <c r="D158" s="2">
        <v>0.69140000000000001</v>
      </c>
      <c r="E158" s="2">
        <v>0.74339999999999995</v>
      </c>
      <c r="F158" s="2">
        <v>0.81769999999999998</v>
      </c>
      <c r="G158" s="2">
        <v>0.86980000000000002</v>
      </c>
      <c r="H158" s="2">
        <v>0.92930000000000001</v>
      </c>
      <c r="I158" s="2">
        <v>1.0109999999999999</v>
      </c>
      <c r="J158" s="2">
        <v>1.0928</v>
      </c>
      <c r="K158" s="2">
        <v>1.1746000000000001</v>
      </c>
      <c r="L158" s="2">
        <v>1.2638</v>
      </c>
      <c r="M158" s="2">
        <v>1.353</v>
      </c>
      <c r="N158" s="2">
        <v>1.4421999999999999</v>
      </c>
      <c r="O158" s="2">
        <v>1.5314000000000001</v>
      </c>
      <c r="P158" s="2">
        <v>1.6206</v>
      </c>
      <c r="Q158" s="2">
        <v>1.7098</v>
      </c>
      <c r="R158" s="5" t="s">
        <v>3</v>
      </c>
      <c r="S158" s="5" t="s">
        <v>3</v>
      </c>
      <c r="T158" t="s">
        <v>125</v>
      </c>
    </row>
    <row r="159" spans="1:20" x14ac:dyDescent="0.25">
      <c r="B159" t="s">
        <v>133</v>
      </c>
      <c r="C159" s="2">
        <v>1.2784</v>
      </c>
      <c r="D159" s="2">
        <v>1.3824000000000001</v>
      </c>
      <c r="E159" s="2">
        <v>1.4864999999999999</v>
      </c>
      <c r="F159" s="2">
        <v>1.6351</v>
      </c>
      <c r="G159" s="2">
        <v>1.7392000000000001</v>
      </c>
      <c r="H159" s="2">
        <v>1.8581000000000001</v>
      </c>
      <c r="I159" s="2">
        <v>2.0215999999999998</v>
      </c>
      <c r="J159" s="2">
        <v>2.1850999999999998</v>
      </c>
      <c r="K159" s="2">
        <v>2.3485999999999998</v>
      </c>
      <c r="L159" s="2">
        <v>2.5270000000000001</v>
      </c>
      <c r="M159" s="2">
        <v>2.7054</v>
      </c>
      <c r="N159" s="2">
        <v>2.8837999999999999</v>
      </c>
      <c r="O159" s="2">
        <v>3.0621999999999998</v>
      </c>
      <c r="P159" s="2">
        <v>3.2404999999999999</v>
      </c>
      <c r="Q159" s="2">
        <v>3.4188999999999998</v>
      </c>
      <c r="R159" s="5" t="s">
        <v>3</v>
      </c>
      <c r="S159" s="5" t="s">
        <v>3</v>
      </c>
      <c r="T159" t="s">
        <v>125</v>
      </c>
    </row>
    <row r="160" spans="1:20" x14ac:dyDescent="0.25">
      <c r="B160" t="s">
        <v>134</v>
      </c>
      <c r="C160" s="2">
        <v>1.5968</v>
      </c>
      <c r="D160" s="2">
        <v>1.7266999999999999</v>
      </c>
      <c r="E160" s="2">
        <v>1.8567</v>
      </c>
      <c r="F160" s="2">
        <v>2.0424000000000002</v>
      </c>
      <c r="G160" s="2">
        <v>2.1722999999999999</v>
      </c>
      <c r="H160" s="2">
        <v>2.3209</v>
      </c>
      <c r="I160" s="2">
        <v>2.5251000000000001</v>
      </c>
      <c r="J160" s="2">
        <v>2.7292999999999998</v>
      </c>
      <c r="K160" s="2">
        <v>2.9336000000000002</v>
      </c>
      <c r="L160" s="2">
        <v>3.1564000000000001</v>
      </c>
      <c r="M160" s="2">
        <v>3.3792</v>
      </c>
      <c r="N160" s="2">
        <v>3.6019999999999999</v>
      </c>
      <c r="O160" s="2">
        <v>3.8248000000000002</v>
      </c>
      <c r="P160" s="2">
        <v>4.0476000000000001</v>
      </c>
      <c r="Q160" s="2">
        <v>4.2704000000000004</v>
      </c>
      <c r="R160" s="5" t="s">
        <v>3</v>
      </c>
      <c r="S160" s="5" t="s">
        <v>3</v>
      </c>
      <c r="T160" t="s">
        <v>125</v>
      </c>
    </row>
    <row r="161" spans="2:21" x14ac:dyDescent="0.25">
      <c r="B161" t="s">
        <v>163</v>
      </c>
      <c r="C161" s="2">
        <v>1.3759999999999999</v>
      </c>
      <c r="D161" s="2">
        <v>1.4792000000000001</v>
      </c>
      <c r="E161" s="2">
        <v>1.5824</v>
      </c>
      <c r="F161" s="2">
        <v>1.72</v>
      </c>
      <c r="G161" s="2">
        <v>1.8231999999999999</v>
      </c>
      <c r="H161" s="2">
        <v>1.9263999999999999</v>
      </c>
      <c r="I161" s="2">
        <v>2.0640000000000001</v>
      </c>
      <c r="J161" s="2">
        <v>2.2016</v>
      </c>
      <c r="K161" s="2">
        <v>2.3391999999999999</v>
      </c>
      <c r="L161" s="2">
        <v>2.4767999999999999</v>
      </c>
      <c r="M161" s="2">
        <v>2.6143999999999998</v>
      </c>
      <c r="N161" s="2">
        <v>2.7519999999999998</v>
      </c>
      <c r="O161" s="2">
        <v>2.9239999999999999</v>
      </c>
      <c r="P161" s="2">
        <v>3.0960000000000001</v>
      </c>
      <c r="Q161" s="2">
        <v>3.2679999999999998</v>
      </c>
      <c r="R161" s="5" t="s">
        <v>19</v>
      </c>
      <c r="S161" s="5" t="s">
        <v>19</v>
      </c>
      <c r="T161" t="s">
        <v>125</v>
      </c>
    </row>
    <row r="162" spans="2:21" x14ac:dyDescent="0.25">
      <c r="B162" t="s">
        <v>164</v>
      </c>
      <c r="C162" s="2">
        <v>0.84</v>
      </c>
      <c r="D162" s="2">
        <v>0.90300000000000002</v>
      </c>
      <c r="E162" s="2">
        <v>0.96599999999999997</v>
      </c>
      <c r="F162" s="2">
        <v>1.05</v>
      </c>
      <c r="G162" s="2">
        <v>1.113</v>
      </c>
      <c r="H162" s="2">
        <v>1.1759999999999999</v>
      </c>
      <c r="I162" s="2">
        <v>1.26</v>
      </c>
      <c r="J162" s="2">
        <v>1.3440000000000001</v>
      </c>
      <c r="K162" s="2">
        <v>1.4279999999999999</v>
      </c>
      <c r="L162" s="2">
        <v>1.512</v>
      </c>
      <c r="M162" s="2">
        <v>1.5960000000000001</v>
      </c>
      <c r="N162" s="2">
        <v>1.68</v>
      </c>
      <c r="O162" s="2">
        <v>1.7849999999999999</v>
      </c>
      <c r="P162" s="2">
        <v>1.89</v>
      </c>
      <c r="Q162" s="2">
        <v>1.9950000000000001</v>
      </c>
      <c r="R162" s="5" t="s">
        <v>19</v>
      </c>
      <c r="S162" s="5" t="s">
        <v>19</v>
      </c>
      <c r="T162" t="s">
        <v>125</v>
      </c>
    </row>
    <row r="163" spans="2:21" x14ac:dyDescent="0.25">
      <c r="B163" t="s">
        <v>166</v>
      </c>
      <c r="C163" s="2">
        <v>0.92</v>
      </c>
      <c r="D163" s="2">
        <v>0.98899999999999999</v>
      </c>
      <c r="E163" s="2">
        <v>1.0580000000000001</v>
      </c>
      <c r="F163" s="2">
        <v>1.1499999999999999</v>
      </c>
      <c r="G163" s="2">
        <v>1.2190000000000001</v>
      </c>
      <c r="H163" s="2">
        <v>1.288</v>
      </c>
      <c r="I163" s="2">
        <v>1.38</v>
      </c>
      <c r="J163" s="2">
        <v>1.472</v>
      </c>
      <c r="K163" s="2">
        <v>1.5640000000000001</v>
      </c>
      <c r="L163" s="2">
        <v>1.6559999999999999</v>
      </c>
      <c r="M163" s="2">
        <v>1.748</v>
      </c>
      <c r="N163" s="2">
        <v>1.84</v>
      </c>
      <c r="O163" s="2">
        <v>1.9550000000000001</v>
      </c>
      <c r="P163" s="2">
        <v>2.0699999999999998</v>
      </c>
      <c r="Q163" s="2">
        <v>2.1850000000000001</v>
      </c>
      <c r="R163" s="5" t="s">
        <v>19</v>
      </c>
      <c r="S163" s="5" t="s">
        <v>19</v>
      </c>
      <c r="T163" t="s">
        <v>125</v>
      </c>
    </row>
    <row r="164" spans="2:21" x14ac:dyDescent="0.25">
      <c r="B164" t="s">
        <v>165</v>
      </c>
      <c r="C164" s="2">
        <f t="shared" ref="C164:Q164" si="4">1.35*C163</f>
        <v>1.2420000000000002</v>
      </c>
      <c r="D164" s="2">
        <f t="shared" si="4"/>
        <v>1.3351500000000001</v>
      </c>
      <c r="E164" s="2">
        <f t="shared" si="4"/>
        <v>1.4283000000000001</v>
      </c>
      <c r="F164" s="2">
        <f t="shared" si="4"/>
        <v>1.5525</v>
      </c>
      <c r="G164" s="2">
        <f t="shared" si="4"/>
        <v>1.6456500000000003</v>
      </c>
      <c r="H164" s="2">
        <f t="shared" si="4"/>
        <v>1.7388000000000001</v>
      </c>
      <c r="I164" s="2">
        <f t="shared" si="4"/>
        <v>1.863</v>
      </c>
      <c r="J164" s="2">
        <f t="shared" si="4"/>
        <v>1.9872000000000001</v>
      </c>
      <c r="K164" s="2">
        <f t="shared" si="4"/>
        <v>2.1114000000000002</v>
      </c>
      <c r="L164" s="2">
        <f t="shared" si="4"/>
        <v>2.2356000000000003</v>
      </c>
      <c r="M164" s="2">
        <f t="shared" si="4"/>
        <v>2.3598000000000003</v>
      </c>
      <c r="N164" s="2">
        <f t="shared" si="4"/>
        <v>2.4840000000000004</v>
      </c>
      <c r="O164" s="2">
        <f t="shared" si="4"/>
        <v>2.6392500000000001</v>
      </c>
      <c r="P164" s="2">
        <f t="shared" si="4"/>
        <v>2.7944999999999998</v>
      </c>
      <c r="Q164" s="2">
        <f t="shared" si="4"/>
        <v>2.9497500000000003</v>
      </c>
      <c r="R164" s="5" t="s">
        <v>19</v>
      </c>
      <c r="S164" s="5" t="s">
        <v>19</v>
      </c>
      <c r="T164" t="s">
        <v>125</v>
      </c>
    </row>
    <row r="165" spans="2:21" x14ac:dyDescent="0.25">
      <c r="B165" t="s">
        <v>168</v>
      </c>
      <c r="C165" s="2">
        <v>0.88</v>
      </c>
      <c r="D165" s="2">
        <v>0.94599999999999995</v>
      </c>
      <c r="E165" s="2">
        <v>1.012</v>
      </c>
      <c r="F165" s="2">
        <v>1.1000000000000001</v>
      </c>
      <c r="G165" s="2">
        <v>1.1659999999999999</v>
      </c>
      <c r="H165" s="2">
        <v>1.232</v>
      </c>
      <c r="I165" s="2">
        <v>1.32</v>
      </c>
      <c r="J165" s="2">
        <v>1.4079999999999999</v>
      </c>
      <c r="K165" s="2">
        <v>1.496</v>
      </c>
      <c r="L165" s="2">
        <v>1.5840000000000001</v>
      </c>
      <c r="M165" s="2">
        <v>1.6719999999999999</v>
      </c>
      <c r="N165" s="2">
        <v>1.76</v>
      </c>
      <c r="O165" s="2">
        <v>1.87</v>
      </c>
      <c r="P165" s="2">
        <v>1.98</v>
      </c>
      <c r="Q165" s="2">
        <v>2.09</v>
      </c>
      <c r="R165" s="5" t="s">
        <v>19</v>
      </c>
      <c r="S165" s="5" t="s">
        <v>19</v>
      </c>
      <c r="T165" t="s">
        <v>125</v>
      </c>
    </row>
    <row r="166" spans="2:21" x14ac:dyDescent="0.25">
      <c r="B166" t="s">
        <v>167</v>
      </c>
      <c r="C166" s="2">
        <v>0.96</v>
      </c>
      <c r="D166" s="2">
        <v>1.032</v>
      </c>
      <c r="E166" s="2">
        <v>1.1040000000000001</v>
      </c>
      <c r="F166" s="2">
        <v>1.2</v>
      </c>
      <c r="G166" s="2">
        <v>1.272</v>
      </c>
      <c r="H166" s="2">
        <v>1.3440000000000001</v>
      </c>
      <c r="I166" s="2">
        <v>1.44</v>
      </c>
      <c r="J166" s="2">
        <v>1.536</v>
      </c>
      <c r="K166" s="2">
        <v>1.6319999999999999</v>
      </c>
      <c r="L166" s="2">
        <v>1.728</v>
      </c>
      <c r="M166" s="2">
        <v>1.8240000000000001</v>
      </c>
      <c r="N166" s="2">
        <v>1.92</v>
      </c>
      <c r="O166" s="2">
        <v>2.04</v>
      </c>
      <c r="P166" s="2">
        <v>2.16</v>
      </c>
      <c r="Q166" s="2">
        <v>2.2799999999999998</v>
      </c>
      <c r="R166" s="5" t="s">
        <v>19</v>
      </c>
      <c r="S166" s="5" t="s">
        <v>19</v>
      </c>
      <c r="T166" t="s">
        <v>125</v>
      </c>
    </row>
    <row r="167" spans="2:21" x14ac:dyDescent="0.25">
      <c r="B167" t="s">
        <v>169</v>
      </c>
      <c r="C167" s="2">
        <v>1.32</v>
      </c>
      <c r="D167" s="2">
        <v>1.419</v>
      </c>
      <c r="E167" s="2">
        <v>1.518</v>
      </c>
      <c r="F167" s="2">
        <v>1.65</v>
      </c>
      <c r="G167" s="2">
        <v>1.7490000000000001</v>
      </c>
      <c r="H167" s="2">
        <v>1.8480000000000001</v>
      </c>
      <c r="I167" s="2">
        <v>1.98</v>
      </c>
      <c r="J167" s="2">
        <v>2.1120000000000001</v>
      </c>
      <c r="K167" s="2">
        <v>2.2440000000000002</v>
      </c>
      <c r="L167" s="2">
        <v>2.3759999999999999</v>
      </c>
      <c r="M167" s="2">
        <v>2.508</v>
      </c>
      <c r="N167" s="2">
        <v>2.64</v>
      </c>
      <c r="O167" s="2">
        <v>2.8050000000000002</v>
      </c>
      <c r="P167" s="2">
        <v>2.97</v>
      </c>
      <c r="Q167" s="2">
        <v>3.1349999999999998</v>
      </c>
      <c r="R167" s="5" t="s">
        <v>19</v>
      </c>
      <c r="S167" s="5" t="s">
        <v>19</v>
      </c>
      <c r="T167" t="s">
        <v>125</v>
      </c>
    </row>
    <row r="168" spans="2:21" x14ac:dyDescent="0.25">
      <c r="B168" t="s">
        <v>907</v>
      </c>
      <c r="C168" s="2">
        <v>0.06</v>
      </c>
      <c r="D168" s="2">
        <v>6.4500000000000002E-2</v>
      </c>
      <c r="E168" s="2">
        <v>6.9000000000000006E-2</v>
      </c>
      <c r="F168" s="2">
        <v>7.4999999999999997E-2</v>
      </c>
      <c r="G168" s="2">
        <v>7.9500000000000001E-2</v>
      </c>
      <c r="H168" s="2">
        <v>8.4000000000000005E-2</v>
      </c>
      <c r="I168" s="2">
        <v>0.09</v>
      </c>
      <c r="J168" s="2">
        <v>9.6000000000000002E-2</v>
      </c>
      <c r="K168" s="2">
        <v>0.10199999999999999</v>
      </c>
      <c r="L168" s="2">
        <v>0.108</v>
      </c>
      <c r="M168" s="2">
        <v>0.114</v>
      </c>
      <c r="N168" s="2">
        <v>0.12</v>
      </c>
      <c r="O168" s="2">
        <v>0.1275</v>
      </c>
      <c r="P168" s="2">
        <v>0.13500000000000001</v>
      </c>
      <c r="Q168" s="2">
        <v>0.14249999999999999</v>
      </c>
      <c r="R168" s="5" t="s">
        <v>0</v>
      </c>
      <c r="S168" s="5" t="s">
        <v>0</v>
      </c>
      <c r="T168" t="s">
        <v>223</v>
      </c>
      <c r="U168" t="s">
        <v>944</v>
      </c>
    </row>
    <row r="169" spans="2:21" x14ac:dyDescent="0.25">
      <c r="B169" t="s">
        <v>906</v>
      </c>
      <c r="C169">
        <v>577</v>
      </c>
      <c r="D169">
        <v>635</v>
      </c>
      <c r="E169">
        <v>698</v>
      </c>
      <c r="F169">
        <v>765</v>
      </c>
      <c r="G169">
        <v>837</v>
      </c>
      <c r="H169">
        <v>914</v>
      </c>
      <c r="I169">
        <v>996</v>
      </c>
      <c r="J169">
        <v>1083</v>
      </c>
      <c r="K169">
        <v>1174</v>
      </c>
      <c r="L169">
        <v>1270</v>
      </c>
      <c r="M169">
        <v>1371</v>
      </c>
      <c r="N169">
        <v>1477</v>
      </c>
      <c r="O169">
        <v>1588</v>
      </c>
      <c r="P169">
        <v>1703</v>
      </c>
      <c r="Q169">
        <v>1824</v>
      </c>
      <c r="R169" s="5" t="s">
        <v>0</v>
      </c>
      <c r="S169" s="5" t="s">
        <v>0</v>
      </c>
      <c r="T169" t="s">
        <v>223</v>
      </c>
      <c r="U169" t="s">
        <v>945</v>
      </c>
    </row>
    <row r="170" spans="2:21" x14ac:dyDescent="0.25">
      <c r="B170" t="s">
        <v>170</v>
      </c>
      <c r="C170" s="2">
        <v>2.3279999999999998</v>
      </c>
      <c r="D170" s="2">
        <v>2.5026000000000002</v>
      </c>
      <c r="E170" s="2">
        <v>2.6772</v>
      </c>
      <c r="F170" s="2">
        <v>2.91</v>
      </c>
      <c r="G170" s="2">
        <v>3.0846</v>
      </c>
      <c r="H170" s="2">
        <v>3.2591999999999999</v>
      </c>
      <c r="I170" s="2">
        <v>3.492</v>
      </c>
      <c r="J170" s="2">
        <v>3.7248000000000001</v>
      </c>
      <c r="K170" s="2">
        <v>3.9575999999999998</v>
      </c>
      <c r="L170" s="2">
        <v>4.1904000000000003</v>
      </c>
      <c r="M170" s="2">
        <v>4.4231999999999996</v>
      </c>
      <c r="N170" s="2">
        <v>4.6559999999999997</v>
      </c>
      <c r="O170" s="2">
        <v>4.9470000000000001</v>
      </c>
      <c r="P170" s="2">
        <v>5.2380000000000004</v>
      </c>
      <c r="Q170" s="2">
        <v>5.5289999999999999</v>
      </c>
      <c r="R170" s="5" t="s">
        <v>0</v>
      </c>
      <c r="S170" s="5" t="s">
        <v>0</v>
      </c>
      <c r="T170" t="s">
        <v>125</v>
      </c>
    </row>
    <row r="171" spans="2:21" x14ac:dyDescent="0.25">
      <c r="B171" s="3" t="s">
        <v>763</v>
      </c>
      <c r="C171" s="23"/>
      <c r="D171" s="23"/>
      <c r="E171" s="23"/>
      <c r="F171" s="23"/>
      <c r="G171" s="23"/>
      <c r="H171" s="23"/>
      <c r="I171" s="23"/>
      <c r="J171" s="23"/>
      <c r="K171" s="23"/>
      <c r="L171" s="23"/>
      <c r="M171" s="23"/>
      <c r="N171" s="23"/>
      <c r="O171" s="23"/>
      <c r="P171" s="23"/>
      <c r="Q171" s="23"/>
      <c r="R171" s="5" t="s">
        <v>763</v>
      </c>
      <c r="S171" s="5" t="s">
        <v>763</v>
      </c>
      <c r="T171" t="s">
        <v>764</v>
      </c>
    </row>
    <row r="172" spans="2:21" x14ac:dyDescent="0.25">
      <c r="B172" s="3" t="s">
        <v>386</v>
      </c>
      <c r="C172" s="23"/>
      <c r="D172" s="23"/>
      <c r="E172" s="23"/>
      <c r="F172" s="23"/>
      <c r="G172" s="23"/>
      <c r="H172" s="23"/>
      <c r="I172" s="23"/>
      <c r="J172" s="23"/>
      <c r="K172" s="23"/>
      <c r="L172" s="23"/>
      <c r="M172" s="23"/>
      <c r="N172" s="23"/>
      <c r="O172" s="23"/>
      <c r="P172" s="23"/>
      <c r="Q172" s="23"/>
      <c r="R172" s="5" t="s">
        <v>392</v>
      </c>
      <c r="S172" s="5" t="s">
        <v>392</v>
      </c>
      <c r="T172" t="s">
        <v>69</v>
      </c>
    </row>
    <row r="173" spans="2:21" x14ac:dyDescent="0.25">
      <c r="B173" s="3" t="s">
        <v>388</v>
      </c>
      <c r="C173" s="23"/>
      <c r="D173" s="23"/>
      <c r="E173" s="23"/>
      <c r="F173" s="23"/>
      <c r="G173" s="23"/>
      <c r="H173" s="23"/>
      <c r="I173" s="23"/>
      <c r="J173" s="23"/>
      <c r="K173" s="23"/>
      <c r="L173" s="23"/>
      <c r="M173" s="23"/>
      <c r="N173" s="23"/>
      <c r="O173" s="23"/>
      <c r="P173" s="23"/>
      <c r="Q173" s="23"/>
      <c r="R173" s="5" t="s">
        <v>392</v>
      </c>
      <c r="S173" s="5" t="s">
        <v>392</v>
      </c>
      <c r="T173" t="s">
        <v>69</v>
      </c>
    </row>
    <row r="174" spans="2:21" x14ac:dyDescent="0.25">
      <c r="B174" s="3" t="s">
        <v>389</v>
      </c>
      <c r="C174" s="23"/>
      <c r="D174" s="23"/>
      <c r="E174" s="23"/>
      <c r="F174" s="23"/>
      <c r="G174" s="23"/>
      <c r="H174" s="23"/>
      <c r="I174" s="23"/>
      <c r="J174" s="23"/>
      <c r="K174" s="23"/>
      <c r="L174" s="23"/>
      <c r="M174" s="23"/>
      <c r="N174" s="23"/>
      <c r="O174" s="23"/>
      <c r="P174" s="23"/>
      <c r="Q174" s="23"/>
      <c r="R174" s="5" t="s">
        <v>392</v>
      </c>
      <c r="S174" s="5" t="s">
        <v>392</v>
      </c>
      <c r="T174" t="s">
        <v>69</v>
      </c>
    </row>
    <row r="175" spans="2:21" x14ac:dyDescent="0.25">
      <c r="B175" s="3" t="s">
        <v>385</v>
      </c>
      <c r="C175" s="23"/>
      <c r="D175" s="23"/>
      <c r="E175" s="23"/>
      <c r="F175" s="23"/>
      <c r="G175" s="23"/>
      <c r="H175" s="23"/>
      <c r="I175" s="23"/>
      <c r="J175" s="23"/>
      <c r="K175" s="23"/>
      <c r="L175" s="23"/>
      <c r="M175" s="23"/>
      <c r="N175" s="23"/>
      <c r="O175" s="23"/>
      <c r="P175" s="23"/>
      <c r="Q175" s="23"/>
      <c r="R175" s="5" t="s">
        <v>392</v>
      </c>
      <c r="S175" s="5" t="s">
        <v>392</v>
      </c>
      <c r="T175" t="s">
        <v>69</v>
      </c>
    </row>
    <row r="176" spans="2:21" x14ac:dyDescent="0.25">
      <c r="B176" s="3" t="s">
        <v>387</v>
      </c>
      <c r="C176" s="23"/>
      <c r="D176" s="23"/>
      <c r="E176" s="23"/>
      <c r="F176" s="23"/>
      <c r="G176" s="23"/>
      <c r="H176" s="23"/>
      <c r="I176" s="23"/>
      <c r="J176" s="23"/>
      <c r="K176" s="23"/>
      <c r="L176" s="23"/>
      <c r="M176" s="23"/>
      <c r="N176" s="23"/>
      <c r="O176" s="23"/>
      <c r="P176" s="23"/>
      <c r="Q176" s="23"/>
      <c r="R176" s="5" t="s">
        <v>392</v>
      </c>
      <c r="S176" s="5" t="s">
        <v>392</v>
      </c>
      <c r="T176" t="s">
        <v>69</v>
      </c>
    </row>
    <row r="177" spans="1:20" x14ac:dyDescent="0.25">
      <c r="B177" s="3" t="s">
        <v>390</v>
      </c>
      <c r="C177" s="23"/>
      <c r="D177" s="23"/>
      <c r="E177" s="23"/>
      <c r="F177" s="23"/>
      <c r="G177" s="23"/>
      <c r="H177" s="23"/>
      <c r="I177" s="23"/>
      <c r="J177" s="23"/>
      <c r="K177" s="23"/>
      <c r="L177" s="23"/>
      <c r="M177" s="23"/>
      <c r="N177" s="23"/>
      <c r="O177" s="23"/>
      <c r="P177" s="23"/>
      <c r="Q177" s="23"/>
      <c r="R177" s="5" t="s">
        <v>392</v>
      </c>
      <c r="S177" s="5" t="s">
        <v>392</v>
      </c>
      <c r="T177" t="s">
        <v>69</v>
      </c>
    </row>
    <row r="178" spans="1:20" x14ac:dyDescent="0.25">
      <c r="B178" s="3" t="s">
        <v>391</v>
      </c>
      <c r="C178" s="23"/>
      <c r="D178" s="23"/>
      <c r="E178" s="23"/>
      <c r="F178" s="23"/>
      <c r="G178" s="23"/>
      <c r="H178" s="23"/>
      <c r="I178" s="23"/>
      <c r="J178" s="23"/>
      <c r="K178" s="23"/>
      <c r="L178" s="23"/>
      <c r="M178" s="23"/>
      <c r="N178" s="23"/>
      <c r="O178" s="23"/>
      <c r="P178" s="23"/>
      <c r="Q178" s="23"/>
      <c r="R178" s="5" t="s">
        <v>392</v>
      </c>
      <c r="S178" s="5" t="s">
        <v>392</v>
      </c>
      <c r="T178" t="s">
        <v>69</v>
      </c>
    </row>
    <row r="179" spans="1:20" x14ac:dyDescent="0.25">
      <c r="A179" t="s">
        <v>829</v>
      </c>
      <c r="B179" s="3" t="s">
        <v>393</v>
      </c>
      <c r="C179" s="23"/>
      <c r="D179" s="23"/>
      <c r="E179" s="23"/>
      <c r="F179" s="23"/>
      <c r="G179" s="23"/>
      <c r="H179" s="23"/>
      <c r="I179" s="23"/>
      <c r="J179" s="23"/>
      <c r="K179" s="23"/>
      <c r="L179" s="23"/>
      <c r="M179" s="23"/>
      <c r="N179" s="23"/>
      <c r="O179" s="23"/>
      <c r="P179" s="23"/>
      <c r="Q179" s="23"/>
      <c r="R179" s="5" t="s">
        <v>392</v>
      </c>
      <c r="S179" s="5" t="s">
        <v>392</v>
      </c>
      <c r="T179" t="s">
        <v>69</v>
      </c>
    </row>
    <row r="180" spans="1:20" x14ac:dyDescent="0.25">
      <c r="B180" t="s">
        <v>171</v>
      </c>
      <c r="C180" s="21">
        <v>1</v>
      </c>
      <c r="D180" s="21">
        <v>2</v>
      </c>
      <c r="E180" s="21">
        <v>3</v>
      </c>
      <c r="F180" s="21">
        <v>4</v>
      </c>
      <c r="G180" s="21">
        <v>5</v>
      </c>
      <c r="H180" s="21">
        <v>6</v>
      </c>
      <c r="I180" s="21">
        <v>7</v>
      </c>
      <c r="J180" s="21">
        <v>8</v>
      </c>
      <c r="K180" s="21">
        <v>9</v>
      </c>
      <c r="L180" s="21">
        <v>10</v>
      </c>
      <c r="M180" s="21">
        <v>11</v>
      </c>
      <c r="N180" s="21">
        <v>12</v>
      </c>
      <c r="O180" s="21">
        <v>13</v>
      </c>
      <c r="P180" s="21">
        <v>14</v>
      </c>
      <c r="Q180" s="21">
        <v>15</v>
      </c>
      <c r="R180" s="5" t="s">
        <v>11</v>
      </c>
      <c r="S180" s="5" t="s">
        <v>1024</v>
      </c>
      <c r="T180" t="s">
        <v>124</v>
      </c>
    </row>
    <row r="181" spans="1:20" x14ac:dyDescent="0.25">
      <c r="A181" t="s">
        <v>830</v>
      </c>
      <c r="B181" t="s">
        <v>10</v>
      </c>
      <c r="C181" s="2">
        <v>0.7</v>
      </c>
      <c r="D181" s="2">
        <v>0.75700000000000001</v>
      </c>
      <c r="E181" s="2">
        <v>0.81399999999999995</v>
      </c>
      <c r="F181" s="2">
        <v>0.89539999999999997</v>
      </c>
      <c r="G181" s="2">
        <v>0.95240000000000002</v>
      </c>
      <c r="H181" s="2">
        <v>1.0175000000000001</v>
      </c>
      <c r="I181" s="2">
        <v>1.107</v>
      </c>
      <c r="J181" s="2">
        <v>1.1966000000000001</v>
      </c>
      <c r="K181" s="2">
        <v>1.2861</v>
      </c>
      <c r="L181" s="2">
        <v>1.3837999999999999</v>
      </c>
      <c r="M181" s="2">
        <v>1.4815</v>
      </c>
      <c r="N181" s="2">
        <v>1.5791999999999999</v>
      </c>
      <c r="O181" s="2">
        <v>1.6768000000000001</v>
      </c>
      <c r="P181" s="2">
        <v>1.7745</v>
      </c>
      <c r="Q181" s="2">
        <v>1.8722000000000001</v>
      </c>
      <c r="R181" s="5" t="s">
        <v>6</v>
      </c>
      <c r="S181" s="5" t="s">
        <v>6</v>
      </c>
      <c r="T181" t="s">
        <v>125</v>
      </c>
    </row>
    <row r="182" spans="1:20" x14ac:dyDescent="0.25">
      <c r="B182" t="s">
        <v>9</v>
      </c>
      <c r="C182" s="2">
        <v>0.63119999999999998</v>
      </c>
      <c r="D182" s="2">
        <v>0.68259999999999998</v>
      </c>
      <c r="E182" s="2">
        <v>0.73399999999999999</v>
      </c>
      <c r="F182" s="2">
        <v>0.80740000000000001</v>
      </c>
      <c r="G182" s="2">
        <v>0.85880000000000001</v>
      </c>
      <c r="H182" s="2">
        <v>0.91749999999999998</v>
      </c>
      <c r="I182" s="2">
        <v>0.99819999999999998</v>
      </c>
      <c r="J182" s="2">
        <v>1.079</v>
      </c>
      <c r="K182" s="2">
        <v>1.1597</v>
      </c>
      <c r="L182" s="2">
        <v>1.2478</v>
      </c>
      <c r="M182" s="2">
        <v>1.3359000000000001</v>
      </c>
      <c r="N182" s="2">
        <v>1.4239999999999999</v>
      </c>
      <c r="O182" s="2">
        <v>1.512</v>
      </c>
      <c r="P182" s="2">
        <v>1.6001000000000001</v>
      </c>
      <c r="Q182" s="2">
        <v>1.6881999999999999</v>
      </c>
      <c r="R182" s="5" t="s">
        <v>6</v>
      </c>
      <c r="S182" s="5" t="s">
        <v>6</v>
      </c>
      <c r="T182" t="s">
        <v>125</v>
      </c>
    </row>
    <row r="183" spans="1:20" x14ac:dyDescent="0.25">
      <c r="B183" t="s">
        <v>8</v>
      </c>
      <c r="C183" s="2">
        <v>0.80320000000000003</v>
      </c>
      <c r="D183" s="2">
        <v>0.86860000000000004</v>
      </c>
      <c r="E183" s="2">
        <v>0.93400000000000005</v>
      </c>
      <c r="F183" s="2">
        <v>1.0274000000000001</v>
      </c>
      <c r="G183" s="2">
        <v>1.0928</v>
      </c>
      <c r="H183" s="2">
        <v>1.1675</v>
      </c>
      <c r="I183" s="2">
        <v>1.2702</v>
      </c>
      <c r="J183" s="2">
        <v>1.373</v>
      </c>
      <c r="K183" s="2">
        <v>1.4757</v>
      </c>
      <c r="L183" s="2">
        <v>1.5878000000000001</v>
      </c>
      <c r="M183" s="2">
        <v>1.6999</v>
      </c>
      <c r="N183" s="2">
        <v>1.8120000000000001</v>
      </c>
      <c r="O183" s="2">
        <v>1.9239999999999999</v>
      </c>
      <c r="P183" s="2">
        <v>2.0360999999999998</v>
      </c>
      <c r="Q183" s="2">
        <v>2.1482000000000001</v>
      </c>
      <c r="R183" s="5" t="s">
        <v>6</v>
      </c>
      <c r="S183" s="5" t="s">
        <v>6</v>
      </c>
      <c r="T183" t="s">
        <v>125</v>
      </c>
    </row>
    <row r="184" spans="1:20" x14ac:dyDescent="0.25">
      <c r="B184" t="s">
        <v>13</v>
      </c>
      <c r="C184" s="2">
        <v>1.0122</v>
      </c>
      <c r="D184" s="2">
        <v>1.0946</v>
      </c>
      <c r="E184" s="2">
        <v>1.177</v>
      </c>
      <c r="F184" s="2">
        <v>1.2947</v>
      </c>
      <c r="G184" s="2">
        <v>1.3771</v>
      </c>
      <c r="H184" s="2">
        <v>1.4713000000000001</v>
      </c>
      <c r="I184" s="2">
        <v>1.6007</v>
      </c>
      <c r="J184" s="2">
        <v>1.7302</v>
      </c>
      <c r="K184" s="2">
        <v>1.8596999999999999</v>
      </c>
      <c r="L184" s="2">
        <v>2.0009000000000001</v>
      </c>
      <c r="M184" s="2">
        <v>2.1421000000000001</v>
      </c>
      <c r="N184" s="2">
        <v>2.2833999999999999</v>
      </c>
      <c r="O184" s="2">
        <v>2.4245999999999999</v>
      </c>
      <c r="P184" s="2">
        <v>2.5659000000000001</v>
      </c>
      <c r="Q184" s="2">
        <v>2.7071000000000001</v>
      </c>
      <c r="R184" s="5" t="s">
        <v>6</v>
      </c>
      <c r="S184" s="5" t="s">
        <v>6</v>
      </c>
      <c r="T184" t="s">
        <v>125</v>
      </c>
    </row>
    <row r="185" spans="1:20" x14ac:dyDescent="0.25">
      <c r="B185" t="s">
        <v>154</v>
      </c>
      <c r="C185" s="2">
        <v>0.56289999999999996</v>
      </c>
      <c r="D185" s="2">
        <v>0.60870000000000002</v>
      </c>
      <c r="E185" s="2">
        <v>0.65449999999999997</v>
      </c>
      <c r="F185" s="2">
        <v>0.71989999999999998</v>
      </c>
      <c r="G185" s="2">
        <v>0.76570000000000005</v>
      </c>
      <c r="H185" s="2">
        <v>0.81810000000000005</v>
      </c>
      <c r="I185" s="2">
        <v>0.8901</v>
      </c>
      <c r="J185" s="2">
        <v>0.96209999999999996</v>
      </c>
      <c r="K185" s="2">
        <v>1.0341</v>
      </c>
      <c r="L185" s="2">
        <v>1.1126</v>
      </c>
      <c r="M185" s="2">
        <v>1.1912</v>
      </c>
      <c r="N185" s="2">
        <v>1.2697000000000001</v>
      </c>
      <c r="O185" s="2">
        <v>1.3482000000000001</v>
      </c>
      <c r="P185" s="2">
        <v>1.4268000000000001</v>
      </c>
      <c r="Q185" s="2">
        <v>1.5053000000000001</v>
      </c>
      <c r="R185" s="5" t="s">
        <v>5</v>
      </c>
      <c r="S185" s="5" t="s">
        <v>5</v>
      </c>
      <c r="T185" t="s">
        <v>125</v>
      </c>
    </row>
    <row r="186" spans="1:20" x14ac:dyDescent="0.25">
      <c r="B186" t="s">
        <v>155</v>
      </c>
      <c r="C186" s="2">
        <v>1.0178</v>
      </c>
      <c r="D186" s="2">
        <v>1.1007</v>
      </c>
      <c r="E186" s="2">
        <v>1.1835</v>
      </c>
      <c r="F186" s="2">
        <v>1.3019000000000001</v>
      </c>
      <c r="G186" s="2">
        <v>1.3847</v>
      </c>
      <c r="H186" s="2">
        <v>1.4794</v>
      </c>
      <c r="I186" s="2">
        <v>1.6095999999999999</v>
      </c>
      <c r="J186" s="2">
        <v>1.7397</v>
      </c>
      <c r="K186" s="2">
        <v>1.8698999999999999</v>
      </c>
      <c r="L186" s="2">
        <v>2.012</v>
      </c>
      <c r="M186" s="2">
        <v>2.1539999999999999</v>
      </c>
      <c r="N186" s="2">
        <v>2.2959999999999998</v>
      </c>
      <c r="O186" s="2">
        <v>2.4380000000000002</v>
      </c>
      <c r="P186" s="2">
        <v>2.58</v>
      </c>
      <c r="Q186" s="2">
        <v>2.7221000000000002</v>
      </c>
      <c r="R186" s="5" t="s">
        <v>5</v>
      </c>
      <c r="S186" s="5" t="s">
        <v>5</v>
      </c>
      <c r="T186" t="s">
        <v>125</v>
      </c>
    </row>
    <row r="187" spans="1:20" x14ac:dyDescent="0.25">
      <c r="B187" t="s">
        <v>152</v>
      </c>
      <c r="C187" s="2">
        <v>0.74590000000000001</v>
      </c>
      <c r="D187" s="2">
        <v>0.80659999999999998</v>
      </c>
      <c r="E187" s="2">
        <v>0.86729999999999996</v>
      </c>
      <c r="F187" s="2">
        <v>0.95399999999999996</v>
      </c>
      <c r="G187" s="2">
        <v>1.0146999999999999</v>
      </c>
      <c r="H187" s="2">
        <v>1.0841000000000001</v>
      </c>
      <c r="I187" s="2">
        <v>1.1795</v>
      </c>
      <c r="J187" s="2">
        <v>1.2748999999999999</v>
      </c>
      <c r="K187" s="2">
        <v>1.3703000000000001</v>
      </c>
      <c r="L187" s="2">
        <v>1.4743999999999999</v>
      </c>
      <c r="M187" s="2">
        <v>1.5785</v>
      </c>
      <c r="N187" s="2">
        <v>1.6826000000000001</v>
      </c>
      <c r="O187" s="2">
        <v>1.7866</v>
      </c>
      <c r="P187" s="2">
        <v>1.8907</v>
      </c>
      <c r="Q187" s="2">
        <v>1.9947999999999999</v>
      </c>
      <c r="R187" s="5" t="s">
        <v>3</v>
      </c>
      <c r="S187" s="5" t="s">
        <v>3</v>
      </c>
      <c r="T187" t="s">
        <v>125</v>
      </c>
    </row>
    <row r="188" spans="1:20" x14ac:dyDescent="0.25">
      <c r="B188" t="s">
        <v>133</v>
      </c>
      <c r="C188" s="2">
        <v>1.4914000000000001</v>
      </c>
      <c r="D188" s="2">
        <v>1.6128</v>
      </c>
      <c r="E188" s="2">
        <v>1.7342</v>
      </c>
      <c r="F188" s="2">
        <v>1.9077</v>
      </c>
      <c r="G188" s="2">
        <v>2.0291000000000001</v>
      </c>
      <c r="H188" s="2">
        <v>2.1678000000000002</v>
      </c>
      <c r="I188" s="2">
        <v>2.3586</v>
      </c>
      <c r="J188" s="2">
        <v>2.5493000000000001</v>
      </c>
      <c r="K188" s="2">
        <v>2.7401</v>
      </c>
      <c r="L188" s="2">
        <v>2.9481999999999999</v>
      </c>
      <c r="M188" s="2">
        <v>3.1562999999999999</v>
      </c>
      <c r="N188" s="2">
        <v>3.3643999999999998</v>
      </c>
      <c r="O188" s="2">
        <v>3.5724999999999998</v>
      </c>
      <c r="P188" s="2">
        <v>3.7806000000000002</v>
      </c>
      <c r="Q188" s="2">
        <v>3.9887000000000001</v>
      </c>
      <c r="R188" s="5" t="s">
        <v>3</v>
      </c>
      <c r="S188" s="5" t="s">
        <v>3</v>
      </c>
      <c r="T188" t="s">
        <v>125</v>
      </c>
    </row>
    <row r="189" spans="1:20" x14ac:dyDescent="0.25">
      <c r="B189" t="s">
        <v>134</v>
      </c>
      <c r="C189" s="2">
        <v>1.8629</v>
      </c>
      <c r="D189" s="2">
        <v>2.0145</v>
      </c>
      <c r="E189" s="2">
        <v>2.1661999999999999</v>
      </c>
      <c r="F189" s="2">
        <v>2.3828</v>
      </c>
      <c r="G189" s="2">
        <v>2.5344000000000002</v>
      </c>
      <c r="H189" s="2">
        <v>2.7077</v>
      </c>
      <c r="I189" s="2">
        <v>2.9460000000000002</v>
      </c>
      <c r="J189" s="2">
        <v>3.1842000000000001</v>
      </c>
      <c r="K189" s="2">
        <v>3.4224999999999999</v>
      </c>
      <c r="L189" s="2">
        <v>3.6825000000000001</v>
      </c>
      <c r="M189" s="2">
        <v>3.9424000000000001</v>
      </c>
      <c r="N189" s="2">
        <v>4.2023000000000001</v>
      </c>
      <c r="O189" s="2">
        <v>4.4622999999999999</v>
      </c>
      <c r="P189" s="2">
        <v>4.7222</v>
      </c>
      <c r="Q189" s="2">
        <v>4.9821</v>
      </c>
      <c r="R189" s="5" t="s">
        <v>3</v>
      </c>
      <c r="S189" s="5" t="s">
        <v>3</v>
      </c>
      <c r="T189" t="s">
        <v>125</v>
      </c>
    </row>
    <row r="190" spans="1:20" x14ac:dyDescent="0.25">
      <c r="B190" t="s">
        <v>4</v>
      </c>
      <c r="C190" s="2">
        <v>1.7203999999999999</v>
      </c>
      <c r="D190" s="2">
        <v>1.8493999999999999</v>
      </c>
      <c r="E190" s="2">
        <v>1.9784999999999999</v>
      </c>
      <c r="F190" s="2">
        <v>2.1505000000000001</v>
      </c>
      <c r="G190" s="2">
        <v>2.2795000000000001</v>
      </c>
      <c r="H190" s="2">
        <v>2.4085999999999999</v>
      </c>
      <c r="I190" s="2">
        <v>2.5806</v>
      </c>
      <c r="J190" s="2">
        <v>2.7526000000000002</v>
      </c>
      <c r="K190" s="2">
        <v>2.9247000000000001</v>
      </c>
      <c r="L190" s="2">
        <v>3.0966999999999998</v>
      </c>
      <c r="M190" s="2">
        <v>3.2688000000000001</v>
      </c>
      <c r="N190" s="2">
        <v>3.4407999999999999</v>
      </c>
      <c r="O190" s="2">
        <v>3.6558999999999999</v>
      </c>
      <c r="P190" s="2">
        <v>3.8708999999999998</v>
      </c>
      <c r="Q190" s="2">
        <v>4.0860000000000003</v>
      </c>
      <c r="R190" s="5" t="s">
        <v>19</v>
      </c>
      <c r="S190" s="5" t="s">
        <v>19</v>
      </c>
      <c r="T190" t="s">
        <v>125</v>
      </c>
    </row>
    <row r="191" spans="1:20" x14ac:dyDescent="0.25">
      <c r="B191" t="s">
        <v>172</v>
      </c>
      <c r="C191" s="2">
        <v>1.4239999999999999</v>
      </c>
      <c r="D191" s="2">
        <v>1.5307999999999999</v>
      </c>
      <c r="E191" s="2">
        <v>1.6375999999999999</v>
      </c>
      <c r="F191" s="2">
        <v>1.78</v>
      </c>
      <c r="G191" s="2">
        <v>1.8868</v>
      </c>
      <c r="H191" s="2">
        <v>1.9936</v>
      </c>
      <c r="I191" s="2">
        <v>2.1360000000000001</v>
      </c>
      <c r="J191" s="2">
        <v>2.2784</v>
      </c>
      <c r="K191" s="2">
        <v>2.4207999999999998</v>
      </c>
      <c r="L191" s="2">
        <v>2.5632000000000001</v>
      </c>
      <c r="M191" s="2">
        <v>2.7056</v>
      </c>
      <c r="N191" s="2">
        <v>2.8479999999999999</v>
      </c>
      <c r="O191" s="2">
        <v>3.0259999999999998</v>
      </c>
      <c r="P191" s="2">
        <v>3.2040000000000002</v>
      </c>
      <c r="Q191" s="2">
        <v>3.3820000000000001</v>
      </c>
      <c r="R191" s="5" t="s">
        <v>0</v>
      </c>
      <c r="S191" s="5" t="s">
        <v>0</v>
      </c>
      <c r="T191" t="s">
        <v>125</v>
      </c>
    </row>
    <row r="192" spans="1:20" x14ac:dyDescent="0.25">
      <c r="B192" s="3" t="s">
        <v>763</v>
      </c>
      <c r="C192" s="23"/>
      <c r="D192" s="23"/>
      <c r="E192" s="23"/>
      <c r="F192" s="23"/>
      <c r="G192" s="23"/>
      <c r="H192" s="23"/>
      <c r="I192" s="23"/>
      <c r="J192" s="23"/>
      <c r="K192" s="23"/>
      <c r="L192" s="23"/>
      <c r="M192" s="23"/>
      <c r="N192" s="23"/>
      <c r="O192" s="23"/>
      <c r="P192" s="23"/>
      <c r="Q192" s="23"/>
      <c r="R192" s="5" t="s">
        <v>763</v>
      </c>
      <c r="S192" s="5" t="s">
        <v>763</v>
      </c>
      <c r="T192" t="s">
        <v>764</v>
      </c>
    </row>
    <row r="193" spans="1:20" x14ac:dyDescent="0.25">
      <c r="B193" s="3" t="s">
        <v>386</v>
      </c>
      <c r="C193" s="23"/>
      <c r="D193" s="23"/>
      <c r="E193" s="23"/>
      <c r="F193" s="23"/>
      <c r="G193" s="23"/>
      <c r="H193" s="23"/>
      <c r="I193" s="23"/>
      <c r="J193" s="23"/>
      <c r="K193" s="23"/>
      <c r="L193" s="23"/>
      <c r="M193" s="23"/>
      <c r="N193" s="23"/>
      <c r="O193" s="23"/>
      <c r="P193" s="23"/>
      <c r="Q193" s="23"/>
      <c r="R193" s="5" t="s">
        <v>392</v>
      </c>
      <c r="S193" s="5" t="s">
        <v>392</v>
      </c>
      <c r="T193" t="s">
        <v>69</v>
      </c>
    </row>
    <row r="194" spans="1:20" x14ac:dyDescent="0.25">
      <c r="B194" s="3" t="s">
        <v>388</v>
      </c>
      <c r="C194" s="23"/>
      <c r="D194" s="23"/>
      <c r="E194" s="23"/>
      <c r="F194" s="23"/>
      <c r="G194" s="23"/>
      <c r="H194" s="23"/>
      <c r="I194" s="23"/>
      <c r="J194" s="23"/>
      <c r="K194" s="23"/>
      <c r="L194" s="23"/>
      <c r="M194" s="23"/>
      <c r="N194" s="23"/>
      <c r="O194" s="23"/>
      <c r="P194" s="23"/>
      <c r="Q194" s="23"/>
      <c r="R194" s="5" t="s">
        <v>392</v>
      </c>
      <c r="S194" s="5" t="s">
        <v>392</v>
      </c>
      <c r="T194" t="s">
        <v>69</v>
      </c>
    </row>
    <row r="195" spans="1:20" x14ac:dyDescent="0.25">
      <c r="B195" s="3" t="s">
        <v>389</v>
      </c>
      <c r="C195" s="23"/>
      <c r="D195" s="23"/>
      <c r="E195" s="23"/>
      <c r="F195" s="23"/>
      <c r="G195" s="23"/>
      <c r="H195" s="23"/>
      <c r="I195" s="23"/>
      <c r="J195" s="23"/>
      <c r="K195" s="23"/>
      <c r="L195" s="23"/>
      <c r="M195" s="23"/>
      <c r="N195" s="23"/>
      <c r="O195" s="23"/>
      <c r="P195" s="23"/>
      <c r="Q195" s="23"/>
      <c r="R195" s="5" t="s">
        <v>392</v>
      </c>
      <c r="S195" s="5" t="s">
        <v>392</v>
      </c>
      <c r="T195" t="s">
        <v>69</v>
      </c>
    </row>
    <row r="196" spans="1:20" x14ac:dyDescent="0.25">
      <c r="B196" s="3" t="s">
        <v>385</v>
      </c>
      <c r="C196" s="23"/>
      <c r="D196" s="23"/>
      <c r="E196" s="23"/>
      <c r="F196" s="23"/>
      <c r="G196" s="23"/>
      <c r="H196" s="23"/>
      <c r="I196" s="23"/>
      <c r="J196" s="23"/>
      <c r="K196" s="23"/>
      <c r="L196" s="23"/>
      <c r="M196" s="23"/>
      <c r="N196" s="23"/>
      <c r="O196" s="23"/>
      <c r="P196" s="23"/>
      <c r="Q196" s="23"/>
      <c r="R196" s="5" t="s">
        <v>392</v>
      </c>
      <c r="S196" s="5" t="s">
        <v>392</v>
      </c>
      <c r="T196" t="s">
        <v>69</v>
      </c>
    </row>
    <row r="197" spans="1:20" x14ac:dyDescent="0.25">
      <c r="B197" s="3" t="s">
        <v>387</v>
      </c>
      <c r="C197" s="23"/>
      <c r="D197" s="23"/>
      <c r="E197" s="23"/>
      <c r="F197" s="23"/>
      <c r="G197" s="23"/>
      <c r="H197" s="23"/>
      <c r="I197" s="23"/>
      <c r="J197" s="23"/>
      <c r="K197" s="23"/>
      <c r="L197" s="23"/>
      <c r="M197" s="23"/>
      <c r="N197" s="23"/>
      <c r="O197" s="23"/>
      <c r="P197" s="23"/>
      <c r="Q197" s="23"/>
      <c r="R197" s="5" t="s">
        <v>392</v>
      </c>
      <c r="S197" s="5" t="s">
        <v>392</v>
      </c>
      <c r="T197" t="s">
        <v>69</v>
      </c>
    </row>
    <row r="198" spans="1:20" x14ac:dyDescent="0.25">
      <c r="B198" s="3" t="s">
        <v>390</v>
      </c>
      <c r="C198" s="23"/>
      <c r="D198" s="23"/>
      <c r="E198" s="23"/>
      <c r="F198" s="23"/>
      <c r="G198" s="23"/>
      <c r="H198" s="23"/>
      <c r="I198" s="23"/>
      <c r="J198" s="23"/>
      <c r="K198" s="23"/>
      <c r="L198" s="23"/>
      <c r="M198" s="23"/>
      <c r="N198" s="23"/>
      <c r="O198" s="23"/>
      <c r="P198" s="23"/>
      <c r="Q198" s="23"/>
      <c r="R198" s="5" t="s">
        <v>392</v>
      </c>
      <c r="S198" s="5" t="s">
        <v>392</v>
      </c>
      <c r="T198" t="s">
        <v>69</v>
      </c>
    </row>
    <row r="199" spans="1:20" x14ac:dyDescent="0.25">
      <c r="B199" s="3" t="s">
        <v>391</v>
      </c>
      <c r="C199" s="23"/>
      <c r="D199" s="23"/>
      <c r="E199" s="23"/>
      <c r="F199" s="23"/>
      <c r="G199" s="23"/>
      <c r="H199" s="23"/>
      <c r="I199" s="23"/>
      <c r="J199" s="23"/>
      <c r="K199" s="23"/>
      <c r="L199" s="23"/>
      <c r="M199" s="23"/>
      <c r="N199" s="23"/>
      <c r="O199" s="23"/>
      <c r="P199" s="23"/>
      <c r="Q199" s="23"/>
      <c r="R199" s="5" t="s">
        <v>392</v>
      </c>
      <c r="S199" s="5" t="s">
        <v>392</v>
      </c>
      <c r="T199" t="s">
        <v>69</v>
      </c>
    </row>
    <row r="200" spans="1:20" x14ac:dyDescent="0.25">
      <c r="A200" t="s">
        <v>831</v>
      </c>
      <c r="B200" s="3" t="s">
        <v>393</v>
      </c>
      <c r="C200" s="23"/>
      <c r="D200" s="23"/>
      <c r="E200" s="23"/>
      <c r="F200" s="23"/>
      <c r="G200" s="23"/>
      <c r="H200" s="23"/>
      <c r="I200" s="23"/>
      <c r="J200" s="23"/>
      <c r="K200" s="23"/>
      <c r="L200" s="23"/>
      <c r="M200" s="23"/>
      <c r="N200" s="23"/>
      <c r="O200" s="23"/>
      <c r="P200" s="23"/>
      <c r="Q200" s="23"/>
      <c r="R200" s="5" t="s">
        <v>392</v>
      </c>
      <c r="S200" s="5" t="s">
        <v>392</v>
      </c>
      <c r="T200" t="s">
        <v>69</v>
      </c>
    </row>
    <row r="201" spans="1:20" x14ac:dyDescent="0.25">
      <c r="B201" t="s">
        <v>173</v>
      </c>
      <c r="C201" s="21">
        <v>1</v>
      </c>
      <c r="D201" s="21">
        <v>2</v>
      </c>
      <c r="E201" s="21">
        <v>3</v>
      </c>
      <c r="F201" s="21">
        <v>4</v>
      </c>
      <c r="G201" s="21">
        <v>5</v>
      </c>
      <c r="H201" s="21">
        <v>6</v>
      </c>
      <c r="I201" s="21">
        <v>7</v>
      </c>
      <c r="J201" s="21">
        <v>8</v>
      </c>
      <c r="K201" s="21">
        <v>9</v>
      </c>
      <c r="L201" s="21">
        <v>10</v>
      </c>
      <c r="M201" s="21">
        <v>11</v>
      </c>
      <c r="N201" s="21">
        <v>12</v>
      </c>
      <c r="O201" s="21">
        <v>13</v>
      </c>
      <c r="P201" s="21">
        <v>14</v>
      </c>
      <c r="Q201" s="21">
        <v>15</v>
      </c>
      <c r="R201" s="5" t="s">
        <v>11</v>
      </c>
      <c r="S201" s="5" t="s">
        <v>1024</v>
      </c>
      <c r="T201" t="s">
        <v>124</v>
      </c>
    </row>
    <row r="202" spans="1:20" x14ac:dyDescent="0.25">
      <c r="A202" t="s">
        <v>832</v>
      </c>
      <c r="B202" t="s">
        <v>10</v>
      </c>
      <c r="C202" s="2">
        <v>0.89700000000000002</v>
      </c>
      <c r="D202" s="2">
        <v>0.97</v>
      </c>
      <c r="E202" s="2">
        <v>1.0429999999999999</v>
      </c>
      <c r="F202" s="2">
        <v>1.1473</v>
      </c>
      <c r="G202" s="2">
        <v>1.2202999999999999</v>
      </c>
      <c r="H202" s="2">
        <v>1.3038000000000001</v>
      </c>
      <c r="I202" s="2">
        <v>1.4185000000000001</v>
      </c>
      <c r="J202" s="2">
        <v>1.5331999999999999</v>
      </c>
      <c r="K202" s="2">
        <v>1.6478999999999999</v>
      </c>
      <c r="L202" s="2">
        <v>1.7730999999999999</v>
      </c>
      <c r="M202" s="2">
        <v>1.9165000000000001</v>
      </c>
      <c r="N202" s="2">
        <v>2.0851999999999999</v>
      </c>
      <c r="O202" s="2">
        <v>2.2538</v>
      </c>
      <c r="P202" s="2">
        <v>2.4224999999999999</v>
      </c>
      <c r="Q202" s="2">
        <v>2.6065</v>
      </c>
      <c r="R202" s="5" t="s">
        <v>6</v>
      </c>
      <c r="S202" s="5" t="s">
        <v>6</v>
      </c>
      <c r="T202" t="s">
        <v>125</v>
      </c>
    </row>
    <row r="203" spans="1:20" x14ac:dyDescent="0.25">
      <c r="B203" t="s">
        <v>9</v>
      </c>
      <c r="C203" s="2">
        <v>0.87629999999999997</v>
      </c>
      <c r="D203" s="2">
        <v>0.94769999999999999</v>
      </c>
      <c r="E203" s="2">
        <v>1.0189999999999999</v>
      </c>
      <c r="F203" s="2">
        <v>1.1209</v>
      </c>
      <c r="G203" s="2">
        <v>1.1921999999999999</v>
      </c>
      <c r="H203" s="2">
        <v>1.2738</v>
      </c>
      <c r="I203" s="2">
        <v>1.3857999999999999</v>
      </c>
      <c r="J203" s="2">
        <v>1.4979</v>
      </c>
      <c r="K203" s="2">
        <v>1.61</v>
      </c>
      <c r="L203" s="2">
        <v>1.7323</v>
      </c>
      <c r="M203" s="2">
        <v>1.8724000000000001</v>
      </c>
      <c r="N203" s="2">
        <v>2.0371999999999999</v>
      </c>
      <c r="O203" s="2">
        <v>2.202</v>
      </c>
      <c r="P203" s="2">
        <v>2.3666999999999998</v>
      </c>
      <c r="Q203" s="2">
        <v>2.5465</v>
      </c>
      <c r="R203" s="5" t="s">
        <v>6</v>
      </c>
      <c r="S203" s="5" t="s">
        <v>6</v>
      </c>
      <c r="T203" t="s">
        <v>125</v>
      </c>
    </row>
    <row r="204" spans="1:20" x14ac:dyDescent="0.25">
      <c r="B204" t="s">
        <v>8</v>
      </c>
      <c r="C204" s="2">
        <v>0.98809999999999998</v>
      </c>
      <c r="D204" s="2">
        <v>1.0686</v>
      </c>
      <c r="E204" s="2">
        <v>1.149</v>
      </c>
      <c r="F204" s="2">
        <v>1.2639</v>
      </c>
      <c r="G204" s="2">
        <v>1.3443000000000001</v>
      </c>
      <c r="H204" s="2">
        <v>1.4362999999999999</v>
      </c>
      <c r="I204" s="2">
        <v>1.5626</v>
      </c>
      <c r="J204" s="2">
        <v>1.6890000000000001</v>
      </c>
      <c r="K204" s="2">
        <v>1.8153999999999999</v>
      </c>
      <c r="L204" s="2">
        <v>1.9533</v>
      </c>
      <c r="M204" s="2">
        <v>2.1113</v>
      </c>
      <c r="N204" s="2">
        <v>2.2970999999999999</v>
      </c>
      <c r="O204" s="2">
        <v>2.4828999999999999</v>
      </c>
      <c r="P204" s="2">
        <v>2.6686999999999999</v>
      </c>
      <c r="Q204" s="2">
        <v>2.8714</v>
      </c>
      <c r="R204" s="5" t="s">
        <v>6</v>
      </c>
      <c r="S204" s="5" t="s">
        <v>6</v>
      </c>
      <c r="T204" t="s">
        <v>125</v>
      </c>
    </row>
    <row r="205" spans="1:20" x14ac:dyDescent="0.25">
      <c r="B205" t="s">
        <v>13</v>
      </c>
      <c r="C205" s="2">
        <v>1.3399000000000001</v>
      </c>
      <c r="D205" s="2">
        <v>1.4489000000000001</v>
      </c>
      <c r="E205" s="2">
        <v>1.5580000000000001</v>
      </c>
      <c r="F205" s="2">
        <v>1.7138</v>
      </c>
      <c r="G205" s="2">
        <v>1.8229</v>
      </c>
      <c r="H205" s="2">
        <v>1.9475</v>
      </c>
      <c r="I205" s="2">
        <v>2.1189</v>
      </c>
      <c r="J205" s="2">
        <v>2.2902999999999998</v>
      </c>
      <c r="K205" s="2">
        <v>2.4615999999999998</v>
      </c>
      <c r="L205" s="2">
        <v>2.6486000000000001</v>
      </c>
      <c r="M205" s="2">
        <v>2.8628</v>
      </c>
      <c r="N205" s="2">
        <v>3.1147999999999998</v>
      </c>
      <c r="O205" s="2">
        <v>3.3666999999999998</v>
      </c>
      <c r="P205" s="2">
        <v>3.6185999999999998</v>
      </c>
      <c r="Q205" s="2">
        <v>3.8934000000000002</v>
      </c>
      <c r="R205" s="5" t="s">
        <v>6</v>
      </c>
      <c r="S205" s="5" t="s">
        <v>6</v>
      </c>
      <c r="T205" t="s">
        <v>125</v>
      </c>
    </row>
    <row r="206" spans="1:20" x14ac:dyDescent="0.25">
      <c r="B206" t="s">
        <v>154</v>
      </c>
      <c r="C206" s="2">
        <v>0.68799999999999994</v>
      </c>
      <c r="D206" s="2">
        <v>0.74399999999999999</v>
      </c>
      <c r="E206" s="2">
        <v>0.8</v>
      </c>
      <c r="F206" s="2">
        <v>0.88</v>
      </c>
      <c r="G206" s="2">
        <v>0.93600000000000005</v>
      </c>
      <c r="H206" s="2">
        <v>1</v>
      </c>
      <c r="I206" s="2">
        <v>1.0880000000000001</v>
      </c>
      <c r="J206" s="2">
        <v>1.1759999999999999</v>
      </c>
      <c r="K206" s="2">
        <v>1.264</v>
      </c>
      <c r="L206" s="2">
        <v>1.36</v>
      </c>
      <c r="M206" s="2">
        <v>1.47</v>
      </c>
      <c r="N206" s="2">
        <v>1.5993999999999999</v>
      </c>
      <c r="O206" s="2">
        <v>1.7286999999999999</v>
      </c>
      <c r="P206" s="2">
        <v>1.8581000000000001</v>
      </c>
      <c r="Q206" s="2">
        <v>1.9992000000000001</v>
      </c>
      <c r="R206" s="5" t="s">
        <v>5</v>
      </c>
      <c r="S206" s="5" t="s">
        <v>5</v>
      </c>
      <c r="T206" t="s">
        <v>125</v>
      </c>
    </row>
    <row r="207" spans="1:20" x14ac:dyDescent="0.25">
      <c r="B207" t="s">
        <v>155</v>
      </c>
      <c r="C207" s="2">
        <v>1.2470000000000001</v>
      </c>
      <c r="D207" s="2">
        <v>1.3485</v>
      </c>
      <c r="E207" s="2">
        <v>1.45</v>
      </c>
      <c r="F207" s="2">
        <v>1.595</v>
      </c>
      <c r="G207" s="2">
        <v>1.6964999999999999</v>
      </c>
      <c r="H207" s="2">
        <v>1.8125</v>
      </c>
      <c r="I207" s="2">
        <v>1.972</v>
      </c>
      <c r="J207" s="2">
        <v>2.1315</v>
      </c>
      <c r="K207" s="2">
        <v>2.2909999999999999</v>
      </c>
      <c r="L207" s="2">
        <v>2.4649999999999999</v>
      </c>
      <c r="M207" s="2">
        <v>2.6644000000000001</v>
      </c>
      <c r="N207" s="2">
        <v>2.8988</v>
      </c>
      <c r="O207" s="2">
        <v>3.1333000000000002</v>
      </c>
      <c r="P207" s="2">
        <v>3.3677999999999999</v>
      </c>
      <c r="Q207" s="2">
        <v>3.6236000000000002</v>
      </c>
      <c r="R207" s="5" t="s">
        <v>5</v>
      </c>
      <c r="S207" s="5" t="s">
        <v>5</v>
      </c>
      <c r="T207" t="s">
        <v>125</v>
      </c>
    </row>
    <row r="208" spans="1:20" x14ac:dyDescent="0.25">
      <c r="B208" t="s">
        <v>152</v>
      </c>
      <c r="C208" s="2">
        <v>0.89510000000000001</v>
      </c>
      <c r="D208" s="2">
        <v>0.96789999999999998</v>
      </c>
      <c r="E208" s="2">
        <v>1.0407999999999999</v>
      </c>
      <c r="F208" s="2">
        <v>1.1448</v>
      </c>
      <c r="G208" s="2">
        <v>1.2177</v>
      </c>
      <c r="H208" s="2">
        <v>1.3009999999999999</v>
      </c>
      <c r="I208" s="2">
        <v>1.4154</v>
      </c>
      <c r="J208" s="2">
        <v>1.5299</v>
      </c>
      <c r="K208" s="2">
        <v>1.6444000000000001</v>
      </c>
      <c r="L208" s="2">
        <v>1.7693000000000001</v>
      </c>
      <c r="M208" s="2">
        <v>1.8942000000000001</v>
      </c>
      <c r="N208" s="2">
        <v>2.0190999999999999</v>
      </c>
      <c r="O208" s="2">
        <v>2.1440000000000001</v>
      </c>
      <c r="P208" s="2">
        <v>2.2688999999999999</v>
      </c>
      <c r="Q208" s="2">
        <v>2.3936999999999999</v>
      </c>
      <c r="R208" s="5" t="s">
        <v>3</v>
      </c>
      <c r="S208" s="5" t="s">
        <v>3</v>
      </c>
      <c r="T208" t="s">
        <v>125</v>
      </c>
    </row>
    <row r="209" spans="2:20" x14ac:dyDescent="0.25">
      <c r="B209" t="s">
        <v>133</v>
      </c>
      <c r="C209" s="2">
        <v>1.7897000000000001</v>
      </c>
      <c r="D209" s="2">
        <v>1.9354</v>
      </c>
      <c r="E209" s="2">
        <v>2.0811000000000002</v>
      </c>
      <c r="F209" s="2">
        <v>2.2892000000000001</v>
      </c>
      <c r="G209" s="2">
        <v>2.4348999999999998</v>
      </c>
      <c r="H209" s="2">
        <v>2.6013000000000002</v>
      </c>
      <c r="I209" s="2">
        <v>2.8302999999999998</v>
      </c>
      <c r="J209" s="2">
        <v>3.0592000000000001</v>
      </c>
      <c r="K209" s="2">
        <v>3.2881</v>
      </c>
      <c r="L209" s="2">
        <v>3.5377999999999998</v>
      </c>
      <c r="M209" s="2">
        <v>3.7875999999999999</v>
      </c>
      <c r="N209" s="2">
        <v>4.0373000000000001</v>
      </c>
      <c r="O209" s="2">
        <v>4.2869999999999999</v>
      </c>
      <c r="P209" s="2">
        <v>4.5368000000000004</v>
      </c>
      <c r="Q209" s="2">
        <v>4.7865000000000002</v>
      </c>
      <c r="R209" s="5" t="s">
        <v>3</v>
      </c>
      <c r="S209" s="5" t="s">
        <v>3</v>
      </c>
      <c r="T209" t="s">
        <v>125</v>
      </c>
    </row>
    <row r="210" spans="2:20" x14ac:dyDescent="0.25">
      <c r="B210" t="s">
        <v>134</v>
      </c>
      <c r="C210" s="2">
        <v>2.2355</v>
      </c>
      <c r="D210" s="2">
        <v>2.4174000000000002</v>
      </c>
      <c r="E210" s="2">
        <v>2.5994000000000002</v>
      </c>
      <c r="F210" s="2">
        <v>2.8593000000000002</v>
      </c>
      <c r="G210" s="2">
        <v>3.0413000000000001</v>
      </c>
      <c r="H210" s="2">
        <v>3.2492000000000001</v>
      </c>
      <c r="I210" s="2">
        <v>3.5352000000000001</v>
      </c>
      <c r="J210" s="2">
        <v>3.8210999999999999</v>
      </c>
      <c r="K210" s="2">
        <v>4.1070000000000002</v>
      </c>
      <c r="L210" s="2">
        <v>4.4188999999999998</v>
      </c>
      <c r="M210" s="2">
        <v>4.7309000000000001</v>
      </c>
      <c r="N210" s="2">
        <v>5.0427999999999997</v>
      </c>
      <c r="O210" s="2">
        <v>5.3547000000000002</v>
      </c>
      <c r="P210" s="2">
        <v>5.6665999999999999</v>
      </c>
      <c r="Q210" s="2">
        <v>5.9786000000000001</v>
      </c>
      <c r="R210" s="5" t="s">
        <v>3</v>
      </c>
      <c r="S210" s="5" t="s">
        <v>3</v>
      </c>
      <c r="T210" t="s">
        <v>125</v>
      </c>
    </row>
    <row r="211" spans="2:20" x14ac:dyDescent="0.25">
      <c r="B211" t="s">
        <v>176</v>
      </c>
      <c r="C211" s="2">
        <v>0.94399999999999995</v>
      </c>
      <c r="D211" s="2">
        <v>1.0147999999999999</v>
      </c>
      <c r="E211" s="2">
        <v>1.0855999999999999</v>
      </c>
      <c r="F211" s="2">
        <v>1.18</v>
      </c>
      <c r="G211" s="2">
        <v>1.2507999999999999</v>
      </c>
      <c r="H211" s="2">
        <v>1.3216000000000001</v>
      </c>
      <c r="I211" s="2">
        <v>1.4159999999999999</v>
      </c>
      <c r="J211" s="2">
        <v>1.5104</v>
      </c>
      <c r="K211" s="2">
        <v>1.6048</v>
      </c>
      <c r="L211" s="2">
        <v>1.6992</v>
      </c>
      <c r="M211" s="2">
        <v>1.7936000000000001</v>
      </c>
      <c r="N211" s="2">
        <v>1.8879999999999999</v>
      </c>
      <c r="O211" s="2">
        <v>2.0059999999999998</v>
      </c>
      <c r="P211" s="2">
        <v>2.1240000000000001</v>
      </c>
      <c r="Q211" s="2">
        <v>2.242</v>
      </c>
      <c r="R211" s="5" t="s">
        <v>19</v>
      </c>
      <c r="S211" s="5" t="s">
        <v>19</v>
      </c>
      <c r="T211" t="s">
        <v>125</v>
      </c>
    </row>
    <row r="212" spans="2:20" x14ac:dyDescent="0.25">
      <c r="B212" t="s">
        <v>175</v>
      </c>
      <c r="C212" s="2">
        <v>0.97599999999999998</v>
      </c>
      <c r="D212" s="2">
        <v>1.0491999999999999</v>
      </c>
      <c r="E212" s="2">
        <v>1.1224000000000001</v>
      </c>
      <c r="F212" s="2">
        <v>1.22</v>
      </c>
      <c r="G212" s="2">
        <v>1.2931999999999999</v>
      </c>
      <c r="H212" s="2">
        <v>1.3664000000000001</v>
      </c>
      <c r="I212" s="2">
        <v>1.464</v>
      </c>
      <c r="J212" s="2">
        <v>1.5616000000000001</v>
      </c>
      <c r="K212" s="2">
        <v>1.6592</v>
      </c>
      <c r="L212" s="2">
        <v>1.7567999999999999</v>
      </c>
      <c r="M212" s="2">
        <v>1.8544</v>
      </c>
      <c r="N212" s="2">
        <v>1.952</v>
      </c>
      <c r="O212" s="2">
        <v>2.0739999999999998</v>
      </c>
      <c r="P212" s="2">
        <v>2.1960000000000002</v>
      </c>
      <c r="Q212" s="2">
        <v>2.3180000000000001</v>
      </c>
      <c r="R212" s="5" t="s">
        <v>19</v>
      </c>
      <c r="S212" s="5" t="s">
        <v>19</v>
      </c>
      <c r="T212" t="s">
        <v>125</v>
      </c>
    </row>
    <row r="213" spans="2:20" x14ac:dyDescent="0.25">
      <c r="B213" t="s">
        <v>177</v>
      </c>
      <c r="C213" s="2">
        <v>1.288</v>
      </c>
      <c r="D213" s="2">
        <v>1.3846000000000001</v>
      </c>
      <c r="E213" s="2">
        <v>1.4812000000000001</v>
      </c>
      <c r="F213" s="2">
        <v>1.61</v>
      </c>
      <c r="G213" s="2">
        <v>1.7065999999999999</v>
      </c>
      <c r="H213" s="2">
        <v>1.8031999999999999</v>
      </c>
      <c r="I213" s="2">
        <v>1.9319999999999999</v>
      </c>
      <c r="J213" s="2">
        <v>2.0608</v>
      </c>
      <c r="K213" s="2">
        <v>2.1896</v>
      </c>
      <c r="L213" s="2">
        <v>2.3184</v>
      </c>
      <c r="M213" s="2">
        <v>2.4472</v>
      </c>
      <c r="N213" s="2">
        <v>2.5760000000000001</v>
      </c>
      <c r="O213" s="2">
        <v>2.7370000000000001</v>
      </c>
      <c r="P213" s="2">
        <v>2.8980000000000001</v>
      </c>
      <c r="Q213" s="2">
        <v>3.0590000000000002</v>
      </c>
      <c r="R213" s="5" t="s">
        <v>19</v>
      </c>
      <c r="S213" s="5" t="s">
        <v>19</v>
      </c>
      <c r="T213" t="s">
        <v>125</v>
      </c>
    </row>
    <row r="214" spans="2:20" x14ac:dyDescent="0.25">
      <c r="B214" t="s">
        <v>180</v>
      </c>
      <c r="C214" s="2">
        <v>2.04</v>
      </c>
      <c r="D214" s="2">
        <v>2.1930000000000001</v>
      </c>
      <c r="E214" s="2">
        <v>2.3460000000000001</v>
      </c>
      <c r="F214" s="2">
        <v>2.5499999999999998</v>
      </c>
      <c r="G214" s="2">
        <v>2.7029999999999998</v>
      </c>
      <c r="H214" s="2">
        <v>2.8559999999999999</v>
      </c>
      <c r="I214" s="2">
        <v>3.06</v>
      </c>
      <c r="J214" s="2">
        <v>3.2639999999999998</v>
      </c>
      <c r="K214" s="2">
        <v>3.468</v>
      </c>
      <c r="L214" s="2">
        <v>3.6720000000000002</v>
      </c>
      <c r="M214" s="2">
        <v>3.8759999999999999</v>
      </c>
      <c r="N214" s="2">
        <v>4.08</v>
      </c>
      <c r="O214" s="2">
        <v>4.335</v>
      </c>
      <c r="P214" s="2">
        <v>4.59</v>
      </c>
      <c r="Q214" s="2">
        <v>4.8449999999999998</v>
      </c>
      <c r="R214" s="5" t="s">
        <v>0</v>
      </c>
      <c r="S214" s="5" t="s">
        <v>0</v>
      </c>
      <c r="T214" t="s">
        <v>125</v>
      </c>
    </row>
    <row r="215" spans="2:20" x14ac:dyDescent="0.25">
      <c r="B215" t="s">
        <v>181</v>
      </c>
      <c r="C215" s="2">
        <v>0.6</v>
      </c>
      <c r="D215" s="2">
        <v>0.64500000000000002</v>
      </c>
      <c r="E215" s="2">
        <v>0.69</v>
      </c>
      <c r="F215" s="2">
        <v>0.75</v>
      </c>
      <c r="G215" s="2">
        <v>0.79500000000000004</v>
      </c>
      <c r="H215" s="2">
        <v>0.84</v>
      </c>
      <c r="I215" s="2">
        <v>0.9</v>
      </c>
      <c r="J215" s="2">
        <v>0.96</v>
      </c>
      <c r="K215" s="2">
        <v>1.02</v>
      </c>
      <c r="L215" s="2">
        <v>1.08</v>
      </c>
      <c r="M215" s="2">
        <v>1.1399999999999999</v>
      </c>
      <c r="N215" s="2">
        <v>1.2</v>
      </c>
      <c r="O215" s="2">
        <v>1.2749999999999999</v>
      </c>
      <c r="P215" s="2">
        <v>1.35</v>
      </c>
      <c r="Q215" s="2">
        <v>1.425</v>
      </c>
      <c r="R215" s="5" t="s">
        <v>0</v>
      </c>
      <c r="S215" s="5" t="s">
        <v>0</v>
      </c>
      <c r="T215" t="s">
        <v>125</v>
      </c>
    </row>
    <row r="216" spans="2:20" x14ac:dyDescent="0.25">
      <c r="B216" t="s">
        <v>182</v>
      </c>
      <c r="C216" s="2">
        <v>2.04</v>
      </c>
      <c r="D216" s="2">
        <v>2.1930000000000001</v>
      </c>
      <c r="E216" s="2">
        <v>2.3460000000000001</v>
      </c>
      <c r="F216" s="2">
        <v>2.5499999999999998</v>
      </c>
      <c r="G216" s="2">
        <v>2.7029999999999998</v>
      </c>
      <c r="H216" s="2">
        <v>2.8559999999999999</v>
      </c>
      <c r="I216" s="2">
        <v>3.06</v>
      </c>
      <c r="J216" s="2">
        <v>3.2639999999999998</v>
      </c>
      <c r="K216" s="2">
        <v>3.468</v>
      </c>
      <c r="L216" s="2">
        <v>3.6720000000000002</v>
      </c>
      <c r="M216" s="2">
        <v>3.8759999999999999</v>
      </c>
      <c r="N216" s="2">
        <v>4.08</v>
      </c>
      <c r="O216" s="2">
        <v>4.335</v>
      </c>
      <c r="P216" s="2">
        <v>4.59</v>
      </c>
      <c r="Q216" s="2">
        <v>4.8449999999999998</v>
      </c>
      <c r="R216" s="5" t="s">
        <v>0</v>
      </c>
      <c r="S216" s="5" t="s">
        <v>0</v>
      </c>
      <c r="T216" t="s">
        <v>125</v>
      </c>
    </row>
    <row r="217" spans="2:20" x14ac:dyDescent="0.25">
      <c r="B217" s="3" t="s">
        <v>763</v>
      </c>
      <c r="C217" s="23"/>
      <c r="D217" s="23"/>
      <c r="E217" s="23"/>
      <c r="F217" s="23"/>
      <c r="G217" s="23"/>
      <c r="H217" s="23"/>
      <c r="I217" s="23"/>
      <c r="J217" s="23"/>
      <c r="K217" s="23"/>
      <c r="L217" s="23"/>
      <c r="M217" s="23"/>
      <c r="N217" s="23"/>
      <c r="O217" s="23"/>
      <c r="P217" s="23"/>
      <c r="Q217" s="23"/>
      <c r="R217" s="5" t="s">
        <v>763</v>
      </c>
      <c r="S217" s="5" t="s">
        <v>763</v>
      </c>
      <c r="T217" t="s">
        <v>764</v>
      </c>
    </row>
    <row r="218" spans="2:20" x14ac:dyDescent="0.25">
      <c r="B218" s="3" t="s">
        <v>386</v>
      </c>
      <c r="C218" s="23"/>
      <c r="D218" s="23"/>
      <c r="E218" s="23"/>
      <c r="F218" s="23"/>
      <c r="G218" s="23"/>
      <c r="H218" s="23"/>
      <c r="I218" s="23"/>
      <c r="J218" s="23"/>
      <c r="K218" s="23"/>
      <c r="L218" s="23"/>
      <c r="M218" s="23"/>
      <c r="N218" s="23"/>
      <c r="O218" s="23"/>
      <c r="P218" s="23"/>
      <c r="Q218" s="23"/>
      <c r="R218" s="5" t="s">
        <v>392</v>
      </c>
      <c r="S218" s="5" t="s">
        <v>392</v>
      </c>
      <c r="T218" t="s">
        <v>69</v>
      </c>
    </row>
    <row r="219" spans="2:20" x14ac:dyDescent="0.25">
      <c r="B219" s="3" t="s">
        <v>388</v>
      </c>
      <c r="C219" s="23"/>
      <c r="D219" s="23"/>
      <c r="E219" s="23"/>
      <c r="F219" s="23"/>
      <c r="G219" s="23"/>
      <c r="H219" s="23"/>
      <c r="I219" s="23"/>
      <c r="J219" s="23"/>
      <c r="K219" s="23"/>
      <c r="L219" s="23"/>
      <c r="M219" s="23"/>
      <c r="N219" s="23"/>
      <c r="O219" s="23"/>
      <c r="P219" s="23"/>
      <c r="Q219" s="23"/>
      <c r="R219" s="5" t="s">
        <v>392</v>
      </c>
      <c r="S219" s="5" t="s">
        <v>392</v>
      </c>
      <c r="T219" t="s">
        <v>69</v>
      </c>
    </row>
    <row r="220" spans="2:20" x14ac:dyDescent="0.25">
      <c r="B220" s="3" t="s">
        <v>389</v>
      </c>
      <c r="C220" s="23"/>
      <c r="D220" s="23"/>
      <c r="E220" s="23"/>
      <c r="F220" s="23"/>
      <c r="G220" s="23"/>
      <c r="H220" s="23"/>
      <c r="I220" s="23"/>
      <c r="J220" s="23"/>
      <c r="K220" s="23"/>
      <c r="L220" s="23"/>
      <c r="M220" s="23"/>
      <c r="N220" s="23"/>
      <c r="O220" s="23"/>
      <c r="P220" s="23"/>
      <c r="Q220" s="23"/>
      <c r="R220" s="5" t="s">
        <v>392</v>
      </c>
      <c r="S220" s="5" t="s">
        <v>392</v>
      </c>
      <c r="T220" t="s">
        <v>69</v>
      </c>
    </row>
    <row r="221" spans="2:20" x14ac:dyDescent="0.25">
      <c r="B221" s="3" t="s">
        <v>385</v>
      </c>
      <c r="C221" s="23"/>
      <c r="D221" s="23"/>
      <c r="E221" s="23"/>
      <c r="F221" s="23"/>
      <c r="G221" s="23"/>
      <c r="H221" s="23"/>
      <c r="I221" s="23"/>
      <c r="J221" s="23"/>
      <c r="K221" s="23"/>
      <c r="L221" s="23"/>
      <c r="M221" s="23"/>
      <c r="N221" s="23"/>
      <c r="O221" s="23"/>
      <c r="P221" s="23"/>
      <c r="Q221" s="23"/>
      <c r="R221" s="5" t="s">
        <v>392</v>
      </c>
      <c r="S221" s="5" t="s">
        <v>392</v>
      </c>
      <c r="T221" t="s">
        <v>69</v>
      </c>
    </row>
    <row r="222" spans="2:20" x14ac:dyDescent="0.25">
      <c r="B222" s="3" t="s">
        <v>387</v>
      </c>
      <c r="C222" s="23"/>
      <c r="D222" s="23"/>
      <c r="E222" s="23"/>
      <c r="F222" s="23"/>
      <c r="G222" s="23"/>
      <c r="H222" s="23"/>
      <c r="I222" s="23"/>
      <c r="J222" s="23"/>
      <c r="K222" s="23"/>
      <c r="L222" s="23"/>
      <c r="M222" s="23"/>
      <c r="N222" s="23"/>
      <c r="O222" s="23"/>
      <c r="P222" s="23"/>
      <c r="Q222" s="23"/>
      <c r="R222" s="5" t="s">
        <v>392</v>
      </c>
      <c r="S222" s="5" t="s">
        <v>392</v>
      </c>
      <c r="T222" t="s">
        <v>69</v>
      </c>
    </row>
    <row r="223" spans="2:20" x14ac:dyDescent="0.25">
      <c r="B223" s="3" t="s">
        <v>390</v>
      </c>
      <c r="C223" s="23"/>
      <c r="D223" s="23"/>
      <c r="E223" s="23"/>
      <c r="F223" s="23"/>
      <c r="G223" s="23"/>
      <c r="H223" s="23"/>
      <c r="I223" s="23"/>
      <c r="J223" s="23"/>
      <c r="K223" s="23"/>
      <c r="L223" s="23"/>
      <c r="M223" s="23"/>
      <c r="N223" s="23"/>
      <c r="O223" s="23"/>
      <c r="P223" s="23"/>
      <c r="Q223" s="23"/>
      <c r="R223" s="5" t="s">
        <v>392</v>
      </c>
      <c r="S223" s="5" t="s">
        <v>392</v>
      </c>
      <c r="T223" t="s">
        <v>69</v>
      </c>
    </row>
    <row r="224" spans="2:20" x14ac:dyDescent="0.25">
      <c r="B224" s="3" t="s">
        <v>391</v>
      </c>
      <c r="C224" s="23"/>
      <c r="D224" s="23"/>
      <c r="E224" s="23"/>
      <c r="F224" s="23"/>
      <c r="G224" s="23"/>
      <c r="H224" s="23"/>
      <c r="I224" s="23"/>
      <c r="J224" s="23"/>
      <c r="K224" s="23"/>
      <c r="L224" s="23"/>
      <c r="M224" s="23"/>
      <c r="N224" s="23"/>
      <c r="O224" s="23"/>
      <c r="P224" s="23"/>
      <c r="Q224" s="23"/>
      <c r="R224" s="5" t="s">
        <v>392</v>
      </c>
      <c r="S224" s="5" t="s">
        <v>392</v>
      </c>
      <c r="T224" t="s">
        <v>69</v>
      </c>
    </row>
    <row r="225" spans="1:22" x14ac:dyDescent="0.25">
      <c r="A225" t="s">
        <v>833</v>
      </c>
      <c r="B225" s="3" t="s">
        <v>393</v>
      </c>
      <c r="C225" s="23"/>
      <c r="D225" s="23"/>
      <c r="E225" s="23"/>
      <c r="F225" s="23"/>
      <c r="G225" s="23"/>
      <c r="H225" s="23"/>
      <c r="I225" s="23"/>
      <c r="J225" s="23"/>
      <c r="K225" s="23"/>
      <c r="L225" s="23"/>
      <c r="M225" s="23"/>
      <c r="N225" s="23"/>
      <c r="O225" s="23"/>
      <c r="P225" s="23"/>
      <c r="Q225" s="23"/>
      <c r="R225" s="5" t="s">
        <v>392</v>
      </c>
      <c r="S225" s="5" t="s">
        <v>392</v>
      </c>
      <c r="T225" t="s">
        <v>69</v>
      </c>
    </row>
    <row r="226" spans="1:22" x14ac:dyDescent="0.25">
      <c r="B226" t="s">
        <v>183</v>
      </c>
      <c r="C226" s="21">
        <v>1</v>
      </c>
      <c r="D226" s="21">
        <v>2</v>
      </c>
      <c r="E226" s="21">
        <v>3</v>
      </c>
      <c r="F226" s="21">
        <v>4</v>
      </c>
      <c r="G226" s="21">
        <v>5</v>
      </c>
      <c r="H226" s="21">
        <v>6</v>
      </c>
      <c r="I226" s="21">
        <v>7</v>
      </c>
      <c r="J226" s="21">
        <v>8</v>
      </c>
      <c r="K226" s="21">
        <v>9</v>
      </c>
      <c r="L226" s="21">
        <v>10</v>
      </c>
      <c r="M226" s="21">
        <v>11</v>
      </c>
      <c r="N226" s="21">
        <v>12</v>
      </c>
      <c r="O226" s="21">
        <v>13</v>
      </c>
      <c r="P226" s="21">
        <v>14</v>
      </c>
      <c r="Q226" s="21">
        <v>15</v>
      </c>
      <c r="R226" s="5" t="s">
        <v>11</v>
      </c>
      <c r="S226" s="5" t="s">
        <v>1024</v>
      </c>
      <c r="T226" t="s">
        <v>124</v>
      </c>
    </row>
    <row r="227" spans="1:22" x14ac:dyDescent="0.25">
      <c r="A227" t="s">
        <v>834</v>
      </c>
      <c r="B227" t="s">
        <v>10</v>
      </c>
      <c r="C227" s="2">
        <v>0.36120000000000002</v>
      </c>
      <c r="D227" s="2">
        <v>0.3906</v>
      </c>
      <c r="E227" s="2">
        <v>0.42</v>
      </c>
      <c r="F227" s="2">
        <v>0.46200000000000002</v>
      </c>
      <c r="G227" s="2">
        <v>0.4914</v>
      </c>
      <c r="H227" s="2">
        <v>0.52500000000000002</v>
      </c>
      <c r="I227" s="2">
        <v>0.57120000000000004</v>
      </c>
      <c r="J227" s="2">
        <v>0.61739999999999995</v>
      </c>
      <c r="K227" s="2">
        <v>0.66359999999999997</v>
      </c>
      <c r="L227" s="2">
        <v>0.71399999999999997</v>
      </c>
      <c r="M227" s="2">
        <v>0.77180000000000004</v>
      </c>
      <c r="N227" s="2">
        <v>0.8397</v>
      </c>
      <c r="O227" s="2">
        <v>0.90759999999999996</v>
      </c>
      <c r="P227" s="2">
        <v>0.97550000000000003</v>
      </c>
      <c r="Q227" s="2">
        <v>1.0496000000000001</v>
      </c>
      <c r="R227" s="5" t="s">
        <v>6</v>
      </c>
      <c r="S227" s="5" t="s">
        <v>6</v>
      </c>
      <c r="T227" t="s">
        <v>125</v>
      </c>
    </row>
    <row r="228" spans="1:22" x14ac:dyDescent="0.25">
      <c r="B228" t="s">
        <v>9</v>
      </c>
      <c r="C228" s="2">
        <v>0.33539999999999998</v>
      </c>
      <c r="D228" s="2">
        <v>0.36270000000000002</v>
      </c>
      <c r="E228" s="2">
        <v>0.39</v>
      </c>
      <c r="F228" s="2">
        <v>0.42899999999999999</v>
      </c>
      <c r="G228" s="2">
        <v>0.45629999999999998</v>
      </c>
      <c r="H228" s="2">
        <v>0.48749999999999999</v>
      </c>
      <c r="I228" s="2">
        <v>0.53039999999999998</v>
      </c>
      <c r="J228" s="2">
        <v>0.57330000000000003</v>
      </c>
      <c r="K228" s="2">
        <v>0.61619999999999997</v>
      </c>
      <c r="L228" s="2">
        <v>0.66300000000000003</v>
      </c>
      <c r="M228" s="2">
        <v>0.71660000000000001</v>
      </c>
      <c r="N228" s="2">
        <v>0.77969999999999995</v>
      </c>
      <c r="O228" s="2">
        <v>0.84279999999999999</v>
      </c>
      <c r="P228" s="2">
        <v>0.90580000000000005</v>
      </c>
      <c r="Q228" s="2">
        <v>0.97460000000000002</v>
      </c>
      <c r="R228" s="5" t="s">
        <v>6</v>
      </c>
      <c r="S228" s="5" t="s">
        <v>6</v>
      </c>
      <c r="T228" t="s">
        <v>125</v>
      </c>
    </row>
    <row r="229" spans="1:22" x14ac:dyDescent="0.25">
      <c r="B229" t="s">
        <v>8</v>
      </c>
      <c r="C229" s="2">
        <v>0.45579999999999998</v>
      </c>
      <c r="D229" s="2">
        <v>0.4929</v>
      </c>
      <c r="E229" s="2">
        <v>0.53</v>
      </c>
      <c r="F229" s="2">
        <v>0.58299999999999996</v>
      </c>
      <c r="G229" s="2">
        <v>0.62009999999999998</v>
      </c>
      <c r="H229" s="2">
        <v>0.66249999999999998</v>
      </c>
      <c r="I229" s="2">
        <v>0.7208</v>
      </c>
      <c r="J229" s="2">
        <v>0.77910000000000001</v>
      </c>
      <c r="K229" s="2">
        <v>0.83740000000000003</v>
      </c>
      <c r="L229" s="2">
        <v>0.90100000000000002</v>
      </c>
      <c r="M229" s="2">
        <v>0.97389999999999999</v>
      </c>
      <c r="N229" s="2">
        <v>1.0596000000000001</v>
      </c>
      <c r="O229" s="2">
        <v>1.1453</v>
      </c>
      <c r="P229" s="2">
        <v>1.2310000000000001</v>
      </c>
      <c r="Q229" s="2">
        <v>1.3245</v>
      </c>
      <c r="R229" s="5" t="s">
        <v>6</v>
      </c>
      <c r="S229" s="5" t="s">
        <v>6</v>
      </c>
      <c r="T229" t="s">
        <v>125</v>
      </c>
    </row>
    <row r="230" spans="1:22" x14ac:dyDescent="0.25">
      <c r="B230" t="s">
        <v>13</v>
      </c>
      <c r="C230" s="2">
        <v>0.43</v>
      </c>
      <c r="D230" s="2">
        <v>0.46500000000000002</v>
      </c>
      <c r="E230" s="2">
        <v>0.5</v>
      </c>
      <c r="F230" s="2">
        <v>0.55000000000000004</v>
      </c>
      <c r="G230" s="2">
        <v>0.58499999999999996</v>
      </c>
      <c r="H230" s="2">
        <v>0.625</v>
      </c>
      <c r="I230" s="2">
        <v>0.68</v>
      </c>
      <c r="J230" s="2">
        <v>0.73499999999999999</v>
      </c>
      <c r="K230" s="2">
        <v>0.79</v>
      </c>
      <c r="L230" s="2">
        <v>0.85</v>
      </c>
      <c r="M230" s="2">
        <v>0.91879999999999995</v>
      </c>
      <c r="N230" s="2">
        <v>0.99960000000000004</v>
      </c>
      <c r="O230" s="2">
        <v>1.0805</v>
      </c>
      <c r="P230" s="2">
        <v>1.1613</v>
      </c>
      <c r="Q230" s="2">
        <v>1.2495000000000001</v>
      </c>
      <c r="R230" s="5" t="s">
        <v>6</v>
      </c>
      <c r="S230" s="5" t="s">
        <v>6</v>
      </c>
      <c r="T230" t="s">
        <v>125</v>
      </c>
    </row>
    <row r="231" spans="1:22" x14ac:dyDescent="0.25">
      <c r="B231" t="s">
        <v>7</v>
      </c>
      <c r="C231" s="2">
        <v>0.53749999999999998</v>
      </c>
      <c r="D231" s="2">
        <v>0.58130000000000004</v>
      </c>
      <c r="E231" s="2">
        <v>0.625</v>
      </c>
      <c r="F231" s="2">
        <v>0.6875</v>
      </c>
      <c r="G231" s="2">
        <v>0.73129999999999995</v>
      </c>
      <c r="H231" s="2">
        <v>0.78129999999999999</v>
      </c>
      <c r="I231" s="2">
        <v>0.85</v>
      </c>
      <c r="J231" s="2">
        <v>0.91879999999999995</v>
      </c>
      <c r="K231" s="2">
        <v>0.98750000000000004</v>
      </c>
      <c r="L231" s="2">
        <v>1.0625</v>
      </c>
      <c r="M231" s="2">
        <v>1.1484000000000001</v>
      </c>
      <c r="N231" s="2">
        <v>1.2495000000000001</v>
      </c>
      <c r="O231" s="2">
        <v>1.3506</v>
      </c>
      <c r="P231" s="2">
        <v>1.4516</v>
      </c>
      <c r="Q231" s="2">
        <v>1.5619000000000001</v>
      </c>
      <c r="R231" s="5" t="s">
        <v>6</v>
      </c>
      <c r="S231" s="5" t="s">
        <v>6</v>
      </c>
      <c r="T231" t="s">
        <v>125</v>
      </c>
    </row>
    <row r="232" spans="1:22" x14ac:dyDescent="0.25">
      <c r="B232" t="s">
        <v>131</v>
      </c>
      <c r="C232" s="2">
        <v>0.43859999999999999</v>
      </c>
      <c r="D232" s="2">
        <v>0.4743</v>
      </c>
      <c r="E232" s="2">
        <v>0.51</v>
      </c>
      <c r="F232" s="2">
        <v>0.56100000000000005</v>
      </c>
      <c r="G232" s="2">
        <v>0.59670000000000001</v>
      </c>
      <c r="H232" s="2">
        <v>0.63749999999999996</v>
      </c>
      <c r="I232" s="2">
        <v>0.69359999999999999</v>
      </c>
      <c r="J232" s="2">
        <v>0.74970000000000003</v>
      </c>
      <c r="K232" s="2">
        <v>0.80579999999999996</v>
      </c>
      <c r="L232" s="2">
        <v>0.86699999999999999</v>
      </c>
      <c r="M232" s="2">
        <v>0.93710000000000004</v>
      </c>
      <c r="N232" s="2">
        <v>1.0196000000000001</v>
      </c>
      <c r="O232" s="2">
        <v>1.1021000000000001</v>
      </c>
      <c r="P232" s="2">
        <v>1.1845000000000001</v>
      </c>
      <c r="Q232" s="2">
        <v>1.2745</v>
      </c>
      <c r="R232" s="5" t="s">
        <v>5</v>
      </c>
      <c r="S232" s="5" t="s">
        <v>5</v>
      </c>
      <c r="T232" t="s">
        <v>125</v>
      </c>
    </row>
    <row r="233" spans="1:22" x14ac:dyDescent="0.25">
      <c r="B233" t="s">
        <v>132</v>
      </c>
      <c r="C233" s="2">
        <v>1.24</v>
      </c>
      <c r="D233" s="2">
        <v>1.333</v>
      </c>
      <c r="E233" s="2">
        <v>1.4259999999999999</v>
      </c>
      <c r="F233" s="2">
        <v>1.55</v>
      </c>
      <c r="G233" s="2">
        <v>1.643</v>
      </c>
      <c r="H233" s="2">
        <v>1.736</v>
      </c>
      <c r="I233" s="2">
        <v>1.86</v>
      </c>
      <c r="J233" s="2">
        <v>1.984</v>
      </c>
      <c r="K233" s="2">
        <v>2.1080000000000001</v>
      </c>
      <c r="L233" s="2">
        <v>2.2320000000000002</v>
      </c>
      <c r="M233" s="2">
        <v>2.3610000000000002</v>
      </c>
      <c r="N233" s="2">
        <v>2.5295999999999998</v>
      </c>
      <c r="O233" s="2">
        <v>2.6981999999999999</v>
      </c>
      <c r="P233" s="2">
        <v>2.8668999999999998</v>
      </c>
      <c r="Q233" s="2">
        <v>3.0354999999999999</v>
      </c>
      <c r="R233" s="5" t="s">
        <v>5</v>
      </c>
      <c r="S233" s="5" t="s">
        <v>5</v>
      </c>
      <c r="T233" t="s">
        <v>125</v>
      </c>
    </row>
    <row r="234" spans="1:22" x14ac:dyDescent="0.25">
      <c r="B234" t="s">
        <v>152</v>
      </c>
      <c r="C234" s="2">
        <v>0.56830000000000003</v>
      </c>
      <c r="D234" s="2">
        <v>0.61450000000000005</v>
      </c>
      <c r="E234" s="2">
        <v>0.66080000000000005</v>
      </c>
      <c r="F234" s="2">
        <v>0.72689999999999999</v>
      </c>
      <c r="G234" s="2">
        <v>0.77310000000000001</v>
      </c>
      <c r="H234" s="2">
        <v>0.82599999999999996</v>
      </c>
      <c r="I234" s="2">
        <v>0.89870000000000005</v>
      </c>
      <c r="J234" s="2">
        <v>0.97140000000000004</v>
      </c>
      <c r="K234" s="2">
        <v>1.0441</v>
      </c>
      <c r="L234" s="2">
        <v>1.1234</v>
      </c>
      <c r="M234" s="2">
        <v>1.2027000000000001</v>
      </c>
      <c r="N234" s="2">
        <v>1.282</v>
      </c>
      <c r="O234" s="2">
        <v>1.3612</v>
      </c>
      <c r="P234" s="2">
        <v>1.4404999999999999</v>
      </c>
      <c r="Q234" s="2">
        <v>1.5198</v>
      </c>
      <c r="R234" s="5" t="s">
        <v>3</v>
      </c>
      <c r="S234" s="5" t="s">
        <v>3</v>
      </c>
      <c r="T234" t="s">
        <v>125</v>
      </c>
    </row>
    <row r="235" spans="1:22" x14ac:dyDescent="0.25">
      <c r="B235" s="30" t="s">
        <v>133</v>
      </c>
      <c r="C235" s="2">
        <v>1.1363000000000001</v>
      </c>
      <c r="D235" s="2">
        <v>1.2287999999999999</v>
      </c>
      <c r="E235" s="2">
        <v>1.3212999999999999</v>
      </c>
      <c r="F235" s="2">
        <v>1.4535</v>
      </c>
      <c r="G235" s="2">
        <v>1.5459000000000001</v>
      </c>
      <c r="H235" s="2">
        <v>1.6516999999999999</v>
      </c>
      <c r="I235" s="2">
        <v>1.7969999999999999</v>
      </c>
      <c r="J235" s="2">
        <v>1.9422999999999999</v>
      </c>
      <c r="K235" s="2">
        <v>2.0876999999999999</v>
      </c>
      <c r="L235" s="2">
        <v>2.2462</v>
      </c>
      <c r="M235" s="2">
        <v>2.4047999999999998</v>
      </c>
      <c r="N235" s="2">
        <v>2.5634000000000001</v>
      </c>
      <c r="O235" s="2">
        <v>2.7219000000000002</v>
      </c>
      <c r="P235" s="2">
        <v>2.8805000000000001</v>
      </c>
      <c r="Q235" s="2">
        <v>3.0390000000000001</v>
      </c>
      <c r="R235" s="5" t="s">
        <v>3</v>
      </c>
      <c r="S235" s="5" t="s">
        <v>3</v>
      </c>
      <c r="T235" t="s">
        <v>125</v>
      </c>
    </row>
    <row r="236" spans="1:22" x14ac:dyDescent="0.25">
      <c r="B236" s="30" t="s">
        <v>134</v>
      </c>
      <c r="C236" s="2">
        <v>1.4193</v>
      </c>
      <c r="D236" s="2">
        <v>1.5348999999999999</v>
      </c>
      <c r="E236" s="2">
        <v>1.6504000000000001</v>
      </c>
      <c r="F236" s="2">
        <v>1.8153999999999999</v>
      </c>
      <c r="G236" s="2">
        <v>1.931</v>
      </c>
      <c r="H236" s="2">
        <v>2.0630000000000002</v>
      </c>
      <c r="I236" s="2">
        <v>2.2444999999999999</v>
      </c>
      <c r="J236" s="2">
        <v>2.4260999999999999</v>
      </c>
      <c r="K236" s="2">
        <v>2.6076000000000001</v>
      </c>
      <c r="L236" s="2">
        <v>2.8056999999999999</v>
      </c>
      <c r="M236" s="2">
        <v>3.0036999999999998</v>
      </c>
      <c r="N236" s="2">
        <v>3.2018</v>
      </c>
      <c r="O236" s="2">
        <v>3.3997999999999999</v>
      </c>
      <c r="P236" s="2">
        <v>3.5979000000000001</v>
      </c>
      <c r="Q236" s="2">
        <v>3.7959000000000001</v>
      </c>
      <c r="R236" s="5" t="s">
        <v>3</v>
      </c>
      <c r="S236" s="5" t="s">
        <v>3</v>
      </c>
      <c r="T236" t="s">
        <v>125</v>
      </c>
    </row>
    <row r="237" spans="1:22" x14ac:dyDescent="0.25">
      <c r="B237" t="s">
        <v>185</v>
      </c>
      <c r="C237" s="2">
        <v>0.41920000000000002</v>
      </c>
      <c r="D237" s="2">
        <v>0.4506</v>
      </c>
      <c r="E237" s="2">
        <v>0.48209999999999997</v>
      </c>
      <c r="F237" s="2">
        <v>0.52400000000000002</v>
      </c>
      <c r="G237" s="2">
        <v>0.5554</v>
      </c>
      <c r="H237" s="2">
        <v>0.58689999999999998</v>
      </c>
      <c r="I237" s="2">
        <v>0.62880000000000003</v>
      </c>
      <c r="J237" s="2">
        <v>0.67069999999999996</v>
      </c>
      <c r="K237" s="2">
        <v>0.71260000000000001</v>
      </c>
      <c r="L237" s="2">
        <v>0.75460000000000005</v>
      </c>
      <c r="M237" s="2">
        <v>0.79649999999999999</v>
      </c>
      <c r="N237" s="2">
        <v>0.83840000000000003</v>
      </c>
      <c r="O237" s="2">
        <v>0.89080000000000004</v>
      </c>
      <c r="P237" s="2">
        <v>0.94320000000000004</v>
      </c>
      <c r="Q237" s="2">
        <v>0.99560000000000004</v>
      </c>
      <c r="R237" s="5" t="s">
        <v>19</v>
      </c>
      <c r="S237" s="5" t="s">
        <v>19</v>
      </c>
      <c r="T237" t="s">
        <v>125</v>
      </c>
    </row>
    <row r="238" spans="1:22" x14ac:dyDescent="0.25">
      <c r="B238" t="s">
        <v>914</v>
      </c>
      <c r="C238" s="29">
        <v>5.3400000000000003E-2</v>
      </c>
      <c r="D238" s="29">
        <v>5.74E-2</v>
      </c>
      <c r="E238" s="29">
        <v>6.1400000000000003E-2</v>
      </c>
      <c r="F238" s="29">
        <v>6.6699999999999995E-2</v>
      </c>
      <c r="G238" s="29">
        <v>7.0699999999999999E-2</v>
      </c>
      <c r="H238" s="29">
        <v>7.4700000000000003E-2</v>
      </c>
      <c r="I238" s="20">
        <v>0.08</v>
      </c>
      <c r="J238" s="29">
        <v>8.5400000000000004E-2</v>
      </c>
      <c r="K238" s="29">
        <v>9.0700000000000003E-2</v>
      </c>
      <c r="L238" s="29">
        <v>9.6000000000000002E-2</v>
      </c>
      <c r="M238" s="29">
        <v>0.1014</v>
      </c>
      <c r="N238" s="29">
        <v>0.1067</v>
      </c>
      <c r="O238" s="29">
        <v>0.1134</v>
      </c>
      <c r="P238" s="29">
        <v>0.1201</v>
      </c>
      <c r="Q238" s="29">
        <v>0.12670000000000001</v>
      </c>
      <c r="R238" s="5" t="s">
        <v>0</v>
      </c>
      <c r="S238" s="5" t="s">
        <v>0</v>
      </c>
      <c r="T238" t="s">
        <v>223</v>
      </c>
      <c r="V238" t="s">
        <v>944</v>
      </c>
    </row>
    <row r="239" spans="1:22" x14ac:dyDescent="0.25">
      <c r="B239" t="s">
        <v>915</v>
      </c>
      <c r="C239">
        <v>513</v>
      </c>
      <c r="D239">
        <v>565</v>
      </c>
      <c r="E239">
        <v>620</v>
      </c>
      <c r="F239">
        <v>680</v>
      </c>
      <c r="G239">
        <v>744</v>
      </c>
      <c r="H239">
        <v>813</v>
      </c>
      <c r="I239">
        <v>885</v>
      </c>
      <c r="J239">
        <v>962</v>
      </c>
      <c r="K239">
        <v>1044</v>
      </c>
      <c r="L239">
        <v>1129</v>
      </c>
      <c r="M239">
        <v>1219</v>
      </c>
      <c r="N239">
        <v>1313</v>
      </c>
      <c r="O239">
        <v>1411</v>
      </c>
      <c r="P239">
        <v>1514</v>
      </c>
      <c r="Q239">
        <v>1621</v>
      </c>
      <c r="R239" s="5" t="s">
        <v>0</v>
      </c>
      <c r="S239" s="5" t="s">
        <v>0</v>
      </c>
      <c r="T239" t="s">
        <v>223</v>
      </c>
      <c r="V239" t="s">
        <v>945</v>
      </c>
    </row>
    <row r="240" spans="1:22" x14ac:dyDescent="0.25">
      <c r="B240" t="s">
        <v>170</v>
      </c>
      <c r="C240" s="2">
        <v>0.8</v>
      </c>
      <c r="D240" s="2">
        <v>0.86</v>
      </c>
      <c r="E240" s="2">
        <v>0.92</v>
      </c>
      <c r="F240" s="2">
        <v>1</v>
      </c>
      <c r="G240" s="2">
        <v>1.06</v>
      </c>
      <c r="H240" s="2">
        <v>1.1200000000000001</v>
      </c>
      <c r="I240" s="2">
        <v>1.2</v>
      </c>
      <c r="J240" s="2">
        <v>1.28</v>
      </c>
      <c r="K240" s="2">
        <v>1.36</v>
      </c>
      <c r="L240" s="2">
        <v>1.44</v>
      </c>
      <c r="M240" s="2">
        <v>1.52</v>
      </c>
      <c r="N240" s="2">
        <v>1.6</v>
      </c>
      <c r="O240" s="2">
        <v>1.7</v>
      </c>
      <c r="P240" s="2">
        <v>1.8</v>
      </c>
      <c r="Q240" s="2">
        <v>1.9</v>
      </c>
      <c r="R240" s="5" t="s">
        <v>0</v>
      </c>
      <c r="S240" s="5" t="s">
        <v>0</v>
      </c>
      <c r="T240" t="s">
        <v>125</v>
      </c>
    </row>
    <row r="241" spans="1:20" x14ac:dyDescent="0.25">
      <c r="B241" t="s">
        <v>186</v>
      </c>
      <c r="C241" s="2">
        <v>0.52639999999999998</v>
      </c>
      <c r="D241" s="2">
        <v>0.56589999999999996</v>
      </c>
      <c r="E241" s="2">
        <v>0.60540000000000005</v>
      </c>
      <c r="F241" s="2">
        <v>0.65800000000000003</v>
      </c>
      <c r="G241" s="2">
        <v>0.69750000000000001</v>
      </c>
      <c r="H241" s="2">
        <v>0.73699999999999999</v>
      </c>
      <c r="I241" s="2">
        <v>0.78959999999999997</v>
      </c>
      <c r="J241" s="2">
        <v>0.84219999999999995</v>
      </c>
      <c r="K241" s="2">
        <v>0.89490000000000003</v>
      </c>
      <c r="L241" s="2">
        <v>0.94750000000000001</v>
      </c>
      <c r="M241" s="2">
        <v>1.0002</v>
      </c>
      <c r="N241" s="2">
        <v>1.0528</v>
      </c>
      <c r="O241" s="2">
        <v>1.1186</v>
      </c>
      <c r="P241" s="2">
        <v>1.1843999999999999</v>
      </c>
      <c r="Q241" s="2">
        <v>1.2502</v>
      </c>
      <c r="R241" s="5" t="s">
        <v>0</v>
      </c>
      <c r="S241" s="5" t="s">
        <v>0</v>
      </c>
      <c r="T241" t="s">
        <v>125</v>
      </c>
    </row>
    <row r="242" spans="1:20" x14ac:dyDescent="0.25">
      <c r="B242" s="3" t="s">
        <v>763</v>
      </c>
      <c r="C242" s="23"/>
      <c r="D242" s="23"/>
      <c r="E242" s="23"/>
      <c r="F242" s="23"/>
      <c r="G242" s="23"/>
      <c r="H242" s="23"/>
      <c r="I242" s="23"/>
      <c r="J242" s="23"/>
      <c r="K242" s="23"/>
      <c r="L242" s="23"/>
      <c r="M242" s="23"/>
      <c r="N242" s="23"/>
      <c r="O242" s="23"/>
      <c r="P242" s="23"/>
      <c r="Q242" s="23"/>
      <c r="R242" s="5" t="s">
        <v>763</v>
      </c>
      <c r="S242" s="5" t="s">
        <v>763</v>
      </c>
      <c r="T242" t="s">
        <v>764</v>
      </c>
    </row>
    <row r="243" spans="1:20" x14ac:dyDescent="0.25">
      <c r="B243" s="3" t="s">
        <v>386</v>
      </c>
      <c r="C243" s="23"/>
      <c r="D243" s="23"/>
      <c r="E243" s="23"/>
      <c r="F243" s="23"/>
      <c r="G243" s="23"/>
      <c r="H243" s="23"/>
      <c r="I243" s="23"/>
      <c r="J243" s="23"/>
      <c r="K243" s="23"/>
      <c r="L243" s="23"/>
      <c r="M243" s="23"/>
      <c r="N243" s="23"/>
      <c r="O243" s="23"/>
      <c r="P243" s="23"/>
      <c r="Q243" s="23"/>
      <c r="R243" s="5" t="s">
        <v>392</v>
      </c>
      <c r="S243" s="5" t="s">
        <v>392</v>
      </c>
      <c r="T243" t="s">
        <v>69</v>
      </c>
    </row>
    <row r="244" spans="1:20" x14ac:dyDescent="0.25">
      <c r="B244" s="3" t="s">
        <v>388</v>
      </c>
      <c r="C244" s="23"/>
      <c r="D244" s="23"/>
      <c r="E244" s="23"/>
      <c r="F244" s="23"/>
      <c r="G244" s="23"/>
      <c r="H244" s="23"/>
      <c r="I244" s="23"/>
      <c r="J244" s="23"/>
      <c r="K244" s="23"/>
      <c r="L244" s="23"/>
      <c r="M244" s="23"/>
      <c r="N244" s="23"/>
      <c r="O244" s="23"/>
      <c r="P244" s="23"/>
      <c r="Q244" s="23"/>
      <c r="R244" s="5" t="s">
        <v>392</v>
      </c>
      <c r="S244" s="5" t="s">
        <v>392</v>
      </c>
      <c r="T244" t="s">
        <v>69</v>
      </c>
    </row>
    <row r="245" spans="1:20" x14ac:dyDescent="0.25">
      <c r="B245" s="3" t="s">
        <v>389</v>
      </c>
      <c r="C245" s="23"/>
      <c r="D245" s="23"/>
      <c r="E245" s="23"/>
      <c r="F245" s="23"/>
      <c r="G245" s="23"/>
      <c r="H245" s="23"/>
      <c r="I245" s="23"/>
      <c r="J245" s="23"/>
      <c r="K245" s="23"/>
      <c r="L245" s="23"/>
      <c r="M245" s="23"/>
      <c r="N245" s="23"/>
      <c r="O245" s="23"/>
      <c r="P245" s="23"/>
      <c r="Q245" s="23"/>
      <c r="R245" s="5" t="s">
        <v>392</v>
      </c>
      <c r="S245" s="5" t="s">
        <v>392</v>
      </c>
      <c r="T245" t="s">
        <v>69</v>
      </c>
    </row>
    <row r="246" spans="1:20" x14ac:dyDescent="0.25">
      <c r="B246" s="3" t="s">
        <v>385</v>
      </c>
      <c r="C246" s="23"/>
      <c r="D246" s="23"/>
      <c r="E246" s="23"/>
      <c r="F246" s="23"/>
      <c r="G246" s="23"/>
      <c r="H246" s="23"/>
      <c r="I246" s="23"/>
      <c r="J246" s="23"/>
      <c r="K246" s="23"/>
      <c r="L246" s="23"/>
      <c r="M246" s="23"/>
      <c r="N246" s="23"/>
      <c r="O246" s="23"/>
      <c r="P246" s="23"/>
      <c r="Q246" s="23"/>
      <c r="R246" s="5" t="s">
        <v>392</v>
      </c>
      <c r="S246" s="5" t="s">
        <v>392</v>
      </c>
      <c r="T246" t="s">
        <v>69</v>
      </c>
    </row>
    <row r="247" spans="1:20" x14ac:dyDescent="0.25">
      <c r="B247" s="3" t="s">
        <v>387</v>
      </c>
      <c r="C247" s="23"/>
      <c r="D247" s="23"/>
      <c r="E247" s="23"/>
      <c r="F247" s="23"/>
      <c r="G247" s="23"/>
      <c r="H247" s="23"/>
      <c r="I247" s="23"/>
      <c r="J247" s="23"/>
      <c r="K247" s="23"/>
      <c r="L247" s="23"/>
      <c r="M247" s="23"/>
      <c r="N247" s="23"/>
      <c r="O247" s="23"/>
      <c r="P247" s="23"/>
      <c r="Q247" s="23"/>
      <c r="R247" s="5" t="s">
        <v>392</v>
      </c>
      <c r="S247" s="5" t="s">
        <v>392</v>
      </c>
      <c r="T247" t="s">
        <v>69</v>
      </c>
    </row>
    <row r="248" spans="1:20" x14ac:dyDescent="0.25">
      <c r="B248" s="3" t="s">
        <v>390</v>
      </c>
      <c r="C248" s="23"/>
      <c r="D248" s="23"/>
      <c r="E248" s="23"/>
      <c r="F248" s="23"/>
      <c r="G248" s="23"/>
      <c r="H248" s="23"/>
      <c r="I248" s="23"/>
      <c r="J248" s="23"/>
      <c r="K248" s="23"/>
      <c r="L248" s="23"/>
      <c r="M248" s="23"/>
      <c r="N248" s="23"/>
      <c r="O248" s="23"/>
      <c r="P248" s="23"/>
      <c r="Q248" s="23"/>
      <c r="R248" s="5" t="s">
        <v>392</v>
      </c>
      <c r="S248" s="5" t="s">
        <v>392</v>
      </c>
      <c r="T248" t="s">
        <v>69</v>
      </c>
    </row>
    <row r="249" spans="1:20" x14ac:dyDescent="0.25">
      <c r="B249" s="3" t="s">
        <v>391</v>
      </c>
      <c r="C249" s="23"/>
      <c r="D249" s="23"/>
      <c r="E249" s="23"/>
      <c r="F249" s="23"/>
      <c r="G249" s="23"/>
      <c r="H249" s="23"/>
      <c r="I249" s="23"/>
      <c r="J249" s="23"/>
      <c r="K249" s="23"/>
      <c r="L249" s="23"/>
      <c r="M249" s="23"/>
      <c r="N249" s="23"/>
      <c r="O249" s="23"/>
      <c r="P249" s="23"/>
      <c r="Q249" s="23"/>
      <c r="R249" s="5" t="s">
        <v>392</v>
      </c>
      <c r="S249" s="5" t="s">
        <v>392</v>
      </c>
      <c r="T249" t="s">
        <v>69</v>
      </c>
    </row>
    <row r="250" spans="1:20" x14ac:dyDescent="0.25">
      <c r="A250" t="s">
        <v>835</v>
      </c>
      <c r="B250" s="3" t="s">
        <v>393</v>
      </c>
      <c r="C250" s="23"/>
      <c r="D250" s="23"/>
      <c r="E250" s="23"/>
      <c r="F250" s="23"/>
      <c r="G250" s="23"/>
      <c r="H250" s="23"/>
      <c r="I250" s="23"/>
      <c r="J250" s="23"/>
      <c r="K250" s="23"/>
      <c r="L250" s="23"/>
      <c r="M250" s="23"/>
      <c r="N250" s="23"/>
      <c r="O250" s="23"/>
      <c r="P250" s="23"/>
      <c r="Q250" s="23"/>
      <c r="R250" s="5" t="s">
        <v>392</v>
      </c>
      <c r="S250" s="5" t="s">
        <v>392</v>
      </c>
      <c r="T250" t="s">
        <v>69</v>
      </c>
    </row>
    <row r="251" spans="1:20" x14ac:dyDescent="0.25">
      <c r="B251" t="s">
        <v>427</v>
      </c>
      <c r="C251" s="21">
        <v>1</v>
      </c>
      <c r="D251" s="21">
        <v>2</v>
      </c>
      <c r="E251" s="21">
        <v>3</v>
      </c>
      <c r="F251" s="21">
        <v>4</v>
      </c>
      <c r="G251" s="21">
        <v>5</v>
      </c>
      <c r="H251" s="21">
        <v>6</v>
      </c>
      <c r="I251" s="21">
        <v>7</v>
      </c>
      <c r="J251" s="21">
        <v>8</v>
      </c>
      <c r="K251" s="21">
        <v>9</v>
      </c>
      <c r="L251" s="21">
        <v>10</v>
      </c>
      <c r="M251" s="21">
        <v>11</v>
      </c>
      <c r="N251" s="21">
        <v>12</v>
      </c>
      <c r="O251" s="21">
        <v>13</v>
      </c>
      <c r="P251" s="21">
        <v>14</v>
      </c>
      <c r="Q251" s="21">
        <v>15</v>
      </c>
      <c r="R251" s="5" t="s">
        <v>11</v>
      </c>
      <c r="S251" s="5" t="s">
        <v>1024</v>
      </c>
      <c r="T251" t="s">
        <v>124</v>
      </c>
    </row>
    <row r="252" spans="1:20" x14ac:dyDescent="0.25">
      <c r="A252" t="s">
        <v>836</v>
      </c>
      <c r="B252" t="s">
        <v>10</v>
      </c>
      <c r="C252" s="2">
        <v>0.4446</v>
      </c>
      <c r="D252" s="2">
        <v>0.48080000000000001</v>
      </c>
      <c r="E252" s="2">
        <v>0.51700000000000002</v>
      </c>
      <c r="F252" s="2">
        <v>0.56869999999999998</v>
      </c>
      <c r="G252" s="2">
        <v>0.60489999999999999</v>
      </c>
      <c r="H252" s="2">
        <v>0.64629999999999999</v>
      </c>
      <c r="I252" s="2">
        <v>0.70309999999999995</v>
      </c>
      <c r="J252" s="2">
        <v>0.76</v>
      </c>
      <c r="K252" s="2">
        <v>0.81689999999999996</v>
      </c>
      <c r="L252" s="2">
        <v>0.87890000000000001</v>
      </c>
      <c r="M252" s="2">
        <v>0.94089999999999996</v>
      </c>
      <c r="N252" s="2">
        <v>1.0029999999999999</v>
      </c>
      <c r="O252" s="2">
        <v>1.0649999999999999</v>
      </c>
      <c r="P252" s="2">
        <v>1.1271</v>
      </c>
      <c r="Q252" s="2">
        <v>1.1891</v>
      </c>
      <c r="R252" s="5" t="s">
        <v>6</v>
      </c>
      <c r="S252" s="5" t="s">
        <v>6</v>
      </c>
      <c r="T252" t="s">
        <v>125</v>
      </c>
    </row>
    <row r="253" spans="1:20" x14ac:dyDescent="0.25">
      <c r="B253" t="s">
        <v>9</v>
      </c>
      <c r="C253" s="2">
        <v>0.43430000000000002</v>
      </c>
      <c r="D253" s="2">
        <v>0.46970000000000001</v>
      </c>
      <c r="E253" s="2">
        <v>0.505</v>
      </c>
      <c r="F253" s="2">
        <v>0.55549999999999999</v>
      </c>
      <c r="G253" s="2">
        <v>0.59089999999999998</v>
      </c>
      <c r="H253" s="2">
        <v>0.63129999999999997</v>
      </c>
      <c r="I253" s="2">
        <v>0.68679999999999997</v>
      </c>
      <c r="J253" s="2">
        <v>0.74229999999999996</v>
      </c>
      <c r="K253" s="2">
        <v>0.79790000000000005</v>
      </c>
      <c r="L253" s="2">
        <v>0.85850000000000004</v>
      </c>
      <c r="M253" s="2">
        <v>0.91910000000000003</v>
      </c>
      <c r="N253" s="2">
        <v>0.97970000000000002</v>
      </c>
      <c r="O253" s="2">
        <v>1.0403</v>
      </c>
      <c r="P253" s="2">
        <v>1.1009</v>
      </c>
      <c r="Q253" s="2">
        <v>1.1615</v>
      </c>
      <c r="R253" s="5" t="s">
        <v>6</v>
      </c>
      <c r="S253" s="5" t="s">
        <v>6</v>
      </c>
      <c r="T253" t="s">
        <v>125</v>
      </c>
    </row>
    <row r="254" spans="1:20" x14ac:dyDescent="0.25">
      <c r="B254" t="s">
        <v>8</v>
      </c>
      <c r="C254" s="2">
        <v>0.52980000000000005</v>
      </c>
      <c r="D254" s="2">
        <v>0.57289999999999996</v>
      </c>
      <c r="E254" s="2">
        <v>0.61599999999999999</v>
      </c>
      <c r="F254" s="2">
        <v>0.67759999999999998</v>
      </c>
      <c r="G254" s="2">
        <v>0.72070000000000001</v>
      </c>
      <c r="H254" s="2">
        <v>0.77</v>
      </c>
      <c r="I254" s="2">
        <v>0.83779999999999999</v>
      </c>
      <c r="J254" s="2">
        <v>0.90549999999999997</v>
      </c>
      <c r="K254" s="2">
        <v>0.97330000000000005</v>
      </c>
      <c r="L254" s="2">
        <v>1.0471999999999999</v>
      </c>
      <c r="M254" s="2">
        <v>1.1211</v>
      </c>
      <c r="N254" s="2">
        <v>1.1950000000000001</v>
      </c>
      <c r="O254" s="2">
        <v>1.2689999999999999</v>
      </c>
      <c r="P254" s="2">
        <v>1.3429</v>
      </c>
      <c r="Q254" s="2">
        <v>1.4168000000000001</v>
      </c>
      <c r="R254" s="5" t="s">
        <v>6</v>
      </c>
      <c r="S254" s="5" t="s">
        <v>6</v>
      </c>
      <c r="T254" t="s">
        <v>125</v>
      </c>
    </row>
    <row r="255" spans="1:20" x14ac:dyDescent="0.25">
      <c r="B255" t="s">
        <v>13</v>
      </c>
      <c r="C255" s="2">
        <v>0.58309999999999995</v>
      </c>
      <c r="D255" s="2">
        <v>0.63049999999999995</v>
      </c>
      <c r="E255" s="2">
        <v>0.67800000000000005</v>
      </c>
      <c r="F255" s="2">
        <v>0.74580000000000002</v>
      </c>
      <c r="G255" s="2">
        <v>0.79330000000000001</v>
      </c>
      <c r="H255" s="2">
        <v>0.84750000000000003</v>
      </c>
      <c r="I255" s="2">
        <v>0.92210000000000003</v>
      </c>
      <c r="J255" s="2">
        <v>0.99670000000000003</v>
      </c>
      <c r="K255" s="2">
        <v>1.0711999999999999</v>
      </c>
      <c r="L255" s="2">
        <v>1.1526000000000001</v>
      </c>
      <c r="M255" s="2">
        <v>1.234</v>
      </c>
      <c r="N255" s="2">
        <v>1.3152999999999999</v>
      </c>
      <c r="O255" s="2">
        <v>1.3967000000000001</v>
      </c>
      <c r="P255" s="2">
        <v>1.478</v>
      </c>
      <c r="Q255" s="2">
        <v>1.5593999999999999</v>
      </c>
      <c r="R255" s="5" t="s">
        <v>6</v>
      </c>
      <c r="S255" s="5" t="s">
        <v>6</v>
      </c>
      <c r="T255" t="s">
        <v>125</v>
      </c>
    </row>
    <row r="256" spans="1:20" x14ac:dyDescent="0.25">
      <c r="B256" t="s">
        <v>7</v>
      </c>
      <c r="C256" s="2">
        <v>0.70779999999999998</v>
      </c>
      <c r="D256" s="2">
        <v>0.76539999999999997</v>
      </c>
      <c r="E256" s="2">
        <v>0.82299999999999995</v>
      </c>
      <c r="F256" s="2">
        <v>0.90529999999999999</v>
      </c>
      <c r="G256" s="2">
        <v>0.96289999999999998</v>
      </c>
      <c r="H256" s="2">
        <v>1.0287999999999999</v>
      </c>
      <c r="I256" s="2">
        <v>1.1193</v>
      </c>
      <c r="J256" s="2">
        <v>1.2098</v>
      </c>
      <c r="K256" s="2">
        <v>1.3003</v>
      </c>
      <c r="L256" s="2">
        <v>1.3991</v>
      </c>
      <c r="M256" s="2">
        <v>1.4979</v>
      </c>
      <c r="N256" s="2">
        <v>1.5966</v>
      </c>
      <c r="O256" s="2">
        <v>1.6954</v>
      </c>
      <c r="P256" s="2">
        <v>1.7941</v>
      </c>
      <c r="Q256" s="2">
        <v>1.8929</v>
      </c>
      <c r="R256" s="5" t="s">
        <v>6</v>
      </c>
      <c r="S256" s="5" t="s">
        <v>6</v>
      </c>
      <c r="T256" t="s">
        <v>125</v>
      </c>
    </row>
    <row r="257" spans="2:20" x14ac:dyDescent="0.25">
      <c r="B257" t="s">
        <v>138</v>
      </c>
      <c r="C257" s="2">
        <v>0.55900000000000005</v>
      </c>
      <c r="D257" s="2">
        <v>0.60450000000000004</v>
      </c>
      <c r="E257" s="2">
        <v>0.65</v>
      </c>
      <c r="F257" s="2">
        <v>0.71499999999999997</v>
      </c>
      <c r="G257" s="2">
        <v>0.76049999999999995</v>
      </c>
      <c r="H257" s="2">
        <v>0.8125</v>
      </c>
      <c r="I257" s="2">
        <v>0.88400000000000001</v>
      </c>
      <c r="J257" s="2">
        <v>0.95550000000000002</v>
      </c>
      <c r="K257" s="2">
        <v>1.0269999999999999</v>
      </c>
      <c r="L257" s="2">
        <v>1.105</v>
      </c>
      <c r="M257" s="2">
        <v>1.1830000000000001</v>
      </c>
      <c r="N257" s="2">
        <v>1.2609999999999999</v>
      </c>
      <c r="O257" s="2">
        <v>1.339</v>
      </c>
      <c r="P257" s="2">
        <v>1.417</v>
      </c>
      <c r="Q257" s="2">
        <v>1.4950000000000001</v>
      </c>
      <c r="R257" s="5" t="s">
        <v>5</v>
      </c>
      <c r="S257" s="5" t="s">
        <v>5</v>
      </c>
      <c r="T257" t="s">
        <v>125</v>
      </c>
    </row>
    <row r="258" spans="2:20" x14ac:dyDescent="0.25">
      <c r="B258" t="s">
        <v>139</v>
      </c>
      <c r="C258" s="2">
        <v>0.60719999999999996</v>
      </c>
      <c r="D258" s="2">
        <v>0.65659999999999996</v>
      </c>
      <c r="E258" s="2">
        <v>0.70599999999999996</v>
      </c>
      <c r="F258" s="2">
        <v>0.77659999999999996</v>
      </c>
      <c r="G258" s="2">
        <v>0.82599999999999996</v>
      </c>
      <c r="H258" s="2">
        <v>0.88249999999999995</v>
      </c>
      <c r="I258" s="2">
        <v>0.96020000000000005</v>
      </c>
      <c r="J258" s="2">
        <v>1.0378000000000001</v>
      </c>
      <c r="K258" s="2">
        <v>1.1154999999999999</v>
      </c>
      <c r="L258" s="2">
        <v>1.2001999999999999</v>
      </c>
      <c r="M258" s="2">
        <v>1.2848999999999999</v>
      </c>
      <c r="N258" s="2">
        <v>1.3695999999999999</v>
      </c>
      <c r="O258" s="2">
        <v>1.4543999999999999</v>
      </c>
      <c r="P258" s="2">
        <v>1.5390999999999999</v>
      </c>
      <c r="Q258" s="2">
        <v>1.6237999999999999</v>
      </c>
      <c r="R258" s="5" t="s">
        <v>5</v>
      </c>
      <c r="S258" s="5" t="s">
        <v>5</v>
      </c>
      <c r="T258" t="s">
        <v>125</v>
      </c>
    </row>
    <row r="259" spans="2:20" x14ac:dyDescent="0.25">
      <c r="B259" t="s">
        <v>152</v>
      </c>
      <c r="C259" s="2">
        <v>0.63929999999999998</v>
      </c>
      <c r="D259" s="2">
        <v>0.69140000000000001</v>
      </c>
      <c r="E259" s="2">
        <v>0.74339999999999995</v>
      </c>
      <c r="F259" s="2">
        <v>0.81769999999999998</v>
      </c>
      <c r="G259" s="2">
        <v>0.86980000000000002</v>
      </c>
      <c r="H259" s="2">
        <v>0.92930000000000001</v>
      </c>
      <c r="I259" s="2">
        <v>1.0109999999999999</v>
      </c>
      <c r="J259" s="2">
        <v>1.0928</v>
      </c>
      <c r="K259" s="2">
        <v>1.1746000000000001</v>
      </c>
      <c r="L259" s="2">
        <v>1.2638</v>
      </c>
      <c r="M259" s="2">
        <v>1.353</v>
      </c>
      <c r="N259" s="2">
        <v>1.4421999999999999</v>
      </c>
      <c r="O259" s="2">
        <v>1.5314000000000001</v>
      </c>
      <c r="P259" s="2">
        <v>1.6206</v>
      </c>
      <c r="Q259" s="2">
        <v>1.7098</v>
      </c>
      <c r="R259" s="5" t="s">
        <v>3</v>
      </c>
      <c r="S259" s="5" t="s">
        <v>3</v>
      </c>
      <c r="T259" t="s">
        <v>125</v>
      </c>
    </row>
    <row r="260" spans="2:20" x14ac:dyDescent="0.25">
      <c r="B260" t="s">
        <v>133</v>
      </c>
      <c r="C260" s="2">
        <v>1.2784</v>
      </c>
      <c r="D260" s="2">
        <v>1.3824000000000001</v>
      </c>
      <c r="E260" s="2">
        <v>1.4864999999999999</v>
      </c>
      <c r="F260" s="2">
        <v>1.6351</v>
      </c>
      <c r="G260" s="2">
        <v>1.7392000000000001</v>
      </c>
      <c r="H260" s="2">
        <v>1.8581000000000001</v>
      </c>
      <c r="I260" s="2">
        <v>2.0215999999999998</v>
      </c>
      <c r="J260" s="2">
        <v>2.1850999999999998</v>
      </c>
      <c r="K260" s="2">
        <v>2.3485999999999998</v>
      </c>
      <c r="L260" s="2">
        <v>2.5270000000000001</v>
      </c>
      <c r="M260" s="2">
        <v>2.7054</v>
      </c>
      <c r="N260" s="2">
        <v>2.8837999999999999</v>
      </c>
      <c r="O260" s="2">
        <v>3.0621999999999998</v>
      </c>
      <c r="P260" s="2">
        <v>3.2404999999999999</v>
      </c>
      <c r="Q260" s="2">
        <v>3.4188999999999998</v>
      </c>
      <c r="R260" s="5" t="s">
        <v>3</v>
      </c>
      <c r="S260" s="5" t="s">
        <v>3</v>
      </c>
      <c r="T260" t="s">
        <v>125</v>
      </c>
    </row>
    <row r="261" spans="2:20" x14ac:dyDescent="0.25">
      <c r="B261" t="s">
        <v>134</v>
      </c>
      <c r="C261" s="2">
        <v>1.5968</v>
      </c>
      <c r="D261" s="2">
        <v>1.7266999999999999</v>
      </c>
      <c r="E261" s="2">
        <v>1.8567</v>
      </c>
      <c r="F261" s="2">
        <v>2.0424000000000002</v>
      </c>
      <c r="G261" s="2">
        <v>2.1722999999999999</v>
      </c>
      <c r="H261" s="2">
        <v>2.3209</v>
      </c>
      <c r="I261" s="2">
        <v>2.5251000000000001</v>
      </c>
      <c r="J261" s="2">
        <v>2.7292999999999998</v>
      </c>
      <c r="K261" s="2">
        <v>2.9336000000000002</v>
      </c>
      <c r="L261" s="2">
        <v>3.1564000000000001</v>
      </c>
      <c r="M261" s="2">
        <v>3.3792</v>
      </c>
      <c r="N261" s="2">
        <v>3.6019999999999999</v>
      </c>
      <c r="O261" s="2">
        <v>3.8248000000000002</v>
      </c>
      <c r="P261" s="2">
        <v>4.0476000000000001</v>
      </c>
      <c r="Q261" s="2">
        <v>4.2704000000000004</v>
      </c>
      <c r="R261" s="5" t="s">
        <v>3</v>
      </c>
      <c r="S261" s="5" t="s">
        <v>3</v>
      </c>
      <c r="T261" t="s">
        <v>125</v>
      </c>
    </row>
    <row r="262" spans="2:20" x14ac:dyDescent="0.25">
      <c r="B262" t="s">
        <v>187</v>
      </c>
      <c r="C262" s="2">
        <v>0.78659999999999997</v>
      </c>
      <c r="D262" s="2">
        <v>0.84560000000000002</v>
      </c>
      <c r="E262" s="2">
        <v>0.90459999999999996</v>
      </c>
      <c r="F262" s="2">
        <v>0.98329999999999995</v>
      </c>
      <c r="G262" s="2">
        <v>1.0423</v>
      </c>
      <c r="H262" s="2">
        <v>1.1012999999999999</v>
      </c>
      <c r="I262" s="2">
        <v>1.18</v>
      </c>
      <c r="J262" s="2">
        <v>1.2585999999999999</v>
      </c>
      <c r="K262" s="2">
        <v>1.3372999999999999</v>
      </c>
      <c r="L262" s="2">
        <v>1.4159999999999999</v>
      </c>
      <c r="M262" s="2">
        <v>1.4945999999999999</v>
      </c>
      <c r="N262" s="2">
        <v>1.5732999999999999</v>
      </c>
      <c r="O262" s="2">
        <v>1.6716</v>
      </c>
      <c r="P262" s="2">
        <v>1.7699</v>
      </c>
      <c r="Q262" s="2">
        <v>1.8683000000000001</v>
      </c>
      <c r="R262" s="5" t="s">
        <v>19</v>
      </c>
      <c r="S262" s="5" t="s">
        <v>19</v>
      </c>
      <c r="T262" t="s">
        <v>125</v>
      </c>
    </row>
    <row r="263" spans="2:20" x14ac:dyDescent="0.25">
      <c r="B263" t="s">
        <v>160</v>
      </c>
      <c r="C263" s="2">
        <v>1.1439999999999999</v>
      </c>
      <c r="D263" s="2">
        <v>1.2298</v>
      </c>
      <c r="E263" s="2">
        <v>1.3156000000000001</v>
      </c>
      <c r="F263" s="2">
        <v>1.43</v>
      </c>
      <c r="G263" s="2">
        <v>1.5158</v>
      </c>
      <c r="H263" s="2">
        <v>1.6015999999999999</v>
      </c>
      <c r="I263" s="2">
        <v>1.716</v>
      </c>
      <c r="J263" s="2">
        <v>1.8304</v>
      </c>
      <c r="K263" s="2">
        <v>1.9448000000000001</v>
      </c>
      <c r="L263" s="2">
        <v>2.0592000000000001</v>
      </c>
      <c r="M263" s="2">
        <v>2.1736</v>
      </c>
      <c r="N263" s="2">
        <v>2.2879999999999998</v>
      </c>
      <c r="O263" s="2">
        <v>2.431</v>
      </c>
      <c r="P263" s="2">
        <v>2.5739999999999998</v>
      </c>
      <c r="Q263" s="2">
        <v>2.7170000000000001</v>
      </c>
      <c r="R263" s="5" t="s">
        <v>0</v>
      </c>
      <c r="S263" s="5" t="s">
        <v>0</v>
      </c>
      <c r="T263" t="s">
        <v>125</v>
      </c>
    </row>
    <row r="264" spans="2:20" x14ac:dyDescent="0.25">
      <c r="B264" t="s">
        <v>188</v>
      </c>
      <c r="C264" s="2">
        <v>0.32800000000000001</v>
      </c>
      <c r="D264" s="2">
        <v>0.35260000000000002</v>
      </c>
      <c r="E264" s="2">
        <v>0.37719999999999998</v>
      </c>
      <c r="F264" s="2">
        <v>0.41</v>
      </c>
      <c r="G264" s="2">
        <v>0.43459999999999999</v>
      </c>
      <c r="H264" s="2">
        <v>0.4592</v>
      </c>
      <c r="I264" s="2">
        <v>0.49199999999999999</v>
      </c>
      <c r="J264" s="2">
        <v>0.52480000000000004</v>
      </c>
      <c r="K264" s="2">
        <v>0.55759999999999998</v>
      </c>
      <c r="L264" s="2">
        <v>0.59040000000000004</v>
      </c>
      <c r="M264" s="2">
        <v>0.62319999999999998</v>
      </c>
      <c r="N264" s="2">
        <v>0.65600000000000003</v>
      </c>
      <c r="O264" s="2">
        <v>0.69699999999999995</v>
      </c>
      <c r="P264" s="2">
        <v>0.73799999999999999</v>
      </c>
      <c r="Q264" s="2">
        <v>0.77900000000000003</v>
      </c>
      <c r="R264" s="5" t="s">
        <v>0</v>
      </c>
      <c r="S264" s="5" t="s">
        <v>0</v>
      </c>
      <c r="T264" t="s">
        <v>125</v>
      </c>
    </row>
    <row r="265" spans="2:20" x14ac:dyDescent="0.25">
      <c r="B265" s="3" t="s">
        <v>763</v>
      </c>
      <c r="C265" s="23"/>
      <c r="D265" s="23"/>
      <c r="E265" s="23"/>
      <c r="F265" s="23"/>
      <c r="G265" s="23"/>
      <c r="H265" s="23"/>
      <c r="I265" s="23"/>
      <c r="J265" s="23"/>
      <c r="K265" s="23"/>
      <c r="L265" s="23"/>
      <c r="M265" s="23"/>
      <c r="N265" s="23"/>
      <c r="O265" s="23"/>
      <c r="P265" s="23"/>
      <c r="Q265" s="23"/>
      <c r="R265" s="5" t="s">
        <v>763</v>
      </c>
      <c r="S265" s="5" t="s">
        <v>763</v>
      </c>
      <c r="T265" t="s">
        <v>764</v>
      </c>
    </row>
    <row r="266" spans="2:20" x14ac:dyDescent="0.25">
      <c r="B266" s="3" t="s">
        <v>386</v>
      </c>
      <c r="C266" s="23"/>
      <c r="D266" s="23"/>
      <c r="E266" s="23"/>
      <c r="F266" s="23"/>
      <c r="G266" s="23"/>
      <c r="H266" s="23"/>
      <c r="I266" s="23"/>
      <c r="J266" s="23"/>
      <c r="K266" s="23"/>
      <c r="L266" s="23"/>
      <c r="M266" s="23"/>
      <c r="N266" s="23"/>
      <c r="O266" s="23"/>
      <c r="P266" s="23"/>
      <c r="Q266" s="23"/>
      <c r="R266" s="5" t="s">
        <v>392</v>
      </c>
      <c r="S266" s="5" t="s">
        <v>392</v>
      </c>
      <c r="T266" t="s">
        <v>69</v>
      </c>
    </row>
    <row r="267" spans="2:20" x14ac:dyDescent="0.25">
      <c r="B267" s="3" t="s">
        <v>388</v>
      </c>
      <c r="C267" s="23"/>
      <c r="D267" s="23"/>
      <c r="E267" s="23"/>
      <c r="F267" s="23"/>
      <c r="G267" s="23"/>
      <c r="H267" s="23"/>
      <c r="I267" s="23"/>
      <c r="J267" s="23"/>
      <c r="K267" s="23"/>
      <c r="L267" s="23"/>
      <c r="M267" s="23"/>
      <c r="N267" s="23"/>
      <c r="O267" s="23"/>
      <c r="P267" s="23"/>
      <c r="Q267" s="23"/>
      <c r="R267" s="5" t="s">
        <v>392</v>
      </c>
      <c r="S267" s="5" t="s">
        <v>392</v>
      </c>
      <c r="T267" t="s">
        <v>69</v>
      </c>
    </row>
    <row r="268" spans="2:20" x14ac:dyDescent="0.25">
      <c r="B268" s="3" t="s">
        <v>389</v>
      </c>
      <c r="C268" s="23"/>
      <c r="D268" s="23"/>
      <c r="E268" s="23"/>
      <c r="F268" s="23"/>
      <c r="G268" s="23"/>
      <c r="H268" s="23"/>
      <c r="I268" s="23"/>
      <c r="J268" s="23"/>
      <c r="K268" s="23"/>
      <c r="L268" s="23"/>
      <c r="M268" s="23"/>
      <c r="N268" s="23"/>
      <c r="O268" s="23"/>
      <c r="P268" s="23"/>
      <c r="Q268" s="23"/>
      <c r="R268" s="5" t="s">
        <v>392</v>
      </c>
      <c r="S268" s="5" t="s">
        <v>392</v>
      </c>
      <c r="T268" t="s">
        <v>69</v>
      </c>
    </row>
    <row r="269" spans="2:20" x14ac:dyDescent="0.25">
      <c r="B269" s="3" t="s">
        <v>385</v>
      </c>
      <c r="C269" s="23"/>
      <c r="D269" s="23"/>
      <c r="E269" s="23"/>
      <c r="F269" s="23"/>
      <c r="G269" s="23"/>
      <c r="H269" s="23"/>
      <c r="I269" s="23"/>
      <c r="J269" s="23"/>
      <c r="K269" s="23"/>
      <c r="L269" s="23"/>
      <c r="M269" s="23"/>
      <c r="N269" s="23"/>
      <c r="O269" s="23"/>
      <c r="P269" s="23"/>
      <c r="Q269" s="23"/>
      <c r="R269" s="5" t="s">
        <v>392</v>
      </c>
      <c r="S269" s="5" t="s">
        <v>392</v>
      </c>
      <c r="T269" t="s">
        <v>69</v>
      </c>
    </row>
    <row r="270" spans="2:20" x14ac:dyDescent="0.25">
      <c r="B270" s="3" t="s">
        <v>387</v>
      </c>
      <c r="C270" s="23"/>
      <c r="D270" s="23"/>
      <c r="E270" s="23"/>
      <c r="F270" s="23"/>
      <c r="G270" s="23"/>
      <c r="H270" s="23"/>
      <c r="I270" s="23"/>
      <c r="J270" s="23"/>
      <c r="K270" s="23"/>
      <c r="L270" s="23"/>
      <c r="M270" s="23"/>
      <c r="N270" s="23"/>
      <c r="O270" s="23"/>
      <c r="P270" s="23"/>
      <c r="Q270" s="23"/>
      <c r="R270" s="5" t="s">
        <v>392</v>
      </c>
      <c r="S270" s="5" t="s">
        <v>392</v>
      </c>
      <c r="T270" t="s">
        <v>69</v>
      </c>
    </row>
    <row r="271" spans="2:20" x14ac:dyDescent="0.25">
      <c r="B271" s="3" t="s">
        <v>390</v>
      </c>
      <c r="C271" s="23"/>
      <c r="D271" s="23"/>
      <c r="E271" s="23"/>
      <c r="F271" s="23"/>
      <c r="G271" s="23"/>
      <c r="H271" s="23"/>
      <c r="I271" s="23"/>
      <c r="J271" s="23"/>
      <c r="K271" s="23"/>
      <c r="L271" s="23"/>
      <c r="M271" s="23"/>
      <c r="N271" s="23"/>
      <c r="O271" s="23"/>
      <c r="P271" s="23"/>
      <c r="Q271" s="23"/>
      <c r="R271" s="5" t="s">
        <v>392</v>
      </c>
      <c r="S271" s="5" t="s">
        <v>392</v>
      </c>
      <c r="T271" t="s">
        <v>69</v>
      </c>
    </row>
    <row r="272" spans="2:20" x14ac:dyDescent="0.25">
      <c r="B272" s="3" t="s">
        <v>391</v>
      </c>
      <c r="C272" s="23"/>
      <c r="D272" s="23"/>
      <c r="E272" s="23"/>
      <c r="F272" s="23"/>
      <c r="G272" s="23"/>
      <c r="H272" s="23"/>
      <c r="I272" s="23"/>
      <c r="J272" s="23"/>
      <c r="K272" s="23"/>
      <c r="L272" s="23"/>
      <c r="M272" s="23"/>
      <c r="N272" s="23"/>
      <c r="O272" s="23"/>
      <c r="P272" s="23"/>
      <c r="Q272" s="23"/>
      <c r="R272" s="5" t="s">
        <v>392</v>
      </c>
      <c r="S272" s="5" t="s">
        <v>392</v>
      </c>
      <c r="T272" t="s">
        <v>69</v>
      </c>
    </row>
    <row r="273" spans="1:20" x14ac:dyDescent="0.25">
      <c r="A273" t="s">
        <v>837</v>
      </c>
      <c r="B273" s="3" t="s">
        <v>393</v>
      </c>
      <c r="C273" s="23"/>
      <c r="D273" s="23"/>
      <c r="E273" s="23"/>
      <c r="F273" s="23"/>
      <c r="G273" s="23"/>
      <c r="H273" s="23"/>
      <c r="I273" s="23"/>
      <c r="J273" s="23"/>
      <c r="K273" s="23"/>
      <c r="L273" s="23"/>
      <c r="M273" s="23"/>
      <c r="N273" s="23"/>
      <c r="O273" s="23"/>
      <c r="P273" s="23"/>
      <c r="Q273" s="23"/>
      <c r="R273" s="5" t="s">
        <v>392</v>
      </c>
      <c r="S273" s="5" t="s">
        <v>392</v>
      </c>
      <c r="T273" t="s">
        <v>69</v>
      </c>
    </row>
    <row r="274" spans="1:20" x14ac:dyDescent="0.25">
      <c r="B274" t="s">
        <v>189</v>
      </c>
      <c r="C274" s="21">
        <v>1</v>
      </c>
      <c r="D274" s="21">
        <v>2</v>
      </c>
      <c r="E274" s="21">
        <v>3</v>
      </c>
      <c r="F274" s="21">
        <v>4</v>
      </c>
      <c r="G274" s="21">
        <v>5</v>
      </c>
      <c r="H274" s="21">
        <v>6</v>
      </c>
      <c r="I274" s="21">
        <v>7</v>
      </c>
      <c r="J274" s="21">
        <v>8</v>
      </c>
      <c r="K274" s="21">
        <v>9</v>
      </c>
      <c r="L274" s="21">
        <v>10</v>
      </c>
      <c r="M274" s="21">
        <v>11</v>
      </c>
      <c r="N274" s="21">
        <v>12</v>
      </c>
      <c r="O274" s="21">
        <v>13</v>
      </c>
      <c r="P274" s="21">
        <v>14</v>
      </c>
      <c r="Q274" s="21">
        <v>15</v>
      </c>
      <c r="R274" s="5" t="s">
        <v>11</v>
      </c>
      <c r="S274" s="5" t="s">
        <v>1024</v>
      </c>
      <c r="T274" t="s">
        <v>124</v>
      </c>
    </row>
    <row r="275" spans="1:20" x14ac:dyDescent="0.25">
      <c r="A275" t="s">
        <v>838</v>
      </c>
      <c r="B275" t="s">
        <v>10</v>
      </c>
      <c r="C275" s="2">
        <v>0.89729999999999999</v>
      </c>
      <c r="D275" s="2">
        <v>0.97040000000000004</v>
      </c>
      <c r="E275" s="2">
        <v>1.0434000000000001</v>
      </c>
      <c r="F275" s="2">
        <v>1.1476999999999999</v>
      </c>
      <c r="G275" s="2">
        <v>1.2208000000000001</v>
      </c>
      <c r="H275" s="2">
        <v>1.3043</v>
      </c>
      <c r="I275" s="2">
        <v>1.419</v>
      </c>
      <c r="J275" s="2">
        <v>1.5338000000000001</v>
      </c>
      <c r="K275" s="2">
        <v>1.6486000000000001</v>
      </c>
      <c r="L275" s="2">
        <v>1.7738</v>
      </c>
      <c r="M275" s="2">
        <v>1.9172</v>
      </c>
      <c r="N275" s="2">
        <v>2.0859999999999999</v>
      </c>
      <c r="O275" s="2">
        <v>2.2547000000000001</v>
      </c>
      <c r="P275" s="2">
        <v>2.4234</v>
      </c>
      <c r="Q275" s="2">
        <v>2.6074999999999999</v>
      </c>
      <c r="R275" s="5" t="s">
        <v>6</v>
      </c>
      <c r="S275" s="5" t="s">
        <v>6</v>
      </c>
      <c r="T275" t="s">
        <v>125</v>
      </c>
    </row>
    <row r="276" spans="1:20" x14ac:dyDescent="0.25">
      <c r="B276" t="s">
        <v>9</v>
      </c>
      <c r="C276" s="2">
        <v>0.9355</v>
      </c>
      <c r="D276" s="2">
        <v>1.0117</v>
      </c>
      <c r="E276" s="2">
        <v>1.0878000000000001</v>
      </c>
      <c r="F276" s="2">
        <v>1.1966000000000001</v>
      </c>
      <c r="G276" s="2">
        <v>1.2726999999999999</v>
      </c>
      <c r="H276" s="2">
        <v>1.3597999999999999</v>
      </c>
      <c r="I276" s="2">
        <v>1.4794</v>
      </c>
      <c r="J276" s="2">
        <v>1.5991</v>
      </c>
      <c r="K276" s="2">
        <v>1.7186999999999999</v>
      </c>
      <c r="L276" s="2">
        <v>1.8492999999999999</v>
      </c>
      <c r="M276" s="2">
        <v>1.9987999999999999</v>
      </c>
      <c r="N276" s="2">
        <v>2.1747000000000001</v>
      </c>
      <c r="O276" s="2">
        <v>2.3506</v>
      </c>
      <c r="P276" s="2">
        <v>2.5265</v>
      </c>
      <c r="Q276" s="2">
        <v>2.7183999999999999</v>
      </c>
      <c r="R276" s="5" t="s">
        <v>6</v>
      </c>
      <c r="S276" s="5" t="s">
        <v>6</v>
      </c>
      <c r="T276" t="s">
        <v>125</v>
      </c>
    </row>
    <row r="277" spans="1:20" x14ac:dyDescent="0.25">
      <c r="B277" t="s">
        <v>197</v>
      </c>
      <c r="C277" s="2">
        <v>0.56799999999999995</v>
      </c>
      <c r="D277" s="2">
        <v>0.61419999999999997</v>
      </c>
      <c r="E277" s="2">
        <v>0.66049999999999998</v>
      </c>
      <c r="F277" s="2">
        <v>0.72650000000000003</v>
      </c>
      <c r="G277" s="2">
        <v>0.77270000000000005</v>
      </c>
      <c r="H277" s="2">
        <v>0.8256</v>
      </c>
      <c r="I277" s="2">
        <v>0.8982</v>
      </c>
      <c r="J277" s="2">
        <v>0.97089999999999999</v>
      </c>
      <c r="K277" s="2">
        <v>1.0435000000000001</v>
      </c>
      <c r="L277" s="2">
        <v>1.1228</v>
      </c>
      <c r="M277" s="2">
        <v>1.2136</v>
      </c>
      <c r="N277" s="2">
        <v>1.3204</v>
      </c>
      <c r="O277" s="2">
        <v>1.4272</v>
      </c>
      <c r="P277" s="2">
        <v>1.534</v>
      </c>
      <c r="Q277" s="2">
        <v>1.6505000000000001</v>
      </c>
      <c r="R277" s="5" t="s">
        <v>6</v>
      </c>
      <c r="S277" s="5" t="s">
        <v>6</v>
      </c>
      <c r="T277" t="s">
        <v>125</v>
      </c>
    </row>
    <row r="278" spans="1:20" x14ac:dyDescent="0.25">
      <c r="B278" t="s">
        <v>13</v>
      </c>
      <c r="C278" s="2">
        <v>1.1264000000000001</v>
      </c>
      <c r="D278" s="2">
        <v>1.2181</v>
      </c>
      <c r="E278" s="2">
        <v>1.3098000000000001</v>
      </c>
      <c r="F278" s="2">
        <v>1.4408000000000001</v>
      </c>
      <c r="G278" s="2">
        <v>1.5325</v>
      </c>
      <c r="H278" s="2">
        <v>1.6373</v>
      </c>
      <c r="I278" s="2">
        <v>1.7813000000000001</v>
      </c>
      <c r="J278" s="2">
        <v>1.9254</v>
      </c>
      <c r="K278" s="2">
        <v>2.0695000000000001</v>
      </c>
      <c r="L278" s="2">
        <v>2.2267000000000001</v>
      </c>
      <c r="M278" s="2">
        <v>2.4068000000000001</v>
      </c>
      <c r="N278" s="2">
        <v>2.6185999999999998</v>
      </c>
      <c r="O278" s="2">
        <v>2.8302999999999998</v>
      </c>
      <c r="P278" s="2">
        <v>3.0421</v>
      </c>
      <c r="Q278" s="2">
        <v>3.2732000000000001</v>
      </c>
      <c r="R278" s="5" t="s">
        <v>6</v>
      </c>
      <c r="S278" s="5" t="s">
        <v>6</v>
      </c>
      <c r="T278" t="s">
        <v>125</v>
      </c>
    </row>
    <row r="279" spans="1:20" x14ac:dyDescent="0.25">
      <c r="B279" t="s">
        <v>196</v>
      </c>
      <c r="C279" s="2">
        <v>0.71830000000000005</v>
      </c>
      <c r="D279" s="2">
        <v>0.77680000000000005</v>
      </c>
      <c r="E279" s="2">
        <v>0.83530000000000004</v>
      </c>
      <c r="F279" s="2">
        <v>0.91879999999999995</v>
      </c>
      <c r="G279" s="2">
        <v>0.97729999999999995</v>
      </c>
      <c r="H279" s="2">
        <v>1.0441</v>
      </c>
      <c r="I279" s="2">
        <v>1.1359999999999999</v>
      </c>
      <c r="J279" s="2">
        <v>1.2279</v>
      </c>
      <c r="K279" s="2">
        <v>1.3197000000000001</v>
      </c>
      <c r="L279" s="2">
        <v>1.42</v>
      </c>
      <c r="M279" s="2">
        <v>1.5347999999999999</v>
      </c>
      <c r="N279" s="2">
        <v>1.6698999999999999</v>
      </c>
      <c r="O279" s="2">
        <v>1.8048999999999999</v>
      </c>
      <c r="P279" s="2">
        <v>1.94</v>
      </c>
      <c r="Q279" s="2">
        <v>2.0874000000000001</v>
      </c>
      <c r="R279" s="5" t="s">
        <v>6</v>
      </c>
      <c r="S279" s="5" t="s">
        <v>6</v>
      </c>
      <c r="T279" t="s">
        <v>125</v>
      </c>
    </row>
    <row r="280" spans="1:20" x14ac:dyDescent="0.25">
      <c r="B280" t="s">
        <v>154</v>
      </c>
      <c r="C280" s="2">
        <v>0.68799999999999994</v>
      </c>
      <c r="D280" s="2">
        <v>0.74399999999999999</v>
      </c>
      <c r="E280" s="2">
        <v>0.8</v>
      </c>
      <c r="F280" s="2">
        <v>0.88</v>
      </c>
      <c r="G280" s="2">
        <v>0.93600000000000005</v>
      </c>
      <c r="H280" s="2">
        <v>1</v>
      </c>
      <c r="I280" s="2">
        <v>1.0880000000000001</v>
      </c>
      <c r="J280" s="2">
        <v>1.1759999999999999</v>
      </c>
      <c r="K280" s="2">
        <v>1.264</v>
      </c>
      <c r="L280" s="2">
        <v>1.36</v>
      </c>
      <c r="M280" s="2">
        <v>1.47</v>
      </c>
      <c r="N280" s="2">
        <v>1.5993999999999999</v>
      </c>
      <c r="O280" s="2">
        <v>1.7286999999999999</v>
      </c>
      <c r="P280" s="2">
        <v>1.8581000000000001</v>
      </c>
      <c r="Q280" s="2">
        <v>1.9992000000000001</v>
      </c>
      <c r="R280" s="5" t="s">
        <v>5</v>
      </c>
      <c r="S280" s="5" t="s">
        <v>5</v>
      </c>
      <c r="T280" t="s">
        <v>125</v>
      </c>
    </row>
    <row r="281" spans="1:20" x14ac:dyDescent="0.25">
      <c r="B281" t="s">
        <v>155</v>
      </c>
      <c r="C281" s="2">
        <v>1.244</v>
      </c>
      <c r="D281" s="2">
        <v>1.3452</v>
      </c>
      <c r="E281" s="2">
        <v>1.4464999999999999</v>
      </c>
      <c r="F281" s="2">
        <v>1.5911999999999999</v>
      </c>
      <c r="G281" s="2">
        <v>1.6923999999999999</v>
      </c>
      <c r="H281" s="2">
        <v>1.8081</v>
      </c>
      <c r="I281" s="2">
        <v>1.9672000000000001</v>
      </c>
      <c r="J281" s="2">
        <v>2.1263999999999998</v>
      </c>
      <c r="K281" s="2">
        <v>2.2854999999999999</v>
      </c>
      <c r="L281" s="2">
        <v>2.4590999999999998</v>
      </c>
      <c r="M281" s="2">
        <v>2.6579000000000002</v>
      </c>
      <c r="N281" s="2">
        <v>2.8917999999999999</v>
      </c>
      <c r="O281" s="2">
        <v>3.1257000000000001</v>
      </c>
      <c r="P281" s="2">
        <v>3.3595999999999999</v>
      </c>
      <c r="Q281" s="2">
        <v>3.6147999999999998</v>
      </c>
      <c r="R281" s="5" t="s">
        <v>5</v>
      </c>
      <c r="S281" s="5" t="s">
        <v>5</v>
      </c>
      <c r="T281" t="s">
        <v>125</v>
      </c>
    </row>
    <row r="282" spans="1:20" x14ac:dyDescent="0.25">
      <c r="B282" t="s">
        <v>152</v>
      </c>
      <c r="C282" s="2">
        <v>0.74590000000000001</v>
      </c>
      <c r="D282" s="2">
        <v>0.80659999999999998</v>
      </c>
      <c r="E282" s="2">
        <v>0.86729999999999996</v>
      </c>
      <c r="F282" s="2">
        <v>0.95399999999999996</v>
      </c>
      <c r="G282" s="2">
        <v>1.0146999999999999</v>
      </c>
      <c r="H282" s="2">
        <v>1.0841000000000001</v>
      </c>
      <c r="I282" s="2">
        <v>1.1795</v>
      </c>
      <c r="J282" s="2">
        <v>1.2748999999999999</v>
      </c>
      <c r="K282" s="2">
        <v>1.3703000000000001</v>
      </c>
      <c r="L282" s="2">
        <v>1.4743999999999999</v>
      </c>
      <c r="M282" s="2">
        <v>1.5936999999999999</v>
      </c>
      <c r="N282" s="2">
        <v>1.7339</v>
      </c>
      <c r="O282" s="2">
        <v>1.8741000000000001</v>
      </c>
      <c r="P282" s="2">
        <v>2.0144000000000002</v>
      </c>
      <c r="Q282" s="2">
        <v>2.1674000000000002</v>
      </c>
      <c r="R282" s="5" t="s">
        <v>3</v>
      </c>
      <c r="S282" s="5" t="s">
        <v>3</v>
      </c>
      <c r="T282" t="s">
        <v>125</v>
      </c>
    </row>
    <row r="283" spans="1:20" x14ac:dyDescent="0.25">
      <c r="B283" t="s">
        <v>133</v>
      </c>
      <c r="C283" s="2">
        <v>1.4914000000000001</v>
      </c>
      <c r="D283" s="2">
        <v>1.6128</v>
      </c>
      <c r="E283" s="2">
        <v>1.7342</v>
      </c>
      <c r="F283" s="2">
        <v>1.9077</v>
      </c>
      <c r="G283" s="2">
        <v>2.0291000000000001</v>
      </c>
      <c r="H283" s="2">
        <v>2.1678000000000002</v>
      </c>
      <c r="I283" s="2">
        <v>2.3586</v>
      </c>
      <c r="J283" s="2">
        <v>2.5493000000000001</v>
      </c>
      <c r="K283" s="2">
        <v>2.7401</v>
      </c>
      <c r="L283" s="2">
        <v>2.9481999999999999</v>
      </c>
      <c r="M283" s="2">
        <v>3.1867000000000001</v>
      </c>
      <c r="N283" s="2">
        <v>3.4670999999999998</v>
      </c>
      <c r="O283" s="2">
        <v>3.7475000000000001</v>
      </c>
      <c r="P283" s="2">
        <v>4.0278999999999998</v>
      </c>
      <c r="Q283" s="2">
        <v>4.3338000000000001</v>
      </c>
      <c r="R283" s="5" t="s">
        <v>3</v>
      </c>
      <c r="S283" s="5" t="s">
        <v>3</v>
      </c>
      <c r="T283" t="s">
        <v>125</v>
      </c>
    </row>
    <row r="284" spans="1:20" x14ac:dyDescent="0.25">
      <c r="B284" t="s">
        <v>134</v>
      </c>
      <c r="C284" s="2">
        <v>1.8629</v>
      </c>
      <c r="D284" s="2">
        <v>2.0145</v>
      </c>
      <c r="E284" s="2">
        <v>2.1661999999999999</v>
      </c>
      <c r="F284" s="2">
        <v>2.3828</v>
      </c>
      <c r="G284" s="2">
        <v>2.5344000000000002</v>
      </c>
      <c r="H284" s="2">
        <v>2.7077</v>
      </c>
      <c r="I284" s="2">
        <v>2.9460000000000002</v>
      </c>
      <c r="J284" s="2">
        <v>3.1842000000000001</v>
      </c>
      <c r="K284" s="2">
        <v>3.4224999999999999</v>
      </c>
      <c r="L284" s="2">
        <v>3.6825000000000001</v>
      </c>
      <c r="M284" s="2">
        <v>3.9803000000000002</v>
      </c>
      <c r="N284" s="2">
        <v>4.3305999999999996</v>
      </c>
      <c r="O284" s="2">
        <v>4.6807999999999996</v>
      </c>
      <c r="P284" s="2">
        <v>5.0311000000000003</v>
      </c>
      <c r="Q284" s="2">
        <v>5.4131999999999998</v>
      </c>
      <c r="R284" s="5" t="s">
        <v>3</v>
      </c>
      <c r="S284" s="5" t="s">
        <v>3</v>
      </c>
      <c r="T284" t="s">
        <v>125</v>
      </c>
    </row>
    <row r="285" spans="1:20" x14ac:dyDescent="0.25">
      <c r="B285" t="s">
        <v>198</v>
      </c>
      <c r="C285" s="2">
        <v>1.464</v>
      </c>
      <c r="D285" s="2">
        <v>1.5738000000000001</v>
      </c>
      <c r="E285" s="2">
        <v>1.6836</v>
      </c>
      <c r="F285" s="2">
        <v>1.83</v>
      </c>
      <c r="G285" s="2">
        <v>1.9398</v>
      </c>
      <c r="H285" s="2">
        <v>2.0495999999999999</v>
      </c>
      <c r="I285" s="2">
        <v>2.1960000000000002</v>
      </c>
      <c r="J285" s="2">
        <v>2.3424</v>
      </c>
      <c r="K285" s="2">
        <v>2.4887999999999999</v>
      </c>
      <c r="L285" s="2">
        <v>2.6352000000000002</v>
      </c>
      <c r="M285" s="2">
        <v>2.7816000000000001</v>
      </c>
      <c r="N285" s="2">
        <v>2.9279999999999999</v>
      </c>
      <c r="O285" s="2">
        <v>3.1110000000000002</v>
      </c>
      <c r="P285" s="2">
        <v>3.294</v>
      </c>
      <c r="Q285" s="2">
        <v>3.4769999999999999</v>
      </c>
      <c r="R285" s="5" t="s">
        <v>19</v>
      </c>
      <c r="S285" s="5" t="s">
        <v>19</v>
      </c>
      <c r="T285" t="s">
        <v>125</v>
      </c>
    </row>
    <row r="286" spans="1:20" x14ac:dyDescent="0.25">
      <c r="B286" t="s">
        <v>200</v>
      </c>
      <c r="C286" s="2">
        <v>2.456</v>
      </c>
      <c r="D286" s="2">
        <v>2.6402000000000001</v>
      </c>
      <c r="E286" s="2">
        <v>2.8243999999999998</v>
      </c>
      <c r="F286" s="2">
        <v>3.07</v>
      </c>
      <c r="G286" s="2">
        <v>3.2542</v>
      </c>
      <c r="H286" s="2">
        <v>3.4384000000000001</v>
      </c>
      <c r="I286" s="2">
        <v>3.6840000000000002</v>
      </c>
      <c r="J286" s="2">
        <v>3.9296000000000002</v>
      </c>
      <c r="K286" s="2">
        <v>4.1752000000000002</v>
      </c>
      <c r="L286" s="2">
        <v>4.4207999999999998</v>
      </c>
      <c r="M286" s="2">
        <v>4.6664000000000003</v>
      </c>
      <c r="N286" s="2">
        <v>4.9119999999999999</v>
      </c>
      <c r="O286" s="2">
        <v>5.2190000000000003</v>
      </c>
      <c r="P286" s="2">
        <v>5.5259999999999998</v>
      </c>
      <c r="Q286" s="2">
        <v>5.8330000000000002</v>
      </c>
      <c r="R286" s="5" t="s">
        <v>19</v>
      </c>
      <c r="S286" s="5" t="s">
        <v>19</v>
      </c>
      <c r="T286" t="s">
        <v>125</v>
      </c>
    </row>
    <row r="287" spans="1:20" x14ac:dyDescent="0.25">
      <c r="B287" t="s">
        <v>199</v>
      </c>
      <c r="C287" s="2">
        <v>0.96</v>
      </c>
      <c r="D287" s="2">
        <v>1.032</v>
      </c>
      <c r="E287" s="2">
        <v>1.1040000000000001</v>
      </c>
      <c r="F287" s="2">
        <v>1.2</v>
      </c>
      <c r="G287" s="2">
        <v>1.272</v>
      </c>
      <c r="H287" s="2">
        <v>1.3440000000000001</v>
      </c>
      <c r="I287" s="2">
        <v>1.44</v>
      </c>
      <c r="J287" s="2">
        <v>1.536</v>
      </c>
      <c r="K287" s="2">
        <v>1.6319999999999999</v>
      </c>
      <c r="L287" s="2">
        <v>1.728</v>
      </c>
      <c r="M287" s="2">
        <v>1.8240000000000001</v>
      </c>
      <c r="N287" s="2">
        <v>1.92</v>
      </c>
      <c r="O287" s="2">
        <v>2.04</v>
      </c>
      <c r="P287" s="2">
        <v>2.16</v>
      </c>
      <c r="Q287" s="2">
        <v>2.2799999999999998</v>
      </c>
      <c r="R287" s="5" t="s">
        <v>19</v>
      </c>
      <c r="S287" s="5" t="s">
        <v>19</v>
      </c>
      <c r="T287" t="s">
        <v>125</v>
      </c>
    </row>
    <row r="288" spans="1:20" x14ac:dyDescent="0.25">
      <c r="B288" t="s">
        <v>160</v>
      </c>
      <c r="C288" s="2">
        <v>2.456</v>
      </c>
      <c r="D288" s="2">
        <v>2.6402000000000001</v>
      </c>
      <c r="E288" s="2">
        <v>2.8243999999999998</v>
      </c>
      <c r="F288" s="2">
        <v>3.07</v>
      </c>
      <c r="G288" s="2">
        <v>3.2542</v>
      </c>
      <c r="H288" s="2">
        <v>3.4384000000000001</v>
      </c>
      <c r="I288" s="2">
        <v>3.6840000000000002</v>
      </c>
      <c r="J288" s="2">
        <v>3.9296000000000002</v>
      </c>
      <c r="K288" s="2">
        <v>4.1752000000000002</v>
      </c>
      <c r="L288" s="2">
        <v>4.4207999999999998</v>
      </c>
      <c r="M288" s="2">
        <v>4.6664000000000003</v>
      </c>
      <c r="N288" s="2">
        <v>4.9119999999999999</v>
      </c>
      <c r="O288" s="2">
        <v>5.2190000000000003</v>
      </c>
      <c r="P288" s="2">
        <v>5.5259999999999998</v>
      </c>
      <c r="Q288" s="2">
        <v>5.8330000000000002</v>
      </c>
      <c r="R288" s="5" t="s">
        <v>0</v>
      </c>
      <c r="S288" s="5" t="s">
        <v>0</v>
      </c>
      <c r="T288" t="s">
        <v>125</v>
      </c>
    </row>
    <row r="289" spans="1:20" x14ac:dyDescent="0.25">
      <c r="B289" t="s">
        <v>201</v>
      </c>
      <c r="C289" s="2">
        <v>3.6705000000000001</v>
      </c>
      <c r="D289" s="2">
        <v>3.9691999999999998</v>
      </c>
      <c r="E289" s="2">
        <v>4.2679999999999998</v>
      </c>
      <c r="F289" s="2">
        <v>4.6947999999999999</v>
      </c>
      <c r="G289" s="2">
        <v>4.9935999999999998</v>
      </c>
      <c r="H289" s="2">
        <v>5.335</v>
      </c>
      <c r="I289" s="2">
        <v>5.8045</v>
      </c>
      <c r="J289" s="2">
        <v>6.274</v>
      </c>
      <c r="K289" s="2">
        <v>6.7434000000000003</v>
      </c>
      <c r="L289" s="2">
        <v>7.2556000000000003</v>
      </c>
      <c r="M289" s="2">
        <v>7.8425000000000002</v>
      </c>
      <c r="N289" s="2">
        <v>8.5326000000000004</v>
      </c>
      <c r="O289" s="2">
        <v>9.2226999999999997</v>
      </c>
      <c r="P289" s="2">
        <v>9.9129000000000005</v>
      </c>
      <c r="Q289" s="2">
        <v>10.665699999999999</v>
      </c>
      <c r="R289" s="5" t="s">
        <v>24</v>
      </c>
      <c r="S289" s="5" t="s">
        <v>24</v>
      </c>
      <c r="T289" t="s">
        <v>125</v>
      </c>
    </row>
    <row r="290" spans="1:20" x14ac:dyDescent="0.25">
      <c r="B290" t="s">
        <v>202</v>
      </c>
      <c r="C290" s="2">
        <v>0.74990000000000001</v>
      </c>
      <c r="D290" s="2">
        <v>0.81100000000000005</v>
      </c>
      <c r="E290" s="2">
        <v>0.872</v>
      </c>
      <c r="F290" s="2">
        <v>0.95920000000000005</v>
      </c>
      <c r="G290" s="2">
        <v>1.0202</v>
      </c>
      <c r="H290" s="2">
        <v>1.0900000000000001</v>
      </c>
      <c r="I290" s="2">
        <v>1.1859</v>
      </c>
      <c r="J290" s="2">
        <v>1.2818000000000001</v>
      </c>
      <c r="K290" s="2">
        <v>1.3777999999999999</v>
      </c>
      <c r="L290" s="2">
        <v>1.4823999999999999</v>
      </c>
      <c r="M290" s="2">
        <v>1.6023000000000001</v>
      </c>
      <c r="N290" s="2">
        <v>1.7433000000000001</v>
      </c>
      <c r="O290" s="2">
        <v>1.8843000000000001</v>
      </c>
      <c r="P290" s="2">
        <v>2.0253000000000001</v>
      </c>
      <c r="Q290" s="2">
        <v>2.1791</v>
      </c>
      <c r="R290" s="5" t="s">
        <v>24</v>
      </c>
      <c r="S290" s="5" t="s">
        <v>24</v>
      </c>
      <c r="T290" t="s">
        <v>125</v>
      </c>
    </row>
    <row r="291" spans="1:20" x14ac:dyDescent="0.25">
      <c r="B291" t="s">
        <v>203</v>
      </c>
      <c r="C291" s="2">
        <f t="shared" ref="C291:Q291" si="5">0.5*C289</f>
        <v>1.83525</v>
      </c>
      <c r="D291" s="2">
        <f t="shared" si="5"/>
        <v>1.9845999999999999</v>
      </c>
      <c r="E291" s="2">
        <f t="shared" si="5"/>
        <v>2.1339999999999999</v>
      </c>
      <c r="F291" s="2">
        <f t="shared" si="5"/>
        <v>2.3473999999999999</v>
      </c>
      <c r="G291" s="2">
        <f t="shared" si="5"/>
        <v>2.4967999999999999</v>
      </c>
      <c r="H291" s="2">
        <f t="shared" si="5"/>
        <v>2.6675</v>
      </c>
      <c r="I291" s="2">
        <f t="shared" si="5"/>
        <v>2.90225</v>
      </c>
      <c r="J291" s="2">
        <f t="shared" si="5"/>
        <v>3.137</v>
      </c>
      <c r="K291" s="2">
        <f t="shared" si="5"/>
        <v>3.3717000000000001</v>
      </c>
      <c r="L291" s="2">
        <f t="shared" si="5"/>
        <v>3.6278000000000001</v>
      </c>
      <c r="M291" s="2">
        <f t="shared" si="5"/>
        <v>3.9212500000000001</v>
      </c>
      <c r="N291" s="2">
        <f t="shared" si="5"/>
        <v>4.2663000000000002</v>
      </c>
      <c r="O291" s="2">
        <f t="shared" si="5"/>
        <v>4.6113499999999998</v>
      </c>
      <c r="P291" s="2">
        <f t="shared" si="5"/>
        <v>4.9564500000000002</v>
      </c>
      <c r="Q291" s="2">
        <f t="shared" si="5"/>
        <v>5.3328499999999996</v>
      </c>
      <c r="R291" s="5" t="s">
        <v>24</v>
      </c>
      <c r="S291" s="5" t="s">
        <v>24</v>
      </c>
      <c r="T291" t="s">
        <v>125</v>
      </c>
    </row>
    <row r="292" spans="1:20" x14ac:dyDescent="0.25">
      <c r="B292" s="3" t="s">
        <v>763</v>
      </c>
      <c r="C292" s="23"/>
      <c r="D292" s="23"/>
      <c r="E292" s="23"/>
      <c r="F292" s="23"/>
      <c r="G292" s="23"/>
      <c r="H292" s="23"/>
      <c r="I292" s="23"/>
      <c r="J292" s="23"/>
      <c r="K292" s="23"/>
      <c r="L292" s="23"/>
      <c r="M292" s="23"/>
      <c r="N292" s="23"/>
      <c r="O292" s="23"/>
      <c r="P292" s="23"/>
      <c r="Q292" s="23"/>
      <c r="R292" s="5" t="s">
        <v>763</v>
      </c>
      <c r="S292" s="5" t="s">
        <v>763</v>
      </c>
      <c r="T292" t="s">
        <v>764</v>
      </c>
    </row>
    <row r="293" spans="1:20" x14ac:dyDescent="0.25">
      <c r="B293" s="3" t="s">
        <v>386</v>
      </c>
      <c r="C293" s="23"/>
      <c r="D293" s="23"/>
      <c r="E293" s="23"/>
      <c r="F293" s="23"/>
      <c r="G293" s="23"/>
      <c r="H293" s="23"/>
      <c r="I293" s="23"/>
      <c r="J293" s="23"/>
      <c r="K293" s="23"/>
      <c r="L293" s="23"/>
      <c r="M293" s="23"/>
      <c r="N293" s="23"/>
      <c r="O293" s="23"/>
      <c r="P293" s="23"/>
      <c r="Q293" s="23"/>
      <c r="R293" s="5" t="s">
        <v>392</v>
      </c>
      <c r="S293" s="5" t="s">
        <v>392</v>
      </c>
      <c r="T293" t="s">
        <v>69</v>
      </c>
    </row>
    <row r="294" spans="1:20" x14ac:dyDescent="0.25">
      <c r="B294" s="3" t="s">
        <v>388</v>
      </c>
      <c r="C294" s="23"/>
      <c r="D294" s="23"/>
      <c r="E294" s="23"/>
      <c r="F294" s="23"/>
      <c r="G294" s="23"/>
      <c r="H294" s="23"/>
      <c r="I294" s="23"/>
      <c r="J294" s="23"/>
      <c r="K294" s="23"/>
      <c r="L294" s="23"/>
      <c r="M294" s="23"/>
      <c r="N294" s="23"/>
      <c r="O294" s="23"/>
      <c r="P294" s="23"/>
      <c r="Q294" s="23"/>
      <c r="R294" s="5" t="s">
        <v>392</v>
      </c>
      <c r="S294" s="5" t="s">
        <v>392</v>
      </c>
      <c r="T294" t="s">
        <v>69</v>
      </c>
    </row>
    <row r="295" spans="1:20" x14ac:dyDescent="0.25">
      <c r="B295" s="3" t="s">
        <v>389</v>
      </c>
      <c r="C295" s="23"/>
      <c r="D295" s="23"/>
      <c r="E295" s="23"/>
      <c r="F295" s="23"/>
      <c r="G295" s="23"/>
      <c r="H295" s="23"/>
      <c r="I295" s="23"/>
      <c r="J295" s="23"/>
      <c r="K295" s="23"/>
      <c r="L295" s="23"/>
      <c r="M295" s="23"/>
      <c r="N295" s="23"/>
      <c r="O295" s="23"/>
      <c r="P295" s="23"/>
      <c r="Q295" s="23"/>
      <c r="R295" s="5" t="s">
        <v>392</v>
      </c>
      <c r="S295" s="5" t="s">
        <v>392</v>
      </c>
      <c r="T295" t="s">
        <v>69</v>
      </c>
    </row>
    <row r="296" spans="1:20" x14ac:dyDescent="0.25">
      <c r="B296" s="3" t="s">
        <v>385</v>
      </c>
      <c r="C296" s="23"/>
      <c r="D296" s="23"/>
      <c r="E296" s="23"/>
      <c r="F296" s="23"/>
      <c r="G296" s="23"/>
      <c r="H296" s="23"/>
      <c r="I296" s="23"/>
      <c r="J296" s="23"/>
      <c r="K296" s="23"/>
      <c r="L296" s="23"/>
      <c r="M296" s="23"/>
      <c r="N296" s="23"/>
      <c r="O296" s="23"/>
      <c r="P296" s="23"/>
      <c r="Q296" s="23"/>
      <c r="R296" s="5" t="s">
        <v>392</v>
      </c>
      <c r="S296" s="5" t="s">
        <v>392</v>
      </c>
      <c r="T296" t="s">
        <v>69</v>
      </c>
    </row>
    <row r="297" spans="1:20" x14ac:dyDescent="0.25">
      <c r="B297" s="3" t="s">
        <v>387</v>
      </c>
      <c r="C297" s="23"/>
      <c r="D297" s="23"/>
      <c r="E297" s="23"/>
      <c r="F297" s="23"/>
      <c r="G297" s="23"/>
      <c r="H297" s="23"/>
      <c r="I297" s="23"/>
      <c r="J297" s="23"/>
      <c r="K297" s="23"/>
      <c r="L297" s="23"/>
      <c r="M297" s="23"/>
      <c r="N297" s="23"/>
      <c r="O297" s="23"/>
      <c r="P297" s="23"/>
      <c r="Q297" s="23"/>
      <c r="R297" s="5" t="s">
        <v>392</v>
      </c>
      <c r="S297" s="5" t="s">
        <v>392</v>
      </c>
      <c r="T297" t="s">
        <v>69</v>
      </c>
    </row>
    <row r="298" spans="1:20" x14ac:dyDescent="0.25">
      <c r="B298" s="3" t="s">
        <v>390</v>
      </c>
      <c r="C298" s="23"/>
      <c r="D298" s="23"/>
      <c r="E298" s="23"/>
      <c r="F298" s="23"/>
      <c r="G298" s="23"/>
      <c r="H298" s="23"/>
      <c r="I298" s="23"/>
      <c r="J298" s="23"/>
      <c r="K298" s="23"/>
      <c r="L298" s="23"/>
      <c r="M298" s="23"/>
      <c r="N298" s="23"/>
      <c r="O298" s="23"/>
      <c r="P298" s="23"/>
      <c r="Q298" s="23"/>
      <c r="R298" s="5" t="s">
        <v>392</v>
      </c>
      <c r="S298" s="5" t="s">
        <v>392</v>
      </c>
      <c r="T298" t="s">
        <v>69</v>
      </c>
    </row>
    <row r="299" spans="1:20" x14ac:dyDescent="0.25">
      <c r="B299" s="3" t="s">
        <v>391</v>
      </c>
      <c r="C299" s="23"/>
      <c r="D299" s="23"/>
      <c r="E299" s="23"/>
      <c r="F299" s="23"/>
      <c r="G299" s="23"/>
      <c r="H299" s="23"/>
      <c r="I299" s="23"/>
      <c r="J299" s="23"/>
      <c r="K299" s="23"/>
      <c r="L299" s="23"/>
      <c r="M299" s="23"/>
      <c r="N299" s="23"/>
      <c r="O299" s="23"/>
      <c r="P299" s="23"/>
      <c r="Q299" s="23"/>
      <c r="R299" s="5" t="s">
        <v>392</v>
      </c>
      <c r="S299" s="5" t="s">
        <v>392</v>
      </c>
      <c r="T299" t="s">
        <v>69</v>
      </c>
    </row>
    <row r="300" spans="1:20" x14ac:dyDescent="0.25">
      <c r="A300" t="s">
        <v>839</v>
      </c>
      <c r="B300" s="3" t="s">
        <v>393</v>
      </c>
      <c r="C300" s="23"/>
      <c r="D300" s="23"/>
      <c r="E300" s="23"/>
      <c r="F300" s="23"/>
      <c r="G300" s="23"/>
      <c r="H300" s="23"/>
      <c r="I300" s="23"/>
      <c r="J300" s="23"/>
      <c r="K300" s="23"/>
      <c r="L300" s="23"/>
      <c r="M300" s="23"/>
      <c r="N300" s="23"/>
      <c r="O300" s="23"/>
      <c r="P300" s="23"/>
      <c r="Q300" s="23"/>
      <c r="R300" s="5" t="s">
        <v>392</v>
      </c>
      <c r="S300" s="5" t="s">
        <v>392</v>
      </c>
      <c r="T300" t="s">
        <v>69</v>
      </c>
    </row>
    <row r="301" spans="1:20" x14ac:dyDescent="0.25">
      <c r="B301" t="s">
        <v>204</v>
      </c>
      <c r="C301" s="21">
        <v>1</v>
      </c>
      <c r="D301" s="21">
        <v>2</v>
      </c>
      <c r="E301" s="21">
        <v>3</v>
      </c>
      <c r="F301" s="21">
        <v>4</v>
      </c>
      <c r="G301" s="21">
        <v>5</v>
      </c>
      <c r="H301" s="21">
        <v>6</v>
      </c>
      <c r="I301" s="21">
        <v>7</v>
      </c>
      <c r="J301" s="21">
        <v>8</v>
      </c>
      <c r="K301" s="21">
        <v>9</v>
      </c>
      <c r="L301" s="21">
        <v>10</v>
      </c>
      <c r="M301" s="21">
        <v>11</v>
      </c>
      <c r="N301" s="21">
        <v>12</v>
      </c>
      <c r="O301" s="21">
        <v>13</v>
      </c>
      <c r="P301" s="21">
        <v>14</v>
      </c>
      <c r="Q301" s="21">
        <v>15</v>
      </c>
      <c r="R301" s="5" t="s">
        <v>11</v>
      </c>
      <c r="S301" s="5" t="s">
        <v>1024</v>
      </c>
      <c r="T301" t="s">
        <v>124</v>
      </c>
    </row>
    <row r="302" spans="1:20" x14ac:dyDescent="0.25">
      <c r="A302" t="s">
        <v>840</v>
      </c>
      <c r="B302" t="s">
        <v>10</v>
      </c>
      <c r="C302" s="2">
        <v>0.44119999999999998</v>
      </c>
      <c r="D302" s="2">
        <v>0.47710000000000002</v>
      </c>
      <c r="E302" s="2">
        <v>0.51300000000000001</v>
      </c>
      <c r="F302" s="2">
        <v>0.56430000000000002</v>
      </c>
      <c r="G302" s="2">
        <v>0.60019999999999996</v>
      </c>
      <c r="H302" s="2">
        <v>0.64129999999999998</v>
      </c>
      <c r="I302" s="2">
        <v>0.69769999999999999</v>
      </c>
      <c r="J302" s="2">
        <v>0.75409999999999999</v>
      </c>
      <c r="K302" s="2">
        <v>0.8105</v>
      </c>
      <c r="L302" s="2">
        <v>0.87209999999999999</v>
      </c>
      <c r="M302" s="2">
        <v>0.93369999999999997</v>
      </c>
      <c r="N302" s="2">
        <v>0.99519999999999997</v>
      </c>
      <c r="O302" s="2">
        <v>1.0568</v>
      </c>
      <c r="P302" s="2">
        <v>1.1183000000000001</v>
      </c>
      <c r="Q302" s="2">
        <v>1.1798999999999999</v>
      </c>
      <c r="R302" s="5" t="s">
        <v>6</v>
      </c>
      <c r="S302" s="5" t="s">
        <v>6</v>
      </c>
      <c r="T302" t="s">
        <v>125</v>
      </c>
    </row>
    <row r="303" spans="1:20" x14ac:dyDescent="0.25">
      <c r="B303" t="s">
        <v>9</v>
      </c>
      <c r="C303" s="2">
        <v>0.46779999999999999</v>
      </c>
      <c r="D303" s="2">
        <v>0.50590000000000002</v>
      </c>
      <c r="E303" s="2">
        <v>0.54400000000000004</v>
      </c>
      <c r="F303" s="2">
        <v>0.59840000000000004</v>
      </c>
      <c r="G303" s="2">
        <v>0.63649999999999995</v>
      </c>
      <c r="H303" s="2">
        <v>0.68</v>
      </c>
      <c r="I303" s="2">
        <v>0.73980000000000001</v>
      </c>
      <c r="J303" s="2">
        <v>0.79969999999999997</v>
      </c>
      <c r="K303" s="2">
        <v>0.85950000000000004</v>
      </c>
      <c r="L303" s="2">
        <v>0.92479999999999996</v>
      </c>
      <c r="M303" s="2">
        <v>0.99009999999999998</v>
      </c>
      <c r="N303" s="2">
        <v>1.0553999999999999</v>
      </c>
      <c r="O303" s="2">
        <v>1.1206</v>
      </c>
      <c r="P303" s="2">
        <v>1.1859</v>
      </c>
      <c r="Q303" s="2">
        <v>1.2512000000000001</v>
      </c>
      <c r="R303" s="5" t="s">
        <v>6</v>
      </c>
      <c r="S303" s="5" t="s">
        <v>6</v>
      </c>
      <c r="T303" t="s">
        <v>125</v>
      </c>
    </row>
    <row r="304" spans="1:20" x14ac:dyDescent="0.25">
      <c r="B304" t="s">
        <v>8</v>
      </c>
      <c r="C304" s="2">
        <v>0.58140000000000003</v>
      </c>
      <c r="D304" s="2">
        <v>0.62870000000000004</v>
      </c>
      <c r="E304" s="2">
        <v>0.67600000000000005</v>
      </c>
      <c r="F304" s="2">
        <v>0.74360000000000004</v>
      </c>
      <c r="G304" s="2">
        <v>0.79090000000000005</v>
      </c>
      <c r="H304" s="2">
        <v>0.84499999999999997</v>
      </c>
      <c r="I304" s="2">
        <v>0.9194</v>
      </c>
      <c r="J304" s="2">
        <v>0.99370000000000003</v>
      </c>
      <c r="K304" s="2">
        <v>1.0681</v>
      </c>
      <c r="L304" s="2">
        <v>1.1492</v>
      </c>
      <c r="M304" s="2">
        <v>1.2302999999999999</v>
      </c>
      <c r="N304" s="2">
        <v>1.3113999999999999</v>
      </c>
      <c r="O304" s="2">
        <v>1.3926000000000001</v>
      </c>
      <c r="P304" s="2">
        <v>1.4737</v>
      </c>
      <c r="Q304" s="2">
        <v>1.5548</v>
      </c>
      <c r="R304" s="5" t="s">
        <v>6</v>
      </c>
      <c r="S304" s="5" t="s">
        <v>6</v>
      </c>
      <c r="T304" t="s">
        <v>125</v>
      </c>
    </row>
    <row r="305" spans="2:21" x14ac:dyDescent="0.25">
      <c r="B305" t="s">
        <v>13</v>
      </c>
      <c r="C305" s="2">
        <v>0.57709999999999995</v>
      </c>
      <c r="D305" s="2">
        <v>0.624</v>
      </c>
      <c r="E305" s="2">
        <v>0.67100000000000004</v>
      </c>
      <c r="F305" s="2">
        <v>0.73809999999999998</v>
      </c>
      <c r="G305" s="2">
        <v>0.78510000000000002</v>
      </c>
      <c r="H305" s="2">
        <v>0.83879999999999999</v>
      </c>
      <c r="I305" s="2">
        <v>0.91259999999999997</v>
      </c>
      <c r="J305" s="2">
        <v>0.98640000000000005</v>
      </c>
      <c r="K305" s="2">
        <v>1.0602</v>
      </c>
      <c r="L305" s="2">
        <v>1.1407</v>
      </c>
      <c r="M305" s="2">
        <v>1.2212000000000001</v>
      </c>
      <c r="N305" s="2">
        <v>1.3017000000000001</v>
      </c>
      <c r="O305" s="2">
        <v>1.3823000000000001</v>
      </c>
      <c r="P305" s="2">
        <v>1.4628000000000001</v>
      </c>
      <c r="Q305" s="2">
        <v>1.5432999999999999</v>
      </c>
      <c r="R305" s="5" t="s">
        <v>6</v>
      </c>
      <c r="S305" s="5" t="s">
        <v>6</v>
      </c>
      <c r="T305" t="s">
        <v>125</v>
      </c>
    </row>
    <row r="306" spans="2:21" x14ac:dyDescent="0.25">
      <c r="B306" t="s">
        <v>7</v>
      </c>
      <c r="C306" s="2">
        <v>0.72070000000000001</v>
      </c>
      <c r="D306" s="2">
        <v>0.77929999999999999</v>
      </c>
      <c r="E306" s="2">
        <v>0.83799999999999997</v>
      </c>
      <c r="F306" s="2">
        <v>0.92179999999999995</v>
      </c>
      <c r="G306" s="2">
        <v>0.98050000000000004</v>
      </c>
      <c r="H306" s="2">
        <v>1.0475000000000001</v>
      </c>
      <c r="I306" s="2">
        <v>1.1396999999999999</v>
      </c>
      <c r="J306" s="2">
        <v>1.2319</v>
      </c>
      <c r="K306" s="2">
        <v>1.3240000000000001</v>
      </c>
      <c r="L306" s="2">
        <v>1.4246000000000001</v>
      </c>
      <c r="M306" s="2">
        <v>1.5251999999999999</v>
      </c>
      <c r="N306" s="2">
        <v>1.6256999999999999</v>
      </c>
      <c r="O306" s="2">
        <v>1.7262999999999999</v>
      </c>
      <c r="P306" s="2">
        <v>1.8268</v>
      </c>
      <c r="Q306" s="2">
        <v>1.9274</v>
      </c>
      <c r="R306" s="5" t="s">
        <v>6</v>
      </c>
      <c r="S306" s="5" t="s">
        <v>6</v>
      </c>
      <c r="T306" t="s">
        <v>125</v>
      </c>
    </row>
    <row r="307" spans="2:21" x14ac:dyDescent="0.25">
      <c r="B307" t="s">
        <v>131</v>
      </c>
      <c r="C307" s="2">
        <v>0.43859999999999999</v>
      </c>
      <c r="D307" s="2">
        <v>0.4743</v>
      </c>
      <c r="E307" s="2">
        <v>0.51</v>
      </c>
      <c r="F307" s="2">
        <v>0.56100000000000005</v>
      </c>
      <c r="G307" s="2">
        <v>0.59670000000000001</v>
      </c>
      <c r="H307" s="2">
        <v>0.63749999999999996</v>
      </c>
      <c r="I307" s="2">
        <v>0.69359999999999999</v>
      </c>
      <c r="J307" s="2">
        <v>0.74970000000000003</v>
      </c>
      <c r="K307" s="2">
        <v>0.80579999999999996</v>
      </c>
      <c r="L307" s="2">
        <v>0.86699999999999999</v>
      </c>
      <c r="M307" s="2">
        <v>0.92820000000000003</v>
      </c>
      <c r="N307" s="2">
        <v>0.98939999999999995</v>
      </c>
      <c r="O307" s="2">
        <v>1.0506</v>
      </c>
      <c r="P307" s="2">
        <v>1.1117999999999999</v>
      </c>
      <c r="Q307" s="2">
        <v>1.173</v>
      </c>
      <c r="R307" s="5" t="s">
        <v>5</v>
      </c>
      <c r="S307" s="5" t="s">
        <v>5</v>
      </c>
      <c r="T307" t="s">
        <v>125</v>
      </c>
    </row>
    <row r="308" spans="2:21" x14ac:dyDescent="0.25">
      <c r="B308" t="s">
        <v>132</v>
      </c>
      <c r="C308" s="2">
        <v>1.24</v>
      </c>
      <c r="D308" s="2">
        <v>1.333</v>
      </c>
      <c r="E308" s="2">
        <v>1.4259999999999999</v>
      </c>
      <c r="F308" s="2">
        <v>1.55</v>
      </c>
      <c r="G308" s="2">
        <v>1.643</v>
      </c>
      <c r="H308" s="2">
        <v>1.736</v>
      </c>
      <c r="I308" s="2">
        <v>1.86</v>
      </c>
      <c r="J308" s="2">
        <v>1.984</v>
      </c>
      <c r="K308" s="2">
        <v>2.1080000000000001</v>
      </c>
      <c r="L308" s="2">
        <v>2.2320000000000002</v>
      </c>
      <c r="M308" s="2">
        <v>2.3559999999999999</v>
      </c>
      <c r="N308" s="2">
        <v>2.48</v>
      </c>
      <c r="O308" s="2">
        <v>2.6349999999999998</v>
      </c>
      <c r="P308" s="2">
        <v>2.79</v>
      </c>
      <c r="Q308" s="2">
        <v>2.9449999999999998</v>
      </c>
      <c r="R308" s="5" t="s">
        <v>5</v>
      </c>
      <c r="S308" s="5" t="s">
        <v>5</v>
      </c>
      <c r="T308" t="s">
        <v>125</v>
      </c>
    </row>
    <row r="309" spans="2:21" x14ac:dyDescent="0.25">
      <c r="B309" t="s">
        <v>152</v>
      </c>
      <c r="C309" s="2">
        <v>0.56830000000000003</v>
      </c>
      <c r="D309" s="2">
        <v>0.61450000000000005</v>
      </c>
      <c r="E309" s="2">
        <v>0.66080000000000005</v>
      </c>
      <c r="F309" s="2">
        <v>0.72689999999999999</v>
      </c>
      <c r="G309" s="2">
        <v>0.77310000000000001</v>
      </c>
      <c r="H309" s="2">
        <v>0.82599999999999996</v>
      </c>
      <c r="I309" s="2">
        <v>0.89870000000000005</v>
      </c>
      <c r="J309" s="2">
        <v>0.97140000000000004</v>
      </c>
      <c r="K309" s="2">
        <v>1.0441</v>
      </c>
      <c r="L309" s="2">
        <v>1.1234</v>
      </c>
      <c r="M309" s="2">
        <v>1.2027000000000001</v>
      </c>
      <c r="N309" s="2">
        <v>1.282</v>
      </c>
      <c r="O309" s="2">
        <v>1.3612</v>
      </c>
      <c r="P309" s="2">
        <v>1.4404999999999999</v>
      </c>
      <c r="Q309" s="2">
        <v>1.5198</v>
      </c>
      <c r="R309" s="5" t="s">
        <v>3</v>
      </c>
      <c r="S309" s="5" t="s">
        <v>3</v>
      </c>
      <c r="T309" t="s">
        <v>125</v>
      </c>
    </row>
    <row r="310" spans="2:21" x14ac:dyDescent="0.25">
      <c r="B310" t="s">
        <v>133</v>
      </c>
      <c r="C310" s="2">
        <v>1.1363000000000001</v>
      </c>
      <c r="D310" s="2">
        <v>1.2287999999999999</v>
      </c>
      <c r="E310" s="2">
        <v>1.3212999999999999</v>
      </c>
      <c r="F310" s="2">
        <v>1.4535</v>
      </c>
      <c r="G310" s="2">
        <v>1.5459000000000001</v>
      </c>
      <c r="H310" s="2">
        <v>1.6516999999999999</v>
      </c>
      <c r="I310" s="2">
        <v>1.7969999999999999</v>
      </c>
      <c r="J310" s="2">
        <v>1.9422999999999999</v>
      </c>
      <c r="K310" s="2">
        <v>2.0876999999999999</v>
      </c>
      <c r="L310" s="2">
        <v>2.2462</v>
      </c>
      <c r="M310" s="2">
        <v>2.4047999999999998</v>
      </c>
      <c r="N310" s="2">
        <v>2.5634000000000001</v>
      </c>
      <c r="O310" s="2">
        <v>2.7219000000000002</v>
      </c>
      <c r="P310" s="2">
        <v>2.8805000000000001</v>
      </c>
      <c r="Q310" s="2">
        <v>3.0390000000000001</v>
      </c>
      <c r="R310" s="5" t="s">
        <v>3</v>
      </c>
      <c r="S310" s="5" t="s">
        <v>3</v>
      </c>
      <c r="T310" t="s">
        <v>125</v>
      </c>
    </row>
    <row r="311" spans="2:21" x14ac:dyDescent="0.25">
      <c r="B311" t="s">
        <v>134</v>
      </c>
      <c r="C311" s="2">
        <v>1.4193</v>
      </c>
      <c r="D311" s="2">
        <v>1.5348999999999999</v>
      </c>
      <c r="E311" s="2">
        <v>1.6504000000000001</v>
      </c>
      <c r="F311" s="2">
        <v>1.8153999999999999</v>
      </c>
      <c r="G311" s="2">
        <v>1.931</v>
      </c>
      <c r="H311" s="2">
        <v>2.0630000000000002</v>
      </c>
      <c r="I311" s="2">
        <v>2.2444999999999999</v>
      </c>
      <c r="J311" s="2">
        <v>2.4260999999999999</v>
      </c>
      <c r="K311" s="2">
        <v>2.6076000000000001</v>
      </c>
      <c r="L311" s="2">
        <v>2.8056999999999999</v>
      </c>
      <c r="M311" s="2">
        <v>3.0036999999999998</v>
      </c>
      <c r="N311" s="2">
        <v>3.2018</v>
      </c>
      <c r="O311" s="2">
        <v>3.3997999999999999</v>
      </c>
      <c r="P311" s="2">
        <v>3.5979000000000001</v>
      </c>
      <c r="Q311" s="2">
        <v>3.7959000000000001</v>
      </c>
      <c r="R311" s="5" t="s">
        <v>3</v>
      </c>
      <c r="S311" s="5" t="s">
        <v>3</v>
      </c>
      <c r="T311" t="s">
        <v>125</v>
      </c>
    </row>
    <row r="312" spans="2:21" x14ac:dyDescent="0.25">
      <c r="B312" t="s">
        <v>206</v>
      </c>
      <c r="C312" s="2">
        <v>0.88800000000000001</v>
      </c>
      <c r="D312" s="2">
        <v>0.9546</v>
      </c>
      <c r="E312" s="2">
        <v>1.0212000000000001</v>
      </c>
      <c r="F312" s="2">
        <v>1.1100000000000001</v>
      </c>
      <c r="G312" s="2">
        <v>1.1766000000000001</v>
      </c>
      <c r="H312" s="2">
        <v>1.2432000000000001</v>
      </c>
      <c r="I312" s="2">
        <v>1.3320000000000001</v>
      </c>
      <c r="J312" s="2">
        <v>1.4208000000000001</v>
      </c>
      <c r="K312" s="2">
        <v>1.5096000000000001</v>
      </c>
      <c r="L312" s="2">
        <v>1.5984</v>
      </c>
      <c r="M312" s="2">
        <v>1.6872</v>
      </c>
      <c r="N312" s="2">
        <v>1.776</v>
      </c>
      <c r="O312" s="2">
        <v>1.887</v>
      </c>
      <c r="P312" s="2">
        <v>1.998</v>
      </c>
      <c r="Q312" s="2">
        <v>2.109</v>
      </c>
      <c r="R312" s="5" t="s">
        <v>19</v>
      </c>
      <c r="S312" s="5" t="s">
        <v>19</v>
      </c>
      <c r="T312" t="s">
        <v>125</v>
      </c>
    </row>
    <row r="313" spans="2:21" x14ac:dyDescent="0.25">
      <c r="B313" t="s">
        <v>205</v>
      </c>
      <c r="C313" s="2">
        <v>1.1544000000000001</v>
      </c>
      <c r="D313" s="2">
        <v>1.2410000000000001</v>
      </c>
      <c r="E313" s="2">
        <v>1.3275999999999999</v>
      </c>
      <c r="F313" s="2">
        <v>1.4430000000000001</v>
      </c>
      <c r="G313" s="2">
        <v>1.5296000000000001</v>
      </c>
      <c r="H313" s="2">
        <v>1.6162000000000001</v>
      </c>
      <c r="I313" s="2">
        <v>1.7316</v>
      </c>
      <c r="J313" s="2">
        <v>1.847</v>
      </c>
      <c r="K313" s="2">
        <v>1.9624999999999999</v>
      </c>
      <c r="L313" s="2">
        <v>2.0779000000000001</v>
      </c>
      <c r="M313" s="2">
        <v>2.1934</v>
      </c>
      <c r="N313" s="2">
        <v>2.3088000000000002</v>
      </c>
      <c r="O313" s="2">
        <v>2.4531000000000001</v>
      </c>
      <c r="P313" s="2">
        <v>2.5973999999999999</v>
      </c>
      <c r="Q313" s="2">
        <v>2.7416999999999998</v>
      </c>
      <c r="R313" s="5" t="s">
        <v>19</v>
      </c>
      <c r="S313" s="5" t="s">
        <v>19</v>
      </c>
      <c r="T313" t="s">
        <v>125</v>
      </c>
    </row>
    <row r="314" spans="2:21" x14ac:dyDescent="0.25">
      <c r="B314" t="s">
        <v>188</v>
      </c>
      <c r="C314" s="2">
        <v>2.08</v>
      </c>
      <c r="D314" s="2">
        <v>2.2360000000000002</v>
      </c>
      <c r="E314" s="2">
        <v>2.3919999999999999</v>
      </c>
      <c r="F314" s="2">
        <v>2.6</v>
      </c>
      <c r="G314" s="2">
        <v>2.7559999999999998</v>
      </c>
      <c r="H314" s="2">
        <v>2.9119999999999999</v>
      </c>
      <c r="I314" s="2">
        <v>3.12</v>
      </c>
      <c r="J314" s="2">
        <v>3.3279999999999998</v>
      </c>
      <c r="K314" s="2">
        <v>3.536</v>
      </c>
      <c r="L314" s="2">
        <v>3.7440000000000002</v>
      </c>
      <c r="M314" s="2">
        <v>3.952</v>
      </c>
      <c r="N314" s="2">
        <v>4.16</v>
      </c>
      <c r="O314" s="2">
        <v>4.42</v>
      </c>
      <c r="P314" s="2">
        <v>4.68</v>
      </c>
      <c r="Q314" s="2">
        <v>4.9400000000000004</v>
      </c>
      <c r="R314" s="5" t="s">
        <v>0</v>
      </c>
      <c r="S314" s="5" t="s">
        <v>0</v>
      </c>
      <c r="T314" t="s">
        <v>125</v>
      </c>
    </row>
    <row r="315" spans="2:21" x14ac:dyDescent="0.25">
      <c r="B315" t="s">
        <v>211</v>
      </c>
      <c r="C315" s="2">
        <f>1.527*C308</f>
        <v>1.8934799999999998</v>
      </c>
      <c r="D315" s="2">
        <f t="shared" ref="D315:Q315" si="6">1.527*D308</f>
        <v>2.0354909999999999</v>
      </c>
      <c r="E315" s="2">
        <f t="shared" si="6"/>
        <v>2.1775019999999996</v>
      </c>
      <c r="F315" s="2">
        <f t="shared" si="6"/>
        <v>2.3668499999999999</v>
      </c>
      <c r="G315" s="2">
        <f t="shared" si="6"/>
        <v>2.508861</v>
      </c>
      <c r="H315" s="2">
        <f t="shared" si="6"/>
        <v>2.6508719999999997</v>
      </c>
      <c r="I315" s="2">
        <f t="shared" si="6"/>
        <v>2.84022</v>
      </c>
      <c r="J315" s="2">
        <f t="shared" si="6"/>
        <v>3.0295679999999998</v>
      </c>
      <c r="K315" s="2">
        <f t="shared" si="6"/>
        <v>3.2189160000000001</v>
      </c>
      <c r="L315" s="2">
        <f t="shared" si="6"/>
        <v>3.408264</v>
      </c>
      <c r="M315" s="2">
        <f t="shared" si="6"/>
        <v>3.5976119999999998</v>
      </c>
      <c r="N315" s="2">
        <f t="shared" si="6"/>
        <v>3.7869599999999997</v>
      </c>
      <c r="O315" s="2">
        <f t="shared" si="6"/>
        <v>4.0236449999999992</v>
      </c>
      <c r="P315" s="2">
        <f t="shared" si="6"/>
        <v>4.2603299999999997</v>
      </c>
      <c r="Q315" s="2">
        <f t="shared" si="6"/>
        <v>4.4970149999999993</v>
      </c>
      <c r="R315" t="s">
        <v>5</v>
      </c>
      <c r="S315" t="s">
        <v>5</v>
      </c>
      <c r="T315" t="s">
        <v>125</v>
      </c>
    </row>
    <row r="316" spans="2:21" x14ac:dyDescent="0.25">
      <c r="B316" t="s">
        <v>212</v>
      </c>
      <c r="C316" s="2">
        <v>0.8</v>
      </c>
      <c r="D316" s="2">
        <v>0.8</v>
      </c>
      <c r="E316" s="2">
        <v>0.8</v>
      </c>
      <c r="F316" s="2">
        <v>0.8</v>
      </c>
      <c r="G316" s="2">
        <v>0.8</v>
      </c>
      <c r="H316" s="2">
        <v>0.8</v>
      </c>
      <c r="I316" s="2">
        <v>0.8</v>
      </c>
      <c r="J316" s="2">
        <v>0.8</v>
      </c>
      <c r="K316" s="2">
        <v>0.8</v>
      </c>
      <c r="L316" s="2">
        <v>0.8</v>
      </c>
      <c r="M316" s="2">
        <v>0.8</v>
      </c>
      <c r="N316" s="2">
        <v>0.8</v>
      </c>
      <c r="O316" s="2">
        <v>0.8</v>
      </c>
      <c r="P316" s="2">
        <v>0.8</v>
      </c>
      <c r="Q316" s="2">
        <v>0.8</v>
      </c>
      <c r="R316" t="s">
        <v>19</v>
      </c>
      <c r="S316" t="s">
        <v>19</v>
      </c>
      <c r="T316" t="s">
        <v>125</v>
      </c>
    </row>
    <row r="317" spans="2:21" x14ac:dyDescent="0.25">
      <c r="B317" t="s">
        <v>916</v>
      </c>
      <c r="C317" s="2">
        <v>0.2</v>
      </c>
      <c r="D317" s="2">
        <v>0.2</v>
      </c>
      <c r="E317" s="2">
        <v>0.2</v>
      </c>
      <c r="F317" s="2">
        <v>0.2</v>
      </c>
      <c r="G317" s="2">
        <v>0.2</v>
      </c>
      <c r="H317" s="2">
        <v>0.2</v>
      </c>
      <c r="I317" s="2">
        <v>0.2</v>
      </c>
      <c r="J317" s="2">
        <v>0.2</v>
      </c>
      <c r="K317" s="2">
        <v>0.2</v>
      </c>
      <c r="L317" s="2">
        <v>0.2</v>
      </c>
      <c r="M317" s="2">
        <v>0.2</v>
      </c>
      <c r="N317" s="2">
        <v>0.2</v>
      </c>
      <c r="O317" s="2">
        <v>0.2</v>
      </c>
      <c r="P317" s="2">
        <v>0.2</v>
      </c>
      <c r="Q317" s="2">
        <v>0.2</v>
      </c>
      <c r="R317" s="5" t="s">
        <v>246</v>
      </c>
      <c r="S317" s="5" t="s">
        <v>246</v>
      </c>
      <c r="T317" t="s">
        <v>223</v>
      </c>
      <c r="U317" t="s">
        <v>944</v>
      </c>
    </row>
    <row r="318" spans="2:21" x14ac:dyDescent="0.25">
      <c r="B318" t="s">
        <v>207</v>
      </c>
      <c r="C318" s="2">
        <v>0.22</v>
      </c>
      <c r="D318" s="2">
        <v>0.22</v>
      </c>
      <c r="E318" s="2">
        <v>0.22</v>
      </c>
      <c r="F318" s="2">
        <v>0.22</v>
      </c>
      <c r="G318" s="2">
        <v>0.22</v>
      </c>
      <c r="H318" s="2">
        <v>0.22</v>
      </c>
      <c r="I318" s="2">
        <v>0.22</v>
      </c>
      <c r="J318" s="2">
        <v>0.22</v>
      </c>
      <c r="K318" s="2">
        <v>0.22</v>
      </c>
      <c r="L318" s="2">
        <v>0.22</v>
      </c>
      <c r="M318" s="2">
        <v>0.22</v>
      </c>
      <c r="N318" s="2">
        <v>0.22</v>
      </c>
      <c r="O318" s="2">
        <v>0.22</v>
      </c>
      <c r="P318" s="2">
        <v>0.22</v>
      </c>
      <c r="Q318" s="2">
        <v>0.22</v>
      </c>
      <c r="R318" t="s">
        <v>6</v>
      </c>
      <c r="S318" t="s">
        <v>6</v>
      </c>
      <c r="T318" t="s">
        <v>125</v>
      </c>
    </row>
    <row r="319" spans="2:21" x14ac:dyDescent="0.25">
      <c r="B319" t="s">
        <v>208</v>
      </c>
      <c r="C319" s="2">
        <v>2</v>
      </c>
      <c r="D319" s="2">
        <v>2</v>
      </c>
      <c r="E319" s="2">
        <v>2</v>
      </c>
      <c r="F319" s="2">
        <v>2</v>
      </c>
      <c r="G319" s="2">
        <v>2</v>
      </c>
      <c r="H319" s="2">
        <v>2</v>
      </c>
      <c r="I319" s="2">
        <v>2</v>
      </c>
      <c r="J319" s="2">
        <v>2</v>
      </c>
      <c r="K319" s="2">
        <v>2</v>
      </c>
      <c r="L319" s="2">
        <v>2</v>
      </c>
      <c r="M319" s="2">
        <v>2</v>
      </c>
      <c r="N319" s="2">
        <v>2</v>
      </c>
      <c r="O319" s="2">
        <v>2</v>
      </c>
      <c r="P319" s="2">
        <v>2</v>
      </c>
      <c r="Q319" s="2">
        <v>2</v>
      </c>
      <c r="R319" t="s">
        <v>19</v>
      </c>
      <c r="S319" t="s">
        <v>19</v>
      </c>
      <c r="T319" t="s">
        <v>125</v>
      </c>
    </row>
    <row r="320" spans="2:21" x14ac:dyDescent="0.25">
      <c r="B320" t="s">
        <v>209</v>
      </c>
      <c r="C320" s="2">
        <v>2.2200000000000002</v>
      </c>
      <c r="D320" s="2">
        <v>2.2200000000000002</v>
      </c>
      <c r="E320" s="2">
        <v>2.2200000000000002</v>
      </c>
      <c r="F320" s="2">
        <v>2.2200000000000002</v>
      </c>
      <c r="G320" s="2">
        <v>2.2200000000000002</v>
      </c>
      <c r="H320" s="2">
        <v>2.2200000000000002</v>
      </c>
      <c r="I320" s="2">
        <v>2.2200000000000002</v>
      </c>
      <c r="J320" s="2">
        <v>2.2200000000000002</v>
      </c>
      <c r="K320" s="2">
        <v>2.2200000000000002</v>
      </c>
      <c r="L320" s="2">
        <v>2.2200000000000002</v>
      </c>
      <c r="M320" s="2">
        <v>2.2200000000000002</v>
      </c>
      <c r="N320" s="2">
        <v>2.2200000000000002</v>
      </c>
      <c r="O320" s="2">
        <v>2.2200000000000002</v>
      </c>
      <c r="P320" s="2">
        <v>2.2200000000000002</v>
      </c>
      <c r="Q320" s="2">
        <v>2.2200000000000002</v>
      </c>
      <c r="R320" t="s">
        <v>0</v>
      </c>
      <c r="S320" t="s">
        <v>0</v>
      </c>
      <c r="T320" t="s">
        <v>125</v>
      </c>
    </row>
    <row r="321" spans="1:20" x14ac:dyDescent="0.25">
      <c r="B321" t="s">
        <v>210</v>
      </c>
      <c r="C321" s="2">
        <v>0.3</v>
      </c>
      <c r="D321" s="2">
        <v>0.3</v>
      </c>
      <c r="E321" s="2">
        <v>0.3</v>
      </c>
      <c r="F321" s="2">
        <v>0.3</v>
      </c>
      <c r="G321" s="2">
        <v>0.3</v>
      </c>
      <c r="H321" s="2">
        <v>0.3</v>
      </c>
      <c r="I321" s="2">
        <v>0.3</v>
      </c>
      <c r="J321" s="2">
        <v>0.3</v>
      </c>
      <c r="K321" s="2">
        <v>0.3</v>
      </c>
      <c r="L321" s="2">
        <v>0.3</v>
      </c>
      <c r="M321" s="2">
        <v>0.3</v>
      </c>
      <c r="N321" s="2">
        <v>0.3</v>
      </c>
      <c r="O321" s="2">
        <v>0.3</v>
      </c>
      <c r="P321" s="2">
        <v>0.3</v>
      </c>
      <c r="Q321" s="2">
        <v>0.3</v>
      </c>
      <c r="R321" t="s">
        <v>19</v>
      </c>
      <c r="S321" t="s">
        <v>19</v>
      </c>
      <c r="T321" t="s">
        <v>125</v>
      </c>
    </row>
    <row r="322" spans="1:20" x14ac:dyDescent="0.25">
      <c r="B322" s="3" t="s">
        <v>763</v>
      </c>
      <c r="C322" s="23"/>
      <c r="D322" s="23"/>
      <c r="E322" s="23"/>
      <c r="F322" s="23"/>
      <c r="G322" s="23"/>
      <c r="H322" s="23"/>
      <c r="I322" s="23"/>
      <c r="J322" s="23"/>
      <c r="K322" s="23"/>
      <c r="L322" s="23"/>
      <c r="M322" s="23"/>
      <c r="N322" s="23"/>
      <c r="O322" s="23"/>
      <c r="P322" s="23"/>
      <c r="Q322" s="23"/>
      <c r="R322" s="5" t="s">
        <v>763</v>
      </c>
      <c r="S322" s="5" t="s">
        <v>763</v>
      </c>
      <c r="T322" t="s">
        <v>764</v>
      </c>
    </row>
    <row r="323" spans="1:20" x14ac:dyDescent="0.25">
      <c r="B323" s="3" t="s">
        <v>386</v>
      </c>
      <c r="C323" s="23"/>
      <c r="D323" s="23"/>
      <c r="E323" s="23"/>
      <c r="F323" s="23"/>
      <c r="G323" s="23"/>
      <c r="H323" s="23"/>
      <c r="I323" s="23"/>
      <c r="J323" s="23"/>
      <c r="K323" s="23"/>
      <c r="L323" s="23"/>
      <c r="M323" s="23"/>
      <c r="N323" s="23"/>
      <c r="O323" s="23"/>
      <c r="P323" s="23"/>
      <c r="Q323" s="23"/>
      <c r="R323" s="5" t="s">
        <v>392</v>
      </c>
      <c r="S323" s="5" t="s">
        <v>392</v>
      </c>
      <c r="T323" t="s">
        <v>69</v>
      </c>
    </row>
    <row r="324" spans="1:20" x14ac:dyDescent="0.25">
      <c r="B324" s="3" t="s">
        <v>388</v>
      </c>
      <c r="C324" s="23"/>
      <c r="D324" s="23"/>
      <c r="E324" s="23"/>
      <c r="F324" s="23"/>
      <c r="G324" s="23"/>
      <c r="H324" s="23"/>
      <c r="I324" s="23"/>
      <c r="J324" s="23"/>
      <c r="K324" s="23"/>
      <c r="L324" s="23"/>
      <c r="M324" s="23"/>
      <c r="N324" s="23"/>
      <c r="O324" s="23"/>
      <c r="P324" s="23"/>
      <c r="Q324" s="23"/>
      <c r="R324" s="5" t="s">
        <v>392</v>
      </c>
      <c r="S324" s="5" t="s">
        <v>392</v>
      </c>
      <c r="T324" t="s">
        <v>69</v>
      </c>
    </row>
    <row r="325" spans="1:20" x14ac:dyDescent="0.25">
      <c r="B325" s="3" t="s">
        <v>389</v>
      </c>
      <c r="C325" s="23"/>
      <c r="D325" s="23"/>
      <c r="E325" s="23"/>
      <c r="F325" s="23"/>
      <c r="G325" s="23"/>
      <c r="H325" s="23"/>
      <c r="I325" s="23"/>
      <c r="J325" s="23"/>
      <c r="K325" s="23"/>
      <c r="L325" s="23"/>
      <c r="M325" s="23"/>
      <c r="N325" s="23"/>
      <c r="O325" s="23"/>
      <c r="P325" s="23"/>
      <c r="Q325" s="23"/>
      <c r="R325" s="5" t="s">
        <v>392</v>
      </c>
      <c r="S325" s="5" t="s">
        <v>392</v>
      </c>
      <c r="T325" t="s">
        <v>69</v>
      </c>
    </row>
    <row r="326" spans="1:20" x14ac:dyDescent="0.25">
      <c r="B326" s="3" t="s">
        <v>385</v>
      </c>
      <c r="C326" s="23"/>
      <c r="D326" s="23"/>
      <c r="E326" s="23"/>
      <c r="F326" s="23"/>
      <c r="G326" s="23"/>
      <c r="H326" s="23"/>
      <c r="I326" s="23"/>
      <c r="J326" s="23"/>
      <c r="K326" s="23"/>
      <c r="L326" s="23"/>
      <c r="M326" s="23"/>
      <c r="N326" s="23"/>
      <c r="O326" s="23"/>
      <c r="P326" s="23"/>
      <c r="Q326" s="23"/>
      <c r="R326" s="5" t="s">
        <v>392</v>
      </c>
      <c r="S326" s="5" t="s">
        <v>392</v>
      </c>
      <c r="T326" t="s">
        <v>69</v>
      </c>
    </row>
    <row r="327" spans="1:20" ht="15" customHeight="1" x14ac:dyDescent="0.25">
      <c r="B327" s="3" t="s">
        <v>387</v>
      </c>
      <c r="C327" s="23"/>
      <c r="D327" s="23"/>
      <c r="E327" s="23"/>
      <c r="F327" s="23"/>
      <c r="G327" s="23"/>
      <c r="H327" s="23"/>
      <c r="I327" s="23"/>
      <c r="J327" s="23"/>
      <c r="K327" s="23"/>
      <c r="L327" s="23"/>
      <c r="M327" s="23"/>
      <c r="N327" s="23"/>
      <c r="O327" s="23"/>
      <c r="P327" s="23"/>
      <c r="Q327" s="23"/>
      <c r="R327" s="5" t="s">
        <v>392</v>
      </c>
      <c r="S327" s="5" t="s">
        <v>392</v>
      </c>
      <c r="T327" t="s">
        <v>69</v>
      </c>
    </row>
    <row r="328" spans="1:20" x14ac:dyDescent="0.25">
      <c r="B328" s="3" t="s">
        <v>390</v>
      </c>
      <c r="C328" s="23"/>
      <c r="D328" s="23"/>
      <c r="E328" s="23"/>
      <c r="F328" s="23"/>
      <c r="G328" s="23"/>
      <c r="H328" s="23"/>
      <c r="I328" s="23"/>
      <c r="J328" s="23"/>
      <c r="K328" s="23"/>
      <c r="L328" s="23"/>
      <c r="M328" s="23"/>
      <c r="N328" s="23"/>
      <c r="O328" s="23"/>
      <c r="P328" s="23"/>
      <c r="Q328" s="23"/>
      <c r="R328" s="5" t="s">
        <v>392</v>
      </c>
      <c r="S328" s="5" t="s">
        <v>392</v>
      </c>
      <c r="T328" t="s">
        <v>69</v>
      </c>
    </row>
    <row r="329" spans="1:20" x14ac:dyDescent="0.25">
      <c r="B329" s="3" t="s">
        <v>391</v>
      </c>
      <c r="C329" s="23"/>
      <c r="D329" s="23"/>
      <c r="E329" s="23"/>
      <c r="F329" s="23"/>
      <c r="G329" s="23"/>
      <c r="H329" s="23"/>
      <c r="I329" s="23"/>
      <c r="J329" s="23"/>
      <c r="K329" s="23"/>
      <c r="L329" s="23"/>
      <c r="M329" s="23"/>
      <c r="N329" s="23"/>
      <c r="O329" s="23"/>
      <c r="P329" s="23"/>
      <c r="Q329" s="23"/>
      <c r="R329" s="5" t="s">
        <v>392</v>
      </c>
      <c r="S329" s="5" t="s">
        <v>392</v>
      </c>
      <c r="T329" t="s">
        <v>69</v>
      </c>
    </row>
    <row r="330" spans="1:20" x14ac:dyDescent="0.25">
      <c r="A330" t="s">
        <v>841</v>
      </c>
      <c r="B330" s="3" t="s">
        <v>393</v>
      </c>
      <c r="C330" s="23"/>
      <c r="D330" s="23"/>
      <c r="E330" s="23"/>
      <c r="F330" s="23"/>
      <c r="G330" s="23"/>
      <c r="H330" s="23"/>
      <c r="I330" s="23"/>
      <c r="J330" s="23"/>
      <c r="K330" s="23"/>
      <c r="L330" s="23"/>
      <c r="M330" s="23"/>
      <c r="N330" s="23"/>
      <c r="O330" s="23"/>
      <c r="P330" s="23"/>
      <c r="Q330" s="23"/>
      <c r="R330" s="5" t="s">
        <v>392</v>
      </c>
      <c r="S330" s="5" t="s">
        <v>392</v>
      </c>
      <c r="T330" t="s">
        <v>69</v>
      </c>
    </row>
    <row r="331" spans="1:20" x14ac:dyDescent="0.25">
      <c r="B331" t="s">
        <v>213</v>
      </c>
      <c r="C331" s="21">
        <v>1</v>
      </c>
      <c r="D331" s="21">
        <v>2</v>
      </c>
      <c r="E331" s="21">
        <v>3</v>
      </c>
      <c r="F331" s="21">
        <v>4</v>
      </c>
      <c r="G331" s="21">
        <v>5</v>
      </c>
      <c r="H331" s="21">
        <v>6</v>
      </c>
      <c r="I331" s="21">
        <v>7</v>
      </c>
      <c r="J331" s="21">
        <v>8</v>
      </c>
      <c r="K331" s="21">
        <v>9</v>
      </c>
      <c r="L331" s="21">
        <v>10</v>
      </c>
      <c r="M331" s="21">
        <v>11</v>
      </c>
      <c r="N331" s="21">
        <v>12</v>
      </c>
      <c r="O331" s="21">
        <v>13</v>
      </c>
      <c r="P331" s="21">
        <v>14</v>
      </c>
      <c r="Q331" s="21">
        <v>15</v>
      </c>
      <c r="R331" s="5" t="s">
        <v>11</v>
      </c>
      <c r="S331" s="5" t="s">
        <v>1024</v>
      </c>
      <c r="T331" t="s">
        <v>124</v>
      </c>
    </row>
    <row r="332" spans="1:20" x14ac:dyDescent="0.25">
      <c r="A332" t="s">
        <v>842</v>
      </c>
      <c r="B332" t="s">
        <v>10</v>
      </c>
      <c r="C332" s="2">
        <v>0.31730000000000003</v>
      </c>
      <c r="D332" s="2">
        <v>0.34320000000000001</v>
      </c>
      <c r="E332" s="2">
        <v>0.36899999999999999</v>
      </c>
      <c r="F332" s="2">
        <v>0.40589999999999998</v>
      </c>
      <c r="G332" s="2">
        <v>0.43169999999999997</v>
      </c>
      <c r="H332" s="2">
        <v>0.46129999999999999</v>
      </c>
      <c r="I332" s="2">
        <v>0.50180000000000002</v>
      </c>
      <c r="J332" s="2">
        <v>0.54239999999999999</v>
      </c>
      <c r="K332" s="2">
        <v>0.58299999999999996</v>
      </c>
      <c r="L332" s="2">
        <v>0.62729999999999997</v>
      </c>
      <c r="M332" s="2">
        <v>0.67800000000000005</v>
      </c>
      <c r="N332" s="2">
        <v>0.73770000000000002</v>
      </c>
      <c r="O332" s="2">
        <v>0.7974</v>
      </c>
      <c r="P332" s="2">
        <v>0.85699999999999998</v>
      </c>
      <c r="Q332" s="2">
        <v>0.92210000000000003</v>
      </c>
      <c r="R332" t="s">
        <v>6</v>
      </c>
      <c r="S332" t="s">
        <v>6</v>
      </c>
      <c r="T332" t="s">
        <v>125</v>
      </c>
    </row>
    <row r="333" spans="1:20" x14ac:dyDescent="0.25">
      <c r="B333" t="s">
        <v>9</v>
      </c>
      <c r="C333" s="2">
        <v>0.35599999999999998</v>
      </c>
      <c r="D333" s="2">
        <v>0.38500000000000001</v>
      </c>
      <c r="E333" s="2">
        <v>0.41399999999999998</v>
      </c>
      <c r="F333" s="2">
        <v>0.45540000000000003</v>
      </c>
      <c r="G333" s="2">
        <v>0.4844</v>
      </c>
      <c r="H333" s="2">
        <v>0.51749999999999996</v>
      </c>
      <c r="I333" s="2">
        <v>0.56299999999999994</v>
      </c>
      <c r="J333" s="2">
        <v>0.60860000000000003</v>
      </c>
      <c r="K333" s="2">
        <v>0.65410000000000001</v>
      </c>
      <c r="L333" s="2">
        <v>0.70379999999999998</v>
      </c>
      <c r="M333" s="2">
        <v>0.76070000000000004</v>
      </c>
      <c r="N333" s="2">
        <v>0.82769999999999999</v>
      </c>
      <c r="O333" s="2">
        <v>0.89459999999999995</v>
      </c>
      <c r="P333" s="2">
        <v>0.96160000000000001</v>
      </c>
      <c r="Q333" s="2">
        <v>1.0346</v>
      </c>
      <c r="R333" t="s">
        <v>6</v>
      </c>
      <c r="S333" t="s">
        <v>6</v>
      </c>
      <c r="T333" t="s">
        <v>125</v>
      </c>
    </row>
    <row r="334" spans="1:20" x14ac:dyDescent="0.25">
      <c r="B334" t="s">
        <v>8</v>
      </c>
      <c r="C334" s="2">
        <v>0.45490000000000003</v>
      </c>
      <c r="D334" s="2">
        <v>0.49199999999999999</v>
      </c>
      <c r="E334" s="2">
        <v>0.52900000000000003</v>
      </c>
      <c r="F334" s="2">
        <v>0.58189999999999997</v>
      </c>
      <c r="G334" s="2">
        <v>0.61890000000000001</v>
      </c>
      <c r="H334" s="2">
        <v>0.6613</v>
      </c>
      <c r="I334" s="2">
        <v>0.71940000000000004</v>
      </c>
      <c r="J334" s="2">
        <v>0.77759999999999996</v>
      </c>
      <c r="K334" s="2">
        <v>0.83579999999999999</v>
      </c>
      <c r="L334" s="2">
        <v>0.89929999999999999</v>
      </c>
      <c r="M334" s="2">
        <v>0.97199999999999998</v>
      </c>
      <c r="N334" s="2">
        <v>1.0576000000000001</v>
      </c>
      <c r="O334" s="2">
        <v>1.1431</v>
      </c>
      <c r="P334" s="2">
        <v>1.2286999999999999</v>
      </c>
      <c r="Q334" s="2">
        <v>1.3220000000000001</v>
      </c>
      <c r="R334" t="s">
        <v>6</v>
      </c>
      <c r="S334" t="s">
        <v>6</v>
      </c>
      <c r="T334" t="s">
        <v>125</v>
      </c>
    </row>
    <row r="335" spans="1:20" x14ac:dyDescent="0.25">
      <c r="B335" t="s">
        <v>13</v>
      </c>
      <c r="C335" s="2">
        <v>0.45490000000000003</v>
      </c>
      <c r="D335" s="2">
        <v>0.49199999999999999</v>
      </c>
      <c r="E335" s="2">
        <v>0.52900000000000003</v>
      </c>
      <c r="F335" s="2">
        <v>0.58189999999999997</v>
      </c>
      <c r="G335" s="2">
        <v>0.61890000000000001</v>
      </c>
      <c r="H335" s="2">
        <v>0.6613</v>
      </c>
      <c r="I335" s="2">
        <v>0.71940000000000004</v>
      </c>
      <c r="J335" s="2">
        <v>0.77759999999999996</v>
      </c>
      <c r="K335" s="2">
        <v>0.83579999999999999</v>
      </c>
      <c r="L335" s="2">
        <v>0.89929999999999999</v>
      </c>
      <c r="M335" s="2">
        <v>0.97199999999999998</v>
      </c>
      <c r="N335" s="2">
        <v>1.0576000000000001</v>
      </c>
      <c r="O335" s="2">
        <v>1.1431</v>
      </c>
      <c r="P335" s="2">
        <v>1.2286999999999999</v>
      </c>
      <c r="Q335" s="2">
        <v>1.3220000000000001</v>
      </c>
      <c r="R335" t="s">
        <v>6</v>
      </c>
      <c r="S335" t="s">
        <v>6</v>
      </c>
      <c r="T335" t="s">
        <v>125</v>
      </c>
    </row>
    <row r="336" spans="1:20" x14ac:dyDescent="0.25">
      <c r="B336" t="s">
        <v>7</v>
      </c>
      <c r="C336" s="2">
        <v>0.48249999999999998</v>
      </c>
      <c r="D336" s="2">
        <v>0.52170000000000005</v>
      </c>
      <c r="E336" s="2">
        <v>0.56100000000000005</v>
      </c>
      <c r="F336" s="2">
        <v>0.61709999999999998</v>
      </c>
      <c r="G336" s="2">
        <v>0.65639999999999998</v>
      </c>
      <c r="H336" s="2">
        <v>0.70130000000000003</v>
      </c>
      <c r="I336" s="2">
        <v>0.76300000000000001</v>
      </c>
      <c r="J336" s="2">
        <v>0.82469999999999999</v>
      </c>
      <c r="K336" s="2">
        <v>0.88639999999999997</v>
      </c>
      <c r="L336" s="2">
        <v>0.95369999999999999</v>
      </c>
      <c r="M336" s="2">
        <v>1.0307999999999999</v>
      </c>
      <c r="N336" s="2">
        <v>1.1215999999999999</v>
      </c>
      <c r="O336" s="2">
        <v>1.2122999999999999</v>
      </c>
      <c r="P336" s="2">
        <v>1.3029999999999999</v>
      </c>
      <c r="Q336" s="2">
        <v>1.4018999999999999</v>
      </c>
      <c r="R336" t="s">
        <v>6</v>
      </c>
      <c r="S336" t="s">
        <v>6</v>
      </c>
      <c r="T336" t="s">
        <v>125</v>
      </c>
    </row>
    <row r="337" spans="2:20" x14ac:dyDescent="0.25">
      <c r="B337" t="s">
        <v>214</v>
      </c>
      <c r="C337" s="2">
        <v>0.57620000000000005</v>
      </c>
      <c r="D337" s="2">
        <v>0.62309999999999999</v>
      </c>
      <c r="E337" s="2">
        <v>0.67</v>
      </c>
      <c r="F337" s="2">
        <v>0.73699999999999999</v>
      </c>
      <c r="G337" s="2">
        <v>0.78390000000000004</v>
      </c>
      <c r="H337" s="2">
        <v>0.83750000000000002</v>
      </c>
      <c r="I337" s="2">
        <v>0.91120000000000001</v>
      </c>
      <c r="J337" s="2">
        <v>0.9849</v>
      </c>
      <c r="K337" s="2">
        <v>1.0586</v>
      </c>
      <c r="L337" s="2">
        <v>1.139</v>
      </c>
      <c r="M337" s="2">
        <v>1.2311000000000001</v>
      </c>
      <c r="N337" s="2">
        <v>1.3394999999999999</v>
      </c>
      <c r="O337" s="2">
        <v>1.4478</v>
      </c>
      <c r="P337" s="2">
        <v>1.5561</v>
      </c>
      <c r="Q337" s="2">
        <v>1.6742999999999999</v>
      </c>
      <c r="R337" t="s">
        <v>6</v>
      </c>
      <c r="S337" t="s">
        <v>6</v>
      </c>
      <c r="T337" t="s">
        <v>125</v>
      </c>
    </row>
    <row r="338" spans="2:20" x14ac:dyDescent="0.25">
      <c r="B338" t="s">
        <v>131</v>
      </c>
      <c r="C338" s="2">
        <v>0.43859999999999999</v>
      </c>
      <c r="D338" s="2">
        <v>0.4743</v>
      </c>
      <c r="E338" s="2">
        <v>0.51</v>
      </c>
      <c r="F338" s="2">
        <v>0.56100000000000005</v>
      </c>
      <c r="G338" s="2">
        <v>0.59670000000000001</v>
      </c>
      <c r="H338" s="2">
        <v>0.63749999999999996</v>
      </c>
      <c r="I338" s="2">
        <v>0.69359999999999999</v>
      </c>
      <c r="J338" s="2">
        <v>0.74970000000000003</v>
      </c>
      <c r="K338" s="2">
        <v>0.80579999999999996</v>
      </c>
      <c r="L338" s="2">
        <v>0.86699999999999999</v>
      </c>
      <c r="M338" s="2">
        <v>0.92820000000000003</v>
      </c>
      <c r="N338" s="2">
        <v>0.98939999999999995</v>
      </c>
      <c r="O338" s="2">
        <v>1.0506</v>
      </c>
      <c r="P338" s="2">
        <v>1.1117999999999999</v>
      </c>
      <c r="Q338" s="2">
        <v>1.173</v>
      </c>
      <c r="R338" t="s">
        <v>5</v>
      </c>
      <c r="S338" t="s">
        <v>5</v>
      </c>
      <c r="T338" t="s">
        <v>125</v>
      </c>
    </row>
    <row r="339" spans="2:20" x14ac:dyDescent="0.25">
      <c r="B339" t="s">
        <v>215</v>
      </c>
      <c r="C339" s="2">
        <v>1.24</v>
      </c>
      <c r="D339" s="2">
        <v>1.333</v>
      </c>
      <c r="E339" s="2">
        <v>1.4259999999999999</v>
      </c>
      <c r="F339" s="2">
        <v>1.55</v>
      </c>
      <c r="G339" s="2">
        <v>1.643</v>
      </c>
      <c r="H339" s="2">
        <v>1.736</v>
      </c>
      <c r="I339" s="2">
        <v>1.86</v>
      </c>
      <c r="J339" s="2">
        <v>1.984</v>
      </c>
      <c r="K339" s="2">
        <v>2.1080000000000001</v>
      </c>
      <c r="L339" s="2">
        <v>2.2320000000000002</v>
      </c>
      <c r="M339" s="2">
        <v>2.3559999999999999</v>
      </c>
      <c r="N339" s="2">
        <v>2.48</v>
      </c>
      <c r="O339" s="2">
        <v>2.6349999999999998</v>
      </c>
      <c r="P339" s="2">
        <v>2.79</v>
      </c>
      <c r="Q339" s="2">
        <v>2.9449999999999998</v>
      </c>
      <c r="R339" t="s">
        <v>5</v>
      </c>
      <c r="S339" t="s">
        <v>5</v>
      </c>
      <c r="T339" t="s">
        <v>125</v>
      </c>
    </row>
    <row r="340" spans="2:20" x14ac:dyDescent="0.25">
      <c r="B340" t="s">
        <v>216</v>
      </c>
      <c r="C340" s="2">
        <v>1.28</v>
      </c>
      <c r="D340" s="2">
        <v>1.3759999999999999</v>
      </c>
      <c r="E340" s="2">
        <v>1.472</v>
      </c>
      <c r="F340" s="2">
        <v>1.6</v>
      </c>
      <c r="G340" s="2">
        <v>1.696</v>
      </c>
      <c r="H340" s="2">
        <v>1.792</v>
      </c>
      <c r="I340" s="2">
        <v>1.92</v>
      </c>
      <c r="J340" s="2">
        <v>2.048</v>
      </c>
      <c r="K340" s="2">
        <v>2.1760000000000002</v>
      </c>
      <c r="L340" s="2">
        <v>2.3039999999999998</v>
      </c>
      <c r="M340" s="2">
        <v>2.4319999999999999</v>
      </c>
      <c r="N340" s="2">
        <v>2.56</v>
      </c>
      <c r="O340" s="2">
        <v>2.72</v>
      </c>
      <c r="P340" s="2">
        <v>2.88</v>
      </c>
      <c r="Q340" s="2">
        <v>3.04</v>
      </c>
      <c r="R340" t="s">
        <v>5</v>
      </c>
      <c r="S340" t="s">
        <v>5</v>
      </c>
      <c r="T340" t="s">
        <v>125</v>
      </c>
    </row>
    <row r="341" spans="2:20" x14ac:dyDescent="0.25">
      <c r="B341" t="s">
        <v>217</v>
      </c>
      <c r="C341" s="2">
        <v>2.1760000000000002</v>
      </c>
      <c r="D341" s="2">
        <v>2.3391999999999999</v>
      </c>
      <c r="E341" s="2">
        <v>2.5024000000000002</v>
      </c>
      <c r="F341" s="2">
        <v>2.72</v>
      </c>
      <c r="G341" s="2">
        <v>2.8832</v>
      </c>
      <c r="H341" s="2">
        <v>3.0464000000000002</v>
      </c>
      <c r="I341" s="2">
        <v>3.2639999999999998</v>
      </c>
      <c r="J341" s="2">
        <v>3.4815999999999998</v>
      </c>
      <c r="K341" s="2">
        <v>3.6991999999999998</v>
      </c>
      <c r="L341" s="2">
        <v>3.9167999999999998</v>
      </c>
      <c r="M341" s="2">
        <v>4.1344000000000003</v>
      </c>
      <c r="N341" s="2">
        <v>4.3520000000000003</v>
      </c>
      <c r="O341" s="2">
        <v>4.6239999999999997</v>
      </c>
      <c r="P341" s="2">
        <v>4.8959999999999999</v>
      </c>
      <c r="Q341" s="2">
        <v>5.1680000000000001</v>
      </c>
      <c r="R341" t="s">
        <v>5</v>
      </c>
      <c r="S341" t="s">
        <v>5</v>
      </c>
      <c r="T341" t="s">
        <v>125</v>
      </c>
    </row>
    <row r="342" spans="2:20" x14ac:dyDescent="0.25">
      <c r="B342" t="s">
        <v>152</v>
      </c>
      <c r="C342" s="2">
        <v>0.56830000000000003</v>
      </c>
      <c r="D342" s="2">
        <v>0.61450000000000005</v>
      </c>
      <c r="E342" s="2">
        <v>0.66080000000000005</v>
      </c>
      <c r="F342" s="2">
        <v>0.72689999999999999</v>
      </c>
      <c r="G342" s="2">
        <v>0.77310000000000001</v>
      </c>
      <c r="H342" s="2">
        <v>0.82599999999999996</v>
      </c>
      <c r="I342" s="2">
        <v>0.89870000000000005</v>
      </c>
      <c r="J342" s="2">
        <v>0.97140000000000004</v>
      </c>
      <c r="K342" s="2">
        <v>1.0441</v>
      </c>
      <c r="L342" s="2">
        <v>1.1234</v>
      </c>
      <c r="M342" s="2">
        <v>1.2027000000000001</v>
      </c>
      <c r="N342" s="2">
        <v>1.282</v>
      </c>
      <c r="O342" s="2">
        <v>1.3612</v>
      </c>
      <c r="P342" s="2">
        <v>1.4404999999999999</v>
      </c>
      <c r="Q342" s="2">
        <v>1.5198</v>
      </c>
      <c r="R342" t="s">
        <v>3</v>
      </c>
      <c r="S342" t="s">
        <v>3</v>
      </c>
      <c r="T342" t="s">
        <v>125</v>
      </c>
    </row>
    <row r="343" spans="2:20" x14ac:dyDescent="0.25">
      <c r="B343" t="s">
        <v>133</v>
      </c>
      <c r="C343" s="2">
        <v>1.1363000000000001</v>
      </c>
      <c r="D343" s="2">
        <v>1.2287999999999999</v>
      </c>
      <c r="E343" s="2">
        <v>1.3212999999999999</v>
      </c>
      <c r="F343" s="2">
        <v>1.4535</v>
      </c>
      <c r="G343" s="2">
        <v>1.5459000000000001</v>
      </c>
      <c r="H343" s="2">
        <v>1.6516999999999999</v>
      </c>
      <c r="I343" s="2">
        <v>1.7969999999999999</v>
      </c>
      <c r="J343" s="2">
        <v>1.9422999999999999</v>
      </c>
      <c r="K343" s="2">
        <v>2.0876999999999999</v>
      </c>
      <c r="L343" s="2">
        <v>2.2462</v>
      </c>
      <c r="M343" s="2">
        <v>2.4047999999999998</v>
      </c>
      <c r="N343" s="2">
        <v>2.5634000000000001</v>
      </c>
      <c r="O343" s="2">
        <v>2.7219000000000002</v>
      </c>
      <c r="P343" s="2">
        <v>2.8805000000000001</v>
      </c>
      <c r="Q343" s="2">
        <v>3.0390000000000001</v>
      </c>
      <c r="R343" t="s">
        <v>3</v>
      </c>
      <c r="S343" t="s">
        <v>3</v>
      </c>
      <c r="T343" t="s">
        <v>125</v>
      </c>
    </row>
    <row r="344" spans="2:20" x14ac:dyDescent="0.25">
      <c r="B344" t="s">
        <v>134</v>
      </c>
      <c r="C344" s="2">
        <v>1.4193</v>
      </c>
      <c r="D344" s="2">
        <v>1.5348999999999999</v>
      </c>
      <c r="E344" s="2">
        <v>1.6504000000000001</v>
      </c>
      <c r="F344" s="2">
        <v>1.8153999999999999</v>
      </c>
      <c r="G344" s="2">
        <v>1.931</v>
      </c>
      <c r="H344" s="2">
        <v>2.0630000000000002</v>
      </c>
      <c r="I344" s="2">
        <v>2.2444999999999999</v>
      </c>
      <c r="J344" s="2">
        <v>2.4260999999999999</v>
      </c>
      <c r="K344" s="2">
        <v>2.6076000000000001</v>
      </c>
      <c r="L344" s="2">
        <v>2.8056999999999999</v>
      </c>
      <c r="M344" s="2">
        <v>3.0036999999999998</v>
      </c>
      <c r="N344" s="2">
        <v>3.2018</v>
      </c>
      <c r="O344" s="2">
        <v>3.3997999999999999</v>
      </c>
      <c r="P344" s="2">
        <v>3.5979000000000001</v>
      </c>
      <c r="Q344" s="2">
        <v>3.7959000000000001</v>
      </c>
      <c r="R344" t="s">
        <v>3</v>
      </c>
      <c r="S344" t="s">
        <v>3</v>
      </c>
      <c r="T344" t="s">
        <v>125</v>
      </c>
    </row>
    <row r="345" spans="2:20" x14ac:dyDescent="0.25">
      <c r="B345" t="s">
        <v>4</v>
      </c>
      <c r="C345" s="2">
        <v>1.32</v>
      </c>
      <c r="D345" s="2">
        <v>1.419</v>
      </c>
      <c r="E345" s="2">
        <v>1.518</v>
      </c>
      <c r="F345" s="2">
        <v>1.65</v>
      </c>
      <c r="G345" s="2">
        <v>1.7490000000000001</v>
      </c>
      <c r="H345" s="2">
        <v>1.8480000000000001</v>
      </c>
      <c r="I345" s="2">
        <v>1.98</v>
      </c>
      <c r="J345" s="2">
        <v>2.1120000000000001</v>
      </c>
      <c r="K345" s="2">
        <v>2.2440000000000002</v>
      </c>
      <c r="L345" s="2">
        <v>2.3759999999999999</v>
      </c>
      <c r="M345" s="2">
        <v>2.508</v>
      </c>
      <c r="N345" s="2">
        <v>2.64</v>
      </c>
      <c r="O345" s="2">
        <v>2.8050000000000002</v>
      </c>
      <c r="P345" s="2">
        <v>2.97</v>
      </c>
      <c r="Q345" s="2">
        <v>3.1349999999999998</v>
      </c>
      <c r="R345" t="s">
        <v>19</v>
      </c>
      <c r="S345" t="s">
        <v>19</v>
      </c>
      <c r="T345" t="s">
        <v>125</v>
      </c>
    </row>
    <row r="346" spans="2:20" x14ac:dyDescent="0.25">
      <c r="B346" t="s">
        <v>218</v>
      </c>
      <c r="C346" s="2">
        <v>0.70269999999999999</v>
      </c>
      <c r="D346" s="2">
        <v>0.75539999999999996</v>
      </c>
      <c r="E346" s="2">
        <v>0.80810000000000004</v>
      </c>
      <c r="F346" s="2">
        <v>0.87839999999999996</v>
      </c>
      <c r="G346" s="2">
        <v>0.93110000000000004</v>
      </c>
      <c r="H346" s="2">
        <v>0.98380000000000001</v>
      </c>
      <c r="I346" s="2">
        <v>1.0541</v>
      </c>
      <c r="J346" s="2">
        <v>1.1244000000000001</v>
      </c>
      <c r="K346" s="2">
        <v>1.1946000000000001</v>
      </c>
      <c r="L346" s="2">
        <v>1.2648999999999999</v>
      </c>
      <c r="M346" s="2">
        <v>1.3351999999999999</v>
      </c>
      <c r="N346" s="2">
        <v>1.4054</v>
      </c>
      <c r="O346" s="2">
        <v>1.4933000000000001</v>
      </c>
      <c r="P346" s="2">
        <v>1.5810999999999999</v>
      </c>
      <c r="Q346" s="2">
        <v>1.669</v>
      </c>
      <c r="R346" t="s">
        <v>0</v>
      </c>
      <c r="S346" t="s">
        <v>0</v>
      </c>
      <c r="T346" t="s">
        <v>125</v>
      </c>
    </row>
    <row r="347" spans="2:20" x14ac:dyDescent="0.25">
      <c r="B347" s="3" t="s">
        <v>763</v>
      </c>
      <c r="C347" s="23"/>
      <c r="D347" s="23"/>
      <c r="E347" s="23"/>
      <c r="F347" s="23"/>
      <c r="G347" s="23"/>
      <c r="H347" s="23"/>
      <c r="I347" s="23"/>
      <c r="J347" s="23"/>
      <c r="K347" s="23"/>
      <c r="L347" s="23"/>
      <c r="M347" s="23"/>
      <c r="N347" s="23"/>
      <c r="O347" s="23"/>
      <c r="P347" s="23"/>
      <c r="Q347" s="23"/>
      <c r="R347" s="5" t="s">
        <v>763</v>
      </c>
      <c r="S347" s="5" t="s">
        <v>763</v>
      </c>
      <c r="T347" t="s">
        <v>764</v>
      </c>
    </row>
    <row r="348" spans="2:20" x14ac:dyDescent="0.25">
      <c r="B348" s="3" t="s">
        <v>386</v>
      </c>
      <c r="C348" s="23"/>
      <c r="D348" s="23"/>
      <c r="E348" s="23"/>
      <c r="F348" s="23"/>
      <c r="G348" s="23"/>
      <c r="H348" s="23"/>
      <c r="I348" s="23"/>
      <c r="J348" s="23"/>
      <c r="K348" s="23"/>
      <c r="L348" s="23"/>
      <c r="M348" s="23"/>
      <c r="N348" s="23"/>
      <c r="O348" s="23"/>
      <c r="P348" s="23"/>
      <c r="Q348" s="23"/>
      <c r="R348" s="5" t="s">
        <v>392</v>
      </c>
      <c r="S348" s="5" t="s">
        <v>392</v>
      </c>
      <c r="T348" t="s">
        <v>69</v>
      </c>
    </row>
    <row r="349" spans="2:20" x14ac:dyDescent="0.25">
      <c r="B349" s="3" t="s">
        <v>388</v>
      </c>
      <c r="C349" s="23"/>
      <c r="D349" s="23"/>
      <c r="E349" s="23"/>
      <c r="F349" s="23"/>
      <c r="G349" s="23"/>
      <c r="H349" s="23"/>
      <c r="I349" s="23"/>
      <c r="J349" s="23"/>
      <c r="K349" s="23"/>
      <c r="L349" s="23"/>
      <c r="M349" s="23"/>
      <c r="N349" s="23"/>
      <c r="O349" s="23"/>
      <c r="P349" s="23"/>
      <c r="Q349" s="23"/>
      <c r="R349" s="5" t="s">
        <v>392</v>
      </c>
      <c r="S349" s="5" t="s">
        <v>392</v>
      </c>
      <c r="T349" t="s">
        <v>69</v>
      </c>
    </row>
    <row r="350" spans="2:20" x14ac:dyDescent="0.25">
      <c r="B350" s="3" t="s">
        <v>389</v>
      </c>
      <c r="C350" s="23"/>
      <c r="D350" s="23"/>
      <c r="E350" s="23"/>
      <c r="F350" s="23"/>
      <c r="G350" s="23"/>
      <c r="H350" s="23"/>
      <c r="I350" s="23"/>
      <c r="J350" s="23"/>
      <c r="K350" s="23"/>
      <c r="L350" s="23"/>
      <c r="M350" s="23"/>
      <c r="N350" s="23"/>
      <c r="O350" s="23"/>
      <c r="P350" s="23"/>
      <c r="Q350" s="23"/>
      <c r="R350" s="5" t="s">
        <v>392</v>
      </c>
      <c r="S350" s="5" t="s">
        <v>392</v>
      </c>
      <c r="T350" t="s">
        <v>69</v>
      </c>
    </row>
    <row r="351" spans="2:20" x14ac:dyDescent="0.25">
      <c r="B351" s="3" t="s">
        <v>385</v>
      </c>
      <c r="C351" s="23"/>
      <c r="D351" s="23"/>
      <c r="E351" s="23"/>
      <c r="F351" s="23"/>
      <c r="G351" s="23"/>
      <c r="H351" s="23"/>
      <c r="I351" s="23"/>
      <c r="J351" s="23"/>
      <c r="K351" s="23"/>
      <c r="L351" s="23"/>
      <c r="M351" s="23"/>
      <c r="N351" s="23"/>
      <c r="O351" s="23"/>
      <c r="P351" s="23"/>
      <c r="Q351" s="23"/>
      <c r="R351" s="5" t="s">
        <v>392</v>
      </c>
      <c r="S351" s="5" t="s">
        <v>392</v>
      </c>
      <c r="T351" t="s">
        <v>69</v>
      </c>
    </row>
    <row r="352" spans="2:20" x14ac:dyDescent="0.25">
      <c r="B352" s="3" t="s">
        <v>387</v>
      </c>
      <c r="C352" s="23"/>
      <c r="D352" s="23"/>
      <c r="E352" s="23"/>
      <c r="F352" s="23"/>
      <c r="G352" s="23"/>
      <c r="H352" s="23"/>
      <c r="I352" s="23"/>
      <c r="J352" s="23"/>
      <c r="K352" s="23"/>
      <c r="L352" s="23"/>
      <c r="M352" s="23"/>
      <c r="N352" s="23"/>
      <c r="O352" s="23"/>
      <c r="P352" s="23"/>
      <c r="Q352" s="23"/>
      <c r="R352" s="5" t="s">
        <v>392</v>
      </c>
      <c r="S352" s="5" t="s">
        <v>392</v>
      </c>
      <c r="T352" t="s">
        <v>69</v>
      </c>
    </row>
    <row r="353" spans="1:20" x14ac:dyDescent="0.25">
      <c r="B353" s="3" t="s">
        <v>390</v>
      </c>
      <c r="C353" s="23"/>
      <c r="D353" s="23"/>
      <c r="E353" s="23"/>
      <c r="F353" s="23"/>
      <c r="G353" s="23"/>
      <c r="H353" s="23"/>
      <c r="I353" s="23"/>
      <c r="J353" s="23"/>
      <c r="K353" s="23"/>
      <c r="L353" s="23"/>
      <c r="M353" s="23"/>
      <c r="N353" s="23"/>
      <c r="O353" s="23"/>
      <c r="P353" s="23"/>
      <c r="Q353" s="23"/>
      <c r="R353" s="5" t="s">
        <v>392</v>
      </c>
      <c r="S353" s="5" t="s">
        <v>392</v>
      </c>
      <c r="T353" t="s">
        <v>69</v>
      </c>
    </row>
    <row r="354" spans="1:20" x14ac:dyDescent="0.25">
      <c r="B354" s="3" t="s">
        <v>391</v>
      </c>
      <c r="C354" s="23"/>
      <c r="D354" s="23"/>
      <c r="E354" s="23"/>
      <c r="F354" s="23"/>
      <c r="G354" s="23"/>
      <c r="H354" s="23"/>
      <c r="I354" s="23"/>
      <c r="J354" s="23"/>
      <c r="K354" s="23"/>
      <c r="L354" s="23"/>
      <c r="M354" s="23"/>
      <c r="N354" s="23"/>
      <c r="O354" s="23"/>
      <c r="P354" s="23"/>
      <c r="Q354" s="23"/>
      <c r="R354" s="5" t="s">
        <v>392</v>
      </c>
      <c r="S354" s="5" t="s">
        <v>392</v>
      </c>
      <c r="T354" t="s">
        <v>69</v>
      </c>
    </row>
    <row r="355" spans="1:20" x14ac:dyDescent="0.25">
      <c r="A355" t="s">
        <v>843</v>
      </c>
      <c r="B355" s="3" t="s">
        <v>393</v>
      </c>
      <c r="C355" s="23"/>
      <c r="D355" s="23"/>
      <c r="E355" s="23"/>
      <c r="F355" s="23"/>
      <c r="G355" s="23"/>
      <c r="H355" s="23"/>
      <c r="I355" s="23"/>
      <c r="J355" s="23"/>
      <c r="K355" s="23"/>
      <c r="L355" s="23"/>
      <c r="M355" s="23"/>
      <c r="N355" s="23"/>
      <c r="O355" s="23"/>
      <c r="P355" s="23"/>
      <c r="Q355" s="23"/>
      <c r="R355" s="5" t="s">
        <v>392</v>
      </c>
      <c r="S355" s="5" t="s">
        <v>392</v>
      </c>
      <c r="T355" t="s">
        <v>69</v>
      </c>
    </row>
    <row r="356" spans="1:20" x14ac:dyDescent="0.25">
      <c r="B356" t="s">
        <v>425</v>
      </c>
      <c r="C356" s="21">
        <v>1</v>
      </c>
      <c r="D356" s="21">
        <v>2</v>
      </c>
      <c r="E356" s="21">
        <v>3</v>
      </c>
      <c r="F356" s="21">
        <v>4</v>
      </c>
      <c r="G356" s="21">
        <v>5</v>
      </c>
      <c r="H356" s="21">
        <v>6</v>
      </c>
      <c r="I356" s="21">
        <v>7</v>
      </c>
      <c r="J356" s="21">
        <v>8</v>
      </c>
      <c r="K356" s="21">
        <v>9</v>
      </c>
      <c r="L356" s="21">
        <v>10</v>
      </c>
      <c r="M356" s="21">
        <v>11</v>
      </c>
      <c r="N356" s="21">
        <v>12</v>
      </c>
      <c r="O356" s="21">
        <v>13</v>
      </c>
      <c r="P356" s="21">
        <v>14</v>
      </c>
      <c r="Q356" s="21">
        <v>15</v>
      </c>
      <c r="R356" s="5" t="s">
        <v>11</v>
      </c>
      <c r="S356" s="5" t="s">
        <v>1024</v>
      </c>
      <c r="T356" t="s">
        <v>124</v>
      </c>
    </row>
    <row r="357" spans="1:20" x14ac:dyDescent="0.25">
      <c r="A357" t="s">
        <v>844</v>
      </c>
      <c r="B357" t="s">
        <v>10</v>
      </c>
      <c r="C357" s="2">
        <v>0.4446</v>
      </c>
      <c r="D357" s="2">
        <v>0.48080000000000001</v>
      </c>
      <c r="E357" s="2">
        <v>0.51700000000000002</v>
      </c>
      <c r="F357" s="2">
        <v>0.56869999999999998</v>
      </c>
      <c r="G357" s="2">
        <v>0.60489999999999999</v>
      </c>
      <c r="H357" s="2">
        <v>0.64629999999999999</v>
      </c>
      <c r="I357" s="2">
        <v>0.70309999999999995</v>
      </c>
      <c r="J357" s="2">
        <v>0.76</v>
      </c>
      <c r="K357" s="2">
        <v>0.81689999999999996</v>
      </c>
      <c r="L357" s="2">
        <v>0.87890000000000001</v>
      </c>
      <c r="M357" s="2">
        <v>0.94089999999999996</v>
      </c>
      <c r="N357" s="2">
        <v>1.0029999999999999</v>
      </c>
      <c r="O357" s="2">
        <v>1.0649999999999999</v>
      </c>
      <c r="P357" s="2">
        <v>1.1271</v>
      </c>
      <c r="Q357" s="2">
        <v>1.1891</v>
      </c>
      <c r="R357" t="s">
        <v>6</v>
      </c>
      <c r="S357" t="s">
        <v>6</v>
      </c>
      <c r="T357" t="s">
        <v>125</v>
      </c>
    </row>
    <row r="358" spans="1:20" x14ac:dyDescent="0.25">
      <c r="B358" t="s">
        <v>9</v>
      </c>
      <c r="C358" s="2">
        <v>0.43430000000000002</v>
      </c>
      <c r="D358" s="2">
        <v>0.46970000000000001</v>
      </c>
      <c r="E358" s="2">
        <v>0.505</v>
      </c>
      <c r="F358" s="2">
        <v>0.55549999999999999</v>
      </c>
      <c r="G358" s="2">
        <v>0.59089999999999998</v>
      </c>
      <c r="H358" s="2">
        <v>0.63129999999999997</v>
      </c>
      <c r="I358" s="2">
        <v>0.68679999999999997</v>
      </c>
      <c r="J358" s="2">
        <v>0.74229999999999996</v>
      </c>
      <c r="K358" s="2">
        <v>0.79790000000000005</v>
      </c>
      <c r="L358" s="2">
        <v>0.85850000000000004</v>
      </c>
      <c r="M358" s="2">
        <v>0.91910000000000003</v>
      </c>
      <c r="N358" s="2">
        <v>0.97970000000000002</v>
      </c>
      <c r="O358" s="2">
        <v>1.0403</v>
      </c>
      <c r="P358" s="2">
        <v>1.1009</v>
      </c>
      <c r="Q358" s="2">
        <v>1.1615</v>
      </c>
      <c r="R358" t="s">
        <v>6</v>
      </c>
      <c r="S358" t="s">
        <v>6</v>
      </c>
      <c r="T358" t="s">
        <v>125</v>
      </c>
    </row>
    <row r="359" spans="1:20" x14ac:dyDescent="0.25">
      <c r="B359" t="s">
        <v>8</v>
      </c>
      <c r="C359" s="2">
        <v>0.52980000000000005</v>
      </c>
      <c r="D359" s="2">
        <v>0.57289999999999996</v>
      </c>
      <c r="E359" s="2">
        <v>0.61599999999999999</v>
      </c>
      <c r="F359" s="2">
        <v>0.67759999999999998</v>
      </c>
      <c r="G359" s="2">
        <v>0.72070000000000001</v>
      </c>
      <c r="H359" s="2">
        <v>0.77</v>
      </c>
      <c r="I359" s="2">
        <v>0.83779999999999999</v>
      </c>
      <c r="J359" s="2">
        <v>0.90549999999999997</v>
      </c>
      <c r="K359" s="2">
        <v>0.97330000000000005</v>
      </c>
      <c r="L359" s="2">
        <v>1.0471999999999999</v>
      </c>
      <c r="M359" s="2">
        <v>1.1211</v>
      </c>
      <c r="N359" s="2">
        <v>1.1950000000000001</v>
      </c>
      <c r="O359" s="2">
        <v>1.2689999999999999</v>
      </c>
      <c r="P359" s="2">
        <v>1.3429</v>
      </c>
      <c r="Q359" s="2">
        <v>1.4168000000000001</v>
      </c>
      <c r="R359" t="s">
        <v>6</v>
      </c>
      <c r="S359" t="s">
        <v>6</v>
      </c>
      <c r="T359" t="s">
        <v>125</v>
      </c>
    </row>
    <row r="360" spans="1:20" x14ac:dyDescent="0.25">
      <c r="B360" t="s">
        <v>13</v>
      </c>
      <c r="C360" s="2">
        <v>0.58309999999999995</v>
      </c>
      <c r="D360" s="2">
        <v>0.63049999999999995</v>
      </c>
      <c r="E360" s="2">
        <v>0.67800000000000005</v>
      </c>
      <c r="F360" s="2">
        <v>0.74580000000000002</v>
      </c>
      <c r="G360" s="2">
        <v>0.79330000000000001</v>
      </c>
      <c r="H360" s="2">
        <v>0.84750000000000003</v>
      </c>
      <c r="I360" s="2">
        <v>0.92210000000000003</v>
      </c>
      <c r="J360" s="2">
        <v>0.99670000000000003</v>
      </c>
      <c r="K360" s="2">
        <v>1.0711999999999999</v>
      </c>
      <c r="L360" s="2">
        <v>1.1526000000000001</v>
      </c>
      <c r="M360" s="2">
        <v>1.234</v>
      </c>
      <c r="N360" s="2">
        <v>1.3152999999999999</v>
      </c>
      <c r="O360" s="2">
        <v>1.3967000000000001</v>
      </c>
      <c r="P360" s="2">
        <v>1.478</v>
      </c>
      <c r="Q360" s="2">
        <v>1.5593999999999999</v>
      </c>
      <c r="R360" t="s">
        <v>6</v>
      </c>
      <c r="S360" t="s">
        <v>6</v>
      </c>
      <c r="T360" t="s">
        <v>125</v>
      </c>
    </row>
    <row r="361" spans="1:20" x14ac:dyDescent="0.25">
      <c r="B361" t="s">
        <v>7</v>
      </c>
      <c r="C361" s="2">
        <v>0.70779999999999998</v>
      </c>
      <c r="D361" s="2">
        <v>0.76539999999999997</v>
      </c>
      <c r="E361" s="2">
        <v>0.82299999999999995</v>
      </c>
      <c r="F361" s="2">
        <v>0.90529999999999999</v>
      </c>
      <c r="G361" s="2">
        <v>0.96289999999999998</v>
      </c>
      <c r="H361" s="2">
        <v>1.0287999999999999</v>
      </c>
      <c r="I361" s="2">
        <v>1.1193</v>
      </c>
      <c r="J361" s="2">
        <v>1.2098</v>
      </c>
      <c r="K361" s="2">
        <v>1.3003</v>
      </c>
      <c r="L361" s="2">
        <v>1.3991</v>
      </c>
      <c r="M361" s="2">
        <v>1.4979</v>
      </c>
      <c r="N361" s="2">
        <v>1.5966</v>
      </c>
      <c r="O361" s="2">
        <v>1.6954</v>
      </c>
      <c r="P361" s="2">
        <v>1.7941</v>
      </c>
      <c r="Q361" s="2">
        <v>1.8929</v>
      </c>
      <c r="R361" t="s">
        <v>6</v>
      </c>
      <c r="S361" t="s">
        <v>6</v>
      </c>
      <c r="T361" t="s">
        <v>125</v>
      </c>
    </row>
    <row r="362" spans="1:20" x14ac:dyDescent="0.25">
      <c r="B362" t="s">
        <v>224</v>
      </c>
      <c r="C362" s="2">
        <v>0.6</v>
      </c>
      <c r="D362" s="2">
        <v>0.6</v>
      </c>
      <c r="E362" s="2">
        <v>0.6</v>
      </c>
      <c r="F362" s="2">
        <v>0.6</v>
      </c>
      <c r="G362" s="2">
        <v>0.6</v>
      </c>
      <c r="H362" s="2">
        <v>0.6</v>
      </c>
      <c r="I362" s="2">
        <v>0.6</v>
      </c>
      <c r="J362" s="2">
        <v>0.6</v>
      </c>
      <c r="K362" s="2">
        <v>0.6</v>
      </c>
      <c r="L362" s="2">
        <v>0.6</v>
      </c>
      <c r="M362" s="2">
        <v>0.6</v>
      </c>
      <c r="N362" s="2">
        <v>0.6</v>
      </c>
      <c r="O362" s="2">
        <v>0.6</v>
      </c>
      <c r="P362" s="2">
        <v>0.6</v>
      </c>
      <c r="Q362" s="2">
        <v>0.6</v>
      </c>
      <c r="R362" t="s">
        <v>6</v>
      </c>
      <c r="S362" t="s">
        <v>6</v>
      </c>
      <c r="T362" t="s">
        <v>125</v>
      </c>
    </row>
    <row r="363" spans="1:20" x14ac:dyDescent="0.25">
      <c r="B363" t="s">
        <v>138</v>
      </c>
      <c r="C363" s="2">
        <v>0.55900000000000005</v>
      </c>
      <c r="D363" s="2">
        <v>0.60450000000000004</v>
      </c>
      <c r="E363" s="2">
        <v>0.65</v>
      </c>
      <c r="F363" s="2">
        <v>0.71499999999999997</v>
      </c>
      <c r="G363" s="2">
        <v>0.76049999999999995</v>
      </c>
      <c r="H363" s="2">
        <v>0.8125</v>
      </c>
      <c r="I363" s="2">
        <v>0.88400000000000001</v>
      </c>
      <c r="J363" s="2">
        <v>0.95550000000000002</v>
      </c>
      <c r="K363" s="2">
        <v>1.0269999999999999</v>
      </c>
      <c r="L363" s="2">
        <v>1.105</v>
      </c>
      <c r="M363" s="2">
        <v>1.1830000000000001</v>
      </c>
      <c r="N363" s="2">
        <v>1.2609999999999999</v>
      </c>
      <c r="O363" s="2">
        <v>1.339</v>
      </c>
      <c r="P363" s="2">
        <v>1.417</v>
      </c>
      <c r="Q363" s="2">
        <v>1.4950000000000001</v>
      </c>
      <c r="R363" t="s">
        <v>5</v>
      </c>
      <c r="S363" t="s">
        <v>5</v>
      </c>
      <c r="T363" t="s">
        <v>125</v>
      </c>
    </row>
    <row r="364" spans="1:20" x14ac:dyDescent="0.25">
      <c r="B364" t="s">
        <v>139</v>
      </c>
      <c r="C364" s="2">
        <v>0.60719999999999996</v>
      </c>
      <c r="D364" s="2">
        <v>0.65659999999999996</v>
      </c>
      <c r="E364" s="2">
        <v>0.70599999999999996</v>
      </c>
      <c r="F364" s="2">
        <v>0.77659999999999996</v>
      </c>
      <c r="G364" s="2">
        <v>0.82599999999999996</v>
      </c>
      <c r="H364" s="2">
        <v>0.88249999999999995</v>
      </c>
      <c r="I364" s="2">
        <v>0.96020000000000005</v>
      </c>
      <c r="J364" s="2">
        <v>1.0378000000000001</v>
      </c>
      <c r="K364" s="2">
        <v>1.1154999999999999</v>
      </c>
      <c r="L364" s="2">
        <v>1.2001999999999999</v>
      </c>
      <c r="M364" s="2">
        <v>1.2848999999999999</v>
      </c>
      <c r="N364" s="2">
        <v>1.3695999999999999</v>
      </c>
      <c r="O364" s="2">
        <v>1.4543999999999999</v>
      </c>
      <c r="P364" s="2">
        <v>1.5390999999999999</v>
      </c>
      <c r="Q364" s="2">
        <v>1.6237999999999999</v>
      </c>
      <c r="R364" t="s">
        <v>5</v>
      </c>
      <c r="S364" t="s">
        <v>5</v>
      </c>
      <c r="T364" t="s">
        <v>125</v>
      </c>
    </row>
    <row r="365" spans="1:20" x14ac:dyDescent="0.25">
      <c r="B365" t="s">
        <v>152</v>
      </c>
      <c r="C365" s="2">
        <v>0.63929999999999998</v>
      </c>
      <c r="D365" s="2">
        <v>0.69140000000000001</v>
      </c>
      <c r="E365" s="2">
        <v>0.74339999999999995</v>
      </c>
      <c r="F365" s="2">
        <v>0.81769999999999998</v>
      </c>
      <c r="G365" s="2">
        <v>0.86980000000000002</v>
      </c>
      <c r="H365" s="2">
        <v>0.92930000000000001</v>
      </c>
      <c r="I365" s="2">
        <v>1.0109999999999999</v>
      </c>
      <c r="J365" s="2">
        <v>1.0928</v>
      </c>
      <c r="K365" s="2">
        <v>1.1746000000000001</v>
      </c>
      <c r="L365" s="2">
        <v>1.2638</v>
      </c>
      <c r="M365" s="2">
        <v>1.353</v>
      </c>
      <c r="N365" s="2">
        <v>1.4421999999999999</v>
      </c>
      <c r="O365" s="2">
        <v>1.5314000000000001</v>
      </c>
      <c r="P365" s="2">
        <v>1.6206</v>
      </c>
      <c r="Q365" s="2">
        <v>1.7098</v>
      </c>
      <c r="R365" t="s">
        <v>3</v>
      </c>
      <c r="S365" t="s">
        <v>3</v>
      </c>
      <c r="T365" t="s">
        <v>125</v>
      </c>
    </row>
    <row r="366" spans="1:20" x14ac:dyDescent="0.25">
      <c r="B366" t="s">
        <v>133</v>
      </c>
      <c r="C366" s="2">
        <v>1.2784</v>
      </c>
      <c r="D366" s="2">
        <v>1.3824000000000001</v>
      </c>
      <c r="E366" s="2">
        <v>1.4864999999999999</v>
      </c>
      <c r="F366" s="2">
        <v>1.6351</v>
      </c>
      <c r="G366" s="2">
        <v>1.7392000000000001</v>
      </c>
      <c r="H366" s="2">
        <v>1.8581000000000001</v>
      </c>
      <c r="I366" s="2">
        <v>2.0215999999999998</v>
      </c>
      <c r="J366" s="2">
        <v>2.1850999999999998</v>
      </c>
      <c r="K366" s="2">
        <v>2.3485999999999998</v>
      </c>
      <c r="L366" s="2">
        <v>2.5270000000000001</v>
      </c>
      <c r="M366" s="2">
        <v>2.7054</v>
      </c>
      <c r="N366" s="2">
        <v>2.8837999999999999</v>
      </c>
      <c r="O366" s="2">
        <v>3.0621999999999998</v>
      </c>
      <c r="P366" s="2">
        <v>3.2404999999999999</v>
      </c>
      <c r="Q366" s="2">
        <v>3.4188999999999998</v>
      </c>
      <c r="R366" t="s">
        <v>3</v>
      </c>
      <c r="S366" t="s">
        <v>3</v>
      </c>
      <c r="T366" t="s">
        <v>125</v>
      </c>
    </row>
    <row r="367" spans="1:20" x14ac:dyDescent="0.25">
      <c r="B367" t="s">
        <v>134</v>
      </c>
      <c r="C367" s="2">
        <v>1.5968</v>
      </c>
      <c r="D367" s="2">
        <v>1.7266999999999999</v>
      </c>
      <c r="E367" s="2">
        <v>1.8567</v>
      </c>
      <c r="F367" s="2">
        <v>2.0424000000000002</v>
      </c>
      <c r="G367" s="2">
        <v>2.1722999999999999</v>
      </c>
      <c r="H367" s="2">
        <v>2.3209</v>
      </c>
      <c r="I367" s="2">
        <v>2.5251000000000001</v>
      </c>
      <c r="J367" s="2">
        <v>2.7292999999999998</v>
      </c>
      <c r="K367" s="2">
        <v>2.9336000000000002</v>
      </c>
      <c r="L367" s="2">
        <v>3.1564000000000001</v>
      </c>
      <c r="M367" s="2">
        <v>3.3792</v>
      </c>
      <c r="N367" s="2">
        <v>3.6019999999999999</v>
      </c>
      <c r="O367" s="2">
        <v>3.8248000000000002</v>
      </c>
      <c r="P367" s="2">
        <v>4.0476000000000001</v>
      </c>
      <c r="Q367" s="2">
        <v>4.2704000000000004</v>
      </c>
      <c r="R367" t="s">
        <v>3</v>
      </c>
      <c r="S367" t="s">
        <v>3</v>
      </c>
      <c r="T367" t="s">
        <v>125</v>
      </c>
    </row>
    <row r="368" spans="1:20" x14ac:dyDescent="0.25">
      <c r="B368" t="s">
        <v>4</v>
      </c>
      <c r="C368" s="2">
        <v>2.48</v>
      </c>
      <c r="D368" s="2">
        <v>2.6659999999999999</v>
      </c>
      <c r="E368" s="2">
        <v>2.8519999999999999</v>
      </c>
      <c r="F368" s="2">
        <v>3.1</v>
      </c>
      <c r="G368" s="2">
        <v>3.286</v>
      </c>
      <c r="H368" s="2">
        <v>3.472</v>
      </c>
      <c r="I368" s="2">
        <v>3.72</v>
      </c>
      <c r="J368" s="2">
        <v>3.968</v>
      </c>
      <c r="K368" s="2">
        <v>4.2160000000000002</v>
      </c>
      <c r="L368" s="2">
        <v>4.4640000000000004</v>
      </c>
      <c r="M368" s="2">
        <v>4.7119999999999997</v>
      </c>
      <c r="N368" s="2">
        <v>4.96</v>
      </c>
      <c r="O368" s="2">
        <v>5.27</v>
      </c>
      <c r="P368" s="2">
        <v>5.58</v>
      </c>
      <c r="Q368" s="2">
        <v>5.89</v>
      </c>
      <c r="R368" t="s">
        <v>19</v>
      </c>
      <c r="S368" t="s">
        <v>19</v>
      </c>
      <c r="T368" t="s">
        <v>125</v>
      </c>
    </row>
    <row r="369" spans="1:20" x14ac:dyDescent="0.25">
      <c r="B369" t="s">
        <v>219</v>
      </c>
      <c r="C369" s="2">
        <v>1.48</v>
      </c>
      <c r="D369" s="2">
        <v>1.591</v>
      </c>
      <c r="E369" s="2">
        <v>1.702</v>
      </c>
      <c r="F369" s="2">
        <v>1.85</v>
      </c>
      <c r="G369" s="2">
        <v>1.9610000000000001</v>
      </c>
      <c r="H369" s="2">
        <v>2.0720000000000001</v>
      </c>
      <c r="I369" s="2">
        <v>2.2200000000000002</v>
      </c>
      <c r="J369" s="2">
        <v>2.3679999999999999</v>
      </c>
      <c r="K369" s="2">
        <v>2.516</v>
      </c>
      <c r="L369" s="2">
        <v>2.6640000000000001</v>
      </c>
      <c r="M369" s="2">
        <v>2.8119999999999998</v>
      </c>
      <c r="N369" s="2">
        <v>2.96</v>
      </c>
      <c r="O369" s="2">
        <v>3.145</v>
      </c>
      <c r="P369" s="2">
        <v>3.33</v>
      </c>
      <c r="Q369" s="2">
        <v>3.5150000000000001</v>
      </c>
      <c r="R369" t="s">
        <v>0</v>
      </c>
      <c r="S369" t="s">
        <v>0</v>
      </c>
      <c r="T369" t="s">
        <v>125</v>
      </c>
    </row>
    <row r="370" spans="1:20" x14ac:dyDescent="0.25">
      <c r="B370" s="3" t="s">
        <v>763</v>
      </c>
      <c r="C370" s="23"/>
      <c r="D370" s="23"/>
      <c r="E370" s="23"/>
      <c r="F370" s="23"/>
      <c r="G370" s="23"/>
      <c r="H370" s="23"/>
      <c r="I370" s="23"/>
      <c r="J370" s="23"/>
      <c r="K370" s="23"/>
      <c r="L370" s="23"/>
      <c r="M370" s="23"/>
      <c r="N370" s="23"/>
      <c r="O370" s="23"/>
      <c r="P370" s="23"/>
      <c r="Q370" s="23"/>
      <c r="R370" s="5" t="s">
        <v>763</v>
      </c>
      <c r="S370" s="5" t="s">
        <v>763</v>
      </c>
      <c r="T370" t="s">
        <v>764</v>
      </c>
    </row>
    <row r="371" spans="1:20" x14ac:dyDescent="0.25">
      <c r="B371" s="3" t="s">
        <v>386</v>
      </c>
      <c r="C371" s="23"/>
      <c r="D371" s="23"/>
      <c r="E371" s="23"/>
      <c r="F371" s="23"/>
      <c r="G371" s="23"/>
      <c r="H371" s="23"/>
      <c r="I371" s="23"/>
      <c r="J371" s="23"/>
      <c r="K371" s="23"/>
      <c r="L371" s="23"/>
      <c r="M371" s="23"/>
      <c r="N371" s="23"/>
      <c r="O371" s="23"/>
      <c r="P371" s="23"/>
      <c r="Q371" s="23"/>
      <c r="R371" s="5" t="s">
        <v>392</v>
      </c>
      <c r="S371" s="5" t="s">
        <v>392</v>
      </c>
      <c r="T371" t="s">
        <v>69</v>
      </c>
    </row>
    <row r="372" spans="1:20" x14ac:dyDescent="0.25">
      <c r="B372" s="3" t="s">
        <v>388</v>
      </c>
      <c r="C372" s="23"/>
      <c r="D372" s="23"/>
      <c r="E372" s="23"/>
      <c r="F372" s="23"/>
      <c r="G372" s="23"/>
      <c r="H372" s="23"/>
      <c r="I372" s="23"/>
      <c r="J372" s="23"/>
      <c r="K372" s="23"/>
      <c r="L372" s="23"/>
      <c r="M372" s="23"/>
      <c r="N372" s="23"/>
      <c r="O372" s="23"/>
      <c r="P372" s="23"/>
      <c r="Q372" s="23"/>
      <c r="R372" s="5" t="s">
        <v>392</v>
      </c>
      <c r="S372" s="5" t="s">
        <v>392</v>
      </c>
      <c r="T372" t="s">
        <v>69</v>
      </c>
    </row>
    <row r="373" spans="1:20" x14ac:dyDescent="0.25">
      <c r="B373" s="3" t="s">
        <v>389</v>
      </c>
      <c r="C373" s="23"/>
      <c r="D373" s="23"/>
      <c r="E373" s="23"/>
      <c r="F373" s="23"/>
      <c r="G373" s="23"/>
      <c r="H373" s="23"/>
      <c r="I373" s="23"/>
      <c r="J373" s="23"/>
      <c r="K373" s="23"/>
      <c r="L373" s="23"/>
      <c r="M373" s="23"/>
      <c r="N373" s="23"/>
      <c r="O373" s="23"/>
      <c r="P373" s="23"/>
      <c r="Q373" s="23"/>
      <c r="R373" s="5" t="s">
        <v>392</v>
      </c>
      <c r="S373" s="5" t="s">
        <v>392</v>
      </c>
      <c r="T373" t="s">
        <v>69</v>
      </c>
    </row>
    <row r="374" spans="1:20" x14ac:dyDescent="0.25">
      <c r="B374" s="3" t="s">
        <v>385</v>
      </c>
      <c r="C374" s="23"/>
      <c r="D374" s="23"/>
      <c r="E374" s="23"/>
      <c r="F374" s="23"/>
      <c r="G374" s="23"/>
      <c r="H374" s="23"/>
      <c r="I374" s="23"/>
      <c r="J374" s="23"/>
      <c r="K374" s="23"/>
      <c r="L374" s="23"/>
      <c r="M374" s="23"/>
      <c r="N374" s="23"/>
      <c r="O374" s="23"/>
      <c r="P374" s="23"/>
      <c r="Q374" s="23"/>
      <c r="R374" s="5" t="s">
        <v>392</v>
      </c>
      <c r="S374" s="5" t="s">
        <v>392</v>
      </c>
      <c r="T374" t="s">
        <v>69</v>
      </c>
    </row>
    <row r="375" spans="1:20" x14ac:dyDescent="0.25">
      <c r="B375" s="3" t="s">
        <v>387</v>
      </c>
      <c r="C375" s="23"/>
      <c r="D375" s="23"/>
      <c r="E375" s="23"/>
      <c r="F375" s="23"/>
      <c r="G375" s="23"/>
      <c r="H375" s="23"/>
      <c r="I375" s="23"/>
      <c r="J375" s="23"/>
      <c r="K375" s="23"/>
      <c r="L375" s="23"/>
      <c r="M375" s="23"/>
      <c r="N375" s="23"/>
      <c r="O375" s="23"/>
      <c r="P375" s="23"/>
      <c r="Q375" s="23"/>
      <c r="R375" s="5" t="s">
        <v>392</v>
      </c>
      <c r="S375" s="5" t="s">
        <v>392</v>
      </c>
      <c r="T375" t="s">
        <v>69</v>
      </c>
    </row>
    <row r="376" spans="1:20" x14ac:dyDescent="0.25">
      <c r="B376" s="3" t="s">
        <v>390</v>
      </c>
      <c r="C376" s="23"/>
      <c r="D376" s="23"/>
      <c r="E376" s="23"/>
      <c r="F376" s="23"/>
      <c r="G376" s="23"/>
      <c r="H376" s="23"/>
      <c r="I376" s="23"/>
      <c r="J376" s="23"/>
      <c r="K376" s="23"/>
      <c r="L376" s="23"/>
      <c r="M376" s="23"/>
      <c r="N376" s="23"/>
      <c r="O376" s="23"/>
      <c r="P376" s="23"/>
      <c r="Q376" s="23"/>
      <c r="R376" s="5" t="s">
        <v>392</v>
      </c>
      <c r="S376" s="5" t="s">
        <v>392</v>
      </c>
      <c r="T376" t="s">
        <v>69</v>
      </c>
    </row>
    <row r="377" spans="1:20" x14ac:dyDescent="0.25">
      <c r="B377" s="3" t="s">
        <v>391</v>
      </c>
      <c r="C377" s="23"/>
      <c r="D377" s="23"/>
      <c r="E377" s="23"/>
      <c r="F377" s="23"/>
      <c r="G377" s="23"/>
      <c r="H377" s="23"/>
      <c r="I377" s="23"/>
      <c r="J377" s="23"/>
      <c r="K377" s="23"/>
      <c r="L377" s="23"/>
      <c r="M377" s="23"/>
      <c r="N377" s="23"/>
      <c r="O377" s="23"/>
      <c r="P377" s="23"/>
      <c r="Q377" s="23"/>
      <c r="R377" s="5" t="s">
        <v>392</v>
      </c>
      <c r="S377" s="5" t="s">
        <v>392</v>
      </c>
      <c r="T377" t="s">
        <v>69</v>
      </c>
    </row>
    <row r="378" spans="1:20" x14ac:dyDescent="0.25">
      <c r="A378" t="s">
        <v>845</v>
      </c>
      <c r="B378" s="3" t="s">
        <v>393</v>
      </c>
      <c r="C378" s="23"/>
      <c r="D378" s="23"/>
      <c r="E378" s="23"/>
      <c r="F378" s="23"/>
      <c r="G378" s="23"/>
      <c r="H378" s="23"/>
      <c r="I378" s="23"/>
      <c r="J378" s="23"/>
      <c r="K378" s="23"/>
      <c r="L378" s="23"/>
      <c r="M378" s="23"/>
      <c r="N378" s="23"/>
      <c r="O378" s="23"/>
      <c r="P378" s="23"/>
      <c r="Q378" s="23"/>
      <c r="R378" s="5" t="s">
        <v>392</v>
      </c>
      <c r="S378" s="5" t="s">
        <v>392</v>
      </c>
      <c r="T378" t="s">
        <v>69</v>
      </c>
    </row>
    <row r="379" spans="1:20" x14ac:dyDescent="0.25">
      <c r="B379" t="s">
        <v>807</v>
      </c>
      <c r="C379" s="21">
        <v>1</v>
      </c>
      <c r="D379" s="21">
        <v>2</v>
      </c>
      <c r="E379" s="21">
        <v>3</v>
      </c>
      <c r="F379" s="21">
        <v>4</v>
      </c>
      <c r="G379" s="21">
        <v>5</v>
      </c>
      <c r="H379" s="21">
        <v>6</v>
      </c>
      <c r="I379" s="21">
        <v>7</v>
      </c>
      <c r="J379" s="21">
        <v>8</v>
      </c>
      <c r="K379" s="21">
        <v>9</v>
      </c>
      <c r="L379" s="21">
        <v>10</v>
      </c>
      <c r="M379" s="21">
        <v>11</v>
      </c>
      <c r="N379" s="21">
        <v>12</v>
      </c>
      <c r="O379" s="21">
        <v>13</v>
      </c>
      <c r="P379" s="21">
        <v>14</v>
      </c>
      <c r="Q379" s="21">
        <v>15</v>
      </c>
      <c r="R379" s="5" t="s">
        <v>11</v>
      </c>
      <c r="S379" s="5" t="s">
        <v>1024</v>
      </c>
      <c r="T379" t="s">
        <v>124</v>
      </c>
    </row>
    <row r="380" spans="1:20" x14ac:dyDescent="0.25">
      <c r="A380" t="s">
        <v>846</v>
      </c>
      <c r="B380" t="s">
        <v>10</v>
      </c>
      <c r="C380" s="2">
        <v>0.3775</v>
      </c>
      <c r="D380" s="2">
        <v>0.4083</v>
      </c>
      <c r="E380" s="2">
        <v>0.439</v>
      </c>
      <c r="F380" s="2">
        <v>0.4829</v>
      </c>
      <c r="G380" s="2">
        <v>0.51359999999999995</v>
      </c>
      <c r="H380" s="2">
        <v>0.54879999999999995</v>
      </c>
      <c r="I380" s="2">
        <v>0.59699999999999998</v>
      </c>
      <c r="J380" s="2">
        <v>0.64529999999999998</v>
      </c>
      <c r="K380" s="2">
        <v>0.69359999999999999</v>
      </c>
      <c r="L380" s="2">
        <v>0.74629999999999996</v>
      </c>
      <c r="M380" s="2">
        <v>0.79900000000000004</v>
      </c>
      <c r="N380" s="2">
        <v>0.85170000000000001</v>
      </c>
      <c r="O380" s="2">
        <v>0.90429999999999999</v>
      </c>
      <c r="P380" s="2">
        <v>0.95699999999999996</v>
      </c>
      <c r="Q380" s="2">
        <v>1.0097</v>
      </c>
      <c r="R380" s="5" t="s">
        <v>6</v>
      </c>
      <c r="S380" s="5" t="s">
        <v>6</v>
      </c>
      <c r="T380" t="s">
        <v>125</v>
      </c>
    </row>
    <row r="381" spans="1:20" x14ac:dyDescent="0.25">
      <c r="B381" t="s">
        <v>9</v>
      </c>
      <c r="C381" s="2">
        <v>0.3715</v>
      </c>
      <c r="D381" s="2">
        <v>0.40179999999999999</v>
      </c>
      <c r="E381" s="2">
        <v>0.432</v>
      </c>
      <c r="F381" s="2">
        <v>0.47520000000000001</v>
      </c>
      <c r="G381" s="2">
        <v>0.50539999999999996</v>
      </c>
      <c r="H381" s="2">
        <v>0.54</v>
      </c>
      <c r="I381" s="2">
        <v>0.58750000000000002</v>
      </c>
      <c r="J381" s="2">
        <v>0.63500000000000001</v>
      </c>
      <c r="K381" s="2">
        <v>0.68259999999999998</v>
      </c>
      <c r="L381" s="2">
        <v>0.73440000000000005</v>
      </c>
      <c r="M381" s="2">
        <v>0.78620000000000001</v>
      </c>
      <c r="N381" s="2">
        <v>0.83809999999999996</v>
      </c>
      <c r="O381" s="2">
        <v>0.88990000000000002</v>
      </c>
      <c r="P381" s="2">
        <v>0.94179999999999997</v>
      </c>
      <c r="Q381" s="2">
        <v>0.99360000000000004</v>
      </c>
      <c r="R381" s="5" t="s">
        <v>6</v>
      </c>
      <c r="S381" s="5" t="s">
        <v>6</v>
      </c>
      <c r="T381" t="s">
        <v>125</v>
      </c>
    </row>
    <row r="382" spans="1:20" x14ac:dyDescent="0.25">
      <c r="B382" t="s">
        <v>8</v>
      </c>
      <c r="C382" s="2">
        <v>0.4945</v>
      </c>
      <c r="D382" s="2">
        <v>0.53480000000000005</v>
      </c>
      <c r="E382" s="2">
        <v>0.57499999999999996</v>
      </c>
      <c r="F382" s="2">
        <v>0.63249999999999995</v>
      </c>
      <c r="G382" s="2">
        <v>0.67279999999999995</v>
      </c>
      <c r="H382" s="2">
        <v>0.71879999999999999</v>
      </c>
      <c r="I382" s="2">
        <v>0.78200000000000003</v>
      </c>
      <c r="J382" s="2">
        <v>0.84530000000000005</v>
      </c>
      <c r="K382" s="2">
        <v>0.90849999999999997</v>
      </c>
      <c r="L382" s="2">
        <v>0.97750000000000004</v>
      </c>
      <c r="M382" s="2">
        <v>1.0465</v>
      </c>
      <c r="N382" s="2">
        <v>1.1154999999999999</v>
      </c>
      <c r="O382" s="2">
        <v>1.1845000000000001</v>
      </c>
      <c r="P382" s="2">
        <v>1.2535000000000001</v>
      </c>
      <c r="Q382" s="2">
        <v>1.3225</v>
      </c>
      <c r="R382" s="5" t="s">
        <v>6</v>
      </c>
      <c r="S382" s="5" t="s">
        <v>6</v>
      </c>
      <c r="T382" t="s">
        <v>125</v>
      </c>
    </row>
    <row r="383" spans="1:20" x14ac:dyDescent="0.25">
      <c r="B383" t="s">
        <v>13</v>
      </c>
      <c r="C383" s="2">
        <v>0.59</v>
      </c>
      <c r="D383" s="2">
        <v>0.63800000000000001</v>
      </c>
      <c r="E383" s="2">
        <v>0.68600000000000005</v>
      </c>
      <c r="F383" s="2">
        <v>0.75460000000000005</v>
      </c>
      <c r="G383" s="2">
        <v>0.80259999999999998</v>
      </c>
      <c r="H383" s="2">
        <v>0.85750000000000004</v>
      </c>
      <c r="I383" s="2">
        <v>0.93300000000000005</v>
      </c>
      <c r="J383" s="2">
        <v>1.0084</v>
      </c>
      <c r="K383" s="2">
        <v>1.0839000000000001</v>
      </c>
      <c r="L383" s="2">
        <v>1.1661999999999999</v>
      </c>
      <c r="M383" s="2">
        <v>1.2484999999999999</v>
      </c>
      <c r="N383" s="2">
        <v>1.3308</v>
      </c>
      <c r="O383" s="2">
        <v>1.4132</v>
      </c>
      <c r="P383" s="2">
        <v>1.4955000000000001</v>
      </c>
      <c r="Q383" s="2">
        <v>1.5778000000000001</v>
      </c>
      <c r="R383" s="5" t="s">
        <v>6</v>
      </c>
      <c r="S383" s="5" t="s">
        <v>6</v>
      </c>
      <c r="T383" t="s">
        <v>125</v>
      </c>
    </row>
    <row r="384" spans="1:20" x14ac:dyDescent="0.25">
      <c r="B384" t="s">
        <v>131</v>
      </c>
      <c r="C384" s="2">
        <v>0.43859999999999999</v>
      </c>
      <c r="D384" s="2">
        <v>0.4743</v>
      </c>
      <c r="E384" s="2">
        <v>0.51</v>
      </c>
      <c r="F384" s="2">
        <v>0.56100000000000005</v>
      </c>
      <c r="G384" s="2">
        <v>0.59670000000000001</v>
      </c>
      <c r="H384" s="2">
        <v>0.63749999999999996</v>
      </c>
      <c r="I384" s="2">
        <v>0.69359999999999999</v>
      </c>
      <c r="J384" s="2">
        <v>0.74970000000000003</v>
      </c>
      <c r="K384" s="2">
        <v>0.80579999999999996</v>
      </c>
      <c r="L384" s="2">
        <v>0.86699999999999999</v>
      </c>
      <c r="M384" s="2">
        <v>0.92820000000000003</v>
      </c>
      <c r="N384" s="2">
        <v>0.98939999999999995</v>
      </c>
      <c r="O384" s="2">
        <v>1.0506</v>
      </c>
      <c r="P384" s="2">
        <v>1.1117999999999999</v>
      </c>
      <c r="Q384" s="2">
        <v>1.173</v>
      </c>
      <c r="R384" s="5" t="s">
        <v>5</v>
      </c>
      <c r="S384" s="5" t="s">
        <v>5</v>
      </c>
      <c r="T384" t="s">
        <v>125</v>
      </c>
    </row>
    <row r="385" spans="2:21" x14ac:dyDescent="0.25">
      <c r="B385" t="s">
        <v>132</v>
      </c>
      <c r="C385" s="2">
        <v>1.24</v>
      </c>
      <c r="D385" s="2">
        <v>1.333</v>
      </c>
      <c r="E385" s="2">
        <v>1.4259999999999999</v>
      </c>
      <c r="F385" s="2">
        <v>1.55</v>
      </c>
      <c r="G385" s="2">
        <v>1.643</v>
      </c>
      <c r="H385" s="2">
        <v>1.736</v>
      </c>
      <c r="I385" s="2">
        <v>1.86</v>
      </c>
      <c r="J385" s="2">
        <v>1.984</v>
      </c>
      <c r="K385" s="2">
        <v>2.1080000000000001</v>
      </c>
      <c r="L385" s="2">
        <v>2.2320000000000002</v>
      </c>
      <c r="M385" s="2">
        <v>2.3559999999999999</v>
      </c>
      <c r="N385" s="2">
        <v>2.48</v>
      </c>
      <c r="O385" s="2">
        <v>2.6349999999999998</v>
      </c>
      <c r="P385" s="2">
        <v>2.79</v>
      </c>
      <c r="Q385" s="2">
        <v>2.9449999999999998</v>
      </c>
      <c r="R385" s="5" t="s">
        <v>5</v>
      </c>
      <c r="S385" s="5" t="s">
        <v>5</v>
      </c>
      <c r="T385" t="s">
        <v>125</v>
      </c>
    </row>
    <row r="386" spans="2:21" x14ac:dyDescent="0.25">
      <c r="B386" t="s">
        <v>152</v>
      </c>
      <c r="C386" s="2">
        <v>0.56830000000000003</v>
      </c>
      <c r="D386" s="2">
        <v>0.61450000000000005</v>
      </c>
      <c r="E386" s="2">
        <v>0.66080000000000005</v>
      </c>
      <c r="F386" s="2">
        <v>0.72689999999999999</v>
      </c>
      <c r="G386" s="2">
        <v>0.77310000000000001</v>
      </c>
      <c r="H386" s="2">
        <v>0.82599999999999996</v>
      </c>
      <c r="I386" s="2">
        <v>0.89870000000000005</v>
      </c>
      <c r="J386" s="2">
        <v>0.97140000000000004</v>
      </c>
      <c r="K386" s="2">
        <v>1.0441</v>
      </c>
      <c r="L386" s="2">
        <v>1.1234</v>
      </c>
      <c r="M386" s="2">
        <v>1.2027000000000001</v>
      </c>
      <c r="N386" s="2">
        <v>1.282</v>
      </c>
      <c r="O386" s="2">
        <v>1.3612</v>
      </c>
      <c r="P386" s="2">
        <v>1.4404999999999999</v>
      </c>
      <c r="Q386" s="2">
        <v>1.5198</v>
      </c>
      <c r="R386" s="5" t="s">
        <v>3</v>
      </c>
      <c r="S386" s="5" t="s">
        <v>3</v>
      </c>
      <c r="T386" t="s">
        <v>125</v>
      </c>
    </row>
    <row r="387" spans="2:21" x14ac:dyDescent="0.25">
      <c r="B387" t="s">
        <v>133</v>
      </c>
      <c r="C387" s="2">
        <v>1.1363000000000001</v>
      </c>
      <c r="D387" s="2">
        <v>1.2287999999999999</v>
      </c>
      <c r="E387" s="2">
        <v>1.3212999999999999</v>
      </c>
      <c r="F387" s="2">
        <v>1.4535</v>
      </c>
      <c r="G387" s="2">
        <v>1.5459000000000001</v>
      </c>
      <c r="H387" s="2">
        <v>1.6516999999999999</v>
      </c>
      <c r="I387" s="2">
        <v>1.7969999999999999</v>
      </c>
      <c r="J387" s="2">
        <v>1.9422999999999999</v>
      </c>
      <c r="K387" s="2">
        <v>2.0876999999999999</v>
      </c>
      <c r="L387" s="2">
        <v>2.2462</v>
      </c>
      <c r="M387" s="2">
        <v>2.4047999999999998</v>
      </c>
      <c r="N387" s="2">
        <v>2.5634000000000001</v>
      </c>
      <c r="O387" s="2">
        <v>2.7219000000000002</v>
      </c>
      <c r="P387" s="2">
        <v>2.8805000000000001</v>
      </c>
      <c r="Q387" s="2">
        <v>3.0390000000000001</v>
      </c>
      <c r="R387" s="5" t="s">
        <v>3</v>
      </c>
      <c r="S387" s="5" t="s">
        <v>3</v>
      </c>
      <c r="T387" t="s">
        <v>125</v>
      </c>
    </row>
    <row r="388" spans="2:21" x14ac:dyDescent="0.25">
      <c r="B388" t="s">
        <v>134</v>
      </c>
      <c r="C388" s="2">
        <v>1.4193</v>
      </c>
      <c r="D388" s="2">
        <v>1.5348999999999999</v>
      </c>
      <c r="E388" s="2">
        <v>1.6504000000000001</v>
      </c>
      <c r="F388" s="2">
        <v>1.8153999999999999</v>
      </c>
      <c r="G388" s="2">
        <v>1.931</v>
      </c>
      <c r="H388" s="2">
        <v>2.0630000000000002</v>
      </c>
      <c r="I388" s="2">
        <v>2.2444999999999999</v>
      </c>
      <c r="J388" s="2">
        <v>2.4260999999999999</v>
      </c>
      <c r="K388" s="2">
        <v>2.6076000000000001</v>
      </c>
      <c r="L388" s="2">
        <v>2.8056999999999999</v>
      </c>
      <c r="M388" s="2">
        <v>3.0036999999999998</v>
      </c>
      <c r="N388" s="2">
        <v>3.2018</v>
      </c>
      <c r="O388" s="2">
        <v>3.3997999999999999</v>
      </c>
      <c r="P388" s="2">
        <v>3.5979000000000001</v>
      </c>
      <c r="Q388" s="2">
        <v>3.7959000000000001</v>
      </c>
      <c r="R388" s="5" t="s">
        <v>3</v>
      </c>
      <c r="S388" s="5" t="s">
        <v>3</v>
      </c>
      <c r="T388" t="s">
        <v>125</v>
      </c>
    </row>
    <row r="389" spans="2:21" x14ac:dyDescent="0.25">
      <c r="B389" t="s">
        <v>4</v>
      </c>
      <c r="C389" s="2">
        <v>1.0720000000000001</v>
      </c>
      <c r="D389" s="2">
        <v>1.1524000000000001</v>
      </c>
      <c r="E389" s="2">
        <v>1.2327999999999999</v>
      </c>
      <c r="F389" s="2">
        <v>1.34</v>
      </c>
      <c r="G389" s="2">
        <v>1.4204000000000001</v>
      </c>
      <c r="H389" s="2">
        <v>1.5007999999999999</v>
      </c>
      <c r="I389" s="2">
        <v>1.6080000000000001</v>
      </c>
      <c r="J389" s="2">
        <v>1.7152000000000001</v>
      </c>
      <c r="K389" s="2">
        <v>1.8224</v>
      </c>
      <c r="L389" s="2">
        <v>1.9296</v>
      </c>
      <c r="M389" s="2">
        <v>2.0367999999999999</v>
      </c>
      <c r="N389" s="2">
        <v>2.1440000000000001</v>
      </c>
      <c r="O389" s="2">
        <v>2.278</v>
      </c>
      <c r="P389" s="2">
        <v>2.4119999999999999</v>
      </c>
      <c r="Q389" s="2">
        <v>2.5459999999999998</v>
      </c>
      <c r="R389" t="s">
        <v>19</v>
      </c>
      <c r="S389" t="s">
        <v>19</v>
      </c>
      <c r="T389" t="s">
        <v>125</v>
      </c>
    </row>
    <row r="390" spans="2:21" x14ac:dyDescent="0.25">
      <c r="B390" t="s">
        <v>170</v>
      </c>
      <c r="C390" s="2">
        <v>0.98219999999999996</v>
      </c>
      <c r="D390" s="2">
        <v>1.0558000000000001</v>
      </c>
      <c r="E390" s="2">
        <v>1.1294999999999999</v>
      </c>
      <c r="F390" s="2">
        <v>1.2277</v>
      </c>
      <c r="G390" s="2">
        <v>1.3013999999999999</v>
      </c>
      <c r="H390" s="2">
        <v>1.375</v>
      </c>
      <c r="I390" s="2">
        <v>1.4732000000000001</v>
      </c>
      <c r="J390" s="2">
        <v>1.5714999999999999</v>
      </c>
      <c r="K390" s="2">
        <v>1.6697</v>
      </c>
      <c r="L390" s="2">
        <v>1.7679</v>
      </c>
      <c r="M390" s="2">
        <v>1.8661000000000001</v>
      </c>
      <c r="N390" s="2">
        <v>1.9642999999999999</v>
      </c>
      <c r="O390" s="2">
        <v>2.0871</v>
      </c>
      <c r="P390" s="2">
        <v>2.2099000000000002</v>
      </c>
      <c r="Q390" s="2">
        <v>2.3325999999999998</v>
      </c>
      <c r="R390" s="5" t="s">
        <v>0</v>
      </c>
      <c r="S390" s="5" t="s">
        <v>0</v>
      </c>
      <c r="T390" t="s">
        <v>128</v>
      </c>
    </row>
    <row r="391" spans="2:21" x14ac:dyDescent="0.25">
      <c r="B391" t="s">
        <v>808</v>
      </c>
      <c r="C391" s="2">
        <v>0.61299999999999999</v>
      </c>
      <c r="D391" s="2">
        <v>0.65900000000000003</v>
      </c>
      <c r="E391" s="2">
        <v>0.70499999999999996</v>
      </c>
      <c r="F391" s="2">
        <v>0.76629999999999998</v>
      </c>
      <c r="G391" s="2">
        <v>0.81220000000000003</v>
      </c>
      <c r="H391" s="2">
        <v>0.85819999999999996</v>
      </c>
      <c r="I391" s="2">
        <v>0.91949999999999998</v>
      </c>
      <c r="J391" s="2">
        <v>0.98080000000000001</v>
      </c>
      <c r="K391" s="2">
        <v>1.0421</v>
      </c>
      <c r="L391" s="2">
        <v>1.1033999999999999</v>
      </c>
      <c r="M391" s="2">
        <v>1.1647000000000001</v>
      </c>
      <c r="N391" s="2">
        <v>1.226</v>
      </c>
      <c r="O391" s="2">
        <v>1.3026</v>
      </c>
      <c r="P391" s="2">
        <v>1.3793</v>
      </c>
      <c r="Q391" s="2">
        <v>1.4559</v>
      </c>
      <c r="R391" s="5" t="s">
        <v>0</v>
      </c>
      <c r="S391" s="5" t="s">
        <v>0</v>
      </c>
      <c r="T391" t="s">
        <v>128</v>
      </c>
    </row>
    <row r="392" spans="2:21" x14ac:dyDescent="0.25">
      <c r="B392" t="s">
        <v>813</v>
      </c>
      <c r="C392" s="2">
        <v>1.56</v>
      </c>
      <c r="D392" s="2">
        <v>1.56</v>
      </c>
      <c r="E392" s="2">
        <v>1.56</v>
      </c>
      <c r="F392" s="2">
        <v>1.56</v>
      </c>
      <c r="G392" s="2">
        <v>1.56</v>
      </c>
      <c r="H392" s="2">
        <v>1.56</v>
      </c>
      <c r="I392" s="2">
        <v>1.56</v>
      </c>
      <c r="J392" s="2">
        <v>1.56</v>
      </c>
      <c r="K392" s="2">
        <v>1.56</v>
      </c>
      <c r="L392" s="2">
        <v>1.56</v>
      </c>
      <c r="M392" s="2">
        <v>1.56</v>
      </c>
      <c r="N392" s="2">
        <v>1.56</v>
      </c>
      <c r="O392" s="2">
        <v>1.56</v>
      </c>
      <c r="P392" s="2">
        <v>1.56</v>
      </c>
      <c r="Q392" s="2">
        <v>1.56</v>
      </c>
      <c r="R392" s="5" t="s">
        <v>19</v>
      </c>
      <c r="S392" s="5" t="s">
        <v>19</v>
      </c>
      <c r="T392" t="s">
        <v>128</v>
      </c>
    </row>
    <row r="393" spans="2:21" x14ac:dyDescent="0.25">
      <c r="B393" t="s">
        <v>371</v>
      </c>
      <c r="C393" s="2">
        <v>0.156</v>
      </c>
      <c r="D393" s="2">
        <v>0.156</v>
      </c>
      <c r="E393" s="2">
        <v>0.156</v>
      </c>
      <c r="F393" s="2">
        <v>0.156</v>
      </c>
      <c r="G393" s="2">
        <v>0.156</v>
      </c>
      <c r="H393" s="2">
        <v>0.156</v>
      </c>
      <c r="I393" s="2">
        <v>0.156</v>
      </c>
      <c r="J393" s="2">
        <v>0.156</v>
      </c>
      <c r="K393" s="2">
        <v>0.156</v>
      </c>
      <c r="L393" s="2">
        <v>0.156</v>
      </c>
      <c r="M393" s="2">
        <v>0.156</v>
      </c>
      <c r="N393" s="2">
        <v>0.156</v>
      </c>
      <c r="O393" s="2">
        <v>0.156</v>
      </c>
      <c r="P393" s="2">
        <v>0.156</v>
      </c>
      <c r="Q393" s="2">
        <v>0.156</v>
      </c>
      <c r="R393" s="5" t="s">
        <v>0</v>
      </c>
      <c r="S393" s="5" t="s">
        <v>0</v>
      </c>
      <c r="T393" t="s">
        <v>128</v>
      </c>
    </row>
    <row r="394" spans="2:21" x14ac:dyDescent="0.25">
      <c r="B394" t="s">
        <v>916</v>
      </c>
      <c r="C394" s="2">
        <v>0.5</v>
      </c>
      <c r="D394" s="2">
        <v>0.5</v>
      </c>
      <c r="E394" s="2">
        <v>0.5</v>
      </c>
      <c r="F394" s="2">
        <v>0.5</v>
      </c>
      <c r="G394" s="2">
        <v>0.5</v>
      </c>
      <c r="H394" s="2">
        <v>0.5</v>
      </c>
      <c r="I394" s="2">
        <v>0.5</v>
      </c>
      <c r="J394" s="2">
        <v>0.5</v>
      </c>
      <c r="K394" s="2">
        <v>0.5</v>
      </c>
      <c r="L394" s="2">
        <v>0.5</v>
      </c>
      <c r="M394" s="2">
        <v>0.5</v>
      </c>
      <c r="N394" s="2">
        <v>0.5</v>
      </c>
      <c r="O394" s="2">
        <v>0.5</v>
      </c>
      <c r="P394" s="2">
        <v>0.5</v>
      </c>
      <c r="Q394" s="2">
        <v>0.5</v>
      </c>
      <c r="R394" s="5" t="s">
        <v>246</v>
      </c>
      <c r="S394" s="5" t="s">
        <v>246</v>
      </c>
      <c r="T394" t="s">
        <v>128</v>
      </c>
      <c r="U394" t="s">
        <v>944</v>
      </c>
    </row>
    <row r="395" spans="2:21" x14ac:dyDescent="0.25">
      <c r="B395" s="3" t="s">
        <v>763</v>
      </c>
      <c r="C395" s="23"/>
      <c r="D395" s="23"/>
      <c r="E395" s="23"/>
      <c r="F395" s="23"/>
      <c r="G395" s="23"/>
      <c r="H395" s="23"/>
      <c r="I395" s="23"/>
      <c r="J395" s="23"/>
      <c r="K395" s="23"/>
      <c r="L395" s="23"/>
      <c r="M395" s="23"/>
      <c r="N395" s="23"/>
      <c r="O395" s="23"/>
      <c r="P395" s="23"/>
      <c r="Q395" s="23"/>
      <c r="R395" s="5" t="s">
        <v>763</v>
      </c>
      <c r="S395" s="5" t="s">
        <v>763</v>
      </c>
      <c r="T395" t="s">
        <v>764</v>
      </c>
    </row>
    <row r="396" spans="2:21" x14ac:dyDescent="0.25">
      <c r="B396" s="3" t="s">
        <v>386</v>
      </c>
      <c r="C396" s="23"/>
      <c r="D396" s="23"/>
      <c r="E396" s="23"/>
      <c r="F396" s="23"/>
      <c r="G396" s="23"/>
      <c r="H396" s="23"/>
      <c r="I396" s="23"/>
      <c r="J396" s="23"/>
      <c r="K396" s="23"/>
      <c r="L396" s="23"/>
      <c r="M396" s="23"/>
      <c r="N396" s="23"/>
      <c r="O396" s="23"/>
      <c r="P396" s="23"/>
      <c r="Q396" s="23"/>
      <c r="R396" s="5" t="s">
        <v>392</v>
      </c>
      <c r="S396" s="5" t="s">
        <v>392</v>
      </c>
      <c r="T396" t="s">
        <v>69</v>
      </c>
    </row>
    <row r="397" spans="2:21" x14ac:dyDescent="0.25">
      <c r="B397" s="3" t="s">
        <v>388</v>
      </c>
      <c r="C397" s="23"/>
      <c r="D397" s="23"/>
      <c r="E397" s="23"/>
      <c r="F397" s="23"/>
      <c r="G397" s="23"/>
      <c r="H397" s="23"/>
      <c r="I397" s="23"/>
      <c r="J397" s="23"/>
      <c r="K397" s="23"/>
      <c r="L397" s="23"/>
      <c r="M397" s="23"/>
      <c r="N397" s="23"/>
      <c r="O397" s="23"/>
      <c r="P397" s="23"/>
      <c r="Q397" s="23"/>
      <c r="R397" s="5" t="s">
        <v>392</v>
      </c>
      <c r="S397" s="5" t="s">
        <v>392</v>
      </c>
      <c r="T397" t="s">
        <v>69</v>
      </c>
    </row>
    <row r="398" spans="2:21" x14ac:dyDescent="0.25">
      <c r="B398" s="3" t="s">
        <v>389</v>
      </c>
      <c r="C398" s="23"/>
      <c r="D398" s="23"/>
      <c r="E398" s="23"/>
      <c r="F398" s="23"/>
      <c r="G398" s="23"/>
      <c r="H398" s="23"/>
      <c r="I398" s="23"/>
      <c r="J398" s="23"/>
      <c r="K398" s="23"/>
      <c r="L398" s="23"/>
      <c r="M398" s="23"/>
      <c r="N398" s="23"/>
      <c r="O398" s="23"/>
      <c r="P398" s="23"/>
      <c r="Q398" s="23"/>
      <c r="R398" s="5" t="s">
        <v>392</v>
      </c>
      <c r="S398" s="5" t="s">
        <v>392</v>
      </c>
      <c r="T398" t="s">
        <v>69</v>
      </c>
    </row>
    <row r="399" spans="2:21" x14ac:dyDescent="0.25">
      <c r="B399" s="3" t="s">
        <v>385</v>
      </c>
      <c r="C399" s="23"/>
      <c r="D399" s="23"/>
      <c r="E399" s="23"/>
      <c r="F399" s="23"/>
      <c r="G399" s="23"/>
      <c r="H399" s="23"/>
      <c r="I399" s="23"/>
      <c r="J399" s="23"/>
      <c r="K399" s="23"/>
      <c r="L399" s="23"/>
      <c r="M399" s="23"/>
      <c r="N399" s="23"/>
      <c r="O399" s="23"/>
      <c r="P399" s="23"/>
      <c r="Q399" s="23"/>
      <c r="R399" s="5" t="s">
        <v>392</v>
      </c>
      <c r="S399" s="5" t="s">
        <v>392</v>
      </c>
      <c r="T399" t="s">
        <v>69</v>
      </c>
    </row>
    <row r="400" spans="2:21" x14ac:dyDescent="0.25">
      <c r="B400" s="3" t="s">
        <v>387</v>
      </c>
      <c r="C400" s="23"/>
      <c r="D400" s="23"/>
      <c r="E400" s="23"/>
      <c r="F400" s="23"/>
      <c r="G400" s="23"/>
      <c r="H400" s="23"/>
      <c r="I400" s="23"/>
      <c r="J400" s="23"/>
      <c r="K400" s="23"/>
      <c r="L400" s="23"/>
      <c r="M400" s="23"/>
      <c r="N400" s="23"/>
      <c r="O400" s="23"/>
      <c r="P400" s="23"/>
      <c r="Q400" s="23"/>
      <c r="R400" s="5" t="s">
        <v>392</v>
      </c>
      <c r="S400" s="5" t="s">
        <v>392</v>
      </c>
      <c r="T400" t="s">
        <v>69</v>
      </c>
    </row>
    <row r="401" spans="1:20" x14ac:dyDescent="0.25">
      <c r="B401" s="3" t="s">
        <v>390</v>
      </c>
      <c r="C401" s="23"/>
      <c r="D401" s="23"/>
      <c r="E401" s="23"/>
      <c r="F401" s="23"/>
      <c r="G401" s="23"/>
      <c r="H401" s="23"/>
      <c r="I401" s="23"/>
      <c r="J401" s="23"/>
      <c r="K401" s="23"/>
      <c r="L401" s="23"/>
      <c r="M401" s="23"/>
      <c r="N401" s="23"/>
      <c r="O401" s="23"/>
      <c r="P401" s="23"/>
      <c r="Q401" s="23"/>
      <c r="R401" s="5" t="s">
        <v>392</v>
      </c>
      <c r="S401" s="5" t="s">
        <v>392</v>
      </c>
      <c r="T401" t="s">
        <v>69</v>
      </c>
    </row>
    <row r="402" spans="1:20" x14ac:dyDescent="0.25">
      <c r="B402" s="3" t="s">
        <v>391</v>
      </c>
      <c r="C402" s="23"/>
      <c r="D402" s="23"/>
      <c r="E402" s="23"/>
      <c r="F402" s="23"/>
      <c r="G402" s="23"/>
      <c r="H402" s="23"/>
      <c r="I402" s="23"/>
      <c r="J402" s="23"/>
      <c r="K402" s="23"/>
      <c r="L402" s="23"/>
      <c r="M402" s="23"/>
      <c r="N402" s="23"/>
      <c r="O402" s="23"/>
      <c r="P402" s="23"/>
      <c r="Q402" s="23"/>
      <c r="R402" s="5" t="s">
        <v>392</v>
      </c>
      <c r="S402" s="5" t="s">
        <v>392</v>
      </c>
      <c r="T402" t="s">
        <v>69</v>
      </c>
    </row>
    <row r="403" spans="1:20" x14ac:dyDescent="0.25">
      <c r="A403" t="s">
        <v>847</v>
      </c>
      <c r="B403" s="3" t="s">
        <v>393</v>
      </c>
      <c r="C403" s="23"/>
      <c r="D403" s="23"/>
      <c r="E403" s="23"/>
      <c r="F403" s="23"/>
      <c r="G403" s="23"/>
      <c r="H403" s="23"/>
      <c r="I403" s="23"/>
      <c r="J403" s="23"/>
      <c r="K403" s="23"/>
      <c r="L403" s="23"/>
      <c r="M403" s="23"/>
      <c r="N403" s="23"/>
      <c r="O403" s="23"/>
      <c r="P403" s="23"/>
      <c r="Q403" s="23"/>
      <c r="R403" s="5" t="s">
        <v>392</v>
      </c>
      <c r="S403" s="5" t="s">
        <v>392</v>
      </c>
      <c r="T403" t="s">
        <v>69</v>
      </c>
    </row>
    <row r="404" spans="1:20" x14ac:dyDescent="0.25">
      <c r="B404" t="s">
        <v>748</v>
      </c>
      <c r="C404" s="21">
        <v>1</v>
      </c>
      <c r="D404" s="21">
        <v>2</v>
      </c>
      <c r="E404" s="21">
        <v>3</v>
      </c>
      <c r="F404" s="21">
        <v>4</v>
      </c>
      <c r="G404" s="21">
        <v>5</v>
      </c>
      <c r="H404" s="21">
        <v>6</v>
      </c>
      <c r="I404" s="21">
        <v>7</v>
      </c>
      <c r="J404" s="21">
        <v>8</v>
      </c>
      <c r="K404" s="21">
        <v>9</v>
      </c>
      <c r="L404" s="21">
        <v>10</v>
      </c>
      <c r="M404" s="21">
        <v>11</v>
      </c>
      <c r="N404" s="21">
        <v>12</v>
      </c>
      <c r="O404" s="21">
        <v>13</v>
      </c>
      <c r="P404" s="21">
        <v>14</v>
      </c>
      <c r="Q404" s="21">
        <v>15</v>
      </c>
      <c r="R404" s="5" t="s">
        <v>11</v>
      </c>
      <c r="S404" s="5" t="s">
        <v>1024</v>
      </c>
      <c r="T404" t="s">
        <v>124</v>
      </c>
    </row>
    <row r="405" spans="1:20" x14ac:dyDescent="0.25">
      <c r="A405" t="s">
        <v>848</v>
      </c>
      <c r="B405" t="s">
        <v>10</v>
      </c>
      <c r="C405" s="2">
        <v>0.46889999999999998</v>
      </c>
      <c r="D405" s="2">
        <v>0.50080000000000002</v>
      </c>
      <c r="E405" s="2">
        <v>0.53280000000000005</v>
      </c>
      <c r="F405" s="2">
        <v>0.57540000000000002</v>
      </c>
      <c r="G405" s="2">
        <v>0.60740000000000005</v>
      </c>
      <c r="H405" s="2">
        <v>0.64470000000000005</v>
      </c>
      <c r="I405" s="2">
        <v>0.69259999999999999</v>
      </c>
      <c r="J405" s="2">
        <v>0.74060000000000004</v>
      </c>
      <c r="K405" s="2">
        <v>0.78849999999999998</v>
      </c>
      <c r="L405" s="2">
        <v>0.83650000000000002</v>
      </c>
      <c r="M405" s="2">
        <v>0.88439999999999996</v>
      </c>
      <c r="N405" s="2">
        <v>0.93240000000000001</v>
      </c>
      <c r="O405" s="2">
        <v>0.98040000000000005</v>
      </c>
      <c r="P405" s="2">
        <v>1.0283</v>
      </c>
      <c r="Q405" s="2">
        <v>1.0763</v>
      </c>
      <c r="R405" t="s">
        <v>6</v>
      </c>
      <c r="S405" t="s">
        <v>6</v>
      </c>
      <c r="T405" t="s">
        <v>125</v>
      </c>
    </row>
    <row r="406" spans="1:20" x14ac:dyDescent="0.25">
      <c r="B406" t="s">
        <v>9</v>
      </c>
      <c r="C406" s="2">
        <v>0.48249999999999998</v>
      </c>
      <c r="D406" s="2">
        <v>0.51539999999999997</v>
      </c>
      <c r="E406" s="2">
        <v>0.54830000000000001</v>
      </c>
      <c r="F406" s="2">
        <v>0.59219999999999995</v>
      </c>
      <c r="G406" s="2">
        <v>0.62509999999999999</v>
      </c>
      <c r="H406" s="2">
        <v>0.66349999999999998</v>
      </c>
      <c r="I406" s="2">
        <v>0.71279999999999999</v>
      </c>
      <c r="J406" s="2">
        <v>0.76219999999999999</v>
      </c>
      <c r="K406" s="2">
        <v>0.8115</v>
      </c>
      <c r="L406" s="2">
        <v>0.8609</v>
      </c>
      <c r="M406" s="2">
        <v>0.91020000000000001</v>
      </c>
      <c r="N406" s="2">
        <v>0.95960000000000001</v>
      </c>
      <c r="O406" s="2">
        <v>1.0088999999999999</v>
      </c>
      <c r="P406" s="2">
        <v>1.0583</v>
      </c>
      <c r="Q406" s="2">
        <v>1.1075999999999999</v>
      </c>
      <c r="R406" t="s">
        <v>6</v>
      </c>
      <c r="S406" t="s">
        <v>6</v>
      </c>
      <c r="T406" t="s">
        <v>125</v>
      </c>
    </row>
    <row r="407" spans="1:20" x14ac:dyDescent="0.25">
      <c r="B407" t="s">
        <v>8</v>
      </c>
      <c r="C407" s="2">
        <v>0.61050000000000004</v>
      </c>
      <c r="D407" s="2">
        <v>0.65210000000000001</v>
      </c>
      <c r="E407" s="2">
        <v>0.69379999999999997</v>
      </c>
      <c r="F407" s="2">
        <v>0.74929999999999997</v>
      </c>
      <c r="G407" s="2">
        <v>0.79090000000000005</v>
      </c>
      <c r="H407" s="2">
        <v>0.83940000000000003</v>
      </c>
      <c r="I407" s="2">
        <v>0.90190000000000003</v>
      </c>
      <c r="J407" s="2">
        <v>0.96430000000000005</v>
      </c>
      <c r="K407" s="2">
        <v>1.0267999999999999</v>
      </c>
      <c r="L407" s="2">
        <v>1.0891999999999999</v>
      </c>
      <c r="M407" s="2">
        <v>1.1516</v>
      </c>
      <c r="N407" s="2">
        <v>1.2141</v>
      </c>
      <c r="O407" s="2">
        <v>1.2765</v>
      </c>
      <c r="P407" s="2">
        <v>1.3389</v>
      </c>
      <c r="Q407" s="2">
        <v>1.4014</v>
      </c>
      <c r="R407" t="s">
        <v>6</v>
      </c>
      <c r="S407" t="s">
        <v>6</v>
      </c>
      <c r="T407" t="s">
        <v>125</v>
      </c>
    </row>
    <row r="408" spans="1:20" x14ac:dyDescent="0.25">
      <c r="B408" t="s">
        <v>13</v>
      </c>
      <c r="C408" s="2">
        <v>0.65639999999999998</v>
      </c>
      <c r="D408" s="2">
        <v>0.70120000000000005</v>
      </c>
      <c r="E408" s="2">
        <v>0.74590000000000001</v>
      </c>
      <c r="F408" s="2">
        <v>0.80559999999999998</v>
      </c>
      <c r="G408" s="2">
        <v>0.85029999999999994</v>
      </c>
      <c r="H408" s="2">
        <v>0.90259999999999996</v>
      </c>
      <c r="I408" s="2">
        <v>0.96970000000000001</v>
      </c>
      <c r="J408" s="2">
        <v>1.0367999999999999</v>
      </c>
      <c r="K408" s="2">
        <v>1.1040000000000001</v>
      </c>
      <c r="L408" s="2">
        <v>1.1711</v>
      </c>
      <c r="M408" s="2">
        <v>1.2382</v>
      </c>
      <c r="N408" s="2">
        <v>1.3053999999999999</v>
      </c>
      <c r="O408" s="2">
        <v>1.3725000000000001</v>
      </c>
      <c r="P408" s="2">
        <v>1.4396</v>
      </c>
      <c r="Q408" s="2">
        <v>1.5067999999999999</v>
      </c>
      <c r="R408" t="s">
        <v>6</v>
      </c>
      <c r="S408" t="s">
        <v>6</v>
      </c>
      <c r="T408" t="s">
        <v>125</v>
      </c>
    </row>
    <row r="409" spans="1:20" x14ac:dyDescent="0.25">
      <c r="B409" t="s">
        <v>192</v>
      </c>
      <c r="C409" s="2">
        <v>0.3327</v>
      </c>
      <c r="D409" s="2">
        <v>0.35539999999999999</v>
      </c>
      <c r="E409" s="2">
        <v>0.37809999999999999</v>
      </c>
      <c r="F409" s="2">
        <v>0.40839999999999999</v>
      </c>
      <c r="G409" s="2">
        <v>0.43099999999999999</v>
      </c>
      <c r="H409" s="2">
        <v>0.45750000000000002</v>
      </c>
      <c r="I409" s="2">
        <v>0.49149999999999999</v>
      </c>
      <c r="J409" s="2">
        <v>0.52559999999999996</v>
      </c>
      <c r="K409" s="2">
        <v>0.55959999999999999</v>
      </c>
      <c r="L409" s="2">
        <v>0.59360000000000002</v>
      </c>
      <c r="M409" s="2">
        <v>0.62770000000000004</v>
      </c>
      <c r="N409" s="2">
        <v>0.66169999999999995</v>
      </c>
      <c r="O409" s="2">
        <v>0.69569999999999999</v>
      </c>
      <c r="P409" s="2">
        <v>0.7298</v>
      </c>
      <c r="Q409" s="2">
        <v>0.76380000000000003</v>
      </c>
      <c r="R409" t="s">
        <v>6</v>
      </c>
      <c r="S409" t="s">
        <v>6</v>
      </c>
      <c r="T409" t="s">
        <v>125</v>
      </c>
    </row>
    <row r="410" spans="1:20" x14ac:dyDescent="0.25">
      <c r="B410" t="s">
        <v>193</v>
      </c>
      <c r="C410" s="2">
        <v>0.35199999999999998</v>
      </c>
      <c r="D410" s="2">
        <v>0.376</v>
      </c>
      <c r="E410" s="2">
        <v>0.4</v>
      </c>
      <c r="F410" s="2">
        <v>0.432</v>
      </c>
      <c r="G410" s="2">
        <v>0.45600000000000002</v>
      </c>
      <c r="H410" s="2">
        <v>0.48399999999999999</v>
      </c>
      <c r="I410" s="2">
        <v>0.52</v>
      </c>
      <c r="J410" s="2">
        <v>0.55600000000000005</v>
      </c>
      <c r="K410" s="2">
        <v>0.59199999999999997</v>
      </c>
      <c r="L410" s="2">
        <v>0.628</v>
      </c>
      <c r="M410" s="2">
        <v>0.66400000000000003</v>
      </c>
      <c r="N410" s="2">
        <v>0.7</v>
      </c>
      <c r="O410" s="2">
        <v>0.73599999999999999</v>
      </c>
      <c r="P410" s="2">
        <v>0.77200000000000002</v>
      </c>
      <c r="Q410" s="2">
        <v>0.80800000000000005</v>
      </c>
      <c r="R410" t="s">
        <v>6</v>
      </c>
      <c r="S410" t="s">
        <v>6</v>
      </c>
      <c r="T410" t="s">
        <v>125</v>
      </c>
    </row>
    <row r="411" spans="1:20" x14ac:dyDescent="0.25">
      <c r="B411" t="s">
        <v>214</v>
      </c>
      <c r="C411" s="2">
        <v>0.85960000000000003</v>
      </c>
      <c r="D411" s="2">
        <v>0.91820000000000002</v>
      </c>
      <c r="E411" s="2">
        <v>0.9768</v>
      </c>
      <c r="F411" s="2">
        <v>1.0548999999999999</v>
      </c>
      <c r="G411" s="2">
        <v>1.1135999999999999</v>
      </c>
      <c r="H411" s="2">
        <v>1.1819</v>
      </c>
      <c r="I411" s="2">
        <v>1.2698</v>
      </c>
      <c r="J411" s="2">
        <v>1.3577999999999999</v>
      </c>
      <c r="K411" s="2">
        <v>1.4457</v>
      </c>
      <c r="L411" s="2">
        <v>1.5336000000000001</v>
      </c>
      <c r="M411" s="2">
        <v>1.6214999999999999</v>
      </c>
      <c r="N411" s="2">
        <v>1.7094</v>
      </c>
      <c r="O411" s="2">
        <v>1.7972999999999999</v>
      </c>
      <c r="P411" s="2">
        <v>1.8852</v>
      </c>
      <c r="Q411" s="2">
        <v>1.9731000000000001</v>
      </c>
      <c r="R411" t="s">
        <v>6</v>
      </c>
      <c r="S411" t="s">
        <v>6</v>
      </c>
      <c r="T411" t="s">
        <v>125</v>
      </c>
    </row>
    <row r="412" spans="1:20" x14ac:dyDescent="0.25">
      <c r="B412" t="s">
        <v>21</v>
      </c>
      <c r="C412" s="2">
        <v>1.3595999999999999</v>
      </c>
      <c r="D412" s="2">
        <v>1.4522999999999999</v>
      </c>
      <c r="E412" s="2">
        <v>1.5449999999999999</v>
      </c>
      <c r="F412" s="2">
        <v>1.6686000000000001</v>
      </c>
      <c r="G412" s="2">
        <v>1.7613000000000001</v>
      </c>
      <c r="H412" s="2">
        <v>1.8694999999999999</v>
      </c>
      <c r="I412" s="2">
        <v>2.0085000000000002</v>
      </c>
      <c r="J412" s="2">
        <v>2.1476000000000002</v>
      </c>
      <c r="K412" s="2">
        <v>2.2866</v>
      </c>
      <c r="L412" s="2">
        <v>2.4257</v>
      </c>
      <c r="M412" s="2">
        <v>2.5647000000000002</v>
      </c>
      <c r="N412" s="2">
        <v>2.7038000000000002</v>
      </c>
      <c r="O412" s="2">
        <v>2.8428</v>
      </c>
      <c r="P412" s="2">
        <v>2.9819</v>
      </c>
      <c r="Q412" s="2">
        <v>3.1208999999999998</v>
      </c>
      <c r="R412" t="s">
        <v>5</v>
      </c>
      <c r="S412" t="s">
        <v>5</v>
      </c>
      <c r="T412" t="s">
        <v>125</v>
      </c>
    </row>
    <row r="413" spans="1:20" x14ac:dyDescent="0.25">
      <c r="B413" t="s">
        <v>152</v>
      </c>
      <c r="C413" s="2">
        <v>0.6542</v>
      </c>
      <c r="D413" s="2">
        <v>0.69879999999999998</v>
      </c>
      <c r="E413" s="2">
        <v>0.74339999999999995</v>
      </c>
      <c r="F413" s="2">
        <v>0.80289999999999995</v>
      </c>
      <c r="G413" s="2">
        <v>0.84750000000000003</v>
      </c>
      <c r="H413" s="2">
        <v>0.89949999999999997</v>
      </c>
      <c r="I413" s="2">
        <v>0.96640000000000004</v>
      </c>
      <c r="J413" s="2">
        <v>1.0333000000000001</v>
      </c>
      <c r="K413" s="2">
        <v>1.1002000000000001</v>
      </c>
      <c r="L413" s="2">
        <v>1.1671</v>
      </c>
      <c r="M413" s="2">
        <v>1.234</v>
      </c>
      <c r="N413" s="2">
        <v>1.3009999999999999</v>
      </c>
      <c r="O413" s="2">
        <v>1.3678999999999999</v>
      </c>
      <c r="P413" s="2">
        <v>1.4348000000000001</v>
      </c>
      <c r="Q413" s="2">
        <v>1.5017</v>
      </c>
      <c r="R413" t="s">
        <v>3</v>
      </c>
      <c r="S413" t="s">
        <v>3</v>
      </c>
      <c r="T413" t="s">
        <v>125</v>
      </c>
    </row>
    <row r="414" spans="1:20" x14ac:dyDescent="0.25">
      <c r="B414" t="s">
        <v>133</v>
      </c>
      <c r="C414" s="2">
        <v>1.3081</v>
      </c>
      <c r="D414" s="2">
        <v>1.3973</v>
      </c>
      <c r="E414" s="2">
        <v>1.4864999999999999</v>
      </c>
      <c r="F414" s="2">
        <v>1.6053999999999999</v>
      </c>
      <c r="G414" s="2">
        <v>1.6946000000000001</v>
      </c>
      <c r="H414" s="2">
        <v>1.7986</v>
      </c>
      <c r="I414" s="2">
        <v>1.9323999999999999</v>
      </c>
      <c r="J414" s="2">
        <v>2.0661999999999998</v>
      </c>
      <c r="K414" s="2">
        <v>2.2000000000000002</v>
      </c>
      <c r="L414" s="2">
        <v>2.3338000000000001</v>
      </c>
      <c r="M414" s="2">
        <v>2.4676</v>
      </c>
      <c r="N414" s="2">
        <v>2.6013000000000002</v>
      </c>
      <c r="O414" s="2">
        <v>2.7351000000000001</v>
      </c>
      <c r="P414" s="2">
        <v>2.8689</v>
      </c>
      <c r="Q414" s="2">
        <v>3.0026999999999999</v>
      </c>
      <c r="R414" t="s">
        <v>3</v>
      </c>
      <c r="S414" t="s">
        <v>3</v>
      </c>
      <c r="T414" t="s">
        <v>125</v>
      </c>
    </row>
    <row r="415" spans="1:20" x14ac:dyDescent="0.25">
      <c r="B415" t="s">
        <v>134</v>
      </c>
      <c r="C415" s="2">
        <v>1.6338999999999999</v>
      </c>
      <c r="D415" s="2">
        <v>1.7453000000000001</v>
      </c>
      <c r="E415" s="2">
        <v>1.8567</v>
      </c>
      <c r="F415" s="2">
        <v>2.0051999999999999</v>
      </c>
      <c r="G415" s="2">
        <v>2.1166</v>
      </c>
      <c r="H415" s="2">
        <v>2.2465999999999999</v>
      </c>
      <c r="I415" s="2">
        <v>2.4137</v>
      </c>
      <c r="J415" s="2">
        <v>2.5808</v>
      </c>
      <c r="K415" s="2">
        <v>2.7479</v>
      </c>
      <c r="L415" s="2">
        <v>2.915</v>
      </c>
      <c r="M415" s="2">
        <v>3.0821000000000001</v>
      </c>
      <c r="N415" s="2">
        <v>3.2492000000000001</v>
      </c>
      <c r="O415" s="2">
        <v>3.4163000000000001</v>
      </c>
      <c r="P415" s="2">
        <v>3.5834000000000001</v>
      </c>
      <c r="Q415" s="2">
        <v>3.7505000000000002</v>
      </c>
      <c r="R415" t="s">
        <v>3</v>
      </c>
      <c r="S415" t="s">
        <v>3</v>
      </c>
      <c r="T415" t="s">
        <v>125</v>
      </c>
    </row>
    <row r="416" spans="1:20" x14ac:dyDescent="0.25">
      <c r="B416" t="s">
        <v>220</v>
      </c>
      <c r="C416" s="2">
        <v>0.64</v>
      </c>
      <c r="D416" s="2">
        <v>0.68799999999999994</v>
      </c>
      <c r="E416" s="2">
        <v>0.73599999999999999</v>
      </c>
      <c r="F416" s="2">
        <v>0.8</v>
      </c>
      <c r="G416" s="2">
        <v>0.84799999999999998</v>
      </c>
      <c r="H416" s="2">
        <v>0.89600000000000002</v>
      </c>
      <c r="I416" s="2">
        <v>0.96</v>
      </c>
      <c r="J416" s="2">
        <v>1.024</v>
      </c>
      <c r="K416" s="2">
        <v>1.0880000000000001</v>
      </c>
      <c r="L416" s="2">
        <v>1.1519999999999999</v>
      </c>
      <c r="M416" s="2">
        <v>1.216</v>
      </c>
      <c r="N416" s="2">
        <v>1.28</v>
      </c>
      <c r="O416" s="2">
        <v>1.36</v>
      </c>
      <c r="P416" s="2">
        <v>1.44</v>
      </c>
      <c r="Q416" s="2">
        <v>1.52</v>
      </c>
      <c r="R416" t="s">
        <v>19</v>
      </c>
      <c r="S416" t="s">
        <v>19</v>
      </c>
      <c r="T416" t="s">
        <v>125</v>
      </c>
    </row>
    <row r="417" spans="1:21" x14ac:dyDescent="0.25">
      <c r="B417" t="s">
        <v>222</v>
      </c>
      <c r="C417" s="2">
        <v>0.1</v>
      </c>
      <c r="D417" s="2">
        <v>0.1</v>
      </c>
      <c r="E417" s="2">
        <v>0.1</v>
      </c>
      <c r="F417" s="2">
        <v>0.1</v>
      </c>
      <c r="G417" s="2">
        <v>0.1</v>
      </c>
      <c r="H417" s="2">
        <v>0.1</v>
      </c>
      <c r="I417" s="2">
        <v>0.1</v>
      </c>
      <c r="J417" s="2">
        <v>0.1</v>
      </c>
      <c r="K417" s="2">
        <v>0.1</v>
      </c>
      <c r="L417" s="2">
        <v>0.1</v>
      </c>
      <c r="M417" s="2">
        <v>0.1</v>
      </c>
      <c r="N417" s="2">
        <v>0.1</v>
      </c>
      <c r="O417" s="2">
        <v>0.1</v>
      </c>
      <c r="P417" s="2">
        <v>0.1</v>
      </c>
      <c r="Q417" s="2">
        <v>0.1</v>
      </c>
      <c r="R417" s="2" t="s">
        <v>19</v>
      </c>
      <c r="S417" s="2" t="s">
        <v>19</v>
      </c>
      <c r="T417" t="s">
        <v>223</v>
      </c>
    </row>
    <row r="418" spans="1:21" x14ac:dyDescent="0.25">
      <c r="B418" t="s">
        <v>170</v>
      </c>
      <c r="C418" s="2">
        <v>3.0327000000000002</v>
      </c>
      <c r="D418" s="2">
        <v>3.2143000000000002</v>
      </c>
      <c r="E418" s="2">
        <v>3.3959000000000001</v>
      </c>
      <c r="F418" s="2">
        <v>3.6320000000000001</v>
      </c>
      <c r="G418" s="2">
        <v>3.8136000000000001</v>
      </c>
      <c r="H418" s="2">
        <v>3.9952000000000001</v>
      </c>
      <c r="I418" s="2">
        <v>4.2313000000000001</v>
      </c>
      <c r="J418" s="2">
        <v>4.4673999999999996</v>
      </c>
      <c r="K418" s="2">
        <v>4.7034000000000002</v>
      </c>
      <c r="L418" s="2">
        <v>4.9394999999999998</v>
      </c>
      <c r="M418" s="2">
        <v>5.1756000000000002</v>
      </c>
      <c r="N418" s="2">
        <v>5.4116999999999997</v>
      </c>
      <c r="O418" s="2">
        <v>5.6478000000000002</v>
      </c>
      <c r="P418" s="2">
        <v>5.8837999999999999</v>
      </c>
      <c r="Q418" s="2">
        <v>6.1199000000000003</v>
      </c>
      <c r="R418" t="s">
        <v>0</v>
      </c>
      <c r="S418" t="s">
        <v>0</v>
      </c>
      <c r="T418" t="s">
        <v>125</v>
      </c>
    </row>
    <row r="419" spans="1:21" x14ac:dyDescent="0.25">
      <c r="B419" t="s">
        <v>221</v>
      </c>
      <c r="C419" s="2">
        <v>3.7909000000000002</v>
      </c>
      <c r="D419" s="2">
        <v>4.0179</v>
      </c>
      <c r="E419" s="2">
        <v>4.2449000000000003</v>
      </c>
      <c r="F419" s="2">
        <v>4.54</v>
      </c>
      <c r="G419" s="2">
        <v>4.7670000000000003</v>
      </c>
      <c r="H419" s="2">
        <v>4.9939999999999998</v>
      </c>
      <c r="I419" s="2">
        <v>5.2891000000000004</v>
      </c>
      <c r="J419" s="2">
        <v>5.5842000000000001</v>
      </c>
      <c r="K419" s="2">
        <v>5.8792999999999997</v>
      </c>
      <c r="L419" s="2">
        <v>6.1744000000000003</v>
      </c>
      <c r="M419" s="2">
        <v>6.4695</v>
      </c>
      <c r="N419" s="2">
        <v>6.7645999999999997</v>
      </c>
      <c r="O419" s="2">
        <v>7.0597000000000003</v>
      </c>
      <c r="P419" s="2">
        <v>7.3548</v>
      </c>
      <c r="Q419" s="2">
        <v>7.6498999999999997</v>
      </c>
      <c r="R419" t="s">
        <v>0</v>
      </c>
      <c r="S419" t="s">
        <v>0</v>
      </c>
      <c r="T419" t="s">
        <v>125</v>
      </c>
    </row>
    <row r="420" spans="1:21" x14ac:dyDescent="0.25">
      <c r="B420" t="s">
        <v>917</v>
      </c>
      <c r="C420" s="2">
        <v>6.2600000000000003E-2</v>
      </c>
      <c r="D420" s="2">
        <v>6.6400000000000001E-2</v>
      </c>
      <c r="E420" s="2">
        <v>7.0099999999999996E-2</v>
      </c>
      <c r="F420" s="2">
        <v>7.4999999999999997E-2</v>
      </c>
      <c r="G420" s="2">
        <v>7.8799999999999995E-2</v>
      </c>
      <c r="H420" s="2">
        <v>8.2500000000000004E-2</v>
      </c>
      <c r="I420" s="2">
        <v>8.7400000000000005E-2</v>
      </c>
      <c r="J420" s="2">
        <v>9.2299999999999993E-2</v>
      </c>
      <c r="K420" s="2">
        <v>9.7100000000000006E-2</v>
      </c>
      <c r="L420" s="2">
        <v>0.10199999999999999</v>
      </c>
      <c r="M420" s="2">
        <v>0.1069</v>
      </c>
      <c r="N420" s="2">
        <v>0.1118</v>
      </c>
      <c r="O420" s="2">
        <v>0.1166</v>
      </c>
      <c r="P420" s="2">
        <v>0.1215</v>
      </c>
      <c r="Q420" s="2">
        <v>0.12640000000000001</v>
      </c>
      <c r="R420" t="s">
        <v>0</v>
      </c>
      <c r="S420" t="s">
        <v>0</v>
      </c>
      <c r="T420" t="s">
        <v>223</v>
      </c>
      <c r="U420" t="s">
        <v>944</v>
      </c>
    </row>
    <row r="421" spans="1:21" x14ac:dyDescent="0.25">
      <c r="B421" t="s">
        <v>918</v>
      </c>
      <c r="C421" s="2">
        <v>8.3500000000000005E-2</v>
      </c>
      <c r="D421" s="2">
        <v>8.8499999999999995E-2</v>
      </c>
      <c r="E421" s="2">
        <v>9.35E-2</v>
      </c>
      <c r="F421" s="2">
        <v>0.1</v>
      </c>
      <c r="G421" s="2">
        <v>0.105</v>
      </c>
      <c r="H421" s="2">
        <v>0.11</v>
      </c>
      <c r="I421" s="2">
        <v>0.11650000000000001</v>
      </c>
      <c r="J421" s="2">
        <v>0.123</v>
      </c>
      <c r="K421" s="2">
        <v>0.1295</v>
      </c>
      <c r="L421" s="2">
        <v>0.13600000000000001</v>
      </c>
      <c r="M421" s="2">
        <v>0.14249999999999999</v>
      </c>
      <c r="N421" s="2">
        <v>0.14899999999999999</v>
      </c>
      <c r="O421" s="2">
        <v>0.1555</v>
      </c>
      <c r="P421" s="2">
        <v>0.16200000000000001</v>
      </c>
      <c r="Q421" s="2">
        <v>0.16850000000000001</v>
      </c>
      <c r="R421" t="s">
        <v>0</v>
      </c>
      <c r="S421" t="s">
        <v>0</v>
      </c>
      <c r="T421" t="s">
        <v>223</v>
      </c>
      <c r="U421" t="s">
        <v>944</v>
      </c>
    </row>
    <row r="422" spans="1:21" x14ac:dyDescent="0.25">
      <c r="B422" s="3" t="s">
        <v>763</v>
      </c>
      <c r="C422" s="23"/>
      <c r="D422" s="23"/>
      <c r="E422" s="23"/>
      <c r="F422" s="23"/>
      <c r="G422" s="23"/>
      <c r="H422" s="23"/>
      <c r="I422" s="23"/>
      <c r="J422" s="23"/>
      <c r="K422" s="23"/>
      <c r="L422" s="23"/>
      <c r="M422" s="23"/>
      <c r="N422" s="23"/>
      <c r="O422" s="23"/>
      <c r="P422" s="23"/>
      <c r="Q422" s="23"/>
      <c r="R422" s="5" t="s">
        <v>763</v>
      </c>
      <c r="S422" s="5" t="s">
        <v>763</v>
      </c>
      <c r="T422" t="s">
        <v>764</v>
      </c>
    </row>
    <row r="423" spans="1:21" x14ac:dyDescent="0.25">
      <c r="B423" s="3" t="s">
        <v>386</v>
      </c>
      <c r="C423" s="23"/>
      <c r="D423" s="23"/>
      <c r="E423" s="23"/>
      <c r="F423" s="23"/>
      <c r="G423" s="23"/>
      <c r="H423" s="23"/>
      <c r="I423" s="23"/>
      <c r="J423" s="23"/>
      <c r="K423" s="23"/>
      <c r="L423" s="23"/>
      <c r="M423" s="23"/>
      <c r="N423" s="23"/>
      <c r="O423" s="23"/>
      <c r="P423" s="23"/>
      <c r="Q423" s="23"/>
      <c r="R423" s="5" t="s">
        <v>392</v>
      </c>
      <c r="S423" s="5" t="s">
        <v>392</v>
      </c>
      <c r="T423" t="s">
        <v>69</v>
      </c>
    </row>
    <row r="424" spans="1:21" x14ac:dyDescent="0.25">
      <c r="B424" s="3" t="s">
        <v>388</v>
      </c>
      <c r="C424" s="23"/>
      <c r="D424" s="23"/>
      <c r="E424" s="23"/>
      <c r="F424" s="23"/>
      <c r="G424" s="23"/>
      <c r="H424" s="23"/>
      <c r="I424" s="23"/>
      <c r="J424" s="23"/>
      <c r="K424" s="23"/>
      <c r="L424" s="23"/>
      <c r="M424" s="23"/>
      <c r="N424" s="23"/>
      <c r="O424" s="23"/>
      <c r="P424" s="23"/>
      <c r="Q424" s="23"/>
      <c r="R424" s="5" t="s">
        <v>392</v>
      </c>
      <c r="S424" s="5" t="s">
        <v>392</v>
      </c>
      <c r="T424" t="s">
        <v>69</v>
      </c>
    </row>
    <row r="425" spans="1:21" x14ac:dyDescent="0.25">
      <c r="B425" s="3" t="s">
        <v>389</v>
      </c>
      <c r="C425" s="23"/>
      <c r="D425" s="23"/>
      <c r="E425" s="23"/>
      <c r="F425" s="23"/>
      <c r="G425" s="23"/>
      <c r="H425" s="23"/>
      <c r="I425" s="23"/>
      <c r="J425" s="23"/>
      <c r="K425" s="23"/>
      <c r="L425" s="23"/>
      <c r="M425" s="23"/>
      <c r="N425" s="23"/>
      <c r="O425" s="23"/>
      <c r="P425" s="23"/>
      <c r="Q425" s="23"/>
      <c r="R425" s="5" t="s">
        <v>392</v>
      </c>
      <c r="S425" s="5" t="s">
        <v>392</v>
      </c>
      <c r="T425" t="s">
        <v>69</v>
      </c>
    </row>
    <row r="426" spans="1:21" x14ac:dyDescent="0.25">
      <c r="B426" s="3" t="s">
        <v>385</v>
      </c>
      <c r="C426" s="23"/>
      <c r="D426" s="23"/>
      <c r="E426" s="23"/>
      <c r="F426" s="23"/>
      <c r="G426" s="23"/>
      <c r="H426" s="23"/>
      <c r="I426" s="23"/>
      <c r="J426" s="23"/>
      <c r="K426" s="23"/>
      <c r="L426" s="23"/>
      <c r="M426" s="23"/>
      <c r="N426" s="23"/>
      <c r="O426" s="23"/>
      <c r="P426" s="23"/>
      <c r="Q426" s="23"/>
      <c r="R426" s="5" t="s">
        <v>392</v>
      </c>
      <c r="S426" s="5" t="s">
        <v>392</v>
      </c>
      <c r="T426" t="s">
        <v>69</v>
      </c>
    </row>
    <row r="427" spans="1:21" x14ac:dyDescent="0.25">
      <c r="B427" s="3" t="s">
        <v>387</v>
      </c>
      <c r="C427" s="23"/>
      <c r="D427" s="23"/>
      <c r="E427" s="23"/>
      <c r="F427" s="23"/>
      <c r="G427" s="23"/>
      <c r="H427" s="23"/>
      <c r="I427" s="23"/>
      <c r="J427" s="23"/>
      <c r="K427" s="23"/>
      <c r="L427" s="23"/>
      <c r="M427" s="23"/>
      <c r="N427" s="23"/>
      <c r="O427" s="23"/>
      <c r="P427" s="23"/>
      <c r="Q427" s="23"/>
      <c r="R427" s="5" t="s">
        <v>392</v>
      </c>
      <c r="S427" s="5" t="s">
        <v>392</v>
      </c>
      <c r="T427" t="s">
        <v>69</v>
      </c>
    </row>
    <row r="428" spans="1:21" x14ac:dyDescent="0.25">
      <c r="B428" s="3" t="s">
        <v>390</v>
      </c>
      <c r="C428" s="23"/>
      <c r="D428" s="23"/>
      <c r="E428" s="23"/>
      <c r="F428" s="23"/>
      <c r="G428" s="23"/>
      <c r="H428" s="23"/>
      <c r="I428" s="23"/>
      <c r="J428" s="23"/>
      <c r="K428" s="23"/>
      <c r="L428" s="23"/>
      <c r="M428" s="23"/>
      <c r="N428" s="23"/>
      <c r="O428" s="23"/>
      <c r="P428" s="23"/>
      <c r="Q428" s="23"/>
      <c r="R428" s="5" t="s">
        <v>392</v>
      </c>
      <c r="S428" s="5" t="s">
        <v>392</v>
      </c>
      <c r="T428" t="s">
        <v>69</v>
      </c>
    </row>
    <row r="429" spans="1:21" x14ac:dyDescent="0.25">
      <c r="B429" s="3" t="s">
        <v>391</v>
      </c>
      <c r="C429" s="23"/>
      <c r="D429" s="23"/>
      <c r="E429" s="23"/>
      <c r="F429" s="23"/>
      <c r="G429" s="23"/>
      <c r="H429" s="23"/>
      <c r="I429" s="23"/>
      <c r="J429" s="23"/>
      <c r="K429" s="23"/>
      <c r="L429" s="23"/>
      <c r="M429" s="23"/>
      <c r="N429" s="23"/>
      <c r="O429" s="23"/>
      <c r="P429" s="23"/>
      <c r="Q429" s="23"/>
      <c r="R429" s="5" t="s">
        <v>392</v>
      </c>
      <c r="S429" s="5" t="s">
        <v>392</v>
      </c>
      <c r="T429" t="s">
        <v>69</v>
      </c>
    </row>
    <row r="430" spans="1:21" x14ac:dyDescent="0.25">
      <c r="A430" t="s">
        <v>849</v>
      </c>
      <c r="B430" s="3" t="s">
        <v>393</v>
      </c>
      <c r="C430" s="23"/>
      <c r="D430" s="23"/>
      <c r="E430" s="23"/>
      <c r="F430" s="23"/>
      <c r="G430" s="23"/>
      <c r="H430" s="23"/>
      <c r="I430" s="23"/>
      <c r="J430" s="23"/>
      <c r="K430" s="23"/>
      <c r="L430" s="23"/>
      <c r="M430" s="23"/>
      <c r="N430" s="23"/>
      <c r="O430" s="23"/>
      <c r="P430" s="23"/>
      <c r="Q430" s="23"/>
      <c r="R430" s="5" t="s">
        <v>392</v>
      </c>
      <c r="S430" s="5" t="s">
        <v>392</v>
      </c>
      <c r="T430" t="s">
        <v>69</v>
      </c>
    </row>
    <row r="431" spans="1:21" x14ac:dyDescent="0.25">
      <c r="B431" s="3" t="s">
        <v>429</v>
      </c>
      <c r="C431" s="27">
        <v>1</v>
      </c>
      <c r="D431" s="27">
        <v>2</v>
      </c>
      <c r="E431" s="27">
        <v>3</v>
      </c>
      <c r="F431" s="27">
        <v>4</v>
      </c>
      <c r="G431" s="27">
        <v>5</v>
      </c>
      <c r="H431" s="27">
        <v>6</v>
      </c>
      <c r="I431" s="27">
        <v>7</v>
      </c>
      <c r="J431" s="27">
        <v>8</v>
      </c>
      <c r="K431" s="27">
        <v>9</v>
      </c>
      <c r="L431" s="27">
        <v>10</v>
      </c>
      <c r="M431" s="27">
        <v>11</v>
      </c>
      <c r="N431" s="27">
        <v>12</v>
      </c>
      <c r="O431" s="27">
        <v>13</v>
      </c>
      <c r="P431" s="27">
        <v>14</v>
      </c>
      <c r="Q431" s="27">
        <v>15</v>
      </c>
      <c r="R431" s="5" t="s">
        <v>11</v>
      </c>
      <c r="S431" s="5" t="s">
        <v>1024</v>
      </c>
      <c r="T431" t="s">
        <v>124</v>
      </c>
    </row>
    <row r="432" spans="1:21" x14ac:dyDescent="0.25">
      <c r="A432" t="s">
        <v>850</v>
      </c>
      <c r="B432" s="3" t="s">
        <v>10</v>
      </c>
      <c r="C432" s="23">
        <v>0.7923</v>
      </c>
      <c r="D432" s="23">
        <v>0.85680000000000001</v>
      </c>
      <c r="E432" s="23">
        <v>0.92130000000000001</v>
      </c>
      <c r="F432" s="23">
        <v>1.0134000000000001</v>
      </c>
      <c r="G432" s="23">
        <v>1.0779000000000001</v>
      </c>
      <c r="H432" s="23">
        <v>1.1516</v>
      </c>
      <c r="I432" s="23">
        <v>1.2529999999999999</v>
      </c>
      <c r="J432" s="23">
        <v>1.3543000000000001</v>
      </c>
      <c r="K432" s="23">
        <v>1.4557</v>
      </c>
      <c r="L432" s="23">
        <v>1.5662</v>
      </c>
      <c r="M432" s="23">
        <v>1.6929000000000001</v>
      </c>
      <c r="N432" s="23">
        <v>1.8419000000000001</v>
      </c>
      <c r="O432" s="23">
        <v>1.9907999999999999</v>
      </c>
      <c r="P432" s="23">
        <v>2.1398000000000001</v>
      </c>
      <c r="Q432" s="23">
        <v>2.3022999999999998</v>
      </c>
      <c r="R432" s="5" t="s">
        <v>6</v>
      </c>
      <c r="S432" s="5" t="s">
        <v>6</v>
      </c>
      <c r="T432" t="s">
        <v>125</v>
      </c>
    </row>
    <row r="433" spans="2:20" x14ac:dyDescent="0.25">
      <c r="B433" s="3" t="s">
        <v>9</v>
      </c>
      <c r="C433" s="23">
        <v>0.76370000000000005</v>
      </c>
      <c r="D433" s="23">
        <v>0.82579999999999998</v>
      </c>
      <c r="E433" s="23">
        <v>0.88800000000000001</v>
      </c>
      <c r="F433" s="23">
        <v>0.9768</v>
      </c>
      <c r="G433" s="23">
        <v>1.0389999999999999</v>
      </c>
      <c r="H433" s="23">
        <v>1.1100000000000001</v>
      </c>
      <c r="I433" s="23">
        <v>1.2077</v>
      </c>
      <c r="J433" s="23">
        <v>1.3053999999999999</v>
      </c>
      <c r="K433" s="23">
        <v>1.403</v>
      </c>
      <c r="L433" s="23">
        <v>1.5096000000000001</v>
      </c>
      <c r="M433" s="23">
        <v>1.6316999999999999</v>
      </c>
      <c r="N433" s="23">
        <v>1.7753000000000001</v>
      </c>
      <c r="O433" s="23">
        <v>1.9189000000000001</v>
      </c>
      <c r="P433" s="23">
        <v>2.0625</v>
      </c>
      <c r="Q433" s="23">
        <v>2.2191000000000001</v>
      </c>
      <c r="R433" s="5" t="s">
        <v>6</v>
      </c>
      <c r="S433" s="5" t="s">
        <v>6</v>
      </c>
      <c r="T433" t="s">
        <v>125</v>
      </c>
    </row>
    <row r="434" spans="2:20" x14ac:dyDescent="0.25">
      <c r="B434" s="3" t="s">
        <v>8</v>
      </c>
      <c r="C434" s="23">
        <v>0.91639999999999999</v>
      </c>
      <c r="D434" s="23">
        <v>0.99099999999999999</v>
      </c>
      <c r="E434" s="23">
        <v>1.0656000000000001</v>
      </c>
      <c r="F434" s="23">
        <v>1.1721999999999999</v>
      </c>
      <c r="G434" s="23">
        <v>1.2467999999999999</v>
      </c>
      <c r="H434" s="23">
        <v>1.3320000000000001</v>
      </c>
      <c r="I434" s="23">
        <v>1.4492</v>
      </c>
      <c r="J434" s="23">
        <v>1.5664</v>
      </c>
      <c r="K434" s="23">
        <v>1.6836</v>
      </c>
      <c r="L434" s="23">
        <v>1.8115000000000001</v>
      </c>
      <c r="M434" s="23">
        <v>1.958</v>
      </c>
      <c r="N434" s="23">
        <v>2.1303000000000001</v>
      </c>
      <c r="O434" s="23">
        <v>2.3027000000000002</v>
      </c>
      <c r="P434" s="23">
        <v>2.4750000000000001</v>
      </c>
      <c r="Q434" s="23">
        <v>2.6629</v>
      </c>
      <c r="R434" s="5" t="s">
        <v>6</v>
      </c>
      <c r="S434" s="5" t="s">
        <v>6</v>
      </c>
      <c r="T434" t="s">
        <v>125</v>
      </c>
    </row>
    <row r="435" spans="2:20" x14ac:dyDescent="0.25">
      <c r="B435" s="3" t="s">
        <v>13</v>
      </c>
      <c r="C435" s="23">
        <v>1.1721999999999999</v>
      </c>
      <c r="D435" s="23">
        <v>1.2677</v>
      </c>
      <c r="E435" s="23">
        <v>1.3631</v>
      </c>
      <c r="F435" s="23">
        <v>1.4994000000000001</v>
      </c>
      <c r="G435" s="23">
        <v>1.5948</v>
      </c>
      <c r="H435" s="23">
        <v>1.7039</v>
      </c>
      <c r="I435" s="23">
        <v>1.8537999999999999</v>
      </c>
      <c r="J435" s="23">
        <v>2.0036999999999998</v>
      </c>
      <c r="K435" s="23">
        <v>2.1537000000000002</v>
      </c>
      <c r="L435" s="23">
        <v>2.3172000000000001</v>
      </c>
      <c r="M435" s="23">
        <v>2.5047000000000001</v>
      </c>
      <c r="N435" s="23">
        <v>2.7250999999999999</v>
      </c>
      <c r="O435" s="23">
        <v>2.9455</v>
      </c>
      <c r="P435" s="23">
        <v>3.1659000000000002</v>
      </c>
      <c r="Q435" s="23">
        <v>3.4062999999999999</v>
      </c>
      <c r="R435" s="5" t="s">
        <v>6</v>
      </c>
      <c r="S435" s="5" t="s">
        <v>6</v>
      </c>
      <c r="T435" t="s">
        <v>125</v>
      </c>
    </row>
    <row r="436" spans="2:20" x14ac:dyDescent="0.25">
      <c r="B436" s="3" t="s">
        <v>809</v>
      </c>
      <c r="C436" s="23">
        <v>0.91159999999999997</v>
      </c>
      <c r="D436" s="23">
        <v>0.98580000000000001</v>
      </c>
      <c r="E436" s="23">
        <v>1.06</v>
      </c>
      <c r="F436" s="23">
        <v>1.1659999999999999</v>
      </c>
      <c r="G436" s="23">
        <v>1.2402</v>
      </c>
      <c r="H436" s="23">
        <v>1.325</v>
      </c>
      <c r="I436" s="23">
        <v>1.4416</v>
      </c>
      <c r="J436" s="23">
        <v>1.5582</v>
      </c>
      <c r="K436" s="23">
        <v>1.6748000000000001</v>
      </c>
      <c r="L436" s="23">
        <v>1.802</v>
      </c>
      <c r="M436" s="23">
        <v>1.9478</v>
      </c>
      <c r="N436" s="23">
        <v>2.1192000000000002</v>
      </c>
      <c r="O436" s="23">
        <v>2.2906</v>
      </c>
      <c r="P436" s="23">
        <v>2.4620000000000002</v>
      </c>
      <c r="Q436" s="23">
        <v>2.6488999999999998</v>
      </c>
      <c r="R436" s="5" t="s">
        <v>5</v>
      </c>
      <c r="S436" s="5" t="s">
        <v>5</v>
      </c>
      <c r="T436" t="s">
        <v>125</v>
      </c>
    </row>
    <row r="437" spans="2:20" x14ac:dyDescent="0.25">
      <c r="B437" s="3" t="s">
        <v>810</v>
      </c>
      <c r="C437" s="23">
        <v>1.9092</v>
      </c>
      <c r="D437" s="23">
        <v>2.0646</v>
      </c>
      <c r="E437" s="23">
        <v>2.2200000000000002</v>
      </c>
      <c r="F437" s="23">
        <v>2.4420000000000002</v>
      </c>
      <c r="G437" s="23">
        <v>2.5973999999999999</v>
      </c>
      <c r="H437" s="23">
        <v>2.7749999999999999</v>
      </c>
      <c r="I437" s="23">
        <v>3.0192000000000001</v>
      </c>
      <c r="J437" s="23">
        <v>3.2633999999999999</v>
      </c>
      <c r="K437" s="23">
        <v>3.5076000000000001</v>
      </c>
      <c r="L437" s="23">
        <v>3.774</v>
      </c>
      <c r="M437" s="23">
        <v>4.0792999999999999</v>
      </c>
      <c r="N437" s="23">
        <v>4.4382000000000001</v>
      </c>
      <c r="O437" s="23">
        <v>4.7972000000000001</v>
      </c>
      <c r="P437" s="23">
        <v>5.1562000000000001</v>
      </c>
      <c r="Q437" s="23">
        <v>5.5477999999999996</v>
      </c>
      <c r="R437" s="5" t="s">
        <v>5</v>
      </c>
      <c r="S437" s="5" t="s">
        <v>5</v>
      </c>
      <c r="T437" t="s">
        <v>125</v>
      </c>
    </row>
    <row r="438" spans="2:20" x14ac:dyDescent="0.25">
      <c r="B438" s="3" t="s">
        <v>811</v>
      </c>
      <c r="C438" s="23">
        <v>0.90469999999999995</v>
      </c>
      <c r="D438" s="23">
        <v>0.97840000000000005</v>
      </c>
      <c r="E438" s="23">
        <v>1.052</v>
      </c>
      <c r="F438" s="23">
        <v>1.1572</v>
      </c>
      <c r="G438" s="23">
        <v>1.2307999999999999</v>
      </c>
      <c r="H438" s="23">
        <v>1.3149999999999999</v>
      </c>
      <c r="I438" s="23">
        <v>1.4307000000000001</v>
      </c>
      <c r="J438" s="23">
        <v>1.5464</v>
      </c>
      <c r="K438" s="23">
        <v>1.6621999999999999</v>
      </c>
      <c r="L438" s="23">
        <v>1.7884</v>
      </c>
      <c r="M438" s="23">
        <v>1.9331</v>
      </c>
      <c r="N438" s="23">
        <v>2.1032000000000002</v>
      </c>
      <c r="O438" s="23">
        <v>2.2732999999999999</v>
      </c>
      <c r="P438" s="23">
        <v>2.4434</v>
      </c>
      <c r="Q438" s="23">
        <v>2.6288999999999998</v>
      </c>
      <c r="R438" s="5" t="s">
        <v>5</v>
      </c>
      <c r="S438" s="5" t="s">
        <v>5</v>
      </c>
      <c r="T438" t="s">
        <v>125</v>
      </c>
    </row>
    <row r="439" spans="2:20" x14ac:dyDescent="0.25">
      <c r="B439" s="3" t="s">
        <v>152</v>
      </c>
      <c r="C439" s="23">
        <v>0.81830000000000003</v>
      </c>
      <c r="D439" s="23">
        <v>0.88490000000000002</v>
      </c>
      <c r="E439" s="23">
        <v>0.9516</v>
      </c>
      <c r="F439" s="23">
        <v>1.0467</v>
      </c>
      <c r="G439" s="23">
        <v>1.1133</v>
      </c>
      <c r="H439" s="23">
        <v>1.1894</v>
      </c>
      <c r="I439" s="23">
        <v>1.2941</v>
      </c>
      <c r="J439" s="23">
        <v>1.3988</v>
      </c>
      <c r="K439" s="23">
        <v>1.5035000000000001</v>
      </c>
      <c r="L439" s="23">
        <v>1.6175999999999999</v>
      </c>
      <c r="M439" s="23">
        <v>1.7318</v>
      </c>
      <c r="N439" s="23">
        <v>1.8460000000000001</v>
      </c>
      <c r="O439" s="23">
        <v>1.9601999999999999</v>
      </c>
      <c r="P439" s="23">
        <v>2.0743999999999998</v>
      </c>
      <c r="Q439" s="23">
        <v>2.1886000000000001</v>
      </c>
      <c r="R439" s="5" t="s">
        <v>3</v>
      </c>
      <c r="S439" s="5" t="s">
        <v>3</v>
      </c>
      <c r="T439" t="s">
        <v>125</v>
      </c>
    </row>
    <row r="440" spans="2:20" x14ac:dyDescent="0.25">
      <c r="B440" s="3" t="s">
        <v>133</v>
      </c>
      <c r="C440" s="23">
        <v>1.6363000000000001</v>
      </c>
      <c r="D440" s="23">
        <v>1.7695000000000001</v>
      </c>
      <c r="E440" s="23">
        <v>1.9027000000000001</v>
      </c>
      <c r="F440" s="23">
        <v>2.093</v>
      </c>
      <c r="G440" s="23">
        <v>2.2262</v>
      </c>
      <c r="H440" s="23">
        <v>2.3784000000000001</v>
      </c>
      <c r="I440" s="23">
        <v>2.5876999999999999</v>
      </c>
      <c r="J440" s="23">
        <v>2.7970000000000002</v>
      </c>
      <c r="K440" s="23">
        <v>3.0063</v>
      </c>
      <c r="L440" s="23">
        <v>3.2345999999999999</v>
      </c>
      <c r="M440" s="23">
        <v>3.4628999999999999</v>
      </c>
      <c r="N440" s="23">
        <v>3.6911999999999998</v>
      </c>
      <c r="O440" s="23">
        <v>3.9196</v>
      </c>
      <c r="P440" s="23">
        <v>4.1478999999999999</v>
      </c>
      <c r="Q440" s="23">
        <v>4.3761999999999999</v>
      </c>
      <c r="R440" s="5" t="s">
        <v>3</v>
      </c>
      <c r="S440" s="5" t="s">
        <v>3</v>
      </c>
      <c r="T440" t="s">
        <v>125</v>
      </c>
    </row>
    <row r="441" spans="2:20" x14ac:dyDescent="0.25">
      <c r="B441" s="3" t="s">
        <v>134</v>
      </c>
      <c r="C441" s="23">
        <v>2.0438999999999998</v>
      </c>
      <c r="D441" s="23">
        <v>2.2101999999999999</v>
      </c>
      <c r="E441" s="23">
        <v>2.3765999999999998</v>
      </c>
      <c r="F441" s="23">
        <v>2.6141999999999999</v>
      </c>
      <c r="G441" s="23">
        <v>2.7806000000000002</v>
      </c>
      <c r="H441" s="23">
        <v>2.9706999999999999</v>
      </c>
      <c r="I441" s="23">
        <v>3.2321</v>
      </c>
      <c r="J441" s="23">
        <v>3.4935999999999998</v>
      </c>
      <c r="K441" s="23">
        <v>3.7549999999999999</v>
      </c>
      <c r="L441" s="23">
        <v>4.0401999999999996</v>
      </c>
      <c r="M441" s="23">
        <v>4.3254000000000001</v>
      </c>
      <c r="N441" s="23">
        <v>4.6105999999999998</v>
      </c>
      <c r="O441" s="23">
        <v>4.8956999999999997</v>
      </c>
      <c r="P441" s="23">
        <v>5.1809000000000003</v>
      </c>
      <c r="Q441" s="23">
        <v>5.4661</v>
      </c>
      <c r="R441" s="5" t="s">
        <v>3</v>
      </c>
      <c r="S441" s="5" t="s">
        <v>3</v>
      </c>
      <c r="T441" t="s">
        <v>125</v>
      </c>
    </row>
    <row r="442" spans="2:20" x14ac:dyDescent="0.25">
      <c r="B442" s="3" t="s">
        <v>4</v>
      </c>
      <c r="C442" s="23">
        <v>3.0720000000000001</v>
      </c>
      <c r="D442" s="23">
        <v>3.3024</v>
      </c>
      <c r="E442" s="23">
        <v>3.5327999999999999</v>
      </c>
      <c r="F442" s="23">
        <v>3.84</v>
      </c>
      <c r="G442" s="23">
        <v>4.0704000000000002</v>
      </c>
      <c r="H442" s="23">
        <v>4.3007999999999997</v>
      </c>
      <c r="I442" s="23">
        <v>4.6079999999999997</v>
      </c>
      <c r="J442" s="23">
        <v>4.9151999999999996</v>
      </c>
      <c r="K442" s="23">
        <v>5.2224000000000004</v>
      </c>
      <c r="L442" s="23">
        <v>5.5296000000000003</v>
      </c>
      <c r="M442" s="23">
        <v>5.8368000000000002</v>
      </c>
      <c r="N442" s="23">
        <v>6.1440000000000001</v>
      </c>
      <c r="O442" s="23">
        <v>6.5279999999999996</v>
      </c>
      <c r="P442" s="23">
        <v>6.9119999999999999</v>
      </c>
      <c r="Q442" s="23">
        <v>7.2960000000000003</v>
      </c>
      <c r="R442" s="5" t="s">
        <v>19</v>
      </c>
      <c r="S442" s="5" t="s">
        <v>19</v>
      </c>
      <c r="T442" t="s">
        <v>125</v>
      </c>
    </row>
    <row r="443" spans="2:20" x14ac:dyDescent="0.25">
      <c r="B443" s="3" t="s">
        <v>812</v>
      </c>
      <c r="C443" s="23">
        <v>0.35</v>
      </c>
      <c r="D443" s="23">
        <v>0.35</v>
      </c>
      <c r="E443" s="23">
        <v>0.35</v>
      </c>
      <c r="F443" s="23">
        <v>0.35</v>
      </c>
      <c r="G443" s="23">
        <v>0.35</v>
      </c>
      <c r="H443" s="23">
        <v>0.35</v>
      </c>
      <c r="I443" s="23">
        <v>0.35</v>
      </c>
      <c r="J443" s="23">
        <v>0.35</v>
      </c>
      <c r="K443" s="23">
        <v>0.35</v>
      </c>
      <c r="L443" s="23">
        <v>0.35</v>
      </c>
      <c r="M443" s="23">
        <v>0.35</v>
      </c>
      <c r="N443" s="23">
        <v>0.35</v>
      </c>
      <c r="O443" s="23">
        <v>0.35</v>
      </c>
      <c r="P443" s="23">
        <v>0.35</v>
      </c>
      <c r="Q443" s="23">
        <v>0.35</v>
      </c>
      <c r="R443" s="5" t="s">
        <v>5</v>
      </c>
      <c r="S443" s="5" t="s">
        <v>5</v>
      </c>
      <c r="T443" t="s">
        <v>128</v>
      </c>
    </row>
    <row r="444" spans="2:20" x14ac:dyDescent="0.25">
      <c r="B444" s="3" t="s">
        <v>763</v>
      </c>
      <c r="C444" s="23"/>
      <c r="D444" s="23"/>
      <c r="E444" s="23"/>
      <c r="F444" s="23"/>
      <c r="G444" s="23"/>
      <c r="H444" s="23"/>
      <c r="I444" s="23"/>
      <c r="J444" s="23"/>
      <c r="K444" s="23"/>
      <c r="L444" s="23"/>
      <c r="M444" s="23"/>
      <c r="N444" s="23"/>
      <c r="O444" s="23"/>
      <c r="P444" s="23"/>
      <c r="Q444" s="23"/>
      <c r="R444" s="5" t="s">
        <v>763</v>
      </c>
      <c r="S444" s="5" t="s">
        <v>763</v>
      </c>
      <c r="T444" t="s">
        <v>764</v>
      </c>
    </row>
    <row r="445" spans="2:20" x14ac:dyDescent="0.25">
      <c r="B445" s="3" t="s">
        <v>386</v>
      </c>
      <c r="C445" s="23"/>
      <c r="D445" s="23"/>
      <c r="E445" s="23"/>
      <c r="F445" s="23"/>
      <c r="G445" s="23"/>
      <c r="H445" s="23"/>
      <c r="I445" s="23"/>
      <c r="J445" s="23"/>
      <c r="K445" s="23"/>
      <c r="L445" s="23"/>
      <c r="M445" s="23"/>
      <c r="N445" s="23"/>
      <c r="O445" s="23"/>
      <c r="P445" s="23"/>
      <c r="Q445" s="23"/>
      <c r="R445" s="5" t="s">
        <v>392</v>
      </c>
      <c r="S445" s="5" t="s">
        <v>392</v>
      </c>
      <c r="T445" t="s">
        <v>69</v>
      </c>
    </row>
    <row r="446" spans="2:20" x14ac:dyDescent="0.25">
      <c r="B446" s="3" t="s">
        <v>388</v>
      </c>
      <c r="C446" s="23"/>
      <c r="D446" s="23"/>
      <c r="E446" s="23"/>
      <c r="F446" s="23"/>
      <c r="G446" s="23"/>
      <c r="H446" s="23"/>
      <c r="I446" s="23"/>
      <c r="J446" s="23"/>
      <c r="K446" s="23"/>
      <c r="L446" s="23"/>
      <c r="M446" s="23"/>
      <c r="N446" s="23"/>
      <c r="O446" s="23"/>
      <c r="P446" s="23"/>
      <c r="Q446" s="23"/>
      <c r="R446" s="5" t="s">
        <v>392</v>
      </c>
      <c r="S446" s="5" t="s">
        <v>392</v>
      </c>
      <c r="T446" t="s">
        <v>69</v>
      </c>
    </row>
    <row r="447" spans="2:20" x14ac:dyDescent="0.25">
      <c r="B447" s="3" t="s">
        <v>389</v>
      </c>
      <c r="C447" s="23"/>
      <c r="D447" s="23"/>
      <c r="E447" s="23"/>
      <c r="F447" s="23"/>
      <c r="G447" s="23"/>
      <c r="H447" s="23"/>
      <c r="I447" s="23"/>
      <c r="J447" s="23"/>
      <c r="K447" s="23"/>
      <c r="L447" s="23"/>
      <c r="M447" s="23"/>
      <c r="N447" s="23"/>
      <c r="O447" s="23"/>
      <c r="P447" s="23"/>
      <c r="Q447" s="23"/>
      <c r="R447" s="5" t="s">
        <v>392</v>
      </c>
      <c r="S447" s="5" t="s">
        <v>392</v>
      </c>
      <c r="T447" t="s">
        <v>69</v>
      </c>
    </row>
    <row r="448" spans="2:20" x14ac:dyDescent="0.25">
      <c r="B448" s="3" t="s">
        <v>385</v>
      </c>
      <c r="C448" s="23"/>
      <c r="D448" s="23"/>
      <c r="E448" s="23"/>
      <c r="F448" s="23"/>
      <c r="G448" s="23"/>
      <c r="H448" s="23"/>
      <c r="I448" s="23"/>
      <c r="J448" s="23"/>
      <c r="K448" s="23"/>
      <c r="L448" s="23"/>
      <c r="M448" s="23"/>
      <c r="N448" s="23"/>
      <c r="O448" s="23"/>
      <c r="P448" s="23"/>
      <c r="Q448" s="23"/>
      <c r="R448" s="5" t="s">
        <v>392</v>
      </c>
      <c r="S448" s="5" t="s">
        <v>392</v>
      </c>
      <c r="T448" t="s">
        <v>69</v>
      </c>
    </row>
    <row r="449" spans="1:23" x14ac:dyDescent="0.25">
      <c r="B449" s="3" t="s">
        <v>387</v>
      </c>
      <c r="C449" s="23"/>
      <c r="D449" s="23"/>
      <c r="E449" s="23"/>
      <c r="F449" s="23"/>
      <c r="G449" s="23"/>
      <c r="H449" s="23"/>
      <c r="I449" s="23"/>
      <c r="J449" s="23"/>
      <c r="K449" s="23"/>
      <c r="L449" s="23"/>
      <c r="M449" s="23"/>
      <c r="N449" s="23"/>
      <c r="O449" s="23"/>
      <c r="P449" s="23"/>
      <c r="Q449" s="23"/>
      <c r="R449" s="5" t="s">
        <v>392</v>
      </c>
      <c r="S449" s="5" t="s">
        <v>392</v>
      </c>
      <c r="T449" t="s">
        <v>69</v>
      </c>
    </row>
    <row r="450" spans="1:23" x14ac:dyDescent="0.25">
      <c r="B450" s="3" t="s">
        <v>390</v>
      </c>
      <c r="C450" s="23"/>
      <c r="D450" s="23"/>
      <c r="E450" s="23"/>
      <c r="F450" s="23"/>
      <c r="G450" s="23"/>
      <c r="H450" s="23"/>
      <c r="I450" s="23"/>
      <c r="J450" s="23"/>
      <c r="K450" s="23"/>
      <c r="L450" s="23"/>
      <c r="M450" s="23"/>
      <c r="N450" s="23"/>
      <c r="O450" s="23"/>
      <c r="P450" s="23"/>
      <c r="Q450" s="23"/>
      <c r="R450" s="5" t="s">
        <v>392</v>
      </c>
      <c r="S450" s="5" t="s">
        <v>392</v>
      </c>
      <c r="T450" t="s">
        <v>69</v>
      </c>
    </row>
    <row r="451" spans="1:23" x14ac:dyDescent="0.25">
      <c r="B451" s="3" t="s">
        <v>391</v>
      </c>
      <c r="C451" s="23"/>
      <c r="D451" s="23"/>
      <c r="E451" s="23"/>
      <c r="F451" s="23"/>
      <c r="G451" s="23"/>
      <c r="H451" s="23"/>
      <c r="I451" s="23"/>
      <c r="J451" s="23"/>
      <c r="K451" s="23"/>
      <c r="L451" s="23"/>
      <c r="M451" s="23"/>
      <c r="N451" s="23"/>
      <c r="O451" s="23"/>
      <c r="P451" s="23"/>
      <c r="Q451" s="23"/>
      <c r="R451" s="5" t="s">
        <v>392</v>
      </c>
      <c r="S451" s="5" t="s">
        <v>392</v>
      </c>
      <c r="T451" t="s">
        <v>69</v>
      </c>
    </row>
    <row r="452" spans="1:23" x14ac:dyDescent="0.25">
      <c r="A452" t="s">
        <v>851</v>
      </c>
      <c r="B452" s="3" t="s">
        <v>393</v>
      </c>
      <c r="C452" s="23"/>
      <c r="D452" s="23"/>
      <c r="E452" s="23"/>
      <c r="F452" s="23"/>
      <c r="G452" s="23"/>
      <c r="H452" s="23"/>
      <c r="I452" s="23"/>
      <c r="J452" s="23"/>
      <c r="K452" s="23"/>
      <c r="L452" s="23"/>
      <c r="M452" s="23"/>
      <c r="N452" s="23"/>
      <c r="O452" s="23"/>
      <c r="P452" s="23"/>
      <c r="Q452" s="23"/>
      <c r="R452" s="5" t="s">
        <v>392</v>
      </c>
      <c r="S452" s="5" t="s">
        <v>392</v>
      </c>
      <c r="T452" t="s">
        <v>69</v>
      </c>
    </row>
    <row r="453" spans="1:23" x14ac:dyDescent="0.25">
      <c r="B453" t="s">
        <v>225</v>
      </c>
      <c r="C453" s="21">
        <v>1</v>
      </c>
      <c r="D453" s="21">
        <v>2</v>
      </c>
      <c r="E453" s="21">
        <v>3</v>
      </c>
      <c r="F453" s="21">
        <v>4</v>
      </c>
      <c r="G453" s="21">
        <v>5</v>
      </c>
      <c r="H453" s="21">
        <v>6</v>
      </c>
      <c r="I453" s="21">
        <v>7</v>
      </c>
      <c r="J453" s="21">
        <v>8</v>
      </c>
      <c r="K453" s="21">
        <v>9</v>
      </c>
      <c r="L453" s="21">
        <v>10</v>
      </c>
      <c r="M453" s="21">
        <v>11</v>
      </c>
      <c r="N453" s="21">
        <v>12</v>
      </c>
      <c r="O453" s="21">
        <v>13</v>
      </c>
      <c r="P453" s="21">
        <v>14</v>
      </c>
      <c r="Q453" s="21">
        <v>15</v>
      </c>
      <c r="R453" s="5" t="s">
        <v>11</v>
      </c>
      <c r="S453" s="5" t="s">
        <v>1024</v>
      </c>
      <c r="T453" t="s">
        <v>124</v>
      </c>
    </row>
    <row r="454" spans="1:23" x14ac:dyDescent="0.25">
      <c r="A454" t="s">
        <v>852</v>
      </c>
      <c r="B454" t="s">
        <v>10</v>
      </c>
      <c r="C454" s="2">
        <v>0.48330000000000001</v>
      </c>
      <c r="D454" s="2">
        <v>0.52270000000000005</v>
      </c>
      <c r="E454" s="2">
        <v>0.56200000000000006</v>
      </c>
      <c r="F454" s="2">
        <v>0.61819999999999997</v>
      </c>
      <c r="G454" s="2">
        <v>0.65749999999999997</v>
      </c>
      <c r="H454" s="2">
        <v>0.70250000000000001</v>
      </c>
      <c r="I454" s="2">
        <v>0.76429999999999998</v>
      </c>
      <c r="J454" s="2">
        <v>0.82609999999999995</v>
      </c>
      <c r="K454" s="2">
        <v>0.88800000000000001</v>
      </c>
      <c r="L454" s="2">
        <v>0.95540000000000003</v>
      </c>
      <c r="M454" s="2">
        <v>1.0327</v>
      </c>
      <c r="N454" s="2">
        <v>1.1235999999999999</v>
      </c>
      <c r="O454" s="2">
        <v>1.2143999999999999</v>
      </c>
      <c r="P454" s="2">
        <v>1.3052999999999999</v>
      </c>
      <c r="Q454" s="2">
        <v>1.4044000000000001</v>
      </c>
      <c r="R454" t="s">
        <v>6</v>
      </c>
      <c r="S454" t="s">
        <v>6</v>
      </c>
      <c r="T454" t="s">
        <v>125</v>
      </c>
    </row>
    <row r="455" spans="1:23" x14ac:dyDescent="0.25">
      <c r="B455" t="s">
        <v>9</v>
      </c>
      <c r="C455" s="2">
        <v>0.45579999999999998</v>
      </c>
      <c r="D455" s="2">
        <v>0.4929</v>
      </c>
      <c r="E455" s="2">
        <v>0.53</v>
      </c>
      <c r="F455" s="2">
        <v>0.58299999999999996</v>
      </c>
      <c r="G455" s="2">
        <v>0.62009999999999998</v>
      </c>
      <c r="H455" s="2">
        <v>0.66249999999999998</v>
      </c>
      <c r="I455" s="2">
        <v>0.7208</v>
      </c>
      <c r="J455" s="2">
        <v>0.77910000000000001</v>
      </c>
      <c r="K455" s="2">
        <v>0.83740000000000003</v>
      </c>
      <c r="L455" s="2">
        <v>0.90100000000000002</v>
      </c>
      <c r="M455" s="2">
        <v>0.97389999999999999</v>
      </c>
      <c r="N455" s="2">
        <v>1.0596000000000001</v>
      </c>
      <c r="O455" s="2">
        <v>1.1453</v>
      </c>
      <c r="P455" s="2">
        <v>1.2310000000000001</v>
      </c>
      <c r="Q455" s="2">
        <v>1.3245</v>
      </c>
      <c r="R455" t="s">
        <v>6</v>
      </c>
      <c r="S455" t="s">
        <v>6</v>
      </c>
      <c r="T455" t="s">
        <v>125</v>
      </c>
    </row>
    <row r="456" spans="1:23" x14ac:dyDescent="0.25">
      <c r="B456" t="s">
        <v>8</v>
      </c>
      <c r="C456" s="2">
        <v>0.60289999999999999</v>
      </c>
      <c r="D456" s="2">
        <v>0.65190000000000003</v>
      </c>
      <c r="E456" s="2">
        <v>0.70099999999999996</v>
      </c>
      <c r="F456" s="2">
        <v>0.77110000000000001</v>
      </c>
      <c r="G456" s="2">
        <v>0.82020000000000004</v>
      </c>
      <c r="H456" s="2">
        <v>0.87629999999999997</v>
      </c>
      <c r="I456" s="2">
        <v>0.95340000000000003</v>
      </c>
      <c r="J456" s="2">
        <v>1.0305</v>
      </c>
      <c r="K456" s="2">
        <v>1.1075999999999999</v>
      </c>
      <c r="L456" s="2">
        <v>1.1917</v>
      </c>
      <c r="M456" s="2">
        <v>1.2881</v>
      </c>
      <c r="N456" s="2">
        <v>1.4014</v>
      </c>
      <c r="O456" s="2">
        <v>1.5147999999999999</v>
      </c>
      <c r="P456" s="2">
        <v>1.6281000000000001</v>
      </c>
      <c r="Q456" s="2">
        <v>1.7518</v>
      </c>
      <c r="R456" t="s">
        <v>6</v>
      </c>
      <c r="S456" t="s">
        <v>6</v>
      </c>
      <c r="T456" t="s">
        <v>125</v>
      </c>
    </row>
    <row r="457" spans="1:23" x14ac:dyDescent="0.25">
      <c r="B457" t="s">
        <v>13</v>
      </c>
      <c r="C457" s="2">
        <v>0.65880000000000005</v>
      </c>
      <c r="D457" s="2">
        <v>0.71240000000000003</v>
      </c>
      <c r="E457" s="2">
        <v>0.76600000000000001</v>
      </c>
      <c r="F457" s="2">
        <v>0.84260000000000002</v>
      </c>
      <c r="G457" s="2">
        <v>0.8962</v>
      </c>
      <c r="H457" s="2">
        <v>0.95750000000000002</v>
      </c>
      <c r="I457" s="2">
        <v>1.0418000000000001</v>
      </c>
      <c r="J457" s="2">
        <v>1.1259999999999999</v>
      </c>
      <c r="K457" s="2">
        <v>1.2102999999999999</v>
      </c>
      <c r="L457" s="2">
        <v>1.3022</v>
      </c>
      <c r="M457" s="2">
        <v>1.4075</v>
      </c>
      <c r="N457" s="2">
        <v>1.5314000000000001</v>
      </c>
      <c r="O457" s="2">
        <v>1.6552</v>
      </c>
      <c r="P457" s="2">
        <v>1.7790999999999999</v>
      </c>
      <c r="Q457" s="2">
        <v>1.9141999999999999</v>
      </c>
      <c r="R457" t="s">
        <v>6</v>
      </c>
      <c r="S457" t="s">
        <v>6</v>
      </c>
      <c r="T457" t="s">
        <v>125</v>
      </c>
    </row>
    <row r="458" spans="1:23" x14ac:dyDescent="0.25">
      <c r="B458" t="s">
        <v>7</v>
      </c>
      <c r="C458" s="2">
        <v>0.79210000000000003</v>
      </c>
      <c r="D458" s="2">
        <v>0.85650000000000004</v>
      </c>
      <c r="E458" s="2">
        <v>0.92100000000000004</v>
      </c>
      <c r="F458" s="2">
        <v>1.0130999999999999</v>
      </c>
      <c r="G458" s="2">
        <v>1.0775999999999999</v>
      </c>
      <c r="H458" s="2">
        <v>1.1513</v>
      </c>
      <c r="I458" s="2">
        <v>1.2525999999999999</v>
      </c>
      <c r="J458" s="2">
        <v>1.3539000000000001</v>
      </c>
      <c r="K458" s="2">
        <v>1.4552</v>
      </c>
      <c r="L458" s="2">
        <v>1.5657000000000001</v>
      </c>
      <c r="M458" s="2">
        <v>1.6922999999999999</v>
      </c>
      <c r="N458" s="2">
        <v>1.8412999999999999</v>
      </c>
      <c r="O458" s="2">
        <v>1.9902</v>
      </c>
      <c r="P458" s="2">
        <v>2.1391</v>
      </c>
      <c r="Q458" s="2">
        <v>2.3016000000000001</v>
      </c>
      <c r="R458" t="s">
        <v>6</v>
      </c>
      <c r="S458" t="s">
        <v>6</v>
      </c>
      <c r="T458" t="s">
        <v>125</v>
      </c>
    </row>
    <row r="459" spans="1:23" x14ac:dyDescent="0.25">
      <c r="B459" t="s">
        <v>14</v>
      </c>
      <c r="C459" s="2">
        <v>1.6202000000000001</v>
      </c>
      <c r="D459" s="2">
        <v>1.7521</v>
      </c>
      <c r="E459" s="2">
        <v>1.8839999999999999</v>
      </c>
      <c r="F459" s="2">
        <v>2.0724</v>
      </c>
      <c r="G459" s="2">
        <v>2.2042999999999999</v>
      </c>
      <c r="H459" s="2">
        <v>2.355</v>
      </c>
      <c r="I459" s="2">
        <v>2.5621999999999998</v>
      </c>
      <c r="J459" s="2">
        <v>2.7694999999999999</v>
      </c>
      <c r="K459" s="2">
        <v>2.9767000000000001</v>
      </c>
      <c r="L459" s="2">
        <v>3.2027999999999999</v>
      </c>
      <c r="M459" s="2">
        <v>3.4619</v>
      </c>
      <c r="N459" s="2">
        <v>3.7665000000000002</v>
      </c>
      <c r="O459" s="2">
        <v>4.0711000000000004</v>
      </c>
      <c r="P459" s="2">
        <v>4.3757999999999999</v>
      </c>
      <c r="Q459" s="2">
        <v>4.7081</v>
      </c>
      <c r="R459" t="s">
        <v>5</v>
      </c>
      <c r="S459" t="s">
        <v>5</v>
      </c>
      <c r="T459" t="s">
        <v>125</v>
      </c>
    </row>
    <row r="460" spans="1:23" x14ac:dyDescent="0.25">
      <c r="B460" t="s">
        <v>152</v>
      </c>
      <c r="C460" s="2">
        <v>0.63929999999999998</v>
      </c>
      <c r="D460" s="2">
        <v>0.69140000000000001</v>
      </c>
      <c r="E460" s="2">
        <v>0.74339999999999995</v>
      </c>
      <c r="F460" s="2">
        <v>0.81769999999999998</v>
      </c>
      <c r="G460" s="2">
        <v>0.86980000000000002</v>
      </c>
      <c r="H460" s="2">
        <v>0.92930000000000001</v>
      </c>
      <c r="I460" s="2">
        <v>1.0109999999999999</v>
      </c>
      <c r="J460" s="2">
        <v>1.0928</v>
      </c>
      <c r="K460" s="2">
        <v>1.1746000000000001</v>
      </c>
      <c r="L460" s="2">
        <v>1.2638</v>
      </c>
      <c r="M460" s="2">
        <v>1.353</v>
      </c>
      <c r="N460" s="2">
        <v>1.4421999999999999</v>
      </c>
      <c r="O460" s="2">
        <v>1.5314000000000001</v>
      </c>
      <c r="P460" s="2">
        <v>1.6206</v>
      </c>
      <c r="Q460" s="2">
        <v>1.7098</v>
      </c>
      <c r="R460" t="s">
        <v>3</v>
      </c>
      <c r="S460" t="s">
        <v>3</v>
      </c>
      <c r="T460" t="s">
        <v>125</v>
      </c>
    </row>
    <row r="461" spans="1:23" x14ac:dyDescent="0.25">
      <c r="B461" t="s">
        <v>133</v>
      </c>
      <c r="C461" s="2">
        <v>1.2784</v>
      </c>
      <c r="D461" s="2">
        <v>1.3824000000000001</v>
      </c>
      <c r="E461" s="2">
        <v>1.4864999999999999</v>
      </c>
      <c r="F461" s="2">
        <v>1.6351</v>
      </c>
      <c r="G461" s="2">
        <v>1.7392000000000001</v>
      </c>
      <c r="H461" s="2">
        <v>1.8581000000000001</v>
      </c>
      <c r="I461" s="2">
        <v>2.0215999999999998</v>
      </c>
      <c r="J461" s="2">
        <v>2.1850999999999998</v>
      </c>
      <c r="K461" s="2">
        <v>2.3485999999999998</v>
      </c>
      <c r="L461" s="2">
        <v>2.5270000000000001</v>
      </c>
      <c r="M461" s="2">
        <v>2.7054</v>
      </c>
      <c r="N461" s="2">
        <v>2.8837999999999999</v>
      </c>
      <c r="O461" s="2">
        <v>3.0621999999999998</v>
      </c>
      <c r="P461" s="2">
        <v>3.2404999999999999</v>
      </c>
      <c r="Q461" s="2">
        <v>3.4188999999999998</v>
      </c>
      <c r="R461" t="s">
        <v>3</v>
      </c>
      <c r="S461" t="s">
        <v>3</v>
      </c>
      <c r="T461" t="s">
        <v>125</v>
      </c>
    </row>
    <row r="462" spans="1:23" x14ac:dyDescent="0.25">
      <c r="B462" t="s">
        <v>134</v>
      </c>
      <c r="C462" s="2">
        <v>1.5968</v>
      </c>
      <c r="D462" s="2">
        <v>1.7266999999999999</v>
      </c>
      <c r="E462" s="2">
        <v>1.8567</v>
      </c>
      <c r="F462" s="2">
        <v>2.0424000000000002</v>
      </c>
      <c r="G462" s="2">
        <v>2.1722999999999999</v>
      </c>
      <c r="H462" s="2">
        <v>2.3209</v>
      </c>
      <c r="I462" s="2">
        <v>2.5251000000000001</v>
      </c>
      <c r="J462" s="2">
        <v>2.7292999999999998</v>
      </c>
      <c r="K462" s="2">
        <v>2.9336000000000002</v>
      </c>
      <c r="L462" s="2">
        <v>3.1564000000000001</v>
      </c>
      <c r="M462" s="2">
        <v>3.3792</v>
      </c>
      <c r="N462" s="2">
        <v>3.6019999999999999</v>
      </c>
      <c r="O462" s="2">
        <v>3.8248000000000002</v>
      </c>
      <c r="P462" s="2">
        <v>4.0476000000000001</v>
      </c>
      <c r="Q462" s="2">
        <v>4.2704000000000004</v>
      </c>
      <c r="R462" t="s">
        <v>3</v>
      </c>
      <c r="S462" t="s">
        <v>3</v>
      </c>
      <c r="T462" t="s">
        <v>125</v>
      </c>
    </row>
    <row r="463" spans="1:23" x14ac:dyDescent="0.25">
      <c r="B463" t="s">
        <v>4</v>
      </c>
      <c r="C463" s="2">
        <v>2.92</v>
      </c>
      <c r="D463" s="2">
        <v>3.1389999999999998</v>
      </c>
      <c r="E463" s="2">
        <v>3.3580000000000001</v>
      </c>
      <c r="F463" s="2">
        <v>3.65</v>
      </c>
      <c r="G463" s="2">
        <v>3.8690000000000002</v>
      </c>
      <c r="H463" s="2">
        <v>4.0880000000000001</v>
      </c>
      <c r="I463" s="2">
        <v>4.38</v>
      </c>
      <c r="J463" s="2">
        <v>4.6719999999999997</v>
      </c>
      <c r="K463" s="2">
        <v>4.9640000000000004</v>
      </c>
      <c r="L463" s="2">
        <v>5.2560000000000002</v>
      </c>
      <c r="M463" s="2">
        <v>5.548</v>
      </c>
      <c r="N463" s="2">
        <v>5.84</v>
      </c>
      <c r="O463" s="2">
        <v>6.2050000000000001</v>
      </c>
      <c r="P463" s="2">
        <v>6.57</v>
      </c>
      <c r="Q463" s="2">
        <v>6.9349999999999996</v>
      </c>
      <c r="R463" t="s">
        <v>19</v>
      </c>
      <c r="S463" t="s">
        <v>19</v>
      </c>
      <c r="T463" t="s">
        <v>125</v>
      </c>
      <c r="W463" s="30"/>
    </row>
    <row r="464" spans="1:23" x14ac:dyDescent="0.25">
      <c r="B464" t="s">
        <v>919</v>
      </c>
      <c r="C464" s="2">
        <v>2.512</v>
      </c>
      <c r="D464" s="2">
        <v>2.7004000000000001</v>
      </c>
      <c r="E464" s="2">
        <v>2.8887999999999998</v>
      </c>
      <c r="F464" s="2">
        <v>3.14</v>
      </c>
      <c r="G464" s="2">
        <v>3.3283999999999998</v>
      </c>
      <c r="H464" s="2">
        <v>3.5167999999999999</v>
      </c>
      <c r="I464" s="2">
        <v>3.7679999999999998</v>
      </c>
      <c r="J464" s="2">
        <v>4.0191999999999997</v>
      </c>
      <c r="K464" s="2">
        <v>4.2704000000000004</v>
      </c>
      <c r="L464" s="2">
        <v>4.5216000000000003</v>
      </c>
      <c r="M464" s="2">
        <v>4.7728000000000002</v>
      </c>
      <c r="N464" s="2">
        <v>5.024</v>
      </c>
      <c r="O464" s="2">
        <v>5.3380000000000001</v>
      </c>
      <c r="P464" s="2">
        <v>5.6520000000000001</v>
      </c>
      <c r="Q464" s="2">
        <v>5.9660000000000002</v>
      </c>
      <c r="R464" t="s">
        <v>0</v>
      </c>
      <c r="S464" t="s">
        <v>0</v>
      </c>
      <c r="T464" t="s">
        <v>125</v>
      </c>
      <c r="U464" t="s">
        <v>944</v>
      </c>
      <c r="W464" s="30"/>
    </row>
    <row r="465" spans="1:23" x14ac:dyDescent="0.25">
      <c r="B465" t="s">
        <v>920</v>
      </c>
      <c r="C465">
        <v>1540</v>
      </c>
      <c r="D465">
        <v>1694</v>
      </c>
      <c r="E465">
        <v>1861</v>
      </c>
      <c r="F465">
        <v>2041</v>
      </c>
      <c r="G465">
        <v>2234</v>
      </c>
      <c r="H465">
        <v>2439</v>
      </c>
      <c r="I465">
        <v>2657</v>
      </c>
      <c r="J465">
        <v>2888</v>
      </c>
      <c r="K465">
        <v>3132</v>
      </c>
      <c r="L465">
        <v>3389</v>
      </c>
      <c r="M465">
        <v>3659</v>
      </c>
      <c r="N465">
        <v>3941</v>
      </c>
      <c r="O465">
        <v>4236</v>
      </c>
      <c r="P465">
        <v>4544</v>
      </c>
      <c r="Q465">
        <v>4865</v>
      </c>
      <c r="R465" t="s">
        <v>0</v>
      </c>
      <c r="S465" t="s">
        <v>0</v>
      </c>
      <c r="T465" t="s">
        <v>223</v>
      </c>
      <c r="U465" t="s">
        <v>945</v>
      </c>
      <c r="W465" s="30"/>
    </row>
    <row r="466" spans="1:23" x14ac:dyDescent="0.25">
      <c r="B466" t="s">
        <v>905</v>
      </c>
      <c r="C466" s="2">
        <v>0.25119999999999998</v>
      </c>
      <c r="D466" s="2">
        <v>0.27</v>
      </c>
      <c r="E466" s="2">
        <v>0.28889999999999999</v>
      </c>
      <c r="F466" s="2">
        <v>0.314</v>
      </c>
      <c r="G466" s="2">
        <v>0.33279999999999998</v>
      </c>
      <c r="H466" s="2">
        <v>0.35170000000000001</v>
      </c>
      <c r="I466" s="2">
        <v>0.37680000000000002</v>
      </c>
      <c r="J466" s="2">
        <v>0.40189999999999998</v>
      </c>
      <c r="K466" s="2">
        <v>0.42699999999999999</v>
      </c>
      <c r="L466" s="2">
        <v>0.45219999999999999</v>
      </c>
      <c r="M466" s="2">
        <v>0.4773</v>
      </c>
      <c r="N466" s="2">
        <v>0.50239999999999996</v>
      </c>
      <c r="O466" s="2">
        <v>0.53380000000000005</v>
      </c>
      <c r="P466" s="2">
        <v>0.56520000000000004</v>
      </c>
      <c r="Q466" s="2">
        <v>0.59660000000000002</v>
      </c>
      <c r="R466" t="s">
        <v>0</v>
      </c>
      <c r="S466" t="s">
        <v>0</v>
      </c>
      <c r="T466" t="s">
        <v>125</v>
      </c>
      <c r="U466" t="s">
        <v>944</v>
      </c>
      <c r="W466" s="30"/>
    </row>
    <row r="467" spans="1:23" x14ac:dyDescent="0.25">
      <c r="B467" t="s">
        <v>904</v>
      </c>
      <c r="C467">
        <v>154</v>
      </c>
      <c r="D467">
        <v>169</v>
      </c>
      <c r="E467">
        <v>186</v>
      </c>
      <c r="F467">
        <v>204</v>
      </c>
      <c r="G467">
        <v>223</v>
      </c>
      <c r="H467">
        <v>244</v>
      </c>
      <c r="I467">
        <v>266</v>
      </c>
      <c r="J467">
        <v>289</v>
      </c>
      <c r="K467">
        <v>313</v>
      </c>
      <c r="L467">
        <v>339</v>
      </c>
      <c r="M467">
        <v>366</v>
      </c>
      <c r="N467">
        <v>394</v>
      </c>
      <c r="O467">
        <v>424</v>
      </c>
      <c r="P467">
        <v>454</v>
      </c>
      <c r="Q467">
        <v>487</v>
      </c>
      <c r="R467" t="s">
        <v>0</v>
      </c>
      <c r="S467" t="s">
        <v>0</v>
      </c>
      <c r="T467" t="s">
        <v>223</v>
      </c>
      <c r="U467" t="s">
        <v>945</v>
      </c>
      <c r="W467" s="30"/>
    </row>
    <row r="468" spans="1:23" x14ac:dyDescent="0.25">
      <c r="B468" t="s">
        <v>129</v>
      </c>
      <c r="C468" s="2">
        <v>4.2480000000000002</v>
      </c>
      <c r="D468" s="2">
        <v>4.5666000000000002</v>
      </c>
      <c r="E468" s="2">
        <v>4.8852000000000002</v>
      </c>
      <c r="F468" s="2">
        <v>5.31</v>
      </c>
      <c r="G468" s="2">
        <v>5.6285999999999996</v>
      </c>
      <c r="H468" s="2">
        <v>5.9471999999999996</v>
      </c>
      <c r="I468" s="2">
        <v>6.3719999999999999</v>
      </c>
      <c r="J468" s="2">
        <v>6.7968000000000002</v>
      </c>
      <c r="K468" s="2">
        <v>7.2215999999999996</v>
      </c>
      <c r="L468" s="2">
        <v>7.6463999999999999</v>
      </c>
      <c r="M468" s="2">
        <v>8.0711999999999993</v>
      </c>
      <c r="N468" s="2">
        <v>8.4960000000000004</v>
      </c>
      <c r="O468" s="2">
        <v>9.0269999999999992</v>
      </c>
      <c r="P468" s="2">
        <v>9.5579999999999998</v>
      </c>
      <c r="Q468" s="2">
        <v>10.089</v>
      </c>
      <c r="R468" t="s">
        <v>0</v>
      </c>
      <c r="S468" t="s">
        <v>0</v>
      </c>
      <c r="T468" t="s">
        <v>125</v>
      </c>
    </row>
    <row r="469" spans="1:23" x14ac:dyDescent="0.25">
      <c r="B469" t="s">
        <v>226</v>
      </c>
      <c r="C469" s="2">
        <v>0.78400000000000003</v>
      </c>
      <c r="D469" s="2">
        <v>0.84279999999999999</v>
      </c>
      <c r="E469" s="2">
        <v>0.90159999999999996</v>
      </c>
      <c r="F469" s="2">
        <v>0.98</v>
      </c>
      <c r="G469" s="2">
        <v>1.0387999999999999</v>
      </c>
      <c r="H469" s="2">
        <v>1.0975999999999999</v>
      </c>
      <c r="I469" s="2">
        <v>1.1759999999999999</v>
      </c>
      <c r="J469" s="2">
        <v>1.2544</v>
      </c>
      <c r="K469" s="2">
        <v>1.3328</v>
      </c>
      <c r="L469" s="2">
        <v>1.4112</v>
      </c>
      <c r="M469" s="2">
        <v>1.4896</v>
      </c>
      <c r="N469" s="2">
        <v>1.5680000000000001</v>
      </c>
      <c r="O469" s="2">
        <v>1.6659999999999999</v>
      </c>
      <c r="P469" s="2">
        <v>1.764</v>
      </c>
      <c r="Q469" s="2">
        <v>1.8620000000000001</v>
      </c>
      <c r="R469" t="s">
        <v>0</v>
      </c>
      <c r="S469" t="s">
        <v>0</v>
      </c>
      <c r="T469" t="s">
        <v>125</v>
      </c>
    </row>
    <row r="470" spans="1:23" x14ac:dyDescent="0.25">
      <c r="B470" s="3" t="s">
        <v>763</v>
      </c>
      <c r="C470" s="23"/>
      <c r="D470" s="23"/>
      <c r="E470" s="23"/>
      <c r="F470" s="23"/>
      <c r="G470" s="23"/>
      <c r="H470" s="23"/>
      <c r="I470" s="23"/>
      <c r="J470" s="23"/>
      <c r="K470" s="23"/>
      <c r="L470" s="23"/>
      <c r="M470" s="23"/>
      <c r="N470" s="23"/>
      <c r="O470" s="23"/>
      <c r="P470" s="23"/>
      <c r="Q470" s="23"/>
      <c r="R470" s="5" t="s">
        <v>763</v>
      </c>
      <c r="S470" s="5" t="s">
        <v>763</v>
      </c>
      <c r="T470" t="s">
        <v>764</v>
      </c>
    </row>
    <row r="471" spans="1:23" x14ac:dyDescent="0.25">
      <c r="B471" s="3" t="s">
        <v>386</v>
      </c>
      <c r="C471" s="23"/>
      <c r="D471" s="23"/>
      <c r="E471" s="23"/>
      <c r="F471" s="23"/>
      <c r="G471" s="23"/>
      <c r="H471" s="23"/>
      <c r="I471" s="23"/>
      <c r="J471" s="23"/>
      <c r="K471" s="23"/>
      <c r="L471" s="23"/>
      <c r="M471" s="23"/>
      <c r="N471" s="23"/>
      <c r="O471" s="23"/>
      <c r="P471" s="23"/>
      <c r="Q471" s="23"/>
      <c r="R471" s="5" t="s">
        <v>392</v>
      </c>
      <c r="S471" s="5" t="s">
        <v>392</v>
      </c>
      <c r="T471" t="s">
        <v>69</v>
      </c>
    </row>
    <row r="472" spans="1:23" x14ac:dyDescent="0.25">
      <c r="B472" s="3" t="s">
        <v>388</v>
      </c>
      <c r="C472" s="23"/>
      <c r="D472" s="23"/>
      <c r="E472" s="23"/>
      <c r="F472" s="23"/>
      <c r="G472" s="23"/>
      <c r="H472" s="23"/>
      <c r="I472" s="23"/>
      <c r="J472" s="23"/>
      <c r="K472" s="23"/>
      <c r="L472" s="23"/>
      <c r="M472" s="23"/>
      <c r="N472" s="23"/>
      <c r="O472" s="23"/>
      <c r="P472" s="23"/>
      <c r="Q472" s="23"/>
      <c r="R472" s="5" t="s">
        <v>392</v>
      </c>
      <c r="S472" s="5" t="s">
        <v>392</v>
      </c>
      <c r="T472" t="s">
        <v>69</v>
      </c>
    </row>
    <row r="473" spans="1:23" x14ac:dyDescent="0.25">
      <c r="B473" s="3" t="s">
        <v>389</v>
      </c>
      <c r="C473" s="23"/>
      <c r="D473" s="23"/>
      <c r="E473" s="23"/>
      <c r="F473" s="23"/>
      <c r="G473" s="23"/>
      <c r="H473" s="23"/>
      <c r="I473" s="23"/>
      <c r="J473" s="23"/>
      <c r="K473" s="23"/>
      <c r="L473" s="23"/>
      <c r="M473" s="23"/>
      <c r="N473" s="23"/>
      <c r="O473" s="23"/>
      <c r="P473" s="23"/>
      <c r="Q473" s="23"/>
      <c r="R473" s="5" t="s">
        <v>392</v>
      </c>
      <c r="S473" s="5" t="s">
        <v>392</v>
      </c>
      <c r="T473" t="s">
        <v>69</v>
      </c>
    </row>
    <row r="474" spans="1:23" x14ac:dyDescent="0.25">
      <c r="B474" s="3" t="s">
        <v>385</v>
      </c>
      <c r="C474" s="23"/>
      <c r="D474" s="23"/>
      <c r="E474" s="23"/>
      <c r="F474" s="23"/>
      <c r="G474" s="23"/>
      <c r="H474" s="23"/>
      <c r="I474" s="23"/>
      <c r="J474" s="23"/>
      <c r="K474" s="23"/>
      <c r="L474" s="23"/>
      <c r="M474" s="23"/>
      <c r="N474" s="23"/>
      <c r="O474" s="23"/>
      <c r="P474" s="23"/>
      <c r="Q474" s="23"/>
      <c r="R474" s="5" t="s">
        <v>392</v>
      </c>
      <c r="S474" s="5" t="s">
        <v>392</v>
      </c>
      <c r="T474" t="s">
        <v>69</v>
      </c>
    </row>
    <row r="475" spans="1:23" x14ac:dyDescent="0.25">
      <c r="B475" s="3" t="s">
        <v>387</v>
      </c>
      <c r="C475" s="23"/>
      <c r="D475" s="23"/>
      <c r="E475" s="23"/>
      <c r="F475" s="23"/>
      <c r="G475" s="23"/>
      <c r="H475" s="23"/>
      <c r="I475" s="23"/>
      <c r="J475" s="23"/>
      <c r="K475" s="23"/>
      <c r="L475" s="23"/>
      <c r="M475" s="23"/>
      <c r="N475" s="23"/>
      <c r="O475" s="23"/>
      <c r="P475" s="23"/>
      <c r="Q475" s="23"/>
      <c r="R475" s="5" t="s">
        <v>392</v>
      </c>
      <c r="S475" s="5" t="s">
        <v>392</v>
      </c>
      <c r="T475" t="s">
        <v>69</v>
      </c>
    </row>
    <row r="476" spans="1:23" x14ac:dyDescent="0.25">
      <c r="B476" s="3" t="s">
        <v>390</v>
      </c>
      <c r="C476" s="23"/>
      <c r="D476" s="23"/>
      <c r="E476" s="23"/>
      <c r="F476" s="23"/>
      <c r="G476" s="23"/>
      <c r="H476" s="23"/>
      <c r="I476" s="23"/>
      <c r="J476" s="23"/>
      <c r="K476" s="23"/>
      <c r="L476" s="23"/>
      <c r="M476" s="23"/>
      <c r="N476" s="23"/>
      <c r="O476" s="23"/>
      <c r="P476" s="23"/>
      <c r="Q476" s="23"/>
      <c r="R476" s="5" t="s">
        <v>392</v>
      </c>
      <c r="S476" s="5" t="s">
        <v>392</v>
      </c>
      <c r="T476" t="s">
        <v>69</v>
      </c>
    </row>
    <row r="477" spans="1:23" x14ac:dyDescent="0.25">
      <c r="B477" s="3" t="s">
        <v>391</v>
      </c>
      <c r="C477" s="23"/>
      <c r="D477" s="23"/>
      <c r="E477" s="23"/>
      <c r="F477" s="23"/>
      <c r="G477" s="23"/>
      <c r="H477" s="23"/>
      <c r="I477" s="23"/>
      <c r="J477" s="23"/>
      <c r="K477" s="23"/>
      <c r="L477" s="23"/>
      <c r="M477" s="23"/>
      <c r="N477" s="23"/>
      <c r="O477" s="23"/>
      <c r="P477" s="23"/>
      <c r="Q477" s="23"/>
      <c r="R477" s="5" t="s">
        <v>392</v>
      </c>
      <c r="S477" s="5" t="s">
        <v>392</v>
      </c>
      <c r="T477" t="s">
        <v>69</v>
      </c>
    </row>
    <row r="478" spans="1:23" x14ac:dyDescent="0.25">
      <c r="A478" t="s">
        <v>853</v>
      </c>
      <c r="B478" s="3" t="s">
        <v>393</v>
      </c>
      <c r="C478" s="23"/>
      <c r="D478" s="23"/>
      <c r="E478" s="23"/>
      <c r="F478" s="23"/>
      <c r="G478" s="23"/>
      <c r="H478" s="23"/>
      <c r="I478" s="23"/>
      <c r="J478" s="23"/>
      <c r="K478" s="23"/>
      <c r="L478" s="23"/>
      <c r="M478" s="23"/>
      <c r="N478" s="23"/>
      <c r="O478" s="23"/>
      <c r="P478" s="23"/>
      <c r="Q478" s="23"/>
      <c r="R478" s="5" t="s">
        <v>392</v>
      </c>
      <c r="S478" s="5" t="s">
        <v>392</v>
      </c>
      <c r="T478" t="s">
        <v>69</v>
      </c>
    </row>
    <row r="479" spans="1:23" x14ac:dyDescent="0.25">
      <c r="B479" t="s">
        <v>227</v>
      </c>
      <c r="C479" s="21">
        <v>1</v>
      </c>
      <c r="D479" s="21">
        <v>2</v>
      </c>
      <c r="E479" s="21">
        <v>3</v>
      </c>
      <c r="F479" s="21">
        <v>4</v>
      </c>
      <c r="G479" s="21">
        <v>5</v>
      </c>
      <c r="H479" s="21">
        <v>6</v>
      </c>
      <c r="I479" s="21">
        <v>7</v>
      </c>
      <c r="J479" s="21">
        <v>8</v>
      </c>
      <c r="K479" s="21">
        <v>9</v>
      </c>
      <c r="L479" s="21">
        <v>10</v>
      </c>
      <c r="M479" s="21">
        <v>11</v>
      </c>
      <c r="N479" s="21">
        <v>12</v>
      </c>
      <c r="O479" s="21">
        <v>13</v>
      </c>
      <c r="P479" s="21">
        <v>14</v>
      </c>
      <c r="Q479" s="21">
        <v>15</v>
      </c>
      <c r="R479" s="5" t="s">
        <v>11</v>
      </c>
      <c r="S479" s="5" t="s">
        <v>1024</v>
      </c>
      <c r="T479" t="s">
        <v>124</v>
      </c>
    </row>
    <row r="480" spans="1:23" x14ac:dyDescent="0.25">
      <c r="A480" t="s">
        <v>854</v>
      </c>
      <c r="B480" t="s">
        <v>10</v>
      </c>
      <c r="C480" s="2">
        <v>0.53749999999999998</v>
      </c>
      <c r="D480" s="2">
        <v>0.58130000000000004</v>
      </c>
      <c r="E480" s="2">
        <v>0.625</v>
      </c>
      <c r="F480" s="2">
        <v>0.6875</v>
      </c>
      <c r="G480" s="2">
        <v>0.73129999999999995</v>
      </c>
      <c r="H480" s="2">
        <v>0.78129999999999999</v>
      </c>
      <c r="I480" s="2">
        <v>0.85</v>
      </c>
      <c r="J480" s="2">
        <v>0.91879999999999995</v>
      </c>
      <c r="K480" s="2">
        <v>0.98750000000000004</v>
      </c>
      <c r="L480" s="2">
        <v>1.0625</v>
      </c>
      <c r="M480" s="2">
        <v>1.1484000000000001</v>
      </c>
      <c r="N480" s="2">
        <v>1.2495000000000001</v>
      </c>
      <c r="O480" s="2">
        <v>1.3506</v>
      </c>
      <c r="P480" s="2">
        <v>1.4516</v>
      </c>
      <c r="Q480" s="2">
        <v>1.5619000000000001</v>
      </c>
      <c r="R480" t="s">
        <v>6</v>
      </c>
      <c r="S480" t="s">
        <v>6</v>
      </c>
      <c r="T480" t="s">
        <v>125</v>
      </c>
    </row>
    <row r="481" spans="2:21" x14ac:dyDescent="0.25">
      <c r="B481" t="s">
        <v>9</v>
      </c>
      <c r="C481" s="2">
        <v>0.51690000000000003</v>
      </c>
      <c r="D481" s="2">
        <v>0.55889999999999995</v>
      </c>
      <c r="E481" s="2">
        <v>0.60099999999999998</v>
      </c>
      <c r="F481" s="2">
        <v>0.66110000000000002</v>
      </c>
      <c r="G481" s="2">
        <v>0.70320000000000005</v>
      </c>
      <c r="H481" s="2">
        <v>0.75129999999999997</v>
      </c>
      <c r="I481" s="2">
        <v>0.81740000000000002</v>
      </c>
      <c r="J481" s="2">
        <v>0.88349999999999995</v>
      </c>
      <c r="K481" s="2">
        <v>0.9496</v>
      </c>
      <c r="L481" s="2">
        <v>1.0217000000000001</v>
      </c>
      <c r="M481" s="2">
        <v>1.1043000000000001</v>
      </c>
      <c r="N481" s="2">
        <v>1.2015</v>
      </c>
      <c r="O481" s="2">
        <v>1.2987</v>
      </c>
      <c r="P481" s="2">
        <v>1.3958999999999999</v>
      </c>
      <c r="Q481" s="2">
        <v>1.5019</v>
      </c>
      <c r="R481" t="s">
        <v>6</v>
      </c>
      <c r="S481" t="s">
        <v>6</v>
      </c>
      <c r="T481" t="s">
        <v>125</v>
      </c>
    </row>
    <row r="482" spans="2:21" x14ac:dyDescent="0.25">
      <c r="B482" t="s">
        <v>8</v>
      </c>
      <c r="C482" s="2">
        <v>0.65269999999999995</v>
      </c>
      <c r="D482" s="2">
        <v>0.70589999999999997</v>
      </c>
      <c r="E482" s="2">
        <v>0.75900000000000001</v>
      </c>
      <c r="F482" s="2">
        <v>0.83489999999999998</v>
      </c>
      <c r="G482" s="2">
        <v>0.88800000000000001</v>
      </c>
      <c r="H482" s="2">
        <v>0.94879999999999998</v>
      </c>
      <c r="I482" s="2">
        <v>1.0322</v>
      </c>
      <c r="J482" s="2">
        <v>1.1156999999999999</v>
      </c>
      <c r="K482" s="2">
        <v>1.1992</v>
      </c>
      <c r="L482" s="2">
        <v>1.2903</v>
      </c>
      <c r="M482" s="2">
        <v>1.3947000000000001</v>
      </c>
      <c r="N482" s="2">
        <v>1.5174000000000001</v>
      </c>
      <c r="O482" s="2">
        <v>1.6400999999999999</v>
      </c>
      <c r="P482" s="2">
        <v>1.7628999999999999</v>
      </c>
      <c r="Q482" s="2">
        <v>1.8967000000000001</v>
      </c>
      <c r="R482" t="s">
        <v>6</v>
      </c>
      <c r="S482" t="s">
        <v>6</v>
      </c>
      <c r="T482" t="s">
        <v>125</v>
      </c>
    </row>
    <row r="483" spans="2:21" x14ac:dyDescent="0.25">
      <c r="B483" t="s">
        <v>13</v>
      </c>
      <c r="C483" s="2">
        <v>0.70860000000000001</v>
      </c>
      <c r="D483" s="2">
        <v>0.76629999999999998</v>
      </c>
      <c r="E483" s="2">
        <v>0.82399999999999995</v>
      </c>
      <c r="F483" s="2">
        <v>0.90639999999999998</v>
      </c>
      <c r="G483" s="2">
        <v>0.96409999999999996</v>
      </c>
      <c r="H483" s="2">
        <v>1.03</v>
      </c>
      <c r="I483" s="2">
        <v>1.1206</v>
      </c>
      <c r="J483" s="2">
        <v>1.2113</v>
      </c>
      <c r="K483" s="2">
        <v>1.3019000000000001</v>
      </c>
      <c r="L483" s="2">
        <v>1.4008</v>
      </c>
      <c r="M483" s="2">
        <v>1.5141</v>
      </c>
      <c r="N483" s="2">
        <v>1.6473</v>
      </c>
      <c r="O483" s="2">
        <v>1.7806</v>
      </c>
      <c r="P483" s="2">
        <v>1.9137999999999999</v>
      </c>
      <c r="Q483" s="2">
        <v>2.0592000000000001</v>
      </c>
      <c r="R483" t="s">
        <v>6</v>
      </c>
      <c r="S483" t="s">
        <v>6</v>
      </c>
      <c r="T483" t="s">
        <v>125</v>
      </c>
    </row>
    <row r="484" spans="2:21" x14ac:dyDescent="0.25">
      <c r="B484" t="s">
        <v>7</v>
      </c>
      <c r="C484" s="2">
        <v>0.88239999999999996</v>
      </c>
      <c r="D484" s="2">
        <v>0.95420000000000005</v>
      </c>
      <c r="E484" s="2">
        <v>1.026</v>
      </c>
      <c r="F484" s="2">
        <v>1.1286</v>
      </c>
      <c r="G484" s="2">
        <v>1.2003999999999999</v>
      </c>
      <c r="H484" s="2">
        <v>1.2825</v>
      </c>
      <c r="I484" s="2">
        <v>1.3954</v>
      </c>
      <c r="J484" s="2">
        <v>1.5082</v>
      </c>
      <c r="K484" s="2">
        <v>1.6211</v>
      </c>
      <c r="L484" s="2">
        <v>1.7442</v>
      </c>
      <c r="M484" s="2">
        <v>1.8853</v>
      </c>
      <c r="N484" s="2">
        <v>2.0512000000000001</v>
      </c>
      <c r="O484" s="2">
        <v>2.2170999999999998</v>
      </c>
      <c r="P484" s="2">
        <v>2.383</v>
      </c>
      <c r="Q484" s="2">
        <v>2.5640000000000001</v>
      </c>
      <c r="R484" t="s">
        <v>6</v>
      </c>
      <c r="S484" t="s">
        <v>6</v>
      </c>
      <c r="T484" t="s">
        <v>125</v>
      </c>
    </row>
    <row r="485" spans="2:21" x14ac:dyDescent="0.25">
      <c r="B485" t="s">
        <v>138</v>
      </c>
      <c r="C485" s="2">
        <v>0.5504</v>
      </c>
      <c r="D485" s="2">
        <v>0.59519999999999995</v>
      </c>
      <c r="E485" s="2">
        <v>0.64</v>
      </c>
      <c r="F485" s="2">
        <v>0.70399999999999996</v>
      </c>
      <c r="G485" s="2">
        <v>0.74880000000000002</v>
      </c>
      <c r="H485" s="2">
        <v>0.8</v>
      </c>
      <c r="I485" s="2">
        <v>0.87039999999999995</v>
      </c>
      <c r="J485" s="2">
        <v>0.94079999999999997</v>
      </c>
      <c r="K485" s="2">
        <v>1.0112000000000001</v>
      </c>
      <c r="L485" s="2">
        <v>1.0880000000000001</v>
      </c>
      <c r="M485" s="2">
        <v>1.1759999999999999</v>
      </c>
      <c r="N485" s="2">
        <v>1.2795000000000001</v>
      </c>
      <c r="O485" s="2">
        <v>1.383</v>
      </c>
      <c r="P485" s="2">
        <v>1.4864999999999999</v>
      </c>
      <c r="Q485" s="2">
        <v>1.5993999999999999</v>
      </c>
      <c r="R485" t="s">
        <v>5</v>
      </c>
      <c r="S485" t="s">
        <v>5</v>
      </c>
      <c r="T485" t="s">
        <v>125</v>
      </c>
    </row>
    <row r="486" spans="2:21" x14ac:dyDescent="0.25">
      <c r="B486" t="s">
        <v>139</v>
      </c>
      <c r="C486" s="2">
        <v>0.73099999999999998</v>
      </c>
      <c r="D486" s="2">
        <v>0.79049999999999998</v>
      </c>
      <c r="E486" s="2">
        <v>0.85</v>
      </c>
      <c r="F486" s="2">
        <v>0.93500000000000005</v>
      </c>
      <c r="G486" s="2">
        <v>0.99450000000000005</v>
      </c>
      <c r="H486" s="2">
        <v>1.0625</v>
      </c>
      <c r="I486" s="2">
        <v>1.1559999999999999</v>
      </c>
      <c r="J486" s="2">
        <v>1.2495000000000001</v>
      </c>
      <c r="K486" s="2">
        <v>1.343</v>
      </c>
      <c r="L486" s="2">
        <v>1.4450000000000001</v>
      </c>
      <c r="M486" s="2">
        <v>1.5619000000000001</v>
      </c>
      <c r="N486" s="2">
        <v>1.6993</v>
      </c>
      <c r="O486" s="2">
        <v>1.8368</v>
      </c>
      <c r="P486" s="2">
        <v>1.9742</v>
      </c>
      <c r="Q486" s="2">
        <v>2.1242000000000001</v>
      </c>
      <c r="R486" t="s">
        <v>5</v>
      </c>
      <c r="S486" t="s">
        <v>5</v>
      </c>
      <c r="T486" t="s">
        <v>125</v>
      </c>
    </row>
    <row r="487" spans="2:21" x14ac:dyDescent="0.25">
      <c r="B487" t="s">
        <v>152</v>
      </c>
      <c r="C487" s="2">
        <v>0.63929999999999998</v>
      </c>
      <c r="D487" s="2">
        <v>0.69140000000000001</v>
      </c>
      <c r="E487" s="2">
        <v>0.74339999999999995</v>
      </c>
      <c r="F487" s="2">
        <v>0.81769999999999998</v>
      </c>
      <c r="G487" s="2">
        <v>0.86980000000000002</v>
      </c>
      <c r="H487" s="2">
        <v>0.92930000000000001</v>
      </c>
      <c r="I487" s="2">
        <v>1.0109999999999999</v>
      </c>
      <c r="J487" s="2">
        <v>1.0928</v>
      </c>
      <c r="K487" s="2">
        <v>1.1746000000000001</v>
      </c>
      <c r="L487" s="2">
        <v>1.2638</v>
      </c>
      <c r="M487" s="2">
        <v>1.353</v>
      </c>
      <c r="N487" s="2">
        <v>1.4421999999999999</v>
      </c>
      <c r="O487" s="2">
        <v>1.5314000000000001</v>
      </c>
      <c r="P487" s="2">
        <v>1.6206</v>
      </c>
      <c r="Q487" s="2">
        <v>1.7098</v>
      </c>
      <c r="R487" t="s">
        <v>3</v>
      </c>
      <c r="S487" t="s">
        <v>3</v>
      </c>
      <c r="T487" t="s">
        <v>125</v>
      </c>
    </row>
    <row r="488" spans="2:21" x14ac:dyDescent="0.25">
      <c r="B488" t="s">
        <v>133</v>
      </c>
      <c r="C488" s="2">
        <v>1.2784</v>
      </c>
      <c r="D488" s="2">
        <v>1.3824000000000001</v>
      </c>
      <c r="E488" s="2">
        <v>1.4864999999999999</v>
      </c>
      <c r="F488" s="2">
        <v>1.6351</v>
      </c>
      <c r="G488" s="2">
        <v>1.7392000000000001</v>
      </c>
      <c r="H488" s="2">
        <v>1.8581000000000001</v>
      </c>
      <c r="I488" s="2">
        <v>2.0215999999999998</v>
      </c>
      <c r="J488" s="2">
        <v>2.1850999999999998</v>
      </c>
      <c r="K488" s="2">
        <v>2.3485999999999998</v>
      </c>
      <c r="L488" s="2">
        <v>2.5270000000000001</v>
      </c>
      <c r="M488" s="2">
        <v>2.7054</v>
      </c>
      <c r="N488" s="2">
        <v>2.8837999999999999</v>
      </c>
      <c r="O488" s="2">
        <v>3.0621999999999998</v>
      </c>
      <c r="P488" s="2">
        <v>3.2404999999999999</v>
      </c>
      <c r="Q488" s="2">
        <v>3.4188999999999998</v>
      </c>
      <c r="R488" t="s">
        <v>3</v>
      </c>
      <c r="S488" t="s">
        <v>3</v>
      </c>
      <c r="T488" t="s">
        <v>125</v>
      </c>
    </row>
    <row r="489" spans="2:21" x14ac:dyDescent="0.25">
      <c r="B489" t="s">
        <v>134</v>
      </c>
      <c r="C489" s="2">
        <v>1.5968</v>
      </c>
      <c r="D489" s="2">
        <v>1.7266999999999999</v>
      </c>
      <c r="E489" s="2">
        <v>1.8567</v>
      </c>
      <c r="F489" s="2">
        <v>2.0424000000000002</v>
      </c>
      <c r="G489" s="2">
        <v>2.1722999999999999</v>
      </c>
      <c r="H489" s="2">
        <v>2.3209</v>
      </c>
      <c r="I489" s="2">
        <v>2.5251000000000001</v>
      </c>
      <c r="J489" s="2">
        <v>2.7292999999999998</v>
      </c>
      <c r="K489" s="2">
        <v>2.9336000000000002</v>
      </c>
      <c r="L489" s="2">
        <v>3.1564000000000001</v>
      </c>
      <c r="M489" s="2">
        <v>3.3792</v>
      </c>
      <c r="N489" s="2">
        <v>3.6019999999999999</v>
      </c>
      <c r="O489" s="2">
        <v>3.8248000000000002</v>
      </c>
      <c r="P489" s="2">
        <v>4.0476000000000001</v>
      </c>
      <c r="Q489" s="2">
        <v>4.2704000000000004</v>
      </c>
      <c r="R489" t="s">
        <v>3</v>
      </c>
      <c r="S489" t="s">
        <v>3</v>
      </c>
      <c r="T489" t="s">
        <v>125</v>
      </c>
    </row>
    <row r="490" spans="2:21" x14ac:dyDescent="0.25">
      <c r="B490" t="s">
        <v>4</v>
      </c>
      <c r="C490" s="2">
        <v>1.9119999999999999</v>
      </c>
      <c r="D490" s="2">
        <v>2.0554000000000001</v>
      </c>
      <c r="E490" s="2">
        <v>2.1987999999999999</v>
      </c>
      <c r="F490" s="2">
        <v>2.39</v>
      </c>
      <c r="G490" s="2">
        <v>2.5333999999999999</v>
      </c>
      <c r="H490" s="2">
        <v>2.6768000000000001</v>
      </c>
      <c r="I490" s="2">
        <v>2.8679999999999999</v>
      </c>
      <c r="J490" s="2">
        <v>3.0592000000000001</v>
      </c>
      <c r="K490" s="2">
        <v>3.2504</v>
      </c>
      <c r="L490" s="2">
        <v>3.4416000000000002</v>
      </c>
      <c r="M490" s="2">
        <v>3.6328</v>
      </c>
      <c r="N490" s="2">
        <v>3.8239999999999998</v>
      </c>
      <c r="O490" s="2">
        <v>4.0629999999999997</v>
      </c>
      <c r="P490" s="2">
        <v>4.3019999999999996</v>
      </c>
      <c r="Q490" s="2">
        <v>4.5410000000000004</v>
      </c>
      <c r="R490" t="s">
        <v>19</v>
      </c>
      <c r="S490" t="s">
        <v>19</v>
      </c>
      <c r="T490" t="s">
        <v>125</v>
      </c>
    </row>
    <row r="491" spans="2:21" x14ac:dyDescent="0.25">
      <c r="B491" t="s">
        <v>228</v>
      </c>
      <c r="C491" s="2">
        <v>0.77600000000000002</v>
      </c>
      <c r="D491" s="2">
        <v>0.83420000000000005</v>
      </c>
      <c r="E491" s="2">
        <v>0.89239999999999997</v>
      </c>
      <c r="F491" s="2">
        <v>0.97</v>
      </c>
      <c r="G491" s="2">
        <v>1.0282</v>
      </c>
      <c r="H491" s="2">
        <v>1.0864</v>
      </c>
      <c r="I491" s="2">
        <v>1.1639999999999999</v>
      </c>
      <c r="J491" s="2">
        <v>1.2416</v>
      </c>
      <c r="K491" s="2">
        <v>1.3191999999999999</v>
      </c>
      <c r="L491" s="2">
        <v>1.3968</v>
      </c>
      <c r="M491" s="2">
        <v>1.4743999999999999</v>
      </c>
      <c r="N491" s="2">
        <v>1.552</v>
      </c>
      <c r="O491" s="2">
        <v>1.649</v>
      </c>
      <c r="P491" s="2">
        <v>1.746</v>
      </c>
      <c r="Q491" s="2">
        <v>1.843</v>
      </c>
      <c r="R491" t="s">
        <v>0</v>
      </c>
      <c r="S491" t="s">
        <v>0</v>
      </c>
      <c r="T491" t="s">
        <v>125</v>
      </c>
    </row>
    <row r="492" spans="2:21" x14ac:dyDescent="0.25">
      <c r="B492" t="s">
        <v>921</v>
      </c>
      <c r="C492" s="2">
        <v>0.15</v>
      </c>
      <c r="D492" s="2">
        <v>0.15</v>
      </c>
      <c r="E492" s="2">
        <v>0.15</v>
      </c>
      <c r="F492" s="2">
        <v>0.15</v>
      </c>
      <c r="G492" s="2">
        <v>0.15</v>
      </c>
      <c r="H492" s="2">
        <v>0.15</v>
      </c>
      <c r="I492" s="2">
        <v>0.15</v>
      </c>
      <c r="J492" s="2">
        <v>0.15</v>
      </c>
      <c r="K492" s="2">
        <v>0.15</v>
      </c>
      <c r="L492" s="2">
        <v>0.15</v>
      </c>
      <c r="M492" s="2">
        <v>0.15</v>
      </c>
      <c r="N492" s="2">
        <v>0.15</v>
      </c>
      <c r="O492" s="2">
        <v>0.15</v>
      </c>
      <c r="P492" s="2">
        <v>0.15</v>
      </c>
      <c r="Q492" s="2">
        <v>0.15</v>
      </c>
      <c r="R492" t="s">
        <v>246</v>
      </c>
      <c r="S492" t="s">
        <v>246</v>
      </c>
      <c r="T492" t="s">
        <v>125</v>
      </c>
      <c r="U492" t="s">
        <v>944</v>
      </c>
    </row>
    <row r="493" spans="2:21" x14ac:dyDescent="0.25">
      <c r="B493" s="3" t="s">
        <v>763</v>
      </c>
      <c r="C493" s="23"/>
      <c r="D493" s="23"/>
      <c r="E493" s="23"/>
      <c r="F493" s="23"/>
      <c r="G493" s="23"/>
      <c r="H493" s="23"/>
      <c r="I493" s="23"/>
      <c r="J493" s="23"/>
      <c r="K493" s="23"/>
      <c r="L493" s="23"/>
      <c r="M493" s="23"/>
      <c r="N493" s="23"/>
      <c r="O493" s="23"/>
      <c r="P493" s="23"/>
      <c r="Q493" s="23"/>
      <c r="R493" s="5" t="s">
        <v>763</v>
      </c>
      <c r="S493" s="5" t="s">
        <v>763</v>
      </c>
      <c r="T493" t="s">
        <v>764</v>
      </c>
    </row>
    <row r="494" spans="2:21" x14ac:dyDescent="0.25">
      <c r="B494" s="3" t="s">
        <v>386</v>
      </c>
      <c r="C494" s="23"/>
      <c r="D494" s="23"/>
      <c r="E494" s="23"/>
      <c r="F494" s="23"/>
      <c r="G494" s="23"/>
      <c r="H494" s="23"/>
      <c r="I494" s="23"/>
      <c r="J494" s="23"/>
      <c r="K494" s="23"/>
      <c r="L494" s="23"/>
      <c r="M494" s="23"/>
      <c r="N494" s="23"/>
      <c r="O494" s="23"/>
      <c r="P494" s="23"/>
      <c r="Q494" s="23"/>
      <c r="R494" s="5" t="s">
        <v>392</v>
      </c>
      <c r="S494" s="5" t="s">
        <v>392</v>
      </c>
      <c r="T494" t="s">
        <v>69</v>
      </c>
    </row>
    <row r="495" spans="2:21" x14ac:dyDescent="0.25">
      <c r="B495" s="3" t="s">
        <v>388</v>
      </c>
      <c r="C495" s="23"/>
      <c r="D495" s="23"/>
      <c r="E495" s="23"/>
      <c r="F495" s="23"/>
      <c r="G495" s="23"/>
      <c r="H495" s="23"/>
      <c r="I495" s="23"/>
      <c r="J495" s="23"/>
      <c r="K495" s="23"/>
      <c r="L495" s="23"/>
      <c r="M495" s="23"/>
      <c r="N495" s="23"/>
      <c r="O495" s="23"/>
      <c r="P495" s="23"/>
      <c r="Q495" s="23"/>
      <c r="R495" s="5" t="s">
        <v>392</v>
      </c>
      <c r="S495" s="5" t="s">
        <v>392</v>
      </c>
      <c r="T495" t="s">
        <v>69</v>
      </c>
    </row>
    <row r="496" spans="2:21" x14ac:dyDescent="0.25">
      <c r="B496" s="3" t="s">
        <v>389</v>
      </c>
      <c r="C496" s="23"/>
      <c r="D496" s="23"/>
      <c r="E496" s="23"/>
      <c r="F496" s="23"/>
      <c r="G496" s="23"/>
      <c r="H496" s="23"/>
      <c r="I496" s="23"/>
      <c r="J496" s="23"/>
      <c r="K496" s="23"/>
      <c r="L496" s="23"/>
      <c r="M496" s="23"/>
      <c r="N496" s="23"/>
      <c r="O496" s="23"/>
      <c r="P496" s="23"/>
      <c r="Q496" s="23"/>
      <c r="R496" s="5" t="s">
        <v>392</v>
      </c>
      <c r="S496" s="5" t="s">
        <v>392</v>
      </c>
      <c r="T496" t="s">
        <v>69</v>
      </c>
    </row>
    <row r="497" spans="1:20" x14ac:dyDescent="0.25">
      <c r="B497" s="3" t="s">
        <v>385</v>
      </c>
      <c r="C497" s="23"/>
      <c r="D497" s="23"/>
      <c r="E497" s="23"/>
      <c r="F497" s="23"/>
      <c r="G497" s="23"/>
      <c r="H497" s="23"/>
      <c r="I497" s="23"/>
      <c r="J497" s="23"/>
      <c r="K497" s="23"/>
      <c r="L497" s="23"/>
      <c r="M497" s="23"/>
      <c r="N497" s="23"/>
      <c r="O497" s="23"/>
      <c r="P497" s="23"/>
      <c r="Q497" s="23"/>
      <c r="R497" s="5" t="s">
        <v>392</v>
      </c>
      <c r="S497" s="5" t="s">
        <v>392</v>
      </c>
      <c r="T497" t="s">
        <v>69</v>
      </c>
    </row>
    <row r="498" spans="1:20" x14ac:dyDescent="0.25">
      <c r="B498" s="3" t="s">
        <v>387</v>
      </c>
      <c r="C498" s="23"/>
      <c r="D498" s="23"/>
      <c r="E498" s="23"/>
      <c r="F498" s="23"/>
      <c r="G498" s="23"/>
      <c r="H498" s="23"/>
      <c r="I498" s="23"/>
      <c r="J498" s="23"/>
      <c r="K498" s="23"/>
      <c r="L498" s="23"/>
      <c r="M498" s="23"/>
      <c r="N498" s="23"/>
      <c r="O498" s="23"/>
      <c r="P498" s="23"/>
      <c r="Q498" s="23"/>
      <c r="R498" s="5" t="s">
        <v>392</v>
      </c>
      <c r="S498" s="5" t="s">
        <v>392</v>
      </c>
      <c r="T498" t="s">
        <v>69</v>
      </c>
    </row>
    <row r="499" spans="1:20" x14ac:dyDescent="0.25">
      <c r="B499" s="3" t="s">
        <v>390</v>
      </c>
      <c r="C499" s="23"/>
      <c r="D499" s="23"/>
      <c r="E499" s="23"/>
      <c r="F499" s="23"/>
      <c r="G499" s="23"/>
      <c r="H499" s="23"/>
      <c r="I499" s="23"/>
      <c r="J499" s="23"/>
      <c r="K499" s="23"/>
      <c r="L499" s="23"/>
      <c r="M499" s="23"/>
      <c r="N499" s="23"/>
      <c r="O499" s="23"/>
      <c r="P499" s="23"/>
      <c r="Q499" s="23"/>
      <c r="R499" s="5" t="s">
        <v>392</v>
      </c>
      <c r="S499" s="5" t="s">
        <v>392</v>
      </c>
      <c r="T499" t="s">
        <v>69</v>
      </c>
    </row>
    <row r="500" spans="1:20" x14ac:dyDescent="0.25">
      <c r="B500" s="3" t="s">
        <v>391</v>
      </c>
      <c r="C500" s="23"/>
      <c r="D500" s="23"/>
      <c r="E500" s="23"/>
      <c r="F500" s="23"/>
      <c r="G500" s="23"/>
      <c r="H500" s="23"/>
      <c r="I500" s="23"/>
      <c r="J500" s="23"/>
      <c r="K500" s="23"/>
      <c r="L500" s="23"/>
      <c r="M500" s="23"/>
      <c r="N500" s="23"/>
      <c r="O500" s="23"/>
      <c r="P500" s="23"/>
      <c r="Q500" s="23"/>
      <c r="R500" s="5" t="s">
        <v>392</v>
      </c>
      <c r="S500" s="5" t="s">
        <v>392</v>
      </c>
      <c r="T500" t="s">
        <v>69</v>
      </c>
    </row>
    <row r="501" spans="1:20" x14ac:dyDescent="0.25">
      <c r="A501" t="s">
        <v>855</v>
      </c>
      <c r="B501" s="3" t="s">
        <v>393</v>
      </c>
      <c r="C501" s="23"/>
      <c r="D501" s="23"/>
      <c r="E501" s="23"/>
      <c r="F501" s="23"/>
      <c r="G501" s="23"/>
      <c r="H501" s="23"/>
      <c r="I501" s="23"/>
      <c r="J501" s="23"/>
      <c r="K501" s="23"/>
      <c r="L501" s="23"/>
      <c r="M501" s="23"/>
      <c r="N501" s="23"/>
      <c r="O501" s="23"/>
      <c r="P501" s="23"/>
      <c r="Q501" s="23"/>
      <c r="R501" s="5" t="s">
        <v>392</v>
      </c>
      <c r="S501" s="5" t="s">
        <v>392</v>
      </c>
      <c r="T501" t="s">
        <v>69</v>
      </c>
    </row>
    <row r="502" spans="1:20" x14ac:dyDescent="0.25">
      <c r="B502" t="s">
        <v>229</v>
      </c>
      <c r="C502" s="21">
        <v>1</v>
      </c>
      <c r="D502" s="21">
        <v>2</v>
      </c>
      <c r="E502" s="21">
        <v>3</v>
      </c>
      <c r="F502" s="21">
        <v>4</v>
      </c>
      <c r="G502" s="21">
        <v>5</v>
      </c>
      <c r="H502" s="21">
        <v>6</v>
      </c>
      <c r="I502" s="21">
        <v>7</v>
      </c>
      <c r="J502" s="21">
        <v>8</v>
      </c>
      <c r="K502" s="21">
        <v>9</v>
      </c>
      <c r="L502" s="21">
        <v>10</v>
      </c>
      <c r="M502" s="21">
        <v>11</v>
      </c>
      <c r="N502" s="21">
        <v>12</v>
      </c>
      <c r="O502" s="21">
        <v>13</v>
      </c>
      <c r="P502" s="21">
        <v>14</v>
      </c>
      <c r="Q502" s="21">
        <v>15</v>
      </c>
      <c r="R502" s="5" t="s">
        <v>11</v>
      </c>
      <c r="S502" s="5" t="s">
        <v>1024</v>
      </c>
      <c r="T502" t="s">
        <v>124</v>
      </c>
    </row>
    <row r="503" spans="1:20" x14ac:dyDescent="0.25">
      <c r="A503" t="s">
        <v>856</v>
      </c>
      <c r="B503" t="s">
        <v>10</v>
      </c>
      <c r="C503" s="2">
        <v>0.44979999999999998</v>
      </c>
      <c r="D503" s="2">
        <v>0.4864</v>
      </c>
      <c r="E503" s="2">
        <v>0.52300000000000002</v>
      </c>
      <c r="F503" s="2">
        <v>0.57530000000000003</v>
      </c>
      <c r="G503" s="2">
        <v>0.6119</v>
      </c>
      <c r="H503" s="2">
        <v>0.65380000000000005</v>
      </c>
      <c r="I503" s="2">
        <v>0.71130000000000004</v>
      </c>
      <c r="J503" s="2">
        <v>0.76880000000000004</v>
      </c>
      <c r="K503" s="2">
        <v>0.82630000000000003</v>
      </c>
      <c r="L503" s="2">
        <v>0.8891</v>
      </c>
      <c r="M503" s="2">
        <v>0.96099999999999997</v>
      </c>
      <c r="N503" s="2">
        <v>1.0456000000000001</v>
      </c>
      <c r="O503" s="2">
        <v>1.1302000000000001</v>
      </c>
      <c r="P503" s="2">
        <v>1.2146999999999999</v>
      </c>
      <c r="Q503" s="2">
        <v>1.3069999999999999</v>
      </c>
      <c r="R503" t="s">
        <v>6</v>
      </c>
      <c r="S503" t="s">
        <v>6</v>
      </c>
      <c r="T503" t="s">
        <v>125</v>
      </c>
    </row>
    <row r="504" spans="1:20" x14ac:dyDescent="0.25">
      <c r="B504" t="s">
        <v>9</v>
      </c>
      <c r="C504" s="2">
        <v>0.45240000000000002</v>
      </c>
      <c r="D504" s="2">
        <v>0.48920000000000002</v>
      </c>
      <c r="E504" s="2">
        <v>0.52600000000000002</v>
      </c>
      <c r="F504" s="2">
        <v>0.5786</v>
      </c>
      <c r="G504" s="2">
        <v>0.61539999999999995</v>
      </c>
      <c r="H504" s="2">
        <v>0.65749999999999997</v>
      </c>
      <c r="I504" s="2">
        <v>0.71540000000000004</v>
      </c>
      <c r="J504" s="2">
        <v>0.7732</v>
      </c>
      <c r="K504" s="2">
        <v>0.83109999999999995</v>
      </c>
      <c r="L504" s="2">
        <v>0.89419999999999999</v>
      </c>
      <c r="M504" s="2">
        <v>0.96650000000000003</v>
      </c>
      <c r="N504" s="2">
        <v>1.0516000000000001</v>
      </c>
      <c r="O504" s="2">
        <v>1.1366000000000001</v>
      </c>
      <c r="P504" s="2">
        <v>1.2217</v>
      </c>
      <c r="Q504" s="2">
        <v>1.3145</v>
      </c>
      <c r="R504" t="s">
        <v>6</v>
      </c>
      <c r="S504" t="s">
        <v>6</v>
      </c>
      <c r="T504" t="s">
        <v>125</v>
      </c>
    </row>
    <row r="505" spans="1:20" x14ac:dyDescent="0.25">
      <c r="B505" t="s">
        <v>190</v>
      </c>
      <c r="C505" s="2">
        <v>0.25800000000000001</v>
      </c>
      <c r="D505" s="2">
        <v>0.27900000000000003</v>
      </c>
      <c r="E505" s="2">
        <v>0.3</v>
      </c>
      <c r="F505" s="2">
        <v>0.33</v>
      </c>
      <c r="G505" s="2">
        <v>0.35099999999999998</v>
      </c>
      <c r="H505" s="2">
        <v>0.375</v>
      </c>
      <c r="I505" s="2">
        <v>0.40799999999999997</v>
      </c>
      <c r="J505" s="2">
        <v>0.441</v>
      </c>
      <c r="K505" s="2">
        <v>0.47399999999999998</v>
      </c>
      <c r="L505" s="2">
        <v>0.51</v>
      </c>
      <c r="M505" s="2">
        <v>0.55130000000000001</v>
      </c>
      <c r="N505" s="2">
        <v>0.5998</v>
      </c>
      <c r="O505" s="2">
        <v>0.64829999999999999</v>
      </c>
      <c r="P505" s="2">
        <v>0.69679999999999997</v>
      </c>
      <c r="Q505" s="2">
        <v>0.74970000000000003</v>
      </c>
      <c r="R505" t="s">
        <v>6</v>
      </c>
      <c r="S505" t="s">
        <v>6</v>
      </c>
      <c r="T505" t="s">
        <v>125</v>
      </c>
    </row>
    <row r="506" spans="1:20" x14ac:dyDescent="0.25">
      <c r="B506" t="s">
        <v>191</v>
      </c>
      <c r="C506" s="2">
        <v>0.30959999999999999</v>
      </c>
      <c r="D506" s="2">
        <v>0.33479999999999999</v>
      </c>
      <c r="E506" s="2">
        <v>0.36</v>
      </c>
      <c r="F506" s="2">
        <v>0.39600000000000002</v>
      </c>
      <c r="G506" s="2">
        <v>0.42120000000000002</v>
      </c>
      <c r="H506" s="2">
        <v>0.45</v>
      </c>
      <c r="I506" s="2">
        <v>0.48959999999999998</v>
      </c>
      <c r="J506" s="2">
        <v>0.5292</v>
      </c>
      <c r="K506" s="2">
        <v>0.56879999999999997</v>
      </c>
      <c r="L506" s="2">
        <v>0.61199999999999999</v>
      </c>
      <c r="M506" s="2">
        <v>0.66149999999999998</v>
      </c>
      <c r="N506" s="2">
        <v>0.71970000000000001</v>
      </c>
      <c r="O506" s="2">
        <v>0.77790000000000004</v>
      </c>
      <c r="P506" s="2">
        <v>0.83609999999999995</v>
      </c>
      <c r="Q506" s="2">
        <v>0.89959999999999996</v>
      </c>
      <c r="R506" t="s">
        <v>6</v>
      </c>
      <c r="S506" t="s">
        <v>6</v>
      </c>
      <c r="T506" t="s">
        <v>125</v>
      </c>
    </row>
    <row r="507" spans="1:20" x14ac:dyDescent="0.25">
      <c r="B507" t="s">
        <v>13</v>
      </c>
      <c r="C507" s="2">
        <v>0.60719999999999996</v>
      </c>
      <c r="D507" s="2">
        <v>0.65659999999999996</v>
      </c>
      <c r="E507" s="2">
        <v>0.70599999999999996</v>
      </c>
      <c r="F507" s="2">
        <v>0.77659999999999996</v>
      </c>
      <c r="G507" s="2">
        <v>0.82599999999999996</v>
      </c>
      <c r="H507" s="2">
        <v>0.88249999999999995</v>
      </c>
      <c r="I507" s="2">
        <v>0.96020000000000005</v>
      </c>
      <c r="J507" s="2">
        <v>1.0378000000000001</v>
      </c>
      <c r="K507" s="2">
        <v>1.1154999999999999</v>
      </c>
      <c r="L507" s="2">
        <v>1.2001999999999999</v>
      </c>
      <c r="M507" s="2">
        <v>1.2972999999999999</v>
      </c>
      <c r="N507" s="2">
        <v>1.4114</v>
      </c>
      <c r="O507" s="2">
        <v>1.5256000000000001</v>
      </c>
      <c r="P507" s="2">
        <v>1.6397999999999999</v>
      </c>
      <c r="Q507" s="2">
        <v>1.7643</v>
      </c>
      <c r="R507" t="s">
        <v>6</v>
      </c>
      <c r="S507" t="s">
        <v>6</v>
      </c>
      <c r="T507" t="s">
        <v>125</v>
      </c>
    </row>
    <row r="508" spans="1:20" x14ac:dyDescent="0.25">
      <c r="B508" t="s">
        <v>230</v>
      </c>
      <c r="C508" s="2">
        <v>0.25369999999999998</v>
      </c>
      <c r="D508" s="2">
        <v>0.27439999999999998</v>
      </c>
      <c r="E508" s="2">
        <v>0.29499999999999998</v>
      </c>
      <c r="F508" s="2">
        <v>0.32450000000000001</v>
      </c>
      <c r="G508" s="2">
        <v>0.34520000000000001</v>
      </c>
      <c r="H508" s="2">
        <v>0.36880000000000002</v>
      </c>
      <c r="I508" s="2">
        <v>0.4012</v>
      </c>
      <c r="J508" s="2">
        <v>0.43369999999999997</v>
      </c>
      <c r="K508" s="2">
        <v>0.46610000000000001</v>
      </c>
      <c r="L508" s="2">
        <v>0.50149999999999995</v>
      </c>
      <c r="M508" s="2">
        <v>0.54210000000000003</v>
      </c>
      <c r="N508" s="2">
        <v>0.58979999999999999</v>
      </c>
      <c r="O508" s="2">
        <v>0.63749999999999996</v>
      </c>
      <c r="P508" s="2">
        <v>0.68520000000000003</v>
      </c>
      <c r="Q508" s="2">
        <v>0.73719999999999997</v>
      </c>
      <c r="R508" t="s">
        <v>6</v>
      </c>
      <c r="S508" t="s">
        <v>6</v>
      </c>
      <c r="T508" t="s">
        <v>125</v>
      </c>
    </row>
    <row r="509" spans="1:20" x14ac:dyDescent="0.25">
      <c r="B509" t="s">
        <v>138</v>
      </c>
      <c r="C509" s="2">
        <v>0.43</v>
      </c>
      <c r="D509" s="2">
        <v>0.46500000000000002</v>
      </c>
      <c r="E509" s="2">
        <v>0.5</v>
      </c>
      <c r="F509" s="2">
        <v>0.55000000000000004</v>
      </c>
      <c r="G509" s="2">
        <v>0.58499999999999996</v>
      </c>
      <c r="H509" s="2">
        <v>0.625</v>
      </c>
      <c r="I509" s="2">
        <v>0.68</v>
      </c>
      <c r="J509" s="2">
        <v>0.73499999999999999</v>
      </c>
      <c r="K509" s="2">
        <v>0.79</v>
      </c>
      <c r="L509" s="2">
        <v>0.85</v>
      </c>
      <c r="M509" s="2">
        <v>0.91879999999999995</v>
      </c>
      <c r="N509" s="2">
        <v>0.99960000000000004</v>
      </c>
      <c r="O509" s="2">
        <v>1.0805</v>
      </c>
      <c r="P509" s="2">
        <v>1.1613</v>
      </c>
      <c r="Q509" s="2">
        <v>1.2495000000000001</v>
      </c>
      <c r="R509" t="s">
        <v>5</v>
      </c>
      <c r="S509" t="s">
        <v>5</v>
      </c>
      <c r="T509" t="s">
        <v>125</v>
      </c>
    </row>
    <row r="510" spans="1:20" x14ac:dyDescent="0.25">
      <c r="B510" t="s">
        <v>139</v>
      </c>
      <c r="C510" s="2">
        <v>0.74650000000000005</v>
      </c>
      <c r="D510" s="2">
        <v>0.80720000000000003</v>
      </c>
      <c r="E510" s="2">
        <v>0.86799999999999999</v>
      </c>
      <c r="F510" s="2">
        <v>0.95479999999999998</v>
      </c>
      <c r="G510" s="2">
        <v>1.0156000000000001</v>
      </c>
      <c r="H510" s="2">
        <v>1.085</v>
      </c>
      <c r="I510" s="2">
        <v>1.1805000000000001</v>
      </c>
      <c r="J510" s="2">
        <v>1.276</v>
      </c>
      <c r="K510" s="2">
        <v>1.3714</v>
      </c>
      <c r="L510" s="2">
        <v>1.4756</v>
      </c>
      <c r="M510" s="2">
        <v>1.595</v>
      </c>
      <c r="N510" s="2">
        <v>1.7353000000000001</v>
      </c>
      <c r="O510" s="2">
        <v>1.8756999999999999</v>
      </c>
      <c r="P510" s="2">
        <v>2.016</v>
      </c>
      <c r="Q510" s="2">
        <v>2.1690999999999998</v>
      </c>
      <c r="R510" t="s">
        <v>5</v>
      </c>
      <c r="S510" t="s">
        <v>5</v>
      </c>
      <c r="T510" t="s">
        <v>125</v>
      </c>
    </row>
    <row r="511" spans="1:20" x14ac:dyDescent="0.25">
      <c r="B511" t="s">
        <v>152</v>
      </c>
      <c r="C511" s="2">
        <v>0.81830000000000003</v>
      </c>
      <c r="D511" s="2">
        <v>0.88490000000000002</v>
      </c>
      <c r="E511" s="2">
        <v>0.9516</v>
      </c>
      <c r="F511" s="2">
        <v>1.0467</v>
      </c>
      <c r="G511" s="2">
        <v>1.1133</v>
      </c>
      <c r="H511" s="2">
        <v>1.1894</v>
      </c>
      <c r="I511" s="2">
        <v>1.2941</v>
      </c>
      <c r="J511" s="2">
        <v>1.3988</v>
      </c>
      <c r="K511" s="2">
        <v>1.5035000000000001</v>
      </c>
      <c r="L511" s="2">
        <v>1.6175999999999999</v>
      </c>
      <c r="M511" s="2">
        <v>1.7318</v>
      </c>
      <c r="N511" s="2">
        <v>1.8460000000000001</v>
      </c>
      <c r="O511" s="2">
        <v>1.9601999999999999</v>
      </c>
      <c r="P511" s="2">
        <v>2.0743999999999998</v>
      </c>
      <c r="Q511" s="2">
        <v>2.1886000000000001</v>
      </c>
      <c r="R511" t="s">
        <v>3</v>
      </c>
      <c r="S511" t="s">
        <v>3</v>
      </c>
      <c r="T511" t="s">
        <v>125</v>
      </c>
    </row>
    <row r="512" spans="1:20" x14ac:dyDescent="0.25">
      <c r="B512" t="s">
        <v>133</v>
      </c>
      <c r="C512" s="2">
        <v>1.6363000000000001</v>
      </c>
      <c r="D512" s="2">
        <v>1.7695000000000001</v>
      </c>
      <c r="E512" s="2">
        <v>1.9027000000000001</v>
      </c>
      <c r="F512" s="2">
        <v>2.093</v>
      </c>
      <c r="G512" s="2">
        <v>2.2262</v>
      </c>
      <c r="H512" s="2">
        <v>2.3784000000000001</v>
      </c>
      <c r="I512" s="2">
        <v>2.5876999999999999</v>
      </c>
      <c r="J512" s="2">
        <v>2.7970000000000002</v>
      </c>
      <c r="K512" s="2">
        <v>3.0063</v>
      </c>
      <c r="L512" s="2">
        <v>3.2345999999999999</v>
      </c>
      <c r="M512" s="2">
        <v>3.4628999999999999</v>
      </c>
      <c r="N512" s="2">
        <v>3.6911999999999998</v>
      </c>
      <c r="O512" s="2">
        <v>3.9196</v>
      </c>
      <c r="P512" s="2">
        <v>4.1478999999999999</v>
      </c>
      <c r="Q512" s="2">
        <v>4.3761999999999999</v>
      </c>
      <c r="R512" t="s">
        <v>3</v>
      </c>
      <c r="S512" t="s">
        <v>3</v>
      </c>
      <c r="T512" t="s">
        <v>125</v>
      </c>
    </row>
    <row r="513" spans="1:20" x14ac:dyDescent="0.25">
      <c r="B513" t="s">
        <v>134</v>
      </c>
      <c r="C513" s="2">
        <v>2.0438999999999998</v>
      </c>
      <c r="D513" s="2">
        <v>2.2101999999999999</v>
      </c>
      <c r="E513" s="2">
        <v>2.3765999999999998</v>
      </c>
      <c r="F513" s="2">
        <v>2.6141999999999999</v>
      </c>
      <c r="G513" s="2">
        <v>2.7806000000000002</v>
      </c>
      <c r="H513" s="2">
        <v>2.9706999999999999</v>
      </c>
      <c r="I513" s="2">
        <v>3.2321</v>
      </c>
      <c r="J513" s="2">
        <v>3.4935999999999998</v>
      </c>
      <c r="K513" s="2">
        <v>3.7549999999999999</v>
      </c>
      <c r="L513" s="2">
        <v>4.0401999999999996</v>
      </c>
      <c r="M513" s="2">
        <v>4.3254000000000001</v>
      </c>
      <c r="N513" s="2">
        <v>4.6105999999999998</v>
      </c>
      <c r="O513" s="2">
        <v>4.8956999999999997</v>
      </c>
      <c r="P513" s="2">
        <v>5.1809000000000003</v>
      </c>
      <c r="Q513" s="2">
        <v>5.4661</v>
      </c>
      <c r="R513" t="s">
        <v>3</v>
      </c>
      <c r="S513" t="s">
        <v>3</v>
      </c>
      <c r="T513" t="s">
        <v>125</v>
      </c>
    </row>
    <row r="514" spans="1:20" x14ac:dyDescent="0.25">
      <c r="B514" t="s">
        <v>231</v>
      </c>
      <c r="C514" s="2">
        <v>1.92</v>
      </c>
      <c r="D514" s="2">
        <v>2.0640000000000001</v>
      </c>
      <c r="E514" s="2">
        <v>2.2080000000000002</v>
      </c>
      <c r="F514" s="2">
        <v>2.4</v>
      </c>
      <c r="G514" s="2">
        <v>2.544</v>
      </c>
      <c r="H514" s="2">
        <v>2.6880000000000002</v>
      </c>
      <c r="I514" s="2">
        <v>2.88</v>
      </c>
      <c r="J514" s="2">
        <v>3.0720000000000001</v>
      </c>
      <c r="K514" s="2">
        <v>3.2639999999999998</v>
      </c>
      <c r="L514" s="2">
        <v>3.456</v>
      </c>
      <c r="M514" s="2">
        <v>3.6480000000000001</v>
      </c>
      <c r="N514" s="2">
        <v>3.84</v>
      </c>
      <c r="O514" s="2">
        <v>4.08</v>
      </c>
      <c r="P514" s="2">
        <v>4.32</v>
      </c>
      <c r="Q514" s="2">
        <v>4.5599999999999996</v>
      </c>
      <c r="R514" t="s">
        <v>19</v>
      </c>
      <c r="S514" t="s">
        <v>19</v>
      </c>
      <c r="T514" t="s">
        <v>125</v>
      </c>
    </row>
    <row r="515" spans="1:20" x14ac:dyDescent="0.25">
      <c r="B515" t="s">
        <v>232</v>
      </c>
      <c r="C515" s="2">
        <v>2.6080000000000001</v>
      </c>
      <c r="D515" s="2">
        <v>2.8035999999999999</v>
      </c>
      <c r="E515" s="2">
        <v>2.9992000000000001</v>
      </c>
      <c r="F515" s="2">
        <v>3.26</v>
      </c>
      <c r="G515" s="2">
        <v>3.4556</v>
      </c>
      <c r="H515" s="2">
        <v>3.6511999999999998</v>
      </c>
      <c r="I515" s="2">
        <v>3.9119999999999999</v>
      </c>
      <c r="J515" s="2">
        <v>4.1727999999999996</v>
      </c>
      <c r="K515" s="2">
        <v>4.4336000000000002</v>
      </c>
      <c r="L515" s="2">
        <v>4.6943999999999999</v>
      </c>
      <c r="M515" s="2">
        <v>4.9551999999999996</v>
      </c>
      <c r="N515" s="2">
        <v>5.2160000000000002</v>
      </c>
      <c r="O515" s="2">
        <v>5.5419999999999998</v>
      </c>
      <c r="P515" s="2">
        <v>5.8680000000000003</v>
      </c>
      <c r="Q515" s="2">
        <v>6.194</v>
      </c>
      <c r="R515" t="s">
        <v>19</v>
      </c>
      <c r="S515" t="s">
        <v>19</v>
      </c>
      <c r="T515" t="s">
        <v>125</v>
      </c>
    </row>
    <row r="516" spans="1:20" x14ac:dyDescent="0.25">
      <c r="B516" t="s">
        <v>178</v>
      </c>
      <c r="C516" s="2">
        <v>2.6240000000000001</v>
      </c>
      <c r="D516" s="2">
        <v>2.8208000000000002</v>
      </c>
      <c r="E516" s="2">
        <v>3.0175999999999998</v>
      </c>
      <c r="F516" s="2">
        <v>3.28</v>
      </c>
      <c r="G516" s="2">
        <v>3.4767999999999999</v>
      </c>
      <c r="H516" s="2">
        <v>3.6736</v>
      </c>
      <c r="I516" s="2">
        <v>3.9359999999999999</v>
      </c>
      <c r="J516" s="2">
        <v>4.1984000000000004</v>
      </c>
      <c r="K516" s="2">
        <v>4.4607999999999999</v>
      </c>
      <c r="L516" s="2">
        <v>4.7232000000000003</v>
      </c>
      <c r="M516" s="2">
        <v>4.9855999999999998</v>
      </c>
      <c r="N516" s="2">
        <v>5.2480000000000002</v>
      </c>
      <c r="O516" s="2">
        <v>5.5759999999999996</v>
      </c>
      <c r="P516" s="2">
        <v>5.9039999999999999</v>
      </c>
      <c r="Q516" s="2">
        <v>6.2320000000000002</v>
      </c>
      <c r="R516" t="s">
        <v>0</v>
      </c>
      <c r="S516" t="s">
        <v>0</v>
      </c>
      <c r="T516" t="s">
        <v>125</v>
      </c>
    </row>
    <row r="517" spans="1:20" x14ac:dyDescent="0.25">
      <c r="B517" t="s">
        <v>179</v>
      </c>
      <c r="C517" s="2">
        <v>1.2</v>
      </c>
      <c r="D517" s="2">
        <v>1.29</v>
      </c>
      <c r="E517" s="2">
        <v>1.38</v>
      </c>
      <c r="F517" s="2">
        <v>1.5</v>
      </c>
      <c r="G517" s="2">
        <v>1.59</v>
      </c>
      <c r="H517" s="2">
        <v>1.68</v>
      </c>
      <c r="I517" s="2">
        <v>1.8</v>
      </c>
      <c r="J517" s="2">
        <v>1.92</v>
      </c>
      <c r="K517" s="2">
        <v>2.04</v>
      </c>
      <c r="L517" s="2">
        <v>2.16</v>
      </c>
      <c r="M517" s="2">
        <v>2.2799999999999998</v>
      </c>
      <c r="N517" s="2">
        <v>2.4</v>
      </c>
      <c r="O517" s="2">
        <v>2.5499999999999998</v>
      </c>
      <c r="P517" s="2">
        <v>2.7</v>
      </c>
      <c r="Q517" s="2">
        <v>2.85</v>
      </c>
      <c r="R517" t="s">
        <v>0</v>
      </c>
      <c r="S517" t="s">
        <v>0</v>
      </c>
      <c r="T517" t="s">
        <v>125</v>
      </c>
    </row>
    <row r="518" spans="1:20" x14ac:dyDescent="0.25">
      <c r="B518" t="s">
        <v>233</v>
      </c>
      <c r="C518" s="2">
        <v>0.36</v>
      </c>
      <c r="D518" s="2">
        <v>0.38700000000000001</v>
      </c>
      <c r="E518" s="2">
        <v>0.41399999999999998</v>
      </c>
      <c r="F518" s="2">
        <v>0.45</v>
      </c>
      <c r="G518" s="2">
        <v>0.47699999999999998</v>
      </c>
      <c r="H518" s="2">
        <v>0.504</v>
      </c>
      <c r="I518" s="2">
        <v>0.54</v>
      </c>
      <c r="J518" s="2">
        <v>0.57599999999999996</v>
      </c>
      <c r="K518" s="2">
        <v>0.61199999999999999</v>
      </c>
      <c r="L518" s="2">
        <v>0.64800000000000002</v>
      </c>
      <c r="M518" s="2">
        <v>0.68400000000000005</v>
      </c>
      <c r="N518" s="2">
        <v>0.72</v>
      </c>
      <c r="O518" s="2">
        <v>0.76500000000000001</v>
      </c>
      <c r="P518" s="2">
        <v>0.81</v>
      </c>
      <c r="Q518" s="2">
        <v>0.85499999999999998</v>
      </c>
      <c r="R518" t="s">
        <v>24</v>
      </c>
      <c r="S518" t="s">
        <v>24</v>
      </c>
      <c r="T518" t="s">
        <v>125</v>
      </c>
    </row>
    <row r="519" spans="1:20" x14ac:dyDescent="0.25">
      <c r="B519" t="s">
        <v>235</v>
      </c>
      <c r="C519" s="20">
        <v>2</v>
      </c>
      <c r="D519" s="20">
        <v>2</v>
      </c>
      <c r="E519" s="20">
        <v>2</v>
      </c>
      <c r="F519" s="20">
        <v>2</v>
      </c>
      <c r="G519" s="20">
        <v>2</v>
      </c>
      <c r="H519" s="20">
        <v>2</v>
      </c>
      <c r="I519" s="20">
        <v>2</v>
      </c>
      <c r="J519" s="20">
        <v>2</v>
      </c>
      <c r="K519" s="20">
        <v>2</v>
      </c>
      <c r="L519" s="20">
        <v>2</v>
      </c>
      <c r="M519" s="20">
        <v>2</v>
      </c>
      <c r="N519" s="20">
        <v>2</v>
      </c>
      <c r="O519" s="20">
        <v>2</v>
      </c>
      <c r="P519" s="20">
        <v>2</v>
      </c>
      <c r="Q519" s="20">
        <v>2</v>
      </c>
      <c r="R519" t="s">
        <v>23</v>
      </c>
      <c r="S519" t="s">
        <v>23</v>
      </c>
      <c r="T519" t="s">
        <v>125</v>
      </c>
    </row>
    <row r="520" spans="1:20" x14ac:dyDescent="0.25">
      <c r="B520" s="3" t="s">
        <v>763</v>
      </c>
      <c r="C520" s="23"/>
      <c r="D520" s="23"/>
      <c r="E520" s="23"/>
      <c r="F520" s="23"/>
      <c r="G520" s="23"/>
      <c r="H520" s="23"/>
      <c r="I520" s="23"/>
      <c r="J520" s="23"/>
      <c r="K520" s="23"/>
      <c r="L520" s="23"/>
      <c r="M520" s="23"/>
      <c r="N520" s="23"/>
      <c r="O520" s="23"/>
      <c r="P520" s="23"/>
      <c r="Q520" s="23"/>
      <c r="R520" s="5" t="s">
        <v>763</v>
      </c>
      <c r="S520" s="5" t="s">
        <v>763</v>
      </c>
      <c r="T520" t="s">
        <v>764</v>
      </c>
    </row>
    <row r="521" spans="1:20" x14ac:dyDescent="0.25">
      <c r="B521" s="3" t="s">
        <v>386</v>
      </c>
      <c r="C521" s="23"/>
      <c r="D521" s="23"/>
      <c r="E521" s="23"/>
      <c r="F521" s="23"/>
      <c r="G521" s="23"/>
      <c r="H521" s="23"/>
      <c r="I521" s="23"/>
      <c r="J521" s="23"/>
      <c r="K521" s="23"/>
      <c r="L521" s="23"/>
      <c r="M521" s="23"/>
      <c r="N521" s="23"/>
      <c r="O521" s="23"/>
      <c r="P521" s="23"/>
      <c r="Q521" s="23"/>
      <c r="R521" s="5" t="s">
        <v>392</v>
      </c>
      <c r="S521" s="5" t="s">
        <v>392</v>
      </c>
      <c r="T521" t="s">
        <v>69</v>
      </c>
    </row>
    <row r="522" spans="1:20" x14ac:dyDescent="0.25">
      <c r="B522" s="3" t="s">
        <v>388</v>
      </c>
      <c r="C522" s="23"/>
      <c r="D522" s="23"/>
      <c r="E522" s="23"/>
      <c r="F522" s="23"/>
      <c r="G522" s="23"/>
      <c r="H522" s="23"/>
      <c r="I522" s="23"/>
      <c r="J522" s="23"/>
      <c r="K522" s="23"/>
      <c r="L522" s="23"/>
      <c r="M522" s="23"/>
      <c r="N522" s="23"/>
      <c r="O522" s="23"/>
      <c r="P522" s="23"/>
      <c r="Q522" s="23"/>
      <c r="R522" s="5" t="s">
        <v>392</v>
      </c>
      <c r="S522" s="5" t="s">
        <v>392</v>
      </c>
      <c r="T522" t="s">
        <v>69</v>
      </c>
    </row>
    <row r="523" spans="1:20" x14ac:dyDescent="0.25">
      <c r="B523" s="3" t="s">
        <v>389</v>
      </c>
      <c r="C523" s="23"/>
      <c r="D523" s="23"/>
      <c r="E523" s="23"/>
      <c r="F523" s="23"/>
      <c r="G523" s="23"/>
      <c r="H523" s="23"/>
      <c r="I523" s="23"/>
      <c r="J523" s="23"/>
      <c r="K523" s="23"/>
      <c r="L523" s="23"/>
      <c r="M523" s="23"/>
      <c r="N523" s="23"/>
      <c r="O523" s="23"/>
      <c r="P523" s="23"/>
      <c r="Q523" s="23"/>
      <c r="R523" s="5" t="s">
        <v>392</v>
      </c>
      <c r="S523" s="5" t="s">
        <v>392</v>
      </c>
      <c r="T523" t="s">
        <v>69</v>
      </c>
    </row>
    <row r="524" spans="1:20" x14ac:dyDescent="0.25">
      <c r="B524" s="3" t="s">
        <v>385</v>
      </c>
      <c r="C524" s="23"/>
      <c r="D524" s="23"/>
      <c r="E524" s="23"/>
      <c r="F524" s="23"/>
      <c r="G524" s="23"/>
      <c r="H524" s="23"/>
      <c r="I524" s="23"/>
      <c r="J524" s="23"/>
      <c r="K524" s="23"/>
      <c r="L524" s="23"/>
      <c r="M524" s="23"/>
      <c r="N524" s="23"/>
      <c r="O524" s="23"/>
      <c r="P524" s="23"/>
      <c r="Q524" s="23"/>
      <c r="R524" s="5" t="s">
        <v>392</v>
      </c>
      <c r="S524" s="5" t="s">
        <v>392</v>
      </c>
      <c r="T524" t="s">
        <v>69</v>
      </c>
    </row>
    <row r="525" spans="1:20" x14ac:dyDescent="0.25">
      <c r="B525" s="3" t="s">
        <v>387</v>
      </c>
      <c r="C525" s="23"/>
      <c r="D525" s="23"/>
      <c r="E525" s="23"/>
      <c r="F525" s="23"/>
      <c r="G525" s="23"/>
      <c r="H525" s="23"/>
      <c r="I525" s="23"/>
      <c r="J525" s="23"/>
      <c r="K525" s="23"/>
      <c r="L525" s="23"/>
      <c r="M525" s="23"/>
      <c r="N525" s="23"/>
      <c r="O525" s="23"/>
      <c r="P525" s="23"/>
      <c r="Q525" s="23"/>
      <c r="R525" s="5" t="s">
        <v>392</v>
      </c>
      <c r="S525" s="5" t="s">
        <v>392</v>
      </c>
      <c r="T525" t="s">
        <v>69</v>
      </c>
    </row>
    <row r="526" spans="1:20" x14ac:dyDescent="0.25">
      <c r="B526" s="3" t="s">
        <v>390</v>
      </c>
      <c r="C526" s="23"/>
      <c r="D526" s="23"/>
      <c r="E526" s="23"/>
      <c r="F526" s="23"/>
      <c r="G526" s="23"/>
      <c r="H526" s="23"/>
      <c r="I526" s="23"/>
      <c r="J526" s="23"/>
      <c r="K526" s="23"/>
      <c r="L526" s="23"/>
      <c r="M526" s="23"/>
      <c r="N526" s="23"/>
      <c r="O526" s="23"/>
      <c r="P526" s="23"/>
      <c r="Q526" s="23"/>
      <c r="R526" s="5" t="s">
        <v>392</v>
      </c>
      <c r="S526" s="5" t="s">
        <v>392</v>
      </c>
      <c r="T526" t="s">
        <v>69</v>
      </c>
    </row>
    <row r="527" spans="1:20" x14ac:dyDescent="0.25">
      <c r="B527" s="3" t="s">
        <v>391</v>
      </c>
      <c r="C527" s="23"/>
      <c r="D527" s="23"/>
      <c r="E527" s="23"/>
      <c r="F527" s="23"/>
      <c r="G527" s="23"/>
      <c r="H527" s="23"/>
      <c r="I527" s="23"/>
      <c r="J527" s="23"/>
      <c r="K527" s="23"/>
      <c r="L527" s="23"/>
      <c r="M527" s="23"/>
      <c r="N527" s="23"/>
      <c r="O527" s="23"/>
      <c r="P527" s="23"/>
      <c r="Q527" s="23"/>
      <c r="R527" s="5" t="s">
        <v>392</v>
      </c>
      <c r="S527" s="5" t="s">
        <v>392</v>
      </c>
      <c r="T527" t="s">
        <v>69</v>
      </c>
    </row>
    <row r="528" spans="1:20" x14ac:dyDescent="0.25">
      <c r="A528" t="s">
        <v>857</v>
      </c>
      <c r="B528" s="3" t="s">
        <v>393</v>
      </c>
      <c r="C528" s="23"/>
      <c r="D528" s="23"/>
      <c r="E528" s="23"/>
      <c r="F528" s="23"/>
      <c r="G528" s="23"/>
      <c r="H528" s="23"/>
      <c r="I528" s="23"/>
      <c r="J528" s="23"/>
      <c r="K528" s="23"/>
      <c r="L528" s="23"/>
      <c r="M528" s="23"/>
      <c r="N528" s="23"/>
      <c r="O528" s="23"/>
      <c r="P528" s="23"/>
      <c r="Q528" s="23"/>
      <c r="R528" s="5" t="s">
        <v>392</v>
      </c>
      <c r="S528" s="5" t="s">
        <v>392</v>
      </c>
      <c r="T528" t="s">
        <v>69</v>
      </c>
    </row>
    <row r="529" spans="1:20" x14ac:dyDescent="0.25">
      <c r="B529" t="s">
        <v>236</v>
      </c>
      <c r="C529" s="21">
        <v>1</v>
      </c>
      <c r="D529" s="21">
        <v>2</v>
      </c>
      <c r="E529" s="21">
        <v>3</v>
      </c>
      <c r="F529" s="21">
        <v>4</v>
      </c>
      <c r="G529" s="21">
        <v>5</v>
      </c>
      <c r="H529" s="21">
        <v>6</v>
      </c>
      <c r="I529" s="21">
        <v>7</v>
      </c>
      <c r="J529" s="21">
        <v>8</v>
      </c>
      <c r="K529" s="21">
        <v>9</v>
      </c>
      <c r="L529" s="21">
        <v>10</v>
      </c>
      <c r="M529" s="21">
        <v>11</v>
      </c>
      <c r="N529" s="21">
        <v>12</v>
      </c>
      <c r="O529" s="21">
        <v>13</v>
      </c>
      <c r="P529" s="21">
        <v>14</v>
      </c>
      <c r="Q529" s="21">
        <v>15</v>
      </c>
      <c r="R529" s="5" t="s">
        <v>11</v>
      </c>
      <c r="S529" s="5" t="s">
        <v>1024</v>
      </c>
      <c r="T529" t="s">
        <v>124</v>
      </c>
    </row>
    <row r="530" spans="1:20" x14ac:dyDescent="0.25">
      <c r="A530" t="s">
        <v>858</v>
      </c>
      <c r="B530" t="s">
        <v>10</v>
      </c>
      <c r="C530" s="2">
        <v>0.41020000000000001</v>
      </c>
      <c r="D530" s="2">
        <v>0.44359999999999999</v>
      </c>
      <c r="E530" s="2">
        <v>0.47699999999999998</v>
      </c>
      <c r="F530" s="2">
        <v>0.52470000000000006</v>
      </c>
      <c r="G530" s="2">
        <v>0.55810000000000004</v>
      </c>
      <c r="H530" s="2">
        <v>0.59619999999999995</v>
      </c>
      <c r="I530" s="2">
        <v>0.64870000000000005</v>
      </c>
      <c r="J530" s="2">
        <v>0.70120000000000005</v>
      </c>
      <c r="K530" s="2">
        <v>0.75370000000000004</v>
      </c>
      <c r="L530" s="2">
        <v>0.81089999999999995</v>
      </c>
      <c r="M530" s="2">
        <v>0.86809999999999998</v>
      </c>
      <c r="N530" s="2">
        <v>0.9254</v>
      </c>
      <c r="O530" s="2">
        <v>0.98260000000000003</v>
      </c>
      <c r="P530" s="2">
        <v>1.0399</v>
      </c>
      <c r="Q530" s="2">
        <v>1.0971</v>
      </c>
      <c r="R530" t="s">
        <v>6</v>
      </c>
      <c r="S530" t="s">
        <v>6</v>
      </c>
      <c r="T530" t="s">
        <v>125</v>
      </c>
    </row>
    <row r="531" spans="1:20" x14ac:dyDescent="0.25">
      <c r="B531" t="s">
        <v>9</v>
      </c>
      <c r="C531" s="2">
        <v>0.41020000000000001</v>
      </c>
      <c r="D531" s="2">
        <v>0.44359999999999999</v>
      </c>
      <c r="E531" s="2">
        <v>0.47699999999999998</v>
      </c>
      <c r="F531" s="2">
        <v>0.52470000000000006</v>
      </c>
      <c r="G531" s="2">
        <v>0.55810000000000004</v>
      </c>
      <c r="H531" s="2">
        <v>0.59619999999999995</v>
      </c>
      <c r="I531" s="2">
        <v>0.64870000000000005</v>
      </c>
      <c r="J531" s="2">
        <v>0.70120000000000005</v>
      </c>
      <c r="K531" s="2">
        <v>0.75370000000000004</v>
      </c>
      <c r="L531" s="2">
        <v>0.81089999999999995</v>
      </c>
      <c r="M531" s="2">
        <v>0.86809999999999998</v>
      </c>
      <c r="N531" s="2">
        <v>0.9254</v>
      </c>
      <c r="O531" s="2">
        <v>0.98260000000000003</v>
      </c>
      <c r="P531" s="2">
        <v>1.0399</v>
      </c>
      <c r="Q531" s="2">
        <v>1.0971</v>
      </c>
      <c r="R531" t="s">
        <v>6</v>
      </c>
      <c r="S531" t="s">
        <v>6</v>
      </c>
      <c r="T531" t="s">
        <v>125</v>
      </c>
    </row>
    <row r="532" spans="1:20" x14ac:dyDescent="0.25">
      <c r="B532" t="s">
        <v>8</v>
      </c>
      <c r="C532" s="2">
        <v>0.5444</v>
      </c>
      <c r="D532" s="2">
        <v>0.5887</v>
      </c>
      <c r="E532" s="2">
        <v>0.63300000000000001</v>
      </c>
      <c r="F532" s="2">
        <v>0.69630000000000003</v>
      </c>
      <c r="G532" s="2">
        <v>0.74060000000000004</v>
      </c>
      <c r="H532" s="2">
        <v>0.7913</v>
      </c>
      <c r="I532" s="2">
        <v>0.8609</v>
      </c>
      <c r="J532" s="2">
        <v>0.93049999999999999</v>
      </c>
      <c r="K532" s="2">
        <v>1.0001</v>
      </c>
      <c r="L532" s="2">
        <v>1.0761000000000001</v>
      </c>
      <c r="M532" s="2">
        <v>1.1520999999999999</v>
      </c>
      <c r="N532" s="2">
        <v>1.228</v>
      </c>
      <c r="O532" s="2">
        <v>1.304</v>
      </c>
      <c r="P532" s="2">
        <v>1.3798999999999999</v>
      </c>
      <c r="Q532" s="2">
        <v>1.4559</v>
      </c>
      <c r="R532" t="s">
        <v>6</v>
      </c>
      <c r="S532" t="s">
        <v>6</v>
      </c>
      <c r="T532" t="s">
        <v>125</v>
      </c>
    </row>
    <row r="533" spans="1:20" x14ac:dyDescent="0.25">
      <c r="B533" t="s">
        <v>237</v>
      </c>
      <c r="C533" s="2">
        <v>0.31480000000000002</v>
      </c>
      <c r="D533" s="2">
        <v>0.34039999999999998</v>
      </c>
      <c r="E533" s="2">
        <v>0.36599999999999999</v>
      </c>
      <c r="F533" s="2">
        <v>0.40260000000000001</v>
      </c>
      <c r="G533" s="2">
        <v>0.42820000000000003</v>
      </c>
      <c r="H533" s="2">
        <v>0.45750000000000002</v>
      </c>
      <c r="I533" s="2">
        <v>0.49780000000000002</v>
      </c>
      <c r="J533" s="2">
        <v>0.53800000000000003</v>
      </c>
      <c r="K533" s="2">
        <v>0.57830000000000004</v>
      </c>
      <c r="L533" s="2">
        <v>0.62219999999999998</v>
      </c>
      <c r="M533" s="2">
        <v>0.66610000000000003</v>
      </c>
      <c r="N533" s="2">
        <v>0.71</v>
      </c>
      <c r="O533" s="2">
        <v>0.754</v>
      </c>
      <c r="P533" s="2">
        <v>0.79790000000000005</v>
      </c>
      <c r="Q533" s="2">
        <v>0.84179999999999999</v>
      </c>
      <c r="R533" t="s">
        <v>6</v>
      </c>
      <c r="S533" t="s">
        <v>6</v>
      </c>
      <c r="T533" t="s">
        <v>125</v>
      </c>
    </row>
    <row r="534" spans="1:20" x14ac:dyDescent="0.25">
      <c r="B534" t="s">
        <v>238</v>
      </c>
      <c r="C534" s="2">
        <v>0.34399999999999997</v>
      </c>
      <c r="D534" s="2">
        <v>0.372</v>
      </c>
      <c r="E534" s="2">
        <v>0.4</v>
      </c>
      <c r="F534" s="2">
        <v>0.44</v>
      </c>
      <c r="G534" s="2">
        <v>0.46800000000000003</v>
      </c>
      <c r="H534" s="2">
        <v>0.5</v>
      </c>
      <c r="I534" s="2">
        <v>0.54400000000000004</v>
      </c>
      <c r="J534" s="2">
        <v>0.58799999999999997</v>
      </c>
      <c r="K534" s="2">
        <v>0.63200000000000001</v>
      </c>
      <c r="L534" s="2">
        <v>0.68</v>
      </c>
      <c r="M534" s="2">
        <v>0.72799999999999998</v>
      </c>
      <c r="N534" s="2">
        <v>0.77600000000000002</v>
      </c>
      <c r="O534" s="2">
        <v>0.82399999999999995</v>
      </c>
      <c r="P534" s="2">
        <v>0.872</v>
      </c>
      <c r="Q534" s="2">
        <v>0.92</v>
      </c>
      <c r="R534" t="s">
        <v>6</v>
      </c>
      <c r="S534" t="s">
        <v>6</v>
      </c>
      <c r="T534" t="s">
        <v>125</v>
      </c>
    </row>
    <row r="535" spans="1:20" x14ac:dyDescent="0.25">
      <c r="B535" t="s">
        <v>7</v>
      </c>
      <c r="C535" s="2">
        <v>0.66990000000000005</v>
      </c>
      <c r="D535" s="2">
        <v>0.72450000000000003</v>
      </c>
      <c r="E535" s="2">
        <v>0.77900000000000003</v>
      </c>
      <c r="F535" s="2">
        <v>0.8569</v>
      </c>
      <c r="G535" s="2">
        <v>0.91139999999999999</v>
      </c>
      <c r="H535" s="2">
        <v>0.9738</v>
      </c>
      <c r="I535" s="2">
        <v>1.0593999999999999</v>
      </c>
      <c r="J535" s="2">
        <v>1.1451</v>
      </c>
      <c r="K535" s="2">
        <v>1.2307999999999999</v>
      </c>
      <c r="L535" s="2">
        <v>1.3243</v>
      </c>
      <c r="M535" s="2">
        <v>1.4177999999999999</v>
      </c>
      <c r="N535" s="2">
        <v>1.5113000000000001</v>
      </c>
      <c r="O535" s="2">
        <v>1.6047</v>
      </c>
      <c r="P535" s="2">
        <v>1.6981999999999999</v>
      </c>
      <c r="Q535" s="2">
        <v>1.7917000000000001</v>
      </c>
      <c r="R535" t="s">
        <v>6</v>
      </c>
      <c r="S535" t="s">
        <v>6</v>
      </c>
      <c r="T535" t="s">
        <v>125</v>
      </c>
    </row>
    <row r="536" spans="1:20" x14ac:dyDescent="0.25">
      <c r="B536" t="s">
        <v>138</v>
      </c>
      <c r="C536" s="2">
        <v>0.76800000000000002</v>
      </c>
      <c r="D536" s="2">
        <v>0.83050000000000002</v>
      </c>
      <c r="E536" s="2">
        <v>0.89300000000000002</v>
      </c>
      <c r="F536" s="2">
        <v>0.98229999999999995</v>
      </c>
      <c r="G536" s="2">
        <v>1.0448</v>
      </c>
      <c r="H536" s="2">
        <v>1.1163000000000001</v>
      </c>
      <c r="I536" s="2">
        <v>1.2144999999999999</v>
      </c>
      <c r="J536" s="2">
        <v>1.3127</v>
      </c>
      <c r="K536" s="2">
        <v>1.4109</v>
      </c>
      <c r="L536" s="2">
        <v>1.5181</v>
      </c>
      <c r="M536" s="2">
        <v>1.6253</v>
      </c>
      <c r="N536" s="2">
        <v>1.7323999999999999</v>
      </c>
      <c r="O536" s="2">
        <v>1.8395999999999999</v>
      </c>
      <c r="P536" s="2">
        <v>1.9467000000000001</v>
      </c>
      <c r="Q536" s="2">
        <v>2.0539000000000001</v>
      </c>
      <c r="R536" t="s">
        <v>5</v>
      </c>
      <c r="S536" t="s">
        <v>5</v>
      </c>
      <c r="T536" t="s">
        <v>125</v>
      </c>
    </row>
    <row r="537" spans="1:20" x14ac:dyDescent="0.25">
      <c r="B537" t="s">
        <v>139</v>
      </c>
      <c r="C537" s="2">
        <v>0.86</v>
      </c>
      <c r="D537" s="2">
        <v>0.93</v>
      </c>
      <c r="E537" s="2">
        <v>1</v>
      </c>
      <c r="F537" s="2">
        <v>1.1000000000000001</v>
      </c>
      <c r="G537" s="2">
        <v>1.17</v>
      </c>
      <c r="H537" s="2">
        <v>1.25</v>
      </c>
      <c r="I537" s="2">
        <v>1.36</v>
      </c>
      <c r="J537" s="2">
        <v>1.47</v>
      </c>
      <c r="K537" s="2">
        <v>1.58</v>
      </c>
      <c r="L537" s="2">
        <v>1.7</v>
      </c>
      <c r="M537" s="2">
        <v>1.82</v>
      </c>
      <c r="N537" s="2">
        <v>1.94</v>
      </c>
      <c r="O537" s="2">
        <v>2.06</v>
      </c>
      <c r="P537" s="2">
        <v>2.1800000000000002</v>
      </c>
      <c r="Q537" s="2">
        <v>2.2999999999999998</v>
      </c>
      <c r="R537" t="s">
        <v>5</v>
      </c>
      <c r="S537" t="s">
        <v>5</v>
      </c>
      <c r="T537" t="s">
        <v>125</v>
      </c>
    </row>
    <row r="538" spans="1:20" x14ac:dyDescent="0.25">
      <c r="B538" t="s">
        <v>152</v>
      </c>
      <c r="C538" s="2">
        <v>0.63929999999999998</v>
      </c>
      <c r="D538" s="2">
        <v>0.69140000000000001</v>
      </c>
      <c r="E538" s="2">
        <v>0.74339999999999995</v>
      </c>
      <c r="F538" s="2">
        <v>0.81769999999999998</v>
      </c>
      <c r="G538" s="2">
        <v>0.86980000000000002</v>
      </c>
      <c r="H538" s="2">
        <v>0.92930000000000001</v>
      </c>
      <c r="I538" s="2">
        <v>1.0109999999999999</v>
      </c>
      <c r="J538" s="2">
        <v>1.0928</v>
      </c>
      <c r="K538" s="2">
        <v>1.1746000000000001</v>
      </c>
      <c r="L538" s="2">
        <v>1.2638</v>
      </c>
      <c r="M538" s="2">
        <v>1.353</v>
      </c>
      <c r="N538" s="2">
        <v>1.4421999999999999</v>
      </c>
      <c r="O538" s="2">
        <v>1.5314000000000001</v>
      </c>
      <c r="P538" s="2">
        <v>1.6206</v>
      </c>
      <c r="Q538" s="2">
        <v>1.7098</v>
      </c>
      <c r="R538" t="s">
        <v>3</v>
      </c>
      <c r="S538" t="s">
        <v>3</v>
      </c>
      <c r="T538" t="s">
        <v>125</v>
      </c>
    </row>
    <row r="539" spans="1:20" x14ac:dyDescent="0.25">
      <c r="B539" t="s">
        <v>133</v>
      </c>
      <c r="C539" s="2">
        <v>1.2784</v>
      </c>
      <c r="D539" s="2">
        <v>1.3824000000000001</v>
      </c>
      <c r="E539" s="2">
        <v>1.4864999999999999</v>
      </c>
      <c r="F539" s="2">
        <v>1.6351</v>
      </c>
      <c r="G539" s="2">
        <v>1.7392000000000001</v>
      </c>
      <c r="H539" s="2">
        <v>1.8581000000000001</v>
      </c>
      <c r="I539" s="2">
        <v>2.0215999999999998</v>
      </c>
      <c r="J539" s="2">
        <v>2.1850999999999998</v>
      </c>
      <c r="K539" s="2">
        <v>2.3485999999999998</v>
      </c>
      <c r="L539" s="2">
        <v>2.5270000000000001</v>
      </c>
      <c r="M539" s="2">
        <v>2.7054</v>
      </c>
      <c r="N539" s="2">
        <v>2.8837999999999999</v>
      </c>
      <c r="O539" s="2">
        <v>3.0621999999999998</v>
      </c>
      <c r="P539" s="2">
        <v>3.2404999999999999</v>
      </c>
      <c r="Q539" s="2">
        <v>3.4188999999999998</v>
      </c>
      <c r="R539" t="s">
        <v>3</v>
      </c>
      <c r="S539" t="s">
        <v>3</v>
      </c>
      <c r="T539" t="s">
        <v>125</v>
      </c>
    </row>
    <row r="540" spans="1:20" x14ac:dyDescent="0.25">
      <c r="B540" t="s">
        <v>134</v>
      </c>
      <c r="C540" s="2">
        <v>1.5968</v>
      </c>
      <c r="D540" s="2">
        <v>1.7266999999999999</v>
      </c>
      <c r="E540" s="2">
        <v>1.8567</v>
      </c>
      <c r="F540" s="2">
        <v>2.0424000000000002</v>
      </c>
      <c r="G540" s="2">
        <v>2.1722999999999999</v>
      </c>
      <c r="H540" s="2">
        <v>2.3209</v>
      </c>
      <c r="I540" s="2">
        <v>2.5251000000000001</v>
      </c>
      <c r="J540" s="2">
        <v>2.7292999999999998</v>
      </c>
      <c r="K540" s="2">
        <v>2.9336000000000002</v>
      </c>
      <c r="L540" s="2">
        <v>3.1564000000000001</v>
      </c>
      <c r="M540" s="2">
        <v>3.3792</v>
      </c>
      <c r="N540" s="2">
        <v>3.6019999999999999</v>
      </c>
      <c r="O540" s="2">
        <v>3.8248000000000002</v>
      </c>
      <c r="P540" s="2">
        <v>4.0476000000000001</v>
      </c>
      <c r="Q540" s="2">
        <v>4.2704000000000004</v>
      </c>
      <c r="R540" t="s">
        <v>3</v>
      </c>
      <c r="S540" t="s">
        <v>3</v>
      </c>
      <c r="T540" t="s">
        <v>125</v>
      </c>
    </row>
    <row r="541" spans="1:20" x14ac:dyDescent="0.25">
      <c r="B541" t="s">
        <v>239</v>
      </c>
      <c r="C541" s="2">
        <v>0.504</v>
      </c>
      <c r="D541" s="2">
        <v>0.54179999999999995</v>
      </c>
      <c r="E541" s="2">
        <v>0.5796</v>
      </c>
      <c r="F541" s="2">
        <v>0.63</v>
      </c>
      <c r="G541" s="2">
        <v>0.66779999999999995</v>
      </c>
      <c r="H541" s="2">
        <v>0.7056</v>
      </c>
      <c r="I541" s="2">
        <v>0.75600000000000001</v>
      </c>
      <c r="J541" s="2">
        <v>0.80640000000000001</v>
      </c>
      <c r="K541" s="2">
        <v>0.85680000000000001</v>
      </c>
      <c r="L541" s="2">
        <v>0.90720000000000001</v>
      </c>
      <c r="M541" s="2">
        <v>0.95760000000000001</v>
      </c>
      <c r="N541" s="2">
        <v>1.008</v>
      </c>
      <c r="O541" s="2">
        <v>1.071</v>
      </c>
      <c r="P541" s="2">
        <v>1.1339999999999999</v>
      </c>
      <c r="Q541" s="2">
        <v>1.1970000000000001</v>
      </c>
      <c r="R541" t="s">
        <v>19</v>
      </c>
      <c r="S541" t="s">
        <v>19</v>
      </c>
      <c r="T541" t="s">
        <v>125</v>
      </c>
    </row>
    <row r="542" spans="1:20" x14ac:dyDescent="0.25">
      <c r="B542" t="s">
        <v>241</v>
      </c>
      <c r="C542" s="2">
        <v>1.68</v>
      </c>
      <c r="D542" s="2">
        <v>1.806</v>
      </c>
      <c r="E542" s="2">
        <v>1.9319999999999999</v>
      </c>
      <c r="F542" s="2">
        <v>2.1</v>
      </c>
      <c r="G542" s="2">
        <v>2.226</v>
      </c>
      <c r="H542" s="2">
        <v>2.3519999999999999</v>
      </c>
      <c r="I542" s="2">
        <v>2.52</v>
      </c>
      <c r="J542" s="2">
        <v>2.6880000000000002</v>
      </c>
      <c r="K542" s="2">
        <v>2.8559999999999999</v>
      </c>
      <c r="L542" s="2">
        <v>3.024</v>
      </c>
      <c r="M542" s="2">
        <v>3.1920000000000002</v>
      </c>
      <c r="N542" s="2">
        <v>3.36</v>
      </c>
      <c r="O542" s="2">
        <v>3.57</v>
      </c>
      <c r="P542" s="2">
        <v>3.78</v>
      </c>
      <c r="Q542" s="2">
        <v>3.99</v>
      </c>
      <c r="R542" t="s">
        <v>19</v>
      </c>
      <c r="S542" t="s">
        <v>19</v>
      </c>
      <c r="T542" t="s">
        <v>125</v>
      </c>
    </row>
    <row r="543" spans="1:20" x14ac:dyDescent="0.25">
      <c r="B543" t="s">
        <v>240</v>
      </c>
      <c r="C543" s="2">
        <v>0.84</v>
      </c>
      <c r="D543" s="2">
        <v>0.90300000000000002</v>
      </c>
      <c r="E543" s="2">
        <v>0.96599999999999997</v>
      </c>
      <c r="F543" s="2">
        <v>1.05</v>
      </c>
      <c r="G543" s="2">
        <v>1.113</v>
      </c>
      <c r="H543" s="2">
        <v>1.1759999999999999</v>
      </c>
      <c r="I543" s="2">
        <v>1.26</v>
      </c>
      <c r="J543" s="2">
        <v>1.3440000000000001</v>
      </c>
      <c r="K543" s="2">
        <v>1.4279999999999999</v>
      </c>
      <c r="L543" s="2">
        <v>1.512</v>
      </c>
      <c r="M543" s="2">
        <v>1.5960000000000001</v>
      </c>
      <c r="N543" s="2">
        <v>1.68</v>
      </c>
      <c r="O543" s="2">
        <v>1.7849999999999999</v>
      </c>
      <c r="P543" s="2">
        <v>1.89</v>
      </c>
      <c r="Q543" s="2">
        <v>1.9950000000000001</v>
      </c>
      <c r="R543" t="s">
        <v>19</v>
      </c>
      <c r="S543" t="s">
        <v>19</v>
      </c>
      <c r="T543" t="s">
        <v>125</v>
      </c>
    </row>
    <row r="544" spans="1:20" x14ac:dyDescent="0.25">
      <c r="B544" t="s">
        <v>242</v>
      </c>
      <c r="C544" s="2">
        <v>0.88</v>
      </c>
      <c r="D544" s="2">
        <v>0.94599999999999995</v>
      </c>
      <c r="E544" s="2">
        <v>1.012</v>
      </c>
      <c r="F544" s="2">
        <v>1.1000000000000001</v>
      </c>
      <c r="G544" s="2">
        <v>1.1659999999999999</v>
      </c>
      <c r="H544" s="2">
        <v>1.232</v>
      </c>
      <c r="I544" s="2">
        <v>1.32</v>
      </c>
      <c r="J544" s="2">
        <v>1.4079999999999999</v>
      </c>
      <c r="K544" s="2">
        <v>1.496</v>
      </c>
      <c r="L544" s="2">
        <v>1.5840000000000001</v>
      </c>
      <c r="M544" s="2">
        <v>1.6719999999999999</v>
      </c>
      <c r="N544" s="2">
        <v>1.76</v>
      </c>
      <c r="O544" s="2">
        <v>1.87</v>
      </c>
      <c r="P544" s="2">
        <v>1.98</v>
      </c>
      <c r="Q544" s="2">
        <v>2.09</v>
      </c>
      <c r="R544" t="s">
        <v>0</v>
      </c>
      <c r="S544" t="s">
        <v>0</v>
      </c>
      <c r="T544" t="s">
        <v>125</v>
      </c>
    </row>
    <row r="545" spans="1:20" x14ac:dyDescent="0.25">
      <c r="B545" t="s">
        <v>243</v>
      </c>
      <c r="C545" s="2">
        <v>0.24</v>
      </c>
      <c r="D545" s="2">
        <v>0.25800000000000001</v>
      </c>
      <c r="E545" s="2">
        <v>0.27600000000000002</v>
      </c>
      <c r="F545" s="2">
        <v>0.3</v>
      </c>
      <c r="G545" s="2">
        <v>0.318</v>
      </c>
      <c r="H545" s="2">
        <v>0.33600000000000002</v>
      </c>
      <c r="I545" s="2">
        <v>0.36</v>
      </c>
      <c r="J545" s="2">
        <v>0.38400000000000001</v>
      </c>
      <c r="K545" s="2">
        <v>0.40799999999999997</v>
      </c>
      <c r="L545" s="2">
        <v>0.432</v>
      </c>
      <c r="M545" s="2">
        <v>0.45600000000000002</v>
      </c>
      <c r="N545" s="2">
        <v>0.48</v>
      </c>
      <c r="O545" s="2">
        <v>0.51</v>
      </c>
      <c r="P545" s="2">
        <v>0.54</v>
      </c>
      <c r="Q545" s="2">
        <v>0.56999999999999995</v>
      </c>
      <c r="R545" t="s">
        <v>0</v>
      </c>
      <c r="S545" t="s">
        <v>0</v>
      </c>
      <c r="T545" t="s">
        <v>125</v>
      </c>
    </row>
    <row r="546" spans="1:20" x14ac:dyDescent="0.25">
      <c r="B546" t="s">
        <v>244</v>
      </c>
      <c r="C546" s="2">
        <v>1.8879999999999999</v>
      </c>
      <c r="D546" s="2">
        <v>2.0295999999999998</v>
      </c>
      <c r="E546" s="2">
        <v>2.1711999999999998</v>
      </c>
      <c r="F546" s="2">
        <v>2.36</v>
      </c>
      <c r="G546" s="2">
        <v>2.5015999999999998</v>
      </c>
      <c r="H546" s="2">
        <v>2.6432000000000002</v>
      </c>
      <c r="I546" s="2">
        <v>2.8319999999999999</v>
      </c>
      <c r="J546" s="2">
        <v>3.0207999999999999</v>
      </c>
      <c r="K546" s="2">
        <v>3.2096</v>
      </c>
      <c r="L546" s="2">
        <v>3.3984000000000001</v>
      </c>
      <c r="M546" s="2">
        <v>3.5872000000000002</v>
      </c>
      <c r="N546" s="2">
        <v>3.7759999999999998</v>
      </c>
      <c r="O546" s="2">
        <v>4.0119999999999996</v>
      </c>
      <c r="P546" s="2">
        <v>4.2480000000000002</v>
      </c>
      <c r="Q546" s="2">
        <v>4.484</v>
      </c>
      <c r="R546" t="s">
        <v>0</v>
      </c>
      <c r="S546" t="s">
        <v>0</v>
      </c>
      <c r="T546" t="s">
        <v>125</v>
      </c>
    </row>
    <row r="547" spans="1:20" x14ac:dyDescent="0.25">
      <c r="B547" t="s">
        <v>245</v>
      </c>
      <c r="C547" s="20">
        <v>0.5</v>
      </c>
      <c r="D547" s="20">
        <v>0.5</v>
      </c>
      <c r="E547" s="20">
        <v>0.5</v>
      </c>
      <c r="F547" s="20">
        <v>0.5</v>
      </c>
      <c r="G547" s="20">
        <v>0.5</v>
      </c>
      <c r="H547" s="20">
        <v>0.5</v>
      </c>
      <c r="I547" s="20">
        <v>0.5</v>
      </c>
      <c r="J547" s="20">
        <v>0.5</v>
      </c>
      <c r="K547" s="20">
        <v>0.5</v>
      </c>
      <c r="L547" s="20">
        <v>0.5</v>
      </c>
      <c r="M547" s="20">
        <v>0.5</v>
      </c>
      <c r="N547" s="20">
        <v>0.5</v>
      </c>
      <c r="O547" s="20">
        <v>0.5</v>
      </c>
      <c r="P547" s="20">
        <v>0.5</v>
      </c>
      <c r="Q547" s="20">
        <v>0.5</v>
      </c>
      <c r="R547" t="s">
        <v>246</v>
      </c>
      <c r="S547" t="s">
        <v>246</v>
      </c>
      <c r="T547" t="s">
        <v>125</v>
      </c>
    </row>
    <row r="548" spans="1:20" x14ac:dyDescent="0.25">
      <c r="B548" s="3" t="s">
        <v>763</v>
      </c>
      <c r="C548" s="23"/>
      <c r="D548" s="23"/>
      <c r="E548" s="23"/>
      <c r="F548" s="23"/>
      <c r="G548" s="23"/>
      <c r="H548" s="23"/>
      <c r="I548" s="23"/>
      <c r="J548" s="23"/>
      <c r="K548" s="23"/>
      <c r="L548" s="23"/>
      <c r="M548" s="23"/>
      <c r="N548" s="23"/>
      <c r="O548" s="23"/>
      <c r="P548" s="23"/>
      <c r="Q548" s="23"/>
      <c r="R548" s="5" t="s">
        <v>763</v>
      </c>
      <c r="S548" s="5" t="s">
        <v>763</v>
      </c>
      <c r="T548" t="s">
        <v>764</v>
      </c>
    </row>
    <row r="549" spans="1:20" x14ac:dyDescent="0.25">
      <c r="B549" s="3" t="s">
        <v>386</v>
      </c>
      <c r="C549" s="23"/>
      <c r="D549" s="23"/>
      <c r="E549" s="23"/>
      <c r="F549" s="23"/>
      <c r="G549" s="23"/>
      <c r="H549" s="23"/>
      <c r="I549" s="23"/>
      <c r="J549" s="23"/>
      <c r="K549" s="23"/>
      <c r="L549" s="23"/>
      <c r="M549" s="23"/>
      <c r="N549" s="23"/>
      <c r="O549" s="23"/>
      <c r="P549" s="23"/>
      <c r="Q549" s="23"/>
      <c r="R549" s="5" t="s">
        <v>392</v>
      </c>
      <c r="S549" s="5" t="s">
        <v>392</v>
      </c>
      <c r="T549" t="s">
        <v>69</v>
      </c>
    </row>
    <row r="550" spans="1:20" x14ac:dyDescent="0.25">
      <c r="B550" s="3" t="s">
        <v>388</v>
      </c>
      <c r="C550" s="23"/>
      <c r="D550" s="23"/>
      <c r="E550" s="23"/>
      <c r="F550" s="23"/>
      <c r="G550" s="23"/>
      <c r="H550" s="23"/>
      <c r="I550" s="23"/>
      <c r="J550" s="23"/>
      <c r="K550" s="23"/>
      <c r="L550" s="23"/>
      <c r="M550" s="23"/>
      <c r="N550" s="23"/>
      <c r="O550" s="23"/>
      <c r="P550" s="23"/>
      <c r="Q550" s="23"/>
      <c r="R550" s="5" t="s">
        <v>392</v>
      </c>
      <c r="S550" s="5" t="s">
        <v>392</v>
      </c>
      <c r="T550" t="s">
        <v>69</v>
      </c>
    </row>
    <row r="551" spans="1:20" x14ac:dyDescent="0.25">
      <c r="B551" s="3" t="s">
        <v>389</v>
      </c>
      <c r="C551" s="23"/>
      <c r="D551" s="23"/>
      <c r="E551" s="23"/>
      <c r="F551" s="23"/>
      <c r="G551" s="23"/>
      <c r="H551" s="23"/>
      <c r="I551" s="23"/>
      <c r="J551" s="23"/>
      <c r="K551" s="23"/>
      <c r="L551" s="23"/>
      <c r="M551" s="23"/>
      <c r="N551" s="23"/>
      <c r="O551" s="23"/>
      <c r="P551" s="23"/>
      <c r="Q551" s="23"/>
      <c r="R551" s="5" t="s">
        <v>392</v>
      </c>
      <c r="S551" s="5" t="s">
        <v>392</v>
      </c>
      <c r="T551" t="s">
        <v>69</v>
      </c>
    </row>
    <row r="552" spans="1:20" x14ac:dyDescent="0.25">
      <c r="B552" s="3" t="s">
        <v>385</v>
      </c>
      <c r="C552" s="23"/>
      <c r="D552" s="23"/>
      <c r="E552" s="23"/>
      <c r="F552" s="23"/>
      <c r="G552" s="23"/>
      <c r="H552" s="23"/>
      <c r="I552" s="23"/>
      <c r="J552" s="23"/>
      <c r="K552" s="23"/>
      <c r="L552" s="23"/>
      <c r="M552" s="23"/>
      <c r="N552" s="23"/>
      <c r="O552" s="23"/>
      <c r="P552" s="23"/>
      <c r="Q552" s="23"/>
      <c r="R552" s="5" t="s">
        <v>392</v>
      </c>
      <c r="S552" s="5" t="s">
        <v>392</v>
      </c>
      <c r="T552" t="s">
        <v>69</v>
      </c>
    </row>
    <row r="553" spans="1:20" x14ac:dyDescent="0.25">
      <c r="B553" s="3" t="s">
        <v>387</v>
      </c>
      <c r="C553" s="23"/>
      <c r="D553" s="23"/>
      <c r="E553" s="23"/>
      <c r="F553" s="23"/>
      <c r="G553" s="23"/>
      <c r="H553" s="23"/>
      <c r="I553" s="23"/>
      <c r="J553" s="23"/>
      <c r="K553" s="23"/>
      <c r="L553" s="23"/>
      <c r="M553" s="23"/>
      <c r="N553" s="23"/>
      <c r="O553" s="23"/>
      <c r="P553" s="23"/>
      <c r="Q553" s="23"/>
      <c r="R553" s="5" t="s">
        <v>392</v>
      </c>
      <c r="S553" s="5" t="s">
        <v>392</v>
      </c>
      <c r="T553" t="s">
        <v>69</v>
      </c>
    </row>
    <row r="554" spans="1:20" x14ac:dyDescent="0.25">
      <c r="B554" s="3" t="s">
        <v>390</v>
      </c>
      <c r="C554" s="23"/>
      <c r="D554" s="23"/>
      <c r="E554" s="23"/>
      <c r="F554" s="23"/>
      <c r="G554" s="23"/>
      <c r="H554" s="23"/>
      <c r="I554" s="23"/>
      <c r="J554" s="23"/>
      <c r="K554" s="23"/>
      <c r="L554" s="23"/>
      <c r="M554" s="23"/>
      <c r="N554" s="23"/>
      <c r="O554" s="23"/>
      <c r="P554" s="23"/>
      <c r="Q554" s="23"/>
      <c r="R554" s="5" t="s">
        <v>392</v>
      </c>
      <c r="S554" s="5" t="s">
        <v>392</v>
      </c>
      <c r="T554" t="s">
        <v>69</v>
      </c>
    </row>
    <row r="555" spans="1:20" x14ac:dyDescent="0.25">
      <c r="B555" s="3" t="s">
        <v>391</v>
      </c>
      <c r="C555" s="23"/>
      <c r="D555" s="23"/>
      <c r="E555" s="23"/>
      <c r="F555" s="23"/>
      <c r="G555" s="23"/>
      <c r="H555" s="23"/>
      <c r="I555" s="23"/>
      <c r="J555" s="23"/>
      <c r="K555" s="23"/>
      <c r="L555" s="23"/>
      <c r="M555" s="23"/>
      <c r="N555" s="23"/>
      <c r="O555" s="23"/>
      <c r="P555" s="23"/>
      <c r="Q555" s="23"/>
      <c r="R555" s="5" t="s">
        <v>392</v>
      </c>
      <c r="S555" s="5" t="s">
        <v>392</v>
      </c>
      <c r="T555" t="s">
        <v>69</v>
      </c>
    </row>
    <row r="556" spans="1:20" x14ac:dyDescent="0.25">
      <c r="A556" t="s">
        <v>859</v>
      </c>
      <c r="B556" s="3" t="s">
        <v>393</v>
      </c>
      <c r="C556" s="23"/>
      <c r="D556" s="23"/>
      <c r="E556" s="23"/>
      <c r="F556" s="23"/>
      <c r="G556" s="23"/>
      <c r="H556" s="23"/>
      <c r="I556" s="23"/>
      <c r="J556" s="23"/>
      <c r="K556" s="23"/>
      <c r="L556" s="23"/>
      <c r="M556" s="23"/>
      <c r="N556" s="23"/>
      <c r="O556" s="23"/>
      <c r="P556" s="23"/>
      <c r="Q556" s="23"/>
      <c r="R556" s="5" t="s">
        <v>392</v>
      </c>
      <c r="S556" s="5" t="s">
        <v>392</v>
      </c>
      <c r="T556" t="s">
        <v>69</v>
      </c>
    </row>
    <row r="557" spans="1:20" x14ac:dyDescent="0.25">
      <c r="B557" t="s">
        <v>247</v>
      </c>
      <c r="C557" s="21">
        <v>1</v>
      </c>
      <c r="D557" s="21">
        <v>2</v>
      </c>
      <c r="E557" s="21">
        <v>3</v>
      </c>
      <c r="F557" s="21">
        <v>4</v>
      </c>
      <c r="G557" s="21">
        <v>5</v>
      </c>
      <c r="H557" s="21">
        <v>6</v>
      </c>
      <c r="I557" s="21">
        <v>7</v>
      </c>
      <c r="J557" s="21">
        <v>8</v>
      </c>
      <c r="K557" s="21">
        <v>9</v>
      </c>
      <c r="L557" s="21">
        <v>10</v>
      </c>
      <c r="M557" s="21">
        <v>11</v>
      </c>
      <c r="N557" s="21">
        <v>12</v>
      </c>
      <c r="O557" s="21">
        <v>13</v>
      </c>
      <c r="P557" s="21">
        <v>14</v>
      </c>
      <c r="Q557" s="21">
        <v>15</v>
      </c>
      <c r="R557" s="5" t="s">
        <v>11</v>
      </c>
      <c r="S557" s="5" t="s">
        <v>1024</v>
      </c>
      <c r="T557" t="s">
        <v>124</v>
      </c>
    </row>
    <row r="558" spans="1:20" x14ac:dyDescent="0.25">
      <c r="A558" t="s">
        <v>860</v>
      </c>
      <c r="B558" t="s">
        <v>10</v>
      </c>
      <c r="C558" s="2">
        <v>0.72160000000000002</v>
      </c>
      <c r="D558" s="2">
        <v>0.77569999999999995</v>
      </c>
      <c r="E558" s="2">
        <v>0.82979999999999998</v>
      </c>
      <c r="F558" s="2">
        <v>0.90200000000000002</v>
      </c>
      <c r="G558" s="2">
        <v>0.95609999999999995</v>
      </c>
      <c r="H558" s="2">
        <v>1.0102</v>
      </c>
      <c r="I558" s="2">
        <v>1.0824</v>
      </c>
      <c r="J558" s="2">
        <v>1.1546000000000001</v>
      </c>
      <c r="K558" s="2">
        <v>1.2266999999999999</v>
      </c>
      <c r="L558" s="2">
        <v>1.2988999999999999</v>
      </c>
      <c r="M558" s="2">
        <v>1.3738999999999999</v>
      </c>
      <c r="N558" s="2">
        <v>1.4721</v>
      </c>
      <c r="O558" s="2">
        <v>1.5702</v>
      </c>
      <c r="P558" s="2">
        <v>1.6682999999999999</v>
      </c>
      <c r="Q558" s="2">
        <v>1.7665</v>
      </c>
      <c r="R558" t="s">
        <v>6</v>
      </c>
      <c r="S558" t="s">
        <v>6</v>
      </c>
      <c r="T558" t="s">
        <v>125</v>
      </c>
    </row>
    <row r="559" spans="1:20" x14ac:dyDescent="0.25">
      <c r="B559" t="s">
        <v>9</v>
      </c>
      <c r="C559" s="2">
        <v>0.624</v>
      </c>
      <c r="D559" s="2">
        <v>0.67079999999999995</v>
      </c>
      <c r="E559" s="2">
        <v>0.71760000000000002</v>
      </c>
      <c r="F559" s="2">
        <v>0.78</v>
      </c>
      <c r="G559" s="2">
        <v>0.82679999999999998</v>
      </c>
      <c r="H559" s="2">
        <v>0.87360000000000004</v>
      </c>
      <c r="I559" s="2">
        <v>0.93600000000000005</v>
      </c>
      <c r="J559" s="2">
        <v>0.99839999999999995</v>
      </c>
      <c r="K559" s="2">
        <v>1.0608</v>
      </c>
      <c r="L559" s="2">
        <v>1.1232</v>
      </c>
      <c r="M559" s="2">
        <v>1.1880999999999999</v>
      </c>
      <c r="N559" s="2">
        <v>1.2729999999999999</v>
      </c>
      <c r="O559" s="2">
        <v>1.3577999999999999</v>
      </c>
      <c r="P559" s="2">
        <v>1.4427000000000001</v>
      </c>
      <c r="Q559" s="2">
        <v>1.5276000000000001</v>
      </c>
      <c r="R559" t="s">
        <v>6</v>
      </c>
      <c r="S559" t="s">
        <v>6</v>
      </c>
      <c r="T559" t="s">
        <v>125</v>
      </c>
    </row>
    <row r="560" spans="1:20" x14ac:dyDescent="0.25">
      <c r="B560" t="s">
        <v>8</v>
      </c>
      <c r="C560" s="2">
        <v>0.8992</v>
      </c>
      <c r="D560" s="2">
        <v>0.96660000000000001</v>
      </c>
      <c r="E560" s="2">
        <v>1.0341</v>
      </c>
      <c r="F560" s="2">
        <v>1.1240000000000001</v>
      </c>
      <c r="G560" s="2">
        <v>1.1914</v>
      </c>
      <c r="H560" s="2">
        <v>1.2588999999999999</v>
      </c>
      <c r="I560" s="2">
        <v>1.3488</v>
      </c>
      <c r="J560" s="2">
        <v>1.4387000000000001</v>
      </c>
      <c r="K560" s="2">
        <v>1.5286</v>
      </c>
      <c r="L560" s="2">
        <v>1.6186</v>
      </c>
      <c r="M560" s="2">
        <v>1.7121</v>
      </c>
      <c r="N560" s="2">
        <v>1.8344</v>
      </c>
      <c r="O560" s="2">
        <v>1.9567000000000001</v>
      </c>
      <c r="P560" s="2">
        <v>2.0790000000000002</v>
      </c>
      <c r="Q560" s="2">
        <v>2.2012</v>
      </c>
      <c r="R560" t="s">
        <v>6</v>
      </c>
      <c r="S560" t="s">
        <v>6</v>
      </c>
      <c r="T560" t="s">
        <v>125</v>
      </c>
    </row>
    <row r="561" spans="2:20" x14ac:dyDescent="0.25">
      <c r="B561" t="s">
        <v>14</v>
      </c>
      <c r="C561" s="2">
        <v>1.5736000000000001</v>
      </c>
      <c r="D561" s="2">
        <v>1.6916</v>
      </c>
      <c r="E561" s="2">
        <v>1.8096000000000001</v>
      </c>
      <c r="F561" s="2">
        <v>1.9670000000000001</v>
      </c>
      <c r="G561" s="2">
        <v>2.085</v>
      </c>
      <c r="H561" s="2">
        <v>2.2029999999999998</v>
      </c>
      <c r="I561" s="2">
        <v>2.3603999999999998</v>
      </c>
      <c r="J561" s="2">
        <v>2.5177999999999998</v>
      </c>
      <c r="K561" s="2">
        <v>2.6751</v>
      </c>
      <c r="L561" s="2">
        <v>2.8325</v>
      </c>
      <c r="M561" s="2">
        <v>2.9961000000000002</v>
      </c>
      <c r="N561" s="2">
        <v>3.2101000000000002</v>
      </c>
      <c r="O561" s="2">
        <v>3.4241999999999999</v>
      </c>
      <c r="P561" s="2">
        <v>3.6381999999999999</v>
      </c>
      <c r="Q561" s="2">
        <v>3.8521999999999998</v>
      </c>
      <c r="R561" t="s">
        <v>5</v>
      </c>
      <c r="S561" t="s">
        <v>5</v>
      </c>
      <c r="T561" t="s">
        <v>125</v>
      </c>
    </row>
    <row r="562" spans="2:20" x14ac:dyDescent="0.25">
      <c r="B562" t="s">
        <v>152</v>
      </c>
      <c r="C562" s="2">
        <v>0.56830000000000003</v>
      </c>
      <c r="D562" s="2">
        <v>0.61450000000000005</v>
      </c>
      <c r="E562" s="2">
        <v>0.66080000000000005</v>
      </c>
      <c r="F562" s="2">
        <v>0.72689999999999999</v>
      </c>
      <c r="G562" s="2">
        <v>0.77310000000000001</v>
      </c>
      <c r="H562" s="2">
        <v>0.82599999999999996</v>
      </c>
      <c r="I562" s="2">
        <v>0.89870000000000005</v>
      </c>
      <c r="J562" s="2">
        <v>0.97140000000000004</v>
      </c>
      <c r="K562" s="2">
        <v>1.0441</v>
      </c>
      <c r="L562" s="2">
        <v>1.1234</v>
      </c>
      <c r="M562" s="2">
        <v>1.2027000000000001</v>
      </c>
      <c r="N562" s="2">
        <v>1.282</v>
      </c>
      <c r="O562" s="2">
        <v>1.3612</v>
      </c>
      <c r="P562" s="2">
        <v>1.4404999999999999</v>
      </c>
      <c r="Q562" s="2">
        <v>1.5198</v>
      </c>
      <c r="R562" t="s">
        <v>3</v>
      </c>
      <c r="S562" t="s">
        <v>3</v>
      </c>
      <c r="T562" t="s">
        <v>125</v>
      </c>
    </row>
    <row r="563" spans="2:20" x14ac:dyDescent="0.25">
      <c r="B563" t="s">
        <v>133</v>
      </c>
      <c r="C563" s="2">
        <v>1.1363000000000001</v>
      </c>
      <c r="D563" s="2">
        <v>1.2287999999999999</v>
      </c>
      <c r="E563" s="2">
        <v>1.3212999999999999</v>
      </c>
      <c r="F563" s="2">
        <v>1.4535</v>
      </c>
      <c r="G563" s="2">
        <v>1.5459000000000001</v>
      </c>
      <c r="H563" s="2">
        <v>1.6516999999999999</v>
      </c>
      <c r="I563" s="2">
        <v>1.7969999999999999</v>
      </c>
      <c r="J563" s="2">
        <v>1.9422999999999999</v>
      </c>
      <c r="K563" s="2">
        <v>2.0876999999999999</v>
      </c>
      <c r="L563" s="2">
        <v>2.2462</v>
      </c>
      <c r="M563" s="2">
        <v>2.4047999999999998</v>
      </c>
      <c r="N563" s="2">
        <v>2.5634000000000001</v>
      </c>
      <c r="O563" s="2">
        <v>2.7219000000000002</v>
      </c>
      <c r="P563" s="2">
        <v>2.8805000000000001</v>
      </c>
      <c r="Q563" s="2">
        <v>3.0390000000000001</v>
      </c>
      <c r="R563" t="s">
        <v>3</v>
      </c>
      <c r="S563" t="s">
        <v>3</v>
      </c>
      <c r="T563" t="s">
        <v>125</v>
      </c>
    </row>
    <row r="564" spans="2:20" x14ac:dyDescent="0.25">
      <c r="B564" t="s">
        <v>134</v>
      </c>
      <c r="C564" s="2">
        <v>1.4193</v>
      </c>
      <c r="D564" s="2">
        <v>1.5348999999999999</v>
      </c>
      <c r="E564" s="2">
        <v>1.6504000000000001</v>
      </c>
      <c r="F564" s="2">
        <v>1.8153999999999999</v>
      </c>
      <c r="G564" s="2">
        <v>1.931</v>
      </c>
      <c r="H564" s="2">
        <v>2.0630000000000002</v>
      </c>
      <c r="I564" s="2">
        <v>2.2444999999999999</v>
      </c>
      <c r="J564" s="2">
        <v>2.4260999999999999</v>
      </c>
      <c r="K564" s="2">
        <v>2.6076000000000001</v>
      </c>
      <c r="L564" s="2">
        <v>2.8056999999999999</v>
      </c>
      <c r="M564" s="2">
        <v>3.0036999999999998</v>
      </c>
      <c r="N564" s="2">
        <v>3.2018</v>
      </c>
      <c r="O564" s="2">
        <v>3.3997999999999999</v>
      </c>
      <c r="P564" s="2">
        <v>3.5979000000000001</v>
      </c>
      <c r="Q564" s="2">
        <v>3.7959000000000001</v>
      </c>
      <c r="R564" t="s">
        <v>3</v>
      </c>
      <c r="S564" t="s">
        <v>3</v>
      </c>
      <c r="T564" t="s">
        <v>125</v>
      </c>
    </row>
    <row r="565" spans="2:20" x14ac:dyDescent="0.25">
      <c r="B565" t="s">
        <v>248</v>
      </c>
      <c r="C565" s="2">
        <v>0.95199999999999996</v>
      </c>
      <c r="D565" s="2">
        <v>1.0234000000000001</v>
      </c>
      <c r="E565" s="2">
        <v>1.0948</v>
      </c>
      <c r="F565" s="2">
        <v>1.19</v>
      </c>
      <c r="G565" s="2">
        <v>1.2614000000000001</v>
      </c>
      <c r="H565" s="2">
        <v>1.3328</v>
      </c>
      <c r="I565" s="2">
        <v>1.4279999999999999</v>
      </c>
      <c r="J565" s="2">
        <v>1.5232000000000001</v>
      </c>
      <c r="K565" s="2">
        <v>1.6184000000000001</v>
      </c>
      <c r="L565" s="2">
        <v>1.7136</v>
      </c>
      <c r="M565" s="2">
        <v>1.8088</v>
      </c>
      <c r="N565" s="2">
        <v>1.9039999999999999</v>
      </c>
      <c r="O565" s="2">
        <v>2.0230000000000001</v>
      </c>
      <c r="P565" s="2">
        <v>2.1419999999999999</v>
      </c>
      <c r="Q565" s="2">
        <v>2.2610000000000001</v>
      </c>
      <c r="R565" t="s">
        <v>19</v>
      </c>
      <c r="S565" t="s">
        <v>19</v>
      </c>
      <c r="T565" t="s">
        <v>125</v>
      </c>
    </row>
    <row r="566" spans="2:20" x14ac:dyDescent="0.25">
      <c r="B566" t="s">
        <v>249</v>
      </c>
      <c r="C566" s="2">
        <v>0.32800000000000001</v>
      </c>
      <c r="D566" s="2">
        <v>0.35260000000000002</v>
      </c>
      <c r="E566" s="2">
        <v>0.37719999999999998</v>
      </c>
      <c r="F566" s="2">
        <v>0.41</v>
      </c>
      <c r="G566" s="2">
        <v>0.43459999999999999</v>
      </c>
      <c r="H566" s="2">
        <v>0.4592</v>
      </c>
      <c r="I566" s="2">
        <v>0.49199999999999999</v>
      </c>
      <c r="J566" s="2">
        <v>0.52480000000000004</v>
      </c>
      <c r="K566" s="2">
        <v>0.55759999999999998</v>
      </c>
      <c r="L566" s="2">
        <v>0.59040000000000004</v>
      </c>
      <c r="M566" s="2">
        <v>0.62319999999999998</v>
      </c>
      <c r="N566" s="2">
        <v>0.65600000000000003</v>
      </c>
      <c r="O566" s="2">
        <v>0.69699999999999995</v>
      </c>
      <c r="P566" s="2">
        <v>0.73799999999999999</v>
      </c>
      <c r="Q566" s="2">
        <v>0.77900000000000003</v>
      </c>
      <c r="R566" t="s">
        <v>19</v>
      </c>
      <c r="S566" t="s">
        <v>19</v>
      </c>
      <c r="T566" t="s">
        <v>125</v>
      </c>
    </row>
    <row r="567" spans="2:20" x14ac:dyDescent="0.25">
      <c r="B567" t="s">
        <v>250</v>
      </c>
      <c r="C567" s="2">
        <v>0.4264</v>
      </c>
      <c r="D567" s="2">
        <v>0.45839999999999997</v>
      </c>
      <c r="E567" s="2">
        <v>0.4904</v>
      </c>
      <c r="F567" s="2">
        <v>0.53300000000000003</v>
      </c>
      <c r="G567" s="2">
        <v>0.56499999999999995</v>
      </c>
      <c r="H567" s="2">
        <v>0.59699999999999998</v>
      </c>
      <c r="I567" s="2">
        <v>0.63959999999999995</v>
      </c>
      <c r="J567" s="2">
        <v>0.68220000000000003</v>
      </c>
      <c r="K567" s="2">
        <v>0.72489999999999999</v>
      </c>
      <c r="L567" s="2">
        <v>0.76749999999999996</v>
      </c>
      <c r="M567" s="2">
        <v>0.81020000000000003</v>
      </c>
      <c r="N567" s="2">
        <v>0.8528</v>
      </c>
      <c r="O567" s="2">
        <v>0.90610000000000002</v>
      </c>
      <c r="P567" s="2">
        <v>0.95940000000000003</v>
      </c>
      <c r="Q567" s="2">
        <v>1.0126999999999999</v>
      </c>
      <c r="R567" t="s">
        <v>0</v>
      </c>
      <c r="S567" t="s">
        <v>0</v>
      </c>
      <c r="T567" t="s">
        <v>125</v>
      </c>
    </row>
    <row r="568" spans="2:20" x14ac:dyDescent="0.25">
      <c r="B568" t="s">
        <v>251</v>
      </c>
      <c r="C568" s="2">
        <f>1.2*C567</f>
        <v>0.51168000000000002</v>
      </c>
      <c r="D568" s="2">
        <f t="shared" ref="D568:Q568" si="7">1.2*D567</f>
        <v>0.5500799999999999</v>
      </c>
      <c r="E568" s="2">
        <f t="shared" si="7"/>
        <v>0.58848</v>
      </c>
      <c r="F568" s="2">
        <f t="shared" si="7"/>
        <v>0.63960000000000006</v>
      </c>
      <c r="G568" s="2">
        <f t="shared" si="7"/>
        <v>0.67799999999999994</v>
      </c>
      <c r="H568" s="2">
        <f t="shared" si="7"/>
        <v>0.71639999999999993</v>
      </c>
      <c r="I568" s="2">
        <f t="shared" si="7"/>
        <v>0.76751999999999987</v>
      </c>
      <c r="J568" s="2">
        <f t="shared" si="7"/>
        <v>0.81864000000000003</v>
      </c>
      <c r="K568" s="2">
        <f t="shared" si="7"/>
        <v>0.86987999999999999</v>
      </c>
      <c r="L568" s="2">
        <f t="shared" si="7"/>
        <v>0.92099999999999993</v>
      </c>
      <c r="M568" s="2">
        <f t="shared" si="7"/>
        <v>0.97223999999999999</v>
      </c>
      <c r="N568" s="2">
        <f t="shared" si="7"/>
        <v>1.02336</v>
      </c>
      <c r="O568" s="2">
        <f t="shared" si="7"/>
        <v>1.0873200000000001</v>
      </c>
      <c r="P568" s="2">
        <f t="shared" si="7"/>
        <v>1.1512800000000001</v>
      </c>
      <c r="Q568" s="2">
        <f t="shared" si="7"/>
        <v>1.2152399999999999</v>
      </c>
      <c r="R568" t="s">
        <v>0</v>
      </c>
      <c r="S568" t="s">
        <v>0</v>
      </c>
      <c r="T568" t="s">
        <v>125</v>
      </c>
    </row>
    <row r="569" spans="2:20" x14ac:dyDescent="0.25">
      <c r="B569" t="s">
        <v>252</v>
      </c>
      <c r="C569" s="2">
        <v>5.55</v>
      </c>
      <c r="D569" s="2">
        <v>5.55</v>
      </c>
      <c r="E569" s="2">
        <v>5.55</v>
      </c>
      <c r="F569" s="2">
        <v>5.55</v>
      </c>
      <c r="G569" s="2">
        <v>5.55</v>
      </c>
      <c r="H569" s="2">
        <v>5.55</v>
      </c>
      <c r="I569" s="2">
        <v>5.55</v>
      </c>
      <c r="J569" s="2">
        <v>5.55</v>
      </c>
      <c r="K569" s="2">
        <v>5.55</v>
      </c>
      <c r="L569" s="2">
        <v>5.55</v>
      </c>
      <c r="M569" s="2">
        <v>5.55</v>
      </c>
      <c r="N569" s="2">
        <v>5.55</v>
      </c>
      <c r="O569" s="2">
        <v>5.55</v>
      </c>
      <c r="P569" s="2">
        <v>5.55</v>
      </c>
      <c r="Q569" s="2">
        <v>5.55</v>
      </c>
      <c r="R569" t="s">
        <v>246</v>
      </c>
      <c r="S569" t="s">
        <v>246</v>
      </c>
      <c r="T569" t="s">
        <v>125</v>
      </c>
    </row>
    <row r="570" spans="2:20" x14ac:dyDescent="0.25">
      <c r="B570" s="3" t="s">
        <v>763</v>
      </c>
      <c r="C570" s="23"/>
      <c r="D570" s="23"/>
      <c r="E570" s="23"/>
      <c r="F570" s="23"/>
      <c r="G570" s="23"/>
      <c r="H570" s="23"/>
      <c r="I570" s="23"/>
      <c r="J570" s="23"/>
      <c r="K570" s="23"/>
      <c r="L570" s="23"/>
      <c r="M570" s="23"/>
      <c r="N570" s="23"/>
      <c r="O570" s="23"/>
      <c r="P570" s="23"/>
      <c r="Q570" s="23"/>
      <c r="R570" s="5" t="s">
        <v>763</v>
      </c>
      <c r="S570" s="5" t="s">
        <v>763</v>
      </c>
      <c r="T570" t="s">
        <v>764</v>
      </c>
    </row>
    <row r="571" spans="2:20" x14ac:dyDescent="0.25">
      <c r="B571" s="3" t="s">
        <v>386</v>
      </c>
      <c r="C571" s="23"/>
      <c r="D571" s="23"/>
      <c r="E571" s="23"/>
      <c r="F571" s="23"/>
      <c r="G571" s="23"/>
      <c r="H571" s="23"/>
      <c r="I571" s="23"/>
      <c r="J571" s="23"/>
      <c r="K571" s="23"/>
      <c r="L571" s="23"/>
      <c r="M571" s="23"/>
      <c r="N571" s="23"/>
      <c r="O571" s="23"/>
      <c r="P571" s="23"/>
      <c r="Q571" s="23"/>
      <c r="R571" s="5" t="s">
        <v>392</v>
      </c>
      <c r="S571" s="5" t="s">
        <v>392</v>
      </c>
      <c r="T571" t="s">
        <v>69</v>
      </c>
    </row>
    <row r="572" spans="2:20" x14ac:dyDescent="0.25">
      <c r="B572" s="3" t="s">
        <v>388</v>
      </c>
      <c r="C572" s="23"/>
      <c r="D572" s="23"/>
      <c r="E572" s="23"/>
      <c r="F572" s="23"/>
      <c r="G572" s="23"/>
      <c r="H572" s="23"/>
      <c r="I572" s="23"/>
      <c r="J572" s="23"/>
      <c r="K572" s="23"/>
      <c r="L572" s="23"/>
      <c r="M572" s="23"/>
      <c r="N572" s="23"/>
      <c r="O572" s="23"/>
      <c r="P572" s="23"/>
      <c r="Q572" s="23"/>
      <c r="R572" s="5" t="s">
        <v>392</v>
      </c>
      <c r="S572" s="5" t="s">
        <v>392</v>
      </c>
      <c r="T572" t="s">
        <v>69</v>
      </c>
    </row>
    <row r="573" spans="2:20" x14ac:dyDescent="0.25">
      <c r="B573" s="3" t="s">
        <v>389</v>
      </c>
      <c r="C573" s="23"/>
      <c r="D573" s="23"/>
      <c r="E573" s="23"/>
      <c r="F573" s="23"/>
      <c r="G573" s="23"/>
      <c r="H573" s="23"/>
      <c r="I573" s="23"/>
      <c r="J573" s="23"/>
      <c r="K573" s="23"/>
      <c r="L573" s="23"/>
      <c r="M573" s="23"/>
      <c r="N573" s="23"/>
      <c r="O573" s="23"/>
      <c r="P573" s="23"/>
      <c r="Q573" s="23"/>
      <c r="R573" s="5" t="s">
        <v>392</v>
      </c>
      <c r="S573" s="5" t="s">
        <v>392</v>
      </c>
      <c r="T573" t="s">
        <v>69</v>
      </c>
    </row>
    <row r="574" spans="2:20" x14ac:dyDescent="0.25">
      <c r="B574" s="3" t="s">
        <v>385</v>
      </c>
      <c r="C574" s="23"/>
      <c r="D574" s="23"/>
      <c r="E574" s="23"/>
      <c r="F574" s="23"/>
      <c r="G574" s="23"/>
      <c r="H574" s="23"/>
      <c r="I574" s="23"/>
      <c r="J574" s="23"/>
      <c r="K574" s="23"/>
      <c r="L574" s="23"/>
      <c r="M574" s="23"/>
      <c r="N574" s="23"/>
      <c r="O574" s="23"/>
      <c r="P574" s="23"/>
      <c r="Q574" s="23"/>
      <c r="R574" s="5" t="s">
        <v>392</v>
      </c>
      <c r="S574" s="5" t="s">
        <v>392</v>
      </c>
      <c r="T574" t="s">
        <v>69</v>
      </c>
    </row>
    <row r="575" spans="2:20" x14ac:dyDescent="0.25">
      <c r="B575" s="3" t="s">
        <v>387</v>
      </c>
      <c r="C575" s="23"/>
      <c r="D575" s="23"/>
      <c r="E575" s="23"/>
      <c r="F575" s="23"/>
      <c r="G575" s="23"/>
      <c r="H575" s="23"/>
      <c r="I575" s="23"/>
      <c r="J575" s="23"/>
      <c r="K575" s="23"/>
      <c r="L575" s="23"/>
      <c r="M575" s="23"/>
      <c r="N575" s="23"/>
      <c r="O575" s="23"/>
      <c r="P575" s="23"/>
      <c r="Q575" s="23"/>
      <c r="R575" s="5" t="s">
        <v>392</v>
      </c>
      <c r="S575" s="5" t="s">
        <v>392</v>
      </c>
      <c r="T575" t="s">
        <v>69</v>
      </c>
    </row>
    <row r="576" spans="2:20" x14ac:dyDescent="0.25">
      <c r="B576" s="3" t="s">
        <v>390</v>
      </c>
      <c r="C576" s="23"/>
      <c r="D576" s="23"/>
      <c r="E576" s="23"/>
      <c r="F576" s="23"/>
      <c r="G576" s="23"/>
      <c r="H576" s="23"/>
      <c r="I576" s="23"/>
      <c r="J576" s="23"/>
      <c r="K576" s="23"/>
      <c r="L576" s="23"/>
      <c r="M576" s="23"/>
      <c r="N576" s="23"/>
      <c r="O576" s="23"/>
      <c r="P576" s="23"/>
      <c r="Q576" s="23"/>
      <c r="R576" s="5" t="s">
        <v>392</v>
      </c>
      <c r="S576" s="5" t="s">
        <v>392</v>
      </c>
      <c r="T576" t="s">
        <v>69</v>
      </c>
    </row>
    <row r="577" spans="1:21" x14ac:dyDescent="0.25">
      <c r="B577" s="3" t="s">
        <v>391</v>
      </c>
      <c r="C577" s="23"/>
      <c r="D577" s="23"/>
      <c r="E577" s="23"/>
      <c r="F577" s="23"/>
      <c r="G577" s="23"/>
      <c r="H577" s="23"/>
      <c r="I577" s="23"/>
      <c r="J577" s="23"/>
      <c r="K577" s="23"/>
      <c r="L577" s="23"/>
      <c r="M577" s="23"/>
      <c r="N577" s="23"/>
      <c r="O577" s="23"/>
      <c r="P577" s="23"/>
      <c r="Q577" s="23"/>
      <c r="R577" s="5" t="s">
        <v>392</v>
      </c>
      <c r="S577" s="5" t="s">
        <v>392</v>
      </c>
      <c r="T577" t="s">
        <v>69</v>
      </c>
    </row>
    <row r="578" spans="1:21" x14ac:dyDescent="0.25">
      <c r="A578" t="s">
        <v>861</v>
      </c>
      <c r="B578" s="3" t="s">
        <v>393</v>
      </c>
      <c r="C578" s="23"/>
      <c r="D578" s="23"/>
      <c r="E578" s="23"/>
      <c r="F578" s="23"/>
      <c r="G578" s="23"/>
      <c r="H578" s="23"/>
      <c r="I578" s="23"/>
      <c r="J578" s="23"/>
      <c r="K578" s="23"/>
      <c r="L578" s="23"/>
      <c r="M578" s="23"/>
      <c r="N578" s="23"/>
      <c r="O578" s="23"/>
      <c r="P578" s="23"/>
      <c r="Q578" s="23"/>
      <c r="R578" s="5" t="s">
        <v>392</v>
      </c>
      <c r="S578" s="5" t="s">
        <v>392</v>
      </c>
      <c r="T578" t="s">
        <v>69</v>
      </c>
    </row>
    <row r="579" spans="1:21" x14ac:dyDescent="0.25">
      <c r="B579" t="s">
        <v>254</v>
      </c>
      <c r="C579" s="21">
        <v>1</v>
      </c>
      <c r="D579" s="21">
        <v>2</v>
      </c>
      <c r="E579" s="21">
        <v>3</v>
      </c>
      <c r="F579" s="21">
        <v>4</v>
      </c>
      <c r="G579" s="21">
        <v>5</v>
      </c>
      <c r="H579" s="21">
        <v>6</v>
      </c>
      <c r="I579" s="21">
        <v>7</v>
      </c>
      <c r="J579" s="21">
        <v>8</v>
      </c>
      <c r="K579" s="21">
        <v>9</v>
      </c>
      <c r="L579" s="21">
        <v>10</v>
      </c>
      <c r="M579" s="21">
        <v>11</v>
      </c>
      <c r="N579" s="21">
        <v>12</v>
      </c>
      <c r="O579" s="21">
        <v>13</v>
      </c>
      <c r="P579" s="21">
        <v>14</v>
      </c>
      <c r="Q579" s="21">
        <v>15</v>
      </c>
      <c r="R579" s="5" t="s">
        <v>11</v>
      </c>
      <c r="S579" s="5" t="s">
        <v>1024</v>
      </c>
      <c r="T579" t="s">
        <v>124</v>
      </c>
    </row>
    <row r="580" spans="1:21" x14ac:dyDescent="0.25">
      <c r="A580" t="s">
        <v>862</v>
      </c>
      <c r="B580" t="s">
        <v>10</v>
      </c>
      <c r="C580" s="2">
        <v>0.68379999999999996</v>
      </c>
      <c r="D580" s="2">
        <v>0.73499999999999999</v>
      </c>
      <c r="E580" s="2">
        <v>0.7863</v>
      </c>
      <c r="F580" s="2">
        <v>0.85470000000000002</v>
      </c>
      <c r="G580" s="2">
        <v>0.90600000000000003</v>
      </c>
      <c r="H580" s="2">
        <v>0.95730000000000004</v>
      </c>
      <c r="I580" s="2">
        <v>1.0256000000000001</v>
      </c>
      <c r="J580" s="2">
        <v>1.0940000000000001</v>
      </c>
      <c r="K580" s="2">
        <v>1.1624000000000001</v>
      </c>
      <c r="L580" s="2">
        <v>1.2307999999999999</v>
      </c>
      <c r="M580" s="2">
        <v>1.2990999999999999</v>
      </c>
      <c r="N580" s="2">
        <v>1.3674999999999999</v>
      </c>
      <c r="O580" s="2">
        <v>1.4530000000000001</v>
      </c>
      <c r="P580" s="2">
        <v>1.5385</v>
      </c>
      <c r="Q580" s="2">
        <v>1.6238999999999999</v>
      </c>
      <c r="R580" t="s">
        <v>6</v>
      </c>
      <c r="S580" t="s">
        <v>6</v>
      </c>
      <c r="T580" t="s">
        <v>125</v>
      </c>
    </row>
    <row r="581" spans="1:21" x14ac:dyDescent="0.25">
      <c r="B581" t="s">
        <v>9</v>
      </c>
      <c r="C581" s="2">
        <v>0.61539999999999995</v>
      </c>
      <c r="D581" s="2">
        <v>0.66149999999999998</v>
      </c>
      <c r="E581" s="2">
        <v>0.7077</v>
      </c>
      <c r="F581" s="2">
        <v>0.76919999999999999</v>
      </c>
      <c r="G581" s="2">
        <v>0.81540000000000001</v>
      </c>
      <c r="H581" s="2">
        <v>0.86150000000000004</v>
      </c>
      <c r="I581" s="2">
        <v>0.92310000000000003</v>
      </c>
      <c r="J581" s="2">
        <v>0.98460000000000003</v>
      </c>
      <c r="K581" s="2">
        <v>1.0462</v>
      </c>
      <c r="L581" s="2">
        <v>1.1076999999999999</v>
      </c>
      <c r="M581" s="2">
        <v>1.1692</v>
      </c>
      <c r="N581" s="2">
        <v>1.2307999999999999</v>
      </c>
      <c r="O581" s="2">
        <v>1.3077000000000001</v>
      </c>
      <c r="P581" s="2">
        <v>1.3846000000000001</v>
      </c>
      <c r="Q581" s="2">
        <v>1.4615</v>
      </c>
      <c r="R581" t="s">
        <v>6</v>
      </c>
      <c r="S581" t="s">
        <v>6</v>
      </c>
      <c r="T581" t="s">
        <v>125</v>
      </c>
    </row>
    <row r="582" spans="1:21" x14ac:dyDescent="0.25">
      <c r="B582" t="s">
        <v>8</v>
      </c>
      <c r="C582" s="2">
        <v>0.94310000000000005</v>
      </c>
      <c r="D582" s="2">
        <v>1.0138</v>
      </c>
      <c r="E582" s="2">
        <v>1.0845</v>
      </c>
      <c r="F582" s="2">
        <v>1.1788000000000001</v>
      </c>
      <c r="G582" s="2">
        <v>1.2495000000000001</v>
      </c>
      <c r="H582" s="2">
        <v>1.3203</v>
      </c>
      <c r="I582" s="2">
        <v>1.4146000000000001</v>
      </c>
      <c r="J582" s="2">
        <v>1.5088999999999999</v>
      </c>
      <c r="K582" s="2">
        <v>1.6032</v>
      </c>
      <c r="L582" s="2">
        <v>1.6975</v>
      </c>
      <c r="M582" s="2">
        <v>1.7918000000000001</v>
      </c>
      <c r="N582" s="2">
        <v>1.8861000000000001</v>
      </c>
      <c r="O582" s="2">
        <v>2.004</v>
      </c>
      <c r="P582" s="2">
        <v>2.1219000000000001</v>
      </c>
      <c r="Q582" s="2">
        <v>2.2397999999999998</v>
      </c>
      <c r="R582" t="s">
        <v>6</v>
      </c>
      <c r="S582" t="s">
        <v>6</v>
      </c>
      <c r="T582" t="s">
        <v>125</v>
      </c>
    </row>
    <row r="583" spans="1:21" x14ac:dyDescent="0.25">
      <c r="B583" t="s">
        <v>14</v>
      </c>
      <c r="C583" s="2">
        <v>1.4832000000000001</v>
      </c>
      <c r="D583" s="2">
        <v>1.5944</v>
      </c>
      <c r="E583" s="2">
        <v>1.7057</v>
      </c>
      <c r="F583" s="2">
        <v>1.8540000000000001</v>
      </c>
      <c r="G583" s="2">
        <v>1.9652000000000001</v>
      </c>
      <c r="H583" s="2">
        <v>2.0764999999999998</v>
      </c>
      <c r="I583" s="2">
        <v>2.2248000000000001</v>
      </c>
      <c r="J583" s="2">
        <v>2.3731</v>
      </c>
      <c r="K583" s="2">
        <v>2.5213999999999999</v>
      </c>
      <c r="L583" s="2">
        <v>2.6698</v>
      </c>
      <c r="M583" s="2">
        <v>2.8180999999999998</v>
      </c>
      <c r="N583" s="2">
        <v>2.9664000000000001</v>
      </c>
      <c r="O583" s="2">
        <v>3.1518000000000002</v>
      </c>
      <c r="P583" s="2">
        <v>3.3372000000000002</v>
      </c>
      <c r="Q583" s="2">
        <v>3.5226000000000002</v>
      </c>
      <c r="R583" t="s">
        <v>5</v>
      </c>
      <c r="S583" t="s">
        <v>5</v>
      </c>
      <c r="T583" t="s">
        <v>125</v>
      </c>
    </row>
    <row r="584" spans="1:21" x14ac:dyDescent="0.25">
      <c r="B584" t="s">
        <v>152</v>
      </c>
      <c r="C584" s="2">
        <v>0.56830000000000003</v>
      </c>
      <c r="D584" s="2">
        <v>0.61450000000000005</v>
      </c>
      <c r="E584" s="2">
        <v>0.66080000000000005</v>
      </c>
      <c r="F584" s="2">
        <v>0.72689999999999999</v>
      </c>
      <c r="G584" s="2">
        <v>0.77310000000000001</v>
      </c>
      <c r="H584" s="2">
        <v>0.82599999999999996</v>
      </c>
      <c r="I584" s="2">
        <v>0.89870000000000005</v>
      </c>
      <c r="J584" s="2">
        <v>0.97140000000000004</v>
      </c>
      <c r="K584" s="2">
        <v>1.0441</v>
      </c>
      <c r="L584" s="2">
        <v>1.1234</v>
      </c>
      <c r="M584" s="2">
        <v>1.2027000000000001</v>
      </c>
      <c r="N584" s="2">
        <v>1.282</v>
      </c>
      <c r="O584" s="2">
        <v>1.3612</v>
      </c>
      <c r="P584" s="2">
        <v>1.4404999999999999</v>
      </c>
      <c r="Q584" s="2">
        <v>1.5198</v>
      </c>
      <c r="R584" t="s">
        <v>3</v>
      </c>
      <c r="S584" t="s">
        <v>3</v>
      </c>
      <c r="T584" t="s">
        <v>125</v>
      </c>
    </row>
    <row r="585" spans="1:21" x14ac:dyDescent="0.25">
      <c r="B585" t="s">
        <v>133</v>
      </c>
      <c r="C585" s="2">
        <v>1.1363000000000001</v>
      </c>
      <c r="D585" s="2">
        <v>1.2287999999999999</v>
      </c>
      <c r="E585" s="2">
        <v>1.3212999999999999</v>
      </c>
      <c r="F585" s="2">
        <v>1.4535</v>
      </c>
      <c r="G585" s="2">
        <v>1.5459000000000001</v>
      </c>
      <c r="H585" s="2">
        <v>1.6516999999999999</v>
      </c>
      <c r="I585" s="2">
        <v>1.7969999999999999</v>
      </c>
      <c r="J585" s="2">
        <v>1.9422999999999999</v>
      </c>
      <c r="K585" s="2">
        <v>2.0876999999999999</v>
      </c>
      <c r="L585" s="2">
        <v>2.2462</v>
      </c>
      <c r="M585" s="2">
        <v>2.4047999999999998</v>
      </c>
      <c r="N585" s="2">
        <v>2.5634000000000001</v>
      </c>
      <c r="O585" s="2">
        <v>2.7219000000000002</v>
      </c>
      <c r="P585" s="2">
        <v>2.8805000000000001</v>
      </c>
      <c r="Q585" s="2">
        <v>3.0390000000000001</v>
      </c>
      <c r="R585" t="s">
        <v>3</v>
      </c>
      <c r="S585" t="s">
        <v>3</v>
      </c>
      <c r="T585" t="s">
        <v>125</v>
      </c>
    </row>
    <row r="586" spans="1:21" x14ac:dyDescent="0.25">
      <c r="B586" t="s">
        <v>134</v>
      </c>
      <c r="C586" s="2">
        <v>1.4193</v>
      </c>
      <c r="D586" s="2">
        <v>1.5348999999999999</v>
      </c>
      <c r="E586" s="2">
        <v>1.6504000000000001</v>
      </c>
      <c r="F586" s="2">
        <v>1.8153999999999999</v>
      </c>
      <c r="G586" s="2">
        <v>1.931</v>
      </c>
      <c r="H586" s="2">
        <v>2.0630000000000002</v>
      </c>
      <c r="I586" s="2">
        <v>2.2444999999999999</v>
      </c>
      <c r="J586" s="2">
        <v>2.4260999999999999</v>
      </c>
      <c r="K586" s="2">
        <v>2.6076000000000001</v>
      </c>
      <c r="L586" s="2">
        <v>2.8056999999999999</v>
      </c>
      <c r="M586" s="2">
        <v>3.0036999999999998</v>
      </c>
      <c r="N586" s="2">
        <v>3.2018</v>
      </c>
      <c r="O586" s="2">
        <v>3.3997999999999999</v>
      </c>
      <c r="P586" s="2">
        <v>3.5979000000000001</v>
      </c>
      <c r="Q586" s="2">
        <v>3.7959000000000001</v>
      </c>
      <c r="R586" t="s">
        <v>3</v>
      </c>
      <c r="S586" t="s">
        <v>3</v>
      </c>
      <c r="T586" t="s">
        <v>125</v>
      </c>
    </row>
    <row r="587" spans="1:21" x14ac:dyDescent="0.25">
      <c r="B587" t="s">
        <v>922</v>
      </c>
      <c r="C587" s="2">
        <v>4.3999999999999997E-2</v>
      </c>
      <c r="D587" s="2">
        <v>4.7300000000000002E-2</v>
      </c>
      <c r="E587" s="2">
        <v>5.0599999999999999E-2</v>
      </c>
      <c r="F587" s="2">
        <v>5.5E-2</v>
      </c>
      <c r="G587" s="2">
        <v>5.8299999999999998E-2</v>
      </c>
      <c r="H587" s="2">
        <v>6.1600000000000002E-2</v>
      </c>
      <c r="I587" s="2">
        <v>6.6000000000000003E-2</v>
      </c>
      <c r="J587" s="2">
        <v>7.0400000000000004E-2</v>
      </c>
      <c r="K587" s="2">
        <v>7.4800000000000005E-2</v>
      </c>
      <c r="L587" s="2">
        <v>7.9200000000000007E-2</v>
      </c>
      <c r="M587" s="2">
        <v>8.3599999999999994E-2</v>
      </c>
      <c r="N587" s="2">
        <v>8.7999999999999995E-2</v>
      </c>
      <c r="O587" s="2">
        <v>9.35E-2</v>
      </c>
      <c r="P587" s="2">
        <v>9.9000000000000005E-2</v>
      </c>
      <c r="Q587" s="2">
        <v>0.1045</v>
      </c>
      <c r="R587" t="s">
        <v>19</v>
      </c>
      <c r="S587" t="s">
        <v>19</v>
      </c>
      <c r="T587" t="s">
        <v>223</v>
      </c>
      <c r="U587" t="s">
        <v>944</v>
      </c>
    </row>
    <row r="588" spans="1:21" x14ac:dyDescent="0.25">
      <c r="B588" t="s">
        <v>923</v>
      </c>
      <c r="C588">
        <v>424</v>
      </c>
      <c r="D588">
        <v>466</v>
      </c>
      <c r="E588">
        <v>512</v>
      </c>
      <c r="F588">
        <v>561</v>
      </c>
      <c r="G588">
        <v>614</v>
      </c>
      <c r="H588">
        <v>671</v>
      </c>
      <c r="I588">
        <v>731</v>
      </c>
      <c r="J588">
        <v>795</v>
      </c>
      <c r="K588">
        <v>862</v>
      </c>
      <c r="L588">
        <v>932</v>
      </c>
      <c r="M588">
        <v>1006</v>
      </c>
      <c r="N588">
        <v>1084</v>
      </c>
      <c r="O588">
        <v>1165</v>
      </c>
      <c r="P588">
        <v>1250</v>
      </c>
      <c r="Q588">
        <v>1338</v>
      </c>
      <c r="R588" t="s">
        <v>19</v>
      </c>
      <c r="S588" t="s">
        <v>19</v>
      </c>
      <c r="T588" t="s">
        <v>223</v>
      </c>
      <c r="U588" t="s">
        <v>945</v>
      </c>
    </row>
    <row r="589" spans="1:21" x14ac:dyDescent="0.25">
      <c r="B589" t="s">
        <v>253</v>
      </c>
      <c r="C589" s="2">
        <v>1.0919000000000001</v>
      </c>
      <c r="D589" s="2">
        <v>1.1738</v>
      </c>
      <c r="E589" s="2">
        <v>1.2557</v>
      </c>
      <c r="F589" s="2">
        <v>1.3649</v>
      </c>
      <c r="G589" s="2">
        <v>1.4468000000000001</v>
      </c>
      <c r="H589" s="2">
        <v>1.5286999999999999</v>
      </c>
      <c r="I589" s="2">
        <v>1.6378999999999999</v>
      </c>
      <c r="J589" s="2">
        <v>1.7470000000000001</v>
      </c>
      <c r="K589" s="2">
        <v>1.8562000000000001</v>
      </c>
      <c r="L589" s="2">
        <v>1.9654</v>
      </c>
      <c r="M589" s="2">
        <v>2.0746000000000002</v>
      </c>
      <c r="N589" s="2">
        <v>2.1838000000000002</v>
      </c>
      <c r="O589" s="2">
        <v>2.3203</v>
      </c>
      <c r="P589" s="2">
        <v>2.4567999999999999</v>
      </c>
      <c r="Q589" s="2">
        <v>2.5933000000000002</v>
      </c>
      <c r="R589" t="s">
        <v>19</v>
      </c>
      <c r="S589" t="s">
        <v>19</v>
      </c>
      <c r="T589" t="s">
        <v>125</v>
      </c>
    </row>
    <row r="590" spans="1:21" x14ac:dyDescent="0.25">
      <c r="B590" t="s">
        <v>170</v>
      </c>
      <c r="C590" s="2">
        <v>0.1042</v>
      </c>
      <c r="D590" s="2">
        <v>0.112</v>
      </c>
      <c r="E590" s="2">
        <v>0.1198</v>
      </c>
      <c r="F590" s="2">
        <v>0.13020000000000001</v>
      </c>
      <c r="G590" s="2">
        <v>0.13800000000000001</v>
      </c>
      <c r="H590" s="2">
        <v>0.14580000000000001</v>
      </c>
      <c r="I590" s="2">
        <v>0.15620000000000001</v>
      </c>
      <c r="J590" s="2">
        <v>0.16669999999999999</v>
      </c>
      <c r="K590" s="2">
        <v>0.17710000000000001</v>
      </c>
      <c r="L590" s="2">
        <v>0.1875</v>
      </c>
      <c r="M590" s="2">
        <v>0.19789999999999999</v>
      </c>
      <c r="N590" s="2">
        <v>0.20830000000000001</v>
      </c>
      <c r="O590" s="2">
        <v>0.2213</v>
      </c>
      <c r="P590" s="2">
        <v>0.2344</v>
      </c>
      <c r="Q590" s="2">
        <v>0.24740000000000001</v>
      </c>
      <c r="R590" t="s">
        <v>0</v>
      </c>
      <c r="S590" t="s">
        <v>0</v>
      </c>
      <c r="T590" t="s">
        <v>223</v>
      </c>
    </row>
    <row r="591" spans="1:21" x14ac:dyDescent="0.25">
      <c r="B591" t="s">
        <v>760</v>
      </c>
      <c r="C591" s="2">
        <v>4.8399999999999999E-2</v>
      </c>
      <c r="D591" s="2">
        <v>5.1999999999999998E-2</v>
      </c>
      <c r="E591" s="2">
        <v>5.57E-2</v>
      </c>
      <c r="F591" s="2">
        <v>6.0499999999999998E-2</v>
      </c>
      <c r="G591" s="2">
        <v>6.4100000000000004E-2</v>
      </c>
      <c r="H591" s="2">
        <v>6.7799999999999999E-2</v>
      </c>
      <c r="I591" s="2">
        <v>7.2599999999999998E-2</v>
      </c>
      <c r="J591" s="2">
        <v>7.7399999999999997E-2</v>
      </c>
      <c r="K591" s="2">
        <v>8.2299999999999998E-2</v>
      </c>
      <c r="L591" s="2">
        <v>8.7099999999999997E-2</v>
      </c>
      <c r="M591" s="2">
        <v>9.1999999999999998E-2</v>
      </c>
      <c r="N591" s="2">
        <v>9.6799999999999997E-2</v>
      </c>
      <c r="O591" s="2">
        <v>0.10290000000000001</v>
      </c>
      <c r="P591" s="2">
        <v>0.1089</v>
      </c>
      <c r="Q591" s="2">
        <v>0.115</v>
      </c>
      <c r="R591" t="s">
        <v>6</v>
      </c>
      <c r="S591" t="s">
        <v>6</v>
      </c>
      <c r="T591" t="s">
        <v>223</v>
      </c>
    </row>
    <row r="592" spans="1:21" x14ac:dyDescent="0.25">
      <c r="B592" t="s">
        <v>761</v>
      </c>
      <c r="C592" s="2">
        <v>6.7799999999999999E-2</v>
      </c>
      <c r="D592" s="2">
        <v>7.2800000000000004E-2</v>
      </c>
      <c r="E592" s="2">
        <v>7.7899999999999997E-2</v>
      </c>
      <c r="F592" s="2">
        <v>8.4699999999999998E-2</v>
      </c>
      <c r="G592" s="2">
        <v>8.9800000000000005E-2</v>
      </c>
      <c r="H592" s="2">
        <v>9.4899999999999998E-2</v>
      </c>
      <c r="I592" s="2">
        <v>0.1016</v>
      </c>
      <c r="J592" s="2">
        <v>0.1084</v>
      </c>
      <c r="K592" s="2">
        <v>0.1152</v>
      </c>
      <c r="L592" s="2">
        <v>0.122</v>
      </c>
      <c r="M592" s="2">
        <v>0.12870000000000001</v>
      </c>
      <c r="N592" s="2">
        <v>0.13550000000000001</v>
      </c>
      <c r="O592" s="2">
        <v>0.14399999999999999</v>
      </c>
      <c r="P592" s="2">
        <v>0.1525</v>
      </c>
      <c r="Q592" s="2">
        <v>0.16089999999999999</v>
      </c>
      <c r="R592" t="s">
        <v>5</v>
      </c>
      <c r="S592" t="s">
        <v>5</v>
      </c>
      <c r="T592" t="s">
        <v>223</v>
      </c>
    </row>
    <row r="593" spans="1:21" x14ac:dyDescent="0.25">
      <c r="B593" t="s">
        <v>1086</v>
      </c>
      <c r="C593" s="2" t="e">
        <f>'Data Val'!$B$70</f>
        <v>#N/A</v>
      </c>
      <c r="D593" s="2" t="e">
        <f>'Data Val'!$B$70</f>
        <v>#N/A</v>
      </c>
      <c r="E593" s="2" t="e">
        <f>'Data Val'!$B$70</f>
        <v>#N/A</v>
      </c>
      <c r="F593" s="2" t="e">
        <f>'Data Val'!$B$70</f>
        <v>#N/A</v>
      </c>
      <c r="G593" s="2" t="e">
        <f>'Data Val'!$B$70</f>
        <v>#N/A</v>
      </c>
      <c r="H593" s="2" t="e">
        <f>'Data Val'!$B$70</f>
        <v>#N/A</v>
      </c>
      <c r="I593" s="2" t="e">
        <f>'Data Val'!$B$70</f>
        <v>#N/A</v>
      </c>
      <c r="J593" s="2" t="e">
        <f>'Data Val'!$B$70</f>
        <v>#N/A</v>
      </c>
      <c r="K593" s="2" t="e">
        <f>'Data Val'!$B$70</f>
        <v>#N/A</v>
      </c>
      <c r="L593" s="2" t="e">
        <f>'Data Val'!$B$70</f>
        <v>#N/A</v>
      </c>
      <c r="M593" s="2" t="e">
        <f>'Data Val'!$B$70</f>
        <v>#N/A</v>
      </c>
      <c r="N593" s="2" t="e">
        <f>'Data Val'!$B$70</f>
        <v>#N/A</v>
      </c>
      <c r="O593" s="2" t="e">
        <f>'Data Val'!$B$70</f>
        <v>#N/A</v>
      </c>
      <c r="P593" s="2" t="e">
        <f>'Data Val'!$B$70</f>
        <v>#N/A</v>
      </c>
      <c r="Q593" s="2" t="e">
        <f>'Data Val'!$B$70</f>
        <v>#N/A</v>
      </c>
      <c r="R593" t="s">
        <v>6</v>
      </c>
      <c r="S593" t="s">
        <v>6</v>
      </c>
      <c r="T593" t="s">
        <v>223</v>
      </c>
    </row>
    <row r="594" spans="1:21" x14ac:dyDescent="0.25">
      <c r="B594" t="s">
        <v>1087</v>
      </c>
      <c r="C594" s="2" t="e">
        <f>'Data Val'!$B$70</f>
        <v>#N/A</v>
      </c>
      <c r="D594" s="2" t="e">
        <f>'Data Val'!$B$70</f>
        <v>#N/A</v>
      </c>
      <c r="E594" s="2" t="e">
        <f>'Data Val'!$B$70</f>
        <v>#N/A</v>
      </c>
      <c r="F594" s="2" t="e">
        <f>'Data Val'!$B$70</f>
        <v>#N/A</v>
      </c>
      <c r="G594" s="2" t="e">
        <f>'Data Val'!$B$70</f>
        <v>#N/A</v>
      </c>
      <c r="H594" s="2" t="e">
        <f>'Data Val'!$B$70</f>
        <v>#N/A</v>
      </c>
      <c r="I594" s="2" t="e">
        <f>'Data Val'!$B$70</f>
        <v>#N/A</v>
      </c>
      <c r="J594" s="2" t="e">
        <f>'Data Val'!$B$70</f>
        <v>#N/A</v>
      </c>
      <c r="K594" s="2" t="e">
        <f>'Data Val'!$B$70</f>
        <v>#N/A</v>
      </c>
      <c r="L594" s="2" t="e">
        <f>'Data Val'!$B$70</f>
        <v>#N/A</v>
      </c>
      <c r="M594" s="2" t="e">
        <f>'Data Val'!$B$70</f>
        <v>#N/A</v>
      </c>
      <c r="N594" s="2" t="e">
        <f>'Data Val'!$B$70</f>
        <v>#N/A</v>
      </c>
      <c r="O594" s="2" t="e">
        <f>'Data Val'!$B$70</f>
        <v>#N/A</v>
      </c>
      <c r="P594" s="2" t="e">
        <f>'Data Val'!$B$70</f>
        <v>#N/A</v>
      </c>
      <c r="Q594" s="2" t="e">
        <f>'Data Val'!$B$70</f>
        <v>#N/A</v>
      </c>
      <c r="R594" t="s">
        <v>5</v>
      </c>
      <c r="S594" t="s">
        <v>5</v>
      </c>
      <c r="T594" t="s">
        <v>223</v>
      </c>
    </row>
    <row r="595" spans="1:21" x14ac:dyDescent="0.25">
      <c r="B595" t="s">
        <v>762</v>
      </c>
      <c r="C595" s="2">
        <v>7.0999999999999994E-2</v>
      </c>
      <c r="D595" s="2">
        <v>7.6300000000000007E-2</v>
      </c>
      <c r="E595" s="2">
        <v>8.1600000000000006E-2</v>
      </c>
      <c r="F595" s="2">
        <v>8.8700000000000001E-2</v>
      </c>
      <c r="G595" s="2">
        <v>9.4E-2</v>
      </c>
      <c r="H595" s="2">
        <v>9.9299999999999999E-2</v>
      </c>
      <c r="I595" s="2">
        <v>0.10639999999999999</v>
      </c>
      <c r="J595" s="2">
        <v>0.1135</v>
      </c>
      <c r="K595" s="2">
        <v>0.1206</v>
      </c>
      <c r="L595" s="2">
        <v>0.12770000000000001</v>
      </c>
      <c r="M595" s="2">
        <v>0.1348</v>
      </c>
      <c r="N595" s="2">
        <v>0.1419</v>
      </c>
      <c r="O595" s="2">
        <v>0.15079999999999999</v>
      </c>
      <c r="P595" s="2">
        <v>0.15970000000000001</v>
      </c>
      <c r="Q595" s="2">
        <v>0.16850000000000001</v>
      </c>
      <c r="R595" t="s">
        <v>19</v>
      </c>
      <c r="S595" t="s">
        <v>19</v>
      </c>
      <c r="T595" t="s">
        <v>223</v>
      </c>
    </row>
    <row r="596" spans="1:21" x14ac:dyDescent="0.25">
      <c r="B596" t="s">
        <v>924</v>
      </c>
      <c r="C596" s="2">
        <v>8.0999999999999996E-3</v>
      </c>
      <c r="D596" s="2">
        <v>8.6999999999999994E-3</v>
      </c>
      <c r="E596" s="2">
        <v>9.2999999999999992E-3</v>
      </c>
      <c r="F596" s="2">
        <v>1.01E-2</v>
      </c>
      <c r="G596" s="2">
        <v>1.0699999999999999E-2</v>
      </c>
      <c r="H596" s="2">
        <v>1.1299999999999999E-2</v>
      </c>
      <c r="I596" s="2">
        <v>1.21E-2</v>
      </c>
      <c r="J596" s="2">
        <v>1.29E-2</v>
      </c>
      <c r="K596" s="2">
        <v>1.37E-2</v>
      </c>
      <c r="L596" s="2">
        <v>1.4500000000000001E-2</v>
      </c>
      <c r="M596" s="2">
        <v>1.54E-2</v>
      </c>
      <c r="N596" s="2">
        <v>1.6199999999999999E-2</v>
      </c>
      <c r="O596" s="2">
        <v>1.72E-2</v>
      </c>
      <c r="P596" s="2">
        <v>1.8200000000000001E-2</v>
      </c>
      <c r="Q596" s="2">
        <v>1.9199999999999998E-2</v>
      </c>
      <c r="R596" t="s">
        <v>0</v>
      </c>
      <c r="S596" t="s">
        <v>0</v>
      </c>
      <c r="T596" t="s">
        <v>223</v>
      </c>
      <c r="U596" t="s">
        <v>944</v>
      </c>
    </row>
    <row r="597" spans="1:21" x14ac:dyDescent="0.25">
      <c r="B597" t="s">
        <v>925</v>
      </c>
      <c r="C597">
        <v>77</v>
      </c>
      <c r="D597">
        <v>85</v>
      </c>
      <c r="E597">
        <v>93</v>
      </c>
      <c r="F597">
        <v>102</v>
      </c>
      <c r="G597">
        <v>112</v>
      </c>
      <c r="H597">
        <v>122</v>
      </c>
      <c r="I597">
        <v>133</v>
      </c>
      <c r="J597">
        <v>144</v>
      </c>
      <c r="K597">
        <v>157</v>
      </c>
      <c r="L597">
        <v>169</v>
      </c>
      <c r="M597">
        <v>183</v>
      </c>
      <c r="N597">
        <v>197</v>
      </c>
      <c r="O597">
        <v>212</v>
      </c>
      <c r="P597">
        <v>227</v>
      </c>
      <c r="Q597">
        <v>243</v>
      </c>
      <c r="R597" t="s">
        <v>0</v>
      </c>
      <c r="S597" t="s">
        <v>0</v>
      </c>
      <c r="T597" t="s">
        <v>223</v>
      </c>
      <c r="U597" t="s">
        <v>945</v>
      </c>
    </row>
    <row r="598" spans="1:21" x14ac:dyDescent="0.25">
      <c r="B598" t="s">
        <v>1168</v>
      </c>
      <c r="C598" s="20">
        <v>0.3</v>
      </c>
      <c r="D598" s="20">
        <v>0.3</v>
      </c>
      <c r="E598" s="20">
        <v>0.3</v>
      </c>
      <c r="F598" s="20">
        <v>0.3</v>
      </c>
      <c r="G598" s="20">
        <v>0.3</v>
      </c>
      <c r="H598" s="20">
        <v>0.3</v>
      </c>
      <c r="I598" s="20">
        <v>0.3</v>
      </c>
      <c r="J598" s="20">
        <v>0.3</v>
      </c>
      <c r="K598" s="20">
        <v>0.3</v>
      </c>
      <c r="L598" s="20">
        <v>0.3</v>
      </c>
      <c r="M598" s="20">
        <v>0.3</v>
      </c>
      <c r="N598" s="20">
        <v>0.3</v>
      </c>
      <c r="O598" s="20">
        <v>0.3</v>
      </c>
      <c r="P598" s="20">
        <v>0.3</v>
      </c>
      <c r="Q598" s="20">
        <v>0.3</v>
      </c>
      <c r="R598" t="s">
        <v>246</v>
      </c>
      <c r="S598" t="s">
        <v>246</v>
      </c>
      <c r="T598" t="s">
        <v>223</v>
      </c>
    </row>
    <row r="599" spans="1:21" x14ac:dyDescent="0.25">
      <c r="B599" s="3" t="s">
        <v>763</v>
      </c>
      <c r="C599" s="23"/>
      <c r="D599" s="23"/>
      <c r="E599" s="23"/>
      <c r="F599" s="23"/>
      <c r="G599" s="23"/>
      <c r="H599" s="23"/>
      <c r="I599" s="23"/>
      <c r="J599" s="23"/>
      <c r="K599" s="23"/>
      <c r="L599" s="23"/>
      <c r="M599" s="23"/>
      <c r="N599" s="23"/>
      <c r="O599" s="23"/>
      <c r="P599" s="23"/>
      <c r="Q599" s="23"/>
      <c r="R599" s="5" t="s">
        <v>763</v>
      </c>
      <c r="S599" s="5" t="s">
        <v>763</v>
      </c>
      <c r="T599" t="s">
        <v>764</v>
      </c>
    </row>
    <row r="600" spans="1:21" x14ac:dyDescent="0.25">
      <c r="B600" s="3" t="s">
        <v>386</v>
      </c>
      <c r="C600" s="23"/>
      <c r="D600" s="23"/>
      <c r="E600" s="23"/>
      <c r="F600" s="23"/>
      <c r="G600" s="23"/>
      <c r="H600" s="23"/>
      <c r="I600" s="23"/>
      <c r="J600" s="23"/>
      <c r="K600" s="23"/>
      <c r="L600" s="23"/>
      <c r="M600" s="23"/>
      <c r="N600" s="23"/>
      <c r="O600" s="23"/>
      <c r="P600" s="23"/>
      <c r="Q600" s="23"/>
      <c r="R600" s="5" t="s">
        <v>392</v>
      </c>
      <c r="S600" s="5" t="s">
        <v>392</v>
      </c>
      <c r="T600" t="s">
        <v>69</v>
      </c>
    </row>
    <row r="601" spans="1:21" x14ac:dyDescent="0.25">
      <c r="B601" s="3" t="s">
        <v>388</v>
      </c>
      <c r="C601" s="23"/>
      <c r="D601" s="23"/>
      <c r="E601" s="23"/>
      <c r="F601" s="23"/>
      <c r="G601" s="23"/>
      <c r="H601" s="23"/>
      <c r="I601" s="23"/>
      <c r="J601" s="23"/>
      <c r="K601" s="23"/>
      <c r="L601" s="23"/>
      <c r="M601" s="23"/>
      <c r="N601" s="23"/>
      <c r="O601" s="23"/>
      <c r="P601" s="23"/>
      <c r="Q601" s="23"/>
      <c r="R601" s="5" t="s">
        <v>392</v>
      </c>
      <c r="S601" s="5" t="s">
        <v>392</v>
      </c>
      <c r="T601" t="s">
        <v>69</v>
      </c>
    </row>
    <row r="602" spans="1:21" x14ac:dyDescent="0.25">
      <c r="B602" s="3" t="s">
        <v>389</v>
      </c>
      <c r="C602" s="23"/>
      <c r="D602" s="23"/>
      <c r="E602" s="23"/>
      <c r="F602" s="23"/>
      <c r="G602" s="23"/>
      <c r="H602" s="23"/>
      <c r="I602" s="23"/>
      <c r="J602" s="23"/>
      <c r="K602" s="23"/>
      <c r="L602" s="23"/>
      <c r="M602" s="23"/>
      <c r="N602" s="23"/>
      <c r="O602" s="23"/>
      <c r="P602" s="23"/>
      <c r="Q602" s="23"/>
      <c r="R602" s="5" t="s">
        <v>392</v>
      </c>
      <c r="S602" s="5" t="s">
        <v>392</v>
      </c>
      <c r="T602" t="s">
        <v>69</v>
      </c>
    </row>
    <row r="603" spans="1:21" x14ac:dyDescent="0.25">
      <c r="B603" s="3" t="s">
        <v>385</v>
      </c>
      <c r="C603" s="23"/>
      <c r="D603" s="23"/>
      <c r="E603" s="23"/>
      <c r="F603" s="23"/>
      <c r="G603" s="23"/>
      <c r="H603" s="23"/>
      <c r="I603" s="23"/>
      <c r="J603" s="23"/>
      <c r="K603" s="23"/>
      <c r="L603" s="23"/>
      <c r="M603" s="23"/>
      <c r="N603" s="23"/>
      <c r="O603" s="23"/>
      <c r="P603" s="23"/>
      <c r="Q603" s="23"/>
      <c r="R603" s="5" t="s">
        <v>392</v>
      </c>
      <c r="S603" s="5" t="s">
        <v>392</v>
      </c>
      <c r="T603" t="s">
        <v>69</v>
      </c>
    </row>
    <row r="604" spans="1:21" x14ac:dyDescent="0.25">
      <c r="B604" s="3" t="s">
        <v>387</v>
      </c>
      <c r="C604" s="23"/>
      <c r="D604" s="23"/>
      <c r="E604" s="23"/>
      <c r="F604" s="23"/>
      <c r="G604" s="23"/>
      <c r="H604" s="23"/>
      <c r="I604" s="23"/>
      <c r="J604" s="23"/>
      <c r="K604" s="23"/>
      <c r="L604" s="23"/>
      <c r="M604" s="23"/>
      <c r="N604" s="23"/>
      <c r="O604" s="23"/>
      <c r="P604" s="23"/>
      <c r="Q604" s="23"/>
      <c r="R604" s="5" t="s">
        <v>392</v>
      </c>
      <c r="S604" s="5" t="s">
        <v>392</v>
      </c>
      <c r="T604" t="s">
        <v>69</v>
      </c>
    </row>
    <row r="605" spans="1:21" x14ac:dyDescent="0.25">
      <c r="B605" s="3" t="s">
        <v>390</v>
      </c>
      <c r="C605" s="23"/>
      <c r="D605" s="23"/>
      <c r="E605" s="23"/>
      <c r="F605" s="23"/>
      <c r="G605" s="23"/>
      <c r="H605" s="23"/>
      <c r="I605" s="23"/>
      <c r="J605" s="23"/>
      <c r="K605" s="23"/>
      <c r="L605" s="23"/>
      <c r="M605" s="23"/>
      <c r="N605" s="23"/>
      <c r="O605" s="23"/>
      <c r="P605" s="23"/>
      <c r="Q605" s="23"/>
      <c r="R605" s="5" t="s">
        <v>392</v>
      </c>
      <c r="S605" s="5" t="s">
        <v>392</v>
      </c>
      <c r="T605" t="s">
        <v>69</v>
      </c>
    </row>
    <row r="606" spans="1:21" x14ac:dyDescent="0.25">
      <c r="B606" s="3" t="s">
        <v>391</v>
      </c>
      <c r="C606" s="23"/>
      <c r="D606" s="23"/>
      <c r="E606" s="23"/>
      <c r="F606" s="23"/>
      <c r="G606" s="23"/>
      <c r="H606" s="23"/>
      <c r="I606" s="23"/>
      <c r="J606" s="23"/>
      <c r="K606" s="23"/>
      <c r="L606" s="23"/>
      <c r="M606" s="23"/>
      <c r="N606" s="23"/>
      <c r="O606" s="23"/>
      <c r="P606" s="23"/>
      <c r="Q606" s="23"/>
      <c r="R606" s="5" t="s">
        <v>392</v>
      </c>
      <c r="S606" s="5" t="s">
        <v>392</v>
      </c>
      <c r="T606" t="s">
        <v>69</v>
      </c>
    </row>
    <row r="607" spans="1:21" x14ac:dyDescent="0.25">
      <c r="A607" t="s">
        <v>863</v>
      </c>
      <c r="B607" s="3" t="s">
        <v>393</v>
      </c>
      <c r="C607" s="23"/>
      <c r="D607" s="23"/>
      <c r="E607" s="23"/>
      <c r="F607" s="23"/>
      <c r="G607" s="23"/>
      <c r="H607" s="23"/>
      <c r="I607" s="23"/>
      <c r="J607" s="23"/>
      <c r="K607" s="23"/>
      <c r="L607" s="23"/>
      <c r="M607" s="23"/>
      <c r="N607" s="23"/>
      <c r="O607" s="23"/>
      <c r="P607" s="23"/>
      <c r="Q607" s="23"/>
      <c r="R607" s="5" t="s">
        <v>392</v>
      </c>
      <c r="S607" s="5" t="s">
        <v>392</v>
      </c>
      <c r="T607" t="s">
        <v>69</v>
      </c>
    </row>
    <row r="608" spans="1:21" x14ac:dyDescent="0.25">
      <c r="B608" t="s">
        <v>255</v>
      </c>
      <c r="C608" s="21">
        <v>1</v>
      </c>
      <c r="D608" s="21">
        <v>2</v>
      </c>
      <c r="E608" s="21">
        <v>3</v>
      </c>
      <c r="F608" s="21">
        <v>4</v>
      </c>
      <c r="G608" s="21">
        <v>5</v>
      </c>
      <c r="H608" s="21">
        <v>6</v>
      </c>
      <c r="I608" s="21">
        <v>7</v>
      </c>
      <c r="J608" s="21">
        <v>8</v>
      </c>
      <c r="K608" s="21">
        <v>9</v>
      </c>
      <c r="L608" s="21">
        <v>10</v>
      </c>
      <c r="M608" s="21">
        <v>11</v>
      </c>
      <c r="N608" s="21">
        <v>12</v>
      </c>
      <c r="O608" s="21">
        <v>13</v>
      </c>
      <c r="P608" s="21">
        <v>14</v>
      </c>
      <c r="Q608" s="21">
        <v>15</v>
      </c>
      <c r="R608" s="5" t="s">
        <v>11</v>
      </c>
      <c r="S608" s="5" t="s">
        <v>1024</v>
      </c>
      <c r="T608" t="s">
        <v>124</v>
      </c>
    </row>
    <row r="609" spans="1:20" x14ac:dyDescent="0.25">
      <c r="A609" t="s">
        <v>864</v>
      </c>
      <c r="B609" t="s">
        <v>10</v>
      </c>
      <c r="C609" s="2">
        <v>0.39600000000000002</v>
      </c>
      <c r="D609" s="2">
        <v>0.42570000000000002</v>
      </c>
      <c r="E609" s="2">
        <v>0.45540000000000003</v>
      </c>
      <c r="F609" s="2">
        <v>0.495</v>
      </c>
      <c r="G609" s="2">
        <v>0.52470000000000006</v>
      </c>
      <c r="H609" s="2">
        <v>0.5544</v>
      </c>
      <c r="I609" s="2">
        <v>0.59399999999999997</v>
      </c>
      <c r="J609" s="2">
        <v>0.63360000000000005</v>
      </c>
      <c r="K609" s="2">
        <v>0.67320000000000002</v>
      </c>
      <c r="L609" s="2">
        <v>0.71279999999999999</v>
      </c>
      <c r="M609" s="2">
        <v>0.754</v>
      </c>
      <c r="N609" s="2">
        <v>0.80779999999999996</v>
      </c>
      <c r="O609" s="2">
        <v>0.86170000000000002</v>
      </c>
      <c r="P609" s="2">
        <v>0.91559999999999997</v>
      </c>
      <c r="Q609" s="2">
        <v>0.96940000000000004</v>
      </c>
      <c r="R609" t="s">
        <v>6</v>
      </c>
      <c r="S609" t="s">
        <v>6</v>
      </c>
      <c r="T609" t="s">
        <v>125</v>
      </c>
    </row>
    <row r="610" spans="1:20" x14ac:dyDescent="0.25">
      <c r="B610" t="s">
        <v>9</v>
      </c>
      <c r="C610" s="2">
        <v>0.35920000000000002</v>
      </c>
      <c r="D610" s="2">
        <v>0.3861</v>
      </c>
      <c r="E610" s="2">
        <v>0.41310000000000002</v>
      </c>
      <c r="F610" s="2">
        <v>0.44900000000000001</v>
      </c>
      <c r="G610" s="2">
        <v>0.47589999999999999</v>
      </c>
      <c r="H610" s="2">
        <v>0.50290000000000001</v>
      </c>
      <c r="I610" s="2">
        <v>0.53879999999999995</v>
      </c>
      <c r="J610" s="2">
        <v>0.57469999999999999</v>
      </c>
      <c r="K610" s="2">
        <v>0.61060000000000003</v>
      </c>
      <c r="L610" s="2">
        <v>0.64659999999999995</v>
      </c>
      <c r="M610" s="2">
        <v>0.68389999999999995</v>
      </c>
      <c r="N610" s="2">
        <v>0.73280000000000001</v>
      </c>
      <c r="O610" s="2">
        <v>0.78159999999999996</v>
      </c>
      <c r="P610" s="2">
        <v>0.83050000000000002</v>
      </c>
      <c r="Q610" s="2">
        <v>0.87929999999999997</v>
      </c>
      <c r="R610" t="s">
        <v>6</v>
      </c>
      <c r="S610" t="s">
        <v>6</v>
      </c>
      <c r="T610" t="s">
        <v>125</v>
      </c>
    </row>
    <row r="611" spans="1:20" x14ac:dyDescent="0.25">
      <c r="B611" t="s">
        <v>8</v>
      </c>
      <c r="C611" s="2">
        <v>0.42799999999999999</v>
      </c>
      <c r="D611" s="2">
        <v>0.46010000000000001</v>
      </c>
      <c r="E611" s="2">
        <v>0.49220000000000003</v>
      </c>
      <c r="F611" s="2">
        <v>0.53500000000000003</v>
      </c>
      <c r="G611" s="2">
        <v>0.56710000000000005</v>
      </c>
      <c r="H611" s="2">
        <v>0.59919999999999995</v>
      </c>
      <c r="I611" s="2">
        <v>0.64200000000000002</v>
      </c>
      <c r="J611" s="2">
        <v>0.68479999999999996</v>
      </c>
      <c r="K611" s="2">
        <v>0.72760000000000002</v>
      </c>
      <c r="L611" s="2">
        <v>0.77039999999999997</v>
      </c>
      <c r="M611" s="2">
        <v>0.81489999999999996</v>
      </c>
      <c r="N611" s="2">
        <v>0.87309999999999999</v>
      </c>
      <c r="O611" s="2">
        <v>0.93130000000000002</v>
      </c>
      <c r="P611" s="2">
        <v>0.98950000000000005</v>
      </c>
      <c r="Q611" s="2">
        <v>1.0477000000000001</v>
      </c>
      <c r="R611" t="s">
        <v>6</v>
      </c>
      <c r="S611" t="s">
        <v>6</v>
      </c>
      <c r="T611" t="s">
        <v>125</v>
      </c>
    </row>
    <row r="612" spans="1:20" x14ac:dyDescent="0.25">
      <c r="B612" t="s">
        <v>13</v>
      </c>
      <c r="C612" s="2">
        <v>0.54959999999999998</v>
      </c>
      <c r="D612" s="2">
        <v>0.59079999999999999</v>
      </c>
      <c r="E612" s="2">
        <v>0.63200000000000001</v>
      </c>
      <c r="F612" s="2">
        <v>0.68700000000000006</v>
      </c>
      <c r="G612" s="2">
        <v>0.72819999999999996</v>
      </c>
      <c r="H612" s="2">
        <v>0.76939999999999997</v>
      </c>
      <c r="I612" s="2">
        <v>0.82440000000000002</v>
      </c>
      <c r="J612" s="2">
        <v>0.87939999999999996</v>
      </c>
      <c r="K612" s="2">
        <v>0.93430000000000002</v>
      </c>
      <c r="L612" s="2">
        <v>0.98929999999999996</v>
      </c>
      <c r="M612" s="2">
        <v>1.0464</v>
      </c>
      <c r="N612" s="2">
        <v>1.1212</v>
      </c>
      <c r="O612" s="2">
        <v>1.1959</v>
      </c>
      <c r="P612" s="2">
        <v>1.2706999999999999</v>
      </c>
      <c r="Q612" s="2">
        <v>1.3453999999999999</v>
      </c>
      <c r="R612" t="s">
        <v>6</v>
      </c>
      <c r="S612" t="s">
        <v>6</v>
      </c>
      <c r="T612" t="s">
        <v>125</v>
      </c>
    </row>
    <row r="613" spans="1:20" x14ac:dyDescent="0.25">
      <c r="B613" t="s">
        <v>14</v>
      </c>
      <c r="C613" s="2">
        <v>1.7712000000000001</v>
      </c>
      <c r="D613" s="2">
        <v>1.9039999999999999</v>
      </c>
      <c r="E613" s="2">
        <v>2.0369000000000002</v>
      </c>
      <c r="F613" s="2">
        <v>2.214</v>
      </c>
      <c r="G613" s="2">
        <v>2.3468</v>
      </c>
      <c r="H613" s="2">
        <v>2.4796999999999998</v>
      </c>
      <c r="I613" s="2">
        <v>2.6568000000000001</v>
      </c>
      <c r="J613" s="2">
        <v>2.8338999999999999</v>
      </c>
      <c r="K613" s="2">
        <v>3.0110000000000001</v>
      </c>
      <c r="L613" s="2">
        <v>3.1882000000000001</v>
      </c>
      <c r="M613" s="2">
        <v>3.3723999999999998</v>
      </c>
      <c r="N613" s="2">
        <v>3.6132</v>
      </c>
      <c r="O613" s="2">
        <v>3.8540999999999999</v>
      </c>
      <c r="P613" s="2">
        <v>4.0949999999999998</v>
      </c>
      <c r="Q613" s="2">
        <v>4.3358999999999996</v>
      </c>
      <c r="R613" t="s">
        <v>5</v>
      </c>
      <c r="S613" t="s">
        <v>5</v>
      </c>
      <c r="T613" t="s">
        <v>125</v>
      </c>
    </row>
    <row r="614" spans="1:20" x14ac:dyDescent="0.25">
      <c r="B614" t="s">
        <v>152</v>
      </c>
      <c r="C614" s="2">
        <v>0.56830000000000003</v>
      </c>
      <c r="D614" s="2">
        <v>0.61450000000000005</v>
      </c>
      <c r="E614" s="2">
        <v>0.66080000000000005</v>
      </c>
      <c r="F614" s="2">
        <v>0.72689999999999999</v>
      </c>
      <c r="G614" s="2">
        <v>0.77310000000000001</v>
      </c>
      <c r="H614" s="2">
        <v>0.82599999999999996</v>
      </c>
      <c r="I614" s="2">
        <v>0.89870000000000005</v>
      </c>
      <c r="J614" s="2">
        <v>0.97140000000000004</v>
      </c>
      <c r="K614" s="2">
        <v>1.0441</v>
      </c>
      <c r="L614" s="2">
        <v>1.1234</v>
      </c>
      <c r="M614" s="2">
        <v>1.2027000000000001</v>
      </c>
      <c r="N614" s="2">
        <v>1.282</v>
      </c>
      <c r="O614" s="2">
        <v>1.3612</v>
      </c>
      <c r="P614" s="2">
        <v>1.4404999999999999</v>
      </c>
      <c r="Q614" s="2">
        <v>1.5198</v>
      </c>
      <c r="R614" t="s">
        <v>3</v>
      </c>
      <c r="S614" t="s">
        <v>3</v>
      </c>
      <c r="T614" t="s">
        <v>125</v>
      </c>
    </row>
    <row r="615" spans="1:20" x14ac:dyDescent="0.25">
      <c r="B615" t="s">
        <v>133</v>
      </c>
      <c r="C615" s="2">
        <v>1.1363000000000001</v>
      </c>
      <c r="D615" s="2">
        <v>1.2287999999999999</v>
      </c>
      <c r="E615" s="2">
        <v>1.3212999999999999</v>
      </c>
      <c r="F615" s="2">
        <v>1.4535</v>
      </c>
      <c r="G615" s="2">
        <v>1.5459000000000001</v>
      </c>
      <c r="H615" s="2">
        <v>1.6516999999999999</v>
      </c>
      <c r="I615" s="2">
        <v>1.7969999999999999</v>
      </c>
      <c r="J615" s="2">
        <v>1.9422999999999999</v>
      </c>
      <c r="K615" s="2">
        <v>2.0876999999999999</v>
      </c>
      <c r="L615" s="2">
        <v>2.2462</v>
      </c>
      <c r="M615" s="2">
        <v>2.4047999999999998</v>
      </c>
      <c r="N615" s="2">
        <v>2.5634000000000001</v>
      </c>
      <c r="O615" s="2">
        <v>2.7219000000000002</v>
      </c>
      <c r="P615" s="2">
        <v>2.8805000000000001</v>
      </c>
      <c r="Q615" s="2">
        <v>3.0390000000000001</v>
      </c>
      <c r="R615" t="s">
        <v>3</v>
      </c>
      <c r="S615" t="s">
        <v>3</v>
      </c>
      <c r="T615" t="s">
        <v>125</v>
      </c>
    </row>
    <row r="616" spans="1:20" x14ac:dyDescent="0.25">
      <c r="B616" t="s">
        <v>134</v>
      </c>
      <c r="C616" s="2">
        <v>1.4193</v>
      </c>
      <c r="D616" s="2">
        <v>1.5348999999999999</v>
      </c>
      <c r="E616" s="2">
        <v>1.6504000000000001</v>
      </c>
      <c r="F616" s="2">
        <v>1.8153999999999999</v>
      </c>
      <c r="G616" s="2">
        <v>1.931</v>
      </c>
      <c r="H616" s="2">
        <v>2.0630000000000002</v>
      </c>
      <c r="I616" s="2">
        <v>2.2444999999999999</v>
      </c>
      <c r="J616" s="2">
        <v>2.4260999999999999</v>
      </c>
      <c r="K616" s="2">
        <v>2.6076000000000001</v>
      </c>
      <c r="L616" s="2">
        <v>2.8056999999999999</v>
      </c>
      <c r="M616" s="2">
        <v>3.0036999999999998</v>
      </c>
      <c r="N616" s="2">
        <v>3.2018</v>
      </c>
      <c r="O616" s="2">
        <v>3.3997999999999999</v>
      </c>
      <c r="P616" s="2">
        <v>3.5979000000000001</v>
      </c>
      <c r="Q616" s="2">
        <v>3.7959000000000001</v>
      </c>
      <c r="R616" t="s">
        <v>3</v>
      </c>
      <c r="S616" t="s">
        <v>3</v>
      </c>
      <c r="T616" t="s">
        <v>125</v>
      </c>
    </row>
    <row r="617" spans="1:20" x14ac:dyDescent="0.25">
      <c r="B617" t="s">
        <v>198</v>
      </c>
      <c r="C617" s="2">
        <v>0.8</v>
      </c>
      <c r="D617" s="2">
        <v>0.86</v>
      </c>
      <c r="E617" s="2">
        <v>0.92</v>
      </c>
      <c r="F617" s="2">
        <v>1</v>
      </c>
      <c r="G617" s="2">
        <v>1.06</v>
      </c>
      <c r="H617" s="2">
        <v>1.1200000000000001</v>
      </c>
      <c r="I617" s="2">
        <v>1.2</v>
      </c>
      <c r="J617" s="2">
        <v>1.28</v>
      </c>
      <c r="K617" s="2">
        <v>1.36</v>
      </c>
      <c r="L617" s="2">
        <v>1.44</v>
      </c>
      <c r="M617" s="2">
        <v>1.52</v>
      </c>
      <c r="N617" s="2">
        <v>1.6</v>
      </c>
      <c r="O617" s="2">
        <v>1.7</v>
      </c>
      <c r="P617" s="2">
        <v>1.8</v>
      </c>
      <c r="Q617" s="2">
        <v>1.9</v>
      </c>
      <c r="R617" t="s">
        <v>19</v>
      </c>
      <c r="S617" t="s">
        <v>19</v>
      </c>
      <c r="T617" t="s">
        <v>125</v>
      </c>
    </row>
    <row r="618" spans="1:20" x14ac:dyDescent="0.25">
      <c r="B618" t="s">
        <v>256</v>
      </c>
      <c r="C618" s="2">
        <v>3.2</v>
      </c>
      <c r="D618" s="2">
        <v>3.44</v>
      </c>
      <c r="E618" s="2">
        <v>3.68</v>
      </c>
      <c r="F618" s="2">
        <v>4</v>
      </c>
      <c r="G618" s="2">
        <v>4.24</v>
      </c>
      <c r="H618" s="2">
        <v>4.4800000000000004</v>
      </c>
      <c r="I618" s="2">
        <v>4.8</v>
      </c>
      <c r="J618" s="2">
        <v>5.12</v>
      </c>
      <c r="K618" s="2">
        <v>5.44</v>
      </c>
      <c r="L618" s="2">
        <v>5.76</v>
      </c>
      <c r="M618" s="2">
        <v>6.08</v>
      </c>
      <c r="N618" s="2">
        <v>6.4</v>
      </c>
      <c r="O618" s="2">
        <v>6.8</v>
      </c>
      <c r="P618" s="2">
        <v>7.2</v>
      </c>
      <c r="Q618" s="2">
        <v>7.6</v>
      </c>
      <c r="R618" t="s">
        <v>19</v>
      </c>
      <c r="S618" t="s">
        <v>19</v>
      </c>
      <c r="T618" t="s">
        <v>125</v>
      </c>
    </row>
    <row r="619" spans="1:20" x14ac:dyDescent="0.25">
      <c r="B619" t="s">
        <v>257</v>
      </c>
      <c r="C619" s="2">
        <v>3.68</v>
      </c>
      <c r="D619" s="2">
        <v>3.956</v>
      </c>
      <c r="E619" s="2">
        <v>4.2320000000000002</v>
      </c>
      <c r="F619" s="2">
        <v>4.5999999999999996</v>
      </c>
      <c r="G619" s="2">
        <v>4.8760000000000003</v>
      </c>
      <c r="H619" s="2">
        <v>5.1520000000000001</v>
      </c>
      <c r="I619" s="2">
        <v>5.52</v>
      </c>
      <c r="J619" s="2">
        <v>5.8879999999999999</v>
      </c>
      <c r="K619" s="2">
        <v>6.2560000000000002</v>
      </c>
      <c r="L619" s="2">
        <v>6.6239999999999997</v>
      </c>
      <c r="M619" s="2">
        <v>6.992</v>
      </c>
      <c r="N619" s="2">
        <v>7.36</v>
      </c>
      <c r="O619" s="2">
        <v>7.82</v>
      </c>
      <c r="P619" s="2">
        <v>8.2799999999999994</v>
      </c>
      <c r="Q619" s="2">
        <v>8.74</v>
      </c>
      <c r="R619" t="s">
        <v>19</v>
      </c>
      <c r="S619" t="s">
        <v>19</v>
      </c>
      <c r="T619" t="s">
        <v>125</v>
      </c>
    </row>
    <row r="620" spans="1:20" x14ac:dyDescent="0.25">
      <c r="B620" t="s">
        <v>258</v>
      </c>
      <c r="C620" s="2">
        <v>4.24</v>
      </c>
      <c r="D620" s="2">
        <v>4.5579999999999998</v>
      </c>
      <c r="E620" s="2">
        <v>4.8760000000000003</v>
      </c>
      <c r="F620" s="2">
        <v>5.3</v>
      </c>
      <c r="G620" s="2">
        <v>5.6180000000000003</v>
      </c>
      <c r="H620" s="2">
        <v>5.9359999999999999</v>
      </c>
      <c r="I620" s="2">
        <v>6.36</v>
      </c>
      <c r="J620" s="2">
        <v>6.7839999999999998</v>
      </c>
      <c r="K620" s="2">
        <v>7.2080000000000002</v>
      </c>
      <c r="L620" s="2">
        <v>7.6319999999999997</v>
      </c>
      <c r="M620" s="2">
        <v>8.0559999999999992</v>
      </c>
      <c r="N620" s="2">
        <v>8.48</v>
      </c>
      <c r="O620" s="2">
        <v>9.01</v>
      </c>
      <c r="P620" s="2">
        <v>9.5399999999999991</v>
      </c>
      <c r="Q620" s="2">
        <v>10.07</v>
      </c>
      <c r="R620" t="s">
        <v>19</v>
      </c>
      <c r="S620" t="s">
        <v>19</v>
      </c>
      <c r="T620" t="s">
        <v>125</v>
      </c>
    </row>
    <row r="621" spans="1:20" x14ac:dyDescent="0.25">
      <c r="B621" t="s">
        <v>259</v>
      </c>
      <c r="C621" s="2">
        <v>4.8719999999999999</v>
      </c>
      <c r="D621" s="2">
        <v>5.2374000000000001</v>
      </c>
      <c r="E621" s="2">
        <v>5.6028000000000002</v>
      </c>
      <c r="F621" s="2">
        <v>6.09</v>
      </c>
      <c r="G621" s="2">
        <v>6.4554</v>
      </c>
      <c r="H621" s="2">
        <v>6.8208000000000002</v>
      </c>
      <c r="I621" s="2">
        <v>7.3079999999999998</v>
      </c>
      <c r="J621" s="2">
        <v>7.7952000000000004</v>
      </c>
      <c r="K621" s="2">
        <v>8.2824000000000009</v>
      </c>
      <c r="L621" s="2">
        <v>8.7696000000000005</v>
      </c>
      <c r="M621" s="2">
        <v>9.2568000000000001</v>
      </c>
      <c r="N621" s="2">
        <v>9.7439999999999998</v>
      </c>
      <c r="O621" s="2">
        <v>10.353</v>
      </c>
      <c r="P621" s="2">
        <v>10.962</v>
      </c>
      <c r="Q621" s="2">
        <v>11.571</v>
      </c>
      <c r="R621" t="s">
        <v>19</v>
      </c>
      <c r="S621" t="s">
        <v>19</v>
      </c>
      <c r="T621" t="s">
        <v>125</v>
      </c>
    </row>
    <row r="622" spans="1:20" x14ac:dyDescent="0.25">
      <c r="B622" t="s">
        <v>260</v>
      </c>
      <c r="C622" s="2">
        <v>0.36559999999999998</v>
      </c>
      <c r="D622" s="2">
        <v>0.39300000000000002</v>
      </c>
      <c r="E622" s="2">
        <v>0.4204</v>
      </c>
      <c r="F622" s="2">
        <v>0.45700000000000002</v>
      </c>
      <c r="G622" s="2">
        <v>0.4844</v>
      </c>
      <c r="H622" s="2">
        <v>0.51180000000000003</v>
      </c>
      <c r="I622" s="2">
        <v>0.5484</v>
      </c>
      <c r="J622" s="2">
        <v>0.58499999999999996</v>
      </c>
      <c r="K622" s="2">
        <v>0.62150000000000005</v>
      </c>
      <c r="L622" s="2">
        <v>0.65810000000000002</v>
      </c>
      <c r="M622" s="2">
        <v>0.6946</v>
      </c>
      <c r="N622" s="2">
        <v>0.73119999999999996</v>
      </c>
      <c r="O622" s="2">
        <v>0.77690000000000003</v>
      </c>
      <c r="P622" s="2">
        <v>0.8226</v>
      </c>
      <c r="Q622" s="2">
        <v>0.86829999999999996</v>
      </c>
      <c r="R622" t="s">
        <v>0</v>
      </c>
      <c r="S622" t="s">
        <v>0</v>
      </c>
      <c r="T622" t="s">
        <v>125</v>
      </c>
    </row>
    <row r="623" spans="1:20" x14ac:dyDescent="0.25">
      <c r="B623" t="s">
        <v>1079</v>
      </c>
      <c r="C623" s="2">
        <v>0.1</v>
      </c>
      <c r="D623" s="2">
        <v>0.1</v>
      </c>
      <c r="E623" s="2">
        <v>0.1</v>
      </c>
      <c r="F623" s="2">
        <v>0.1</v>
      </c>
      <c r="G623" s="2">
        <v>0.1</v>
      </c>
      <c r="H623" s="2">
        <v>0.1</v>
      </c>
      <c r="I623" s="2">
        <v>0.1</v>
      </c>
      <c r="J623" s="2">
        <v>0.1</v>
      </c>
      <c r="K623" s="2">
        <v>0.1</v>
      </c>
      <c r="L623" s="2">
        <v>0.1</v>
      </c>
      <c r="M623" s="2">
        <v>0.1</v>
      </c>
      <c r="N623" s="2">
        <v>0.1</v>
      </c>
      <c r="O623" s="2">
        <v>0.1</v>
      </c>
      <c r="P623" s="2">
        <v>0.1</v>
      </c>
      <c r="Q623" s="2">
        <v>0.1</v>
      </c>
      <c r="R623" t="s">
        <v>0</v>
      </c>
      <c r="S623" t="s">
        <v>0</v>
      </c>
      <c r="T623" t="s">
        <v>125</v>
      </c>
    </row>
    <row r="624" spans="1:20" x14ac:dyDescent="0.25">
      <c r="B624" s="3" t="s">
        <v>763</v>
      </c>
      <c r="C624" s="23"/>
      <c r="D624" s="23"/>
      <c r="E624" s="23"/>
      <c r="F624" s="23"/>
      <c r="G624" s="23"/>
      <c r="H624" s="23"/>
      <c r="I624" s="23"/>
      <c r="J624" s="23"/>
      <c r="K624" s="23"/>
      <c r="L624" s="23"/>
      <c r="M624" s="23"/>
      <c r="N624" s="23"/>
      <c r="O624" s="23"/>
      <c r="P624" s="23"/>
      <c r="Q624" s="23"/>
      <c r="R624" s="5" t="s">
        <v>763</v>
      </c>
      <c r="S624" s="5" t="s">
        <v>763</v>
      </c>
      <c r="T624" t="s">
        <v>764</v>
      </c>
    </row>
    <row r="625" spans="1:20" x14ac:dyDescent="0.25">
      <c r="B625" s="3" t="s">
        <v>386</v>
      </c>
      <c r="C625" s="23"/>
      <c r="D625" s="23"/>
      <c r="E625" s="23"/>
      <c r="F625" s="23"/>
      <c r="G625" s="23"/>
      <c r="H625" s="23"/>
      <c r="I625" s="23"/>
      <c r="J625" s="23"/>
      <c r="K625" s="23"/>
      <c r="L625" s="23"/>
      <c r="M625" s="23"/>
      <c r="N625" s="23"/>
      <c r="O625" s="23"/>
      <c r="P625" s="23"/>
      <c r="Q625" s="23"/>
      <c r="R625" s="5" t="s">
        <v>392</v>
      </c>
      <c r="S625" s="5" t="s">
        <v>392</v>
      </c>
      <c r="T625" t="s">
        <v>69</v>
      </c>
    </row>
    <row r="626" spans="1:20" x14ac:dyDescent="0.25">
      <c r="B626" s="3" t="s">
        <v>388</v>
      </c>
      <c r="C626" s="23"/>
      <c r="D626" s="23"/>
      <c r="E626" s="23"/>
      <c r="F626" s="23"/>
      <c r="G626" s="23"/>
      <c r="H626" s="23"/>
      <c r="I626" s="23"/>
      <c r="J626" s="23"/>
      <c r="K626" s="23"/>
      <c r="L626" s="23"/>
      <c r="M626" s="23"/>
      <c r="N626" s="23"/>
      <c r="O626" s="23"/>
      <c r="P626" s="23"/>
      <c r="Q626" s="23"/>
      <c r="R626" s="5" t="s">
        <v>392</v>
      </c>
      <c r="S626" s="5" t="s">
        <v>392</v>
      </c>
      <c r="T626" t="s">
        <v>69</v>
      </c>
    </row>
    <row r="627" spans="1:20" x14ac:dyDescent="0.25">
      <c r="B627" s="3" t="s">
        <v>389</v>
      </c>
      <c r="C627" s="23"/>
      <c r="D627" s="23"/>
      <c r="E627" s="23"/>
      <c r="F627" s="23"/>
      <c r="G627" s="23"/>
      <c r="H627" s="23"/>
      <c r="I627" s="23"/>
      <c r="J627" s="23"/>
      <c r="K627" s="23"/>
      <c r="L627" s="23"/>
      <c r="M627" s="23"/>
      <c r="N627" s="23"/>
      <c r="O627" s="23"/>
      <c r="P627" s="23"/>
      <c r="Q627" s="23"/>
      <c r="R627" s="5" t="s">
        <v>392</v>
      </c>
      <c r="S627" s="5" t="s">
        <v>392</v>
      </c>
      <c r="T627" t="s">
        <v>69</v>
      </c>
    </row>
    <row r="628" spans="1:20" x14ac:dyDescent="0.25">
      <c r="B628" s="3" t="s">
        <v>385</v>
      </c>
      <c r="C628" s="23"/>
      <c r="D628" s="23"/>
      <c r="E628" s="23"/>
      <c r="F628" s="23"/>
      <c r="G628" s="23"/>
      <c r="H628" s="23"/>
      <c r="I628" s="23"/>
      <c r="J628" s="23"/>
      <c r="K628" s="23"/>
      <c r="L628" s="23"/>
      <c r="M628" s="23"/>
      <c r="N628" s="23"/>
      <c r="O628" s="23"/>
      <c r="P628" s="23"/>
      <c r="Q628" s="23"/>
      <c r="R628" s="5" t="s">
        <v>392</v>
      </c>
      <c r="S628" s="5" t="s">
        <v>392</v>
      </c>
      <c r="T628" t="s">
        <v>69</v>
      </c>
    </row>
    <row r="629" spans="1:20" x14ac:dyDescent="0.25">
      <c r="B629" s="3" t="s">
        <v>387</v>
      </c>
      <c r="C629" s="23"/>
      <c r="D629" s="23"/>
      <c r="E629" s="23"/>
      <c r="F629" s="23"/>
      <c r="G629" s="23"/>
      <c r="H629" s="23"/>
      <c r="I629" s="23"/>
      <c r="J629" s="23"/>
      <c r="K629" s="23"/>
      <c r="L629" s="23"/>
      <c r="M629" s="23"/>
      <c r="N629" s="23"/>
      <c r="O629" s="23"/>
      <c r="P629" s="23"/>
      <c r="Q629" s="23"/>
      <c r="R629" s="5" t="s">
        <v>392</v>
      </c>
      <c r="S629" s="5" t="s">
        <v>392</v>
      </c>
      <c r="T629" t="s">
        <v>69</v>
      </c>
    </row>
    <row r="630" spans="1:20" x14ac:dyDescent="0.25">
      <c r="B630" s="3" t="s">
        <v>390</v>
      </c>
      <c r="C630" s="23"/>
      <c r="D630" s="23"/>
      <c r="E630" s="23"/>
      <c r="F630" s="23"/>
      <c r="G630" s="23"/>
      <c r="H630" s="23"/>
      <c r="I630" s="23"/>
      <c r="J630" s="23"/>
      <c r="K630" s="23"/>
      <c r="L630" s="23"/>
      <c r="M630" s="23"/>
      <c r="N630" s="23"/>
      <c r="O630" s="23"/>
      <c r="P630" s="23"/>
      <c r="Q630" s="23"/>
      <c r="R630" s="5" t="s">
        <v>392</v>
      </c>
      <c r="S630" s="5" t="s">
        <v>392</v>
      </c>
      <c r="T630" t="s">
        <v>69</v>
      </c>
    </row>
    <row r="631" spans="1:20" x14ac:dyDescent="0.25">
      <c r="B631" s="3" t="s">
        <v>391</v>
      </c>
      <c r="C631" s="23"/>
      <c r="D631" s="23"/>
      <c r="E631" s="23"/>
      <c r="F631" s="23"/>
      <c r="G631" s="23"/>
      <c r="H631" s="23"/>
      <c r="I631" s="23"/>
      <c r="J631" s="23"/>
      <c r="K631" s="23"/>
      <c r="L631" s="23"/>
      <c r="M631" s="23"/>
      <c r="N631" s="23"/>
      <c r="O631" s="23"/>
      <c r="P631" s="23"/>
      <c r="Q631" s="23"/>
      <c r="R631" s="5" t="s">
        <v>392</v>
      </c>
      <c r="S631" s="5" t="s">
        <v>392</v>
      </c>
      <c r="T631" t="s">
        <v>69</v>
      </c>
    </row>
    <row r="632" spans="1:20" x14ac:dyDescent="0.25">
      <c r="A632" t="s">
        <v>865</v>
      </c>
      <c r="B632" s="3" t="s">
        <v>393</v>
      </c>
      <c r="C632" s="23"/>
      <c r="D632" s="23"/>
      <c r="E632" s="23"/>
      <c r="F632" s="23"/>
      <c r="G632" s="23"/>
      <c r="H632" s="23"/>
      <c r="I632" s="23"/>
      <c r="J632" s="23"/>
      <c r="K632" s="23"/>
      <c r="L632" s="23"/>
      <c r="M632" s="23"/>
      <c r="N632" s="23"/>
      <c r="O632" s="23"/>
      <c r="P632" s="23"/>
      <c r="Q632" s="23"/>
      <c r="R632" s="5" t="s">
        <v>392</v>
      </c>
      <c r="S632" s="5" t="s">
        <v>392</v>
      </c>
      <c r="T632" t="s">
        <v>69</v>
      </c>
    </row>
    <row r="633" spans="1:20" x14ac:dyDescent="0.25">
      <c r="B633" t="s">
        <v>261</v>
      </c>
      <c r="C633" s="21">
        <v>1</v>
      </c>
      <c r="D633" s="21">
        <v>2</v>
      </c>
      <c r="E633" s="21">
        <v>3</v>
      </c>
      <c r="F633" s="21">
        <v>4</v>
      </c>
      <c r="G633" s="21">
        <v>5</v>
      </c>
      <c r="H633" s="21">
        <v>6</v>
      </c>
      <c r="I633" s="21">
        <v>7</v>
      </c>
      <c r="J633" s="21">
        <v>8</v>
      </c>
      <c r="K633" s="21">
        <v>9</v>
      </c>
      <c r="L633" s="21">
        <v>10</v>
      </c>
      <c r="M633" s="21">
        <v>11</v>
      </c>
      <c r="N633" s="21">
        <v>12</v>
      </c>
      <c r="O633" s="21">
        <v>13</v>
      </c>
      <c r="P633" s="21">
        <v>14</v>
      </c>
      <c r="Q633" s="21">
        <v>15</v>
      </c>
      <c r="R633" s="5" t="s">
        <v>11</v>
      </c>
      <c r="S633" s="5" t="s">
        <v>1024</v>
      </c>
      <c r="T633" t="s">
        <v>124</v>
      </c>
    </row>
    <row r="634" spans="1:20" x14ac:dyDescent="0.25">
      <c r="A634" t="s">
        <v>866</v>
      </c>
      <c r="B634" t="s">
        <v>10</v>
      </c>
      <c r="C634" s="2">
        <v>0.376</v>
      </c>
      <c r="D634" s="2">
        <v>0.4042</v>
      </c>
      <c r="E634" s="2">
        <v>0.43240000000000001</v>
      </c>
      <c r="F634" s="2">
        <v>0.47</v>
      </c>
      <c r="G634" s="2">
        <v>0.49819999999999998</v>
      </c>
      <c r="H634" s="2">
        <v>0.52639999999999998</v>
      </c>
      <c r="I634" s="2">
        <v>0.56399999999999995</v>
      </c>
      <c r="J634" s="2">
        <v>0.60160000000000002</v>
      </c>
      <c r="K634" s="2">
        <v>0.63919999999999999</v>
      </c>
      <c r="L634" s="2">
        <v>0.67679999999999996</v>
      </c>
      <c r="M634" s="2">
        <v>0.71440000000000003</v>
      </c>
      <c r="N634" s="2">
        <v>0.752</v>
      </c>
      <c r="O634" s="2">
        <v>0.79900000000000004</v>
      </c>
      <c r="P634" s="2">
        <v>0.84599999999999997</v>
      </c>
      <c r="Q634" s="2">
        <v>0.89300000000000002</v>
      </c>
      <c r="R634" t="s">
        <v>6</v>
      </c>
      <c r="S634" t="s">
        <v>6</v>
      </c>
      <c r="T634" t="s">
        <v>125</v>
      </c>
    </row>
    <row r="635" spans="1:20" x14ac:dyDescent="0.25">
      <c r="B635" t="s">
        <v>9</v>
      </c>
      <c r="C635" s="2">
        <v>0.36</v>
      </c>
      <c r="D635" s="2">
        <v>0.38700000000000001</v>
      </c>
      <c r="E635" s="2">
        <v>0.41399999999999998</v>
      </c>
      <c r="F635" s="2">
        <v>0.45</v>
      </c>
      <c r="G635" s="2">
        <v>0.47699999999999998</v>
      </c>
      <c r="H635" s="2">
        <v>0.504</v>
      </c>
      <c r="I635" s="2">
        <v>0.54</v>
      </c>
      <c r="J635" s="2">
        <v>0.57599999999999996</v>
      </c>
      <c r="K635" s="2">
        <v>0.61199999999999999</v>
      </c>
      <c r="L635" s="2">
        <v>0.64800000000000002</v>
      </c>
      <c r="M635" s="2">
        <v>0.68400000000000005</v>
      </c>
      <c r="N635" s="2">
        <v>0.72</v>
      </c>
      <c r="O635" s="2">
        <v>0.76500000000000001</v>
      </c>
      <c r="P635" s="2">
        <v>0.81</v>
      </c>
      <c r="Q635" s="2">
        <v>0.85499999999999998</v>
      </c>
      <c r="R635" t="s">
        <v>6</v>
      </c>
      <c r="S635" t="s">
        <v>6</v>
      </c>
      <c r="T635" t="s">
        <v>125</v>
      </c>
    </row>
    <row r="636" spans="1:20" x14ac:dyDescent="0.25">
      <c r="B636" t="s">
        <v>8</v>
      </c>
      <c r="C636" s="2">
        <v>0.44800000000000001</v>
      </c>
      <c r="D636" s="2">
        <v>0.48159999999999997</v>
      </c>
      <c r="E636" s="2">
        <v>0.51519999999999999</v>
      </c>
      <c r="F636" s="2">
        <v>0.56000000000000005</v>
      </c>
      <c r="G636" s="2">
        <v>0.59360000000000002</v>
      </c>
      <c r="H636" s="2">
        <v>0.62719999999999998</v>
      </c>
      <c r="I636" s="2">
        <v>0.67200000000000004</v>
      </c>
      <c r="J636" s="2">
        <v>0.71679999999999999</v>
      </c>
      <c r="K636" s="2">
        <v>0.76160000000000005</v>
      </c>
      <c r="L636" s="2">
        <v>0.80640000000000001</v>
      </c>
      <c r="M636" s="2">
        <v>0.85119999999999996</v>
      </c>
      <c r="N636" s="2">
        <v>0.89600000000000002</v>
      </c>
      <c r="O636" s="2">
        <v>0.95199999999999996</v>
      </c>
      <c r="P636" s="2">
        <v>1.008</v>
      </c>
      <c r="Q636" s="2">
        <v>1.0640000000000001</v>
      </c>
      <c r="R636" t="s">
        <v>6</v>
      </c>
      <c r="S636" t="s">
        <v>6</v>
      </c>
      <c r="T636" t="s">
        <v>125</v>
      </c>
    </row>
    <row r="637" spans="1:20" x14ac:dyDescent="0.25">
      <c r="B637" t="s">
        <v>13</v>
      </c>
      <c r="C637" s="2">
        <v>0.56159999999999999</v>
      </c>
      <c r="D637" s="2">
        <v>0.60370000000000001</v>
      </c>
      <c r="E637" s="2">
        <v>0.64580000000000004</v>
      </c>
      <c r="F637" s="2">
        <v>0.70199999999999996</v>
      </c>
      <c r="G637" s="2">
        <v>0.74409999999999998</v>
      </c>
      <c r="H637" s="2">
        <v>0.78620000000000001</v>
      </c>
      <c r="I637" s="2">
        <v>0.84240000000000004</v>
      </c>
      <c r="J637" s="2">
        <v>0.89859999999999995</v>
      </c>
      <c r="K637" s="2">
        <v>0.95469999999999999</v>
      </c>
      <c r="L637" s="2">
        <v>1.0108999999999999</v>
      </c>
      <c r="M637" s="2">
        <v>1.0669999999999999</v>
      </c>
      <c r="N637" s="2">
        <v>1.1232</v>
      </c>
      <c r="O637" s="2">
        <v>1.1934</v>
      </c>
      <c r="P637" s="2">
        <v>1.2636000000000001</v>
      </c>
      <c r="Q637" s="2">
        <v>1.3338000000000001</v>
      </c>
      <c r="R637" t="s">
        <v>6</v>
      </c>
      <c r="S637" t="s">
        <v>6</v>
      </c>
      <c r="T637" t="s">
        <v>125</v>
      </c>
    </row>
    <row r="638" spans="1:20" x14ac:dyDescent="0.25">
      <c r="B638" t="s">
        <v>14</v>
      </c>
      <c r="C638" s="2">
        <v>1.4972000000000001</v>
      </c>
      <c r="D638" s="2">
        <v>1.6094999999999999</v>
      </c>
      <c r="E638" s="2">
        <v>1.7218</v>
      </c>
      <c r="F638" s="2">
        <v>1.8714999999999999</v>
      </c>
      <c r="G638" s="2">
        <v>1.9838</v>
      </c>
      <c r="H638" s="2">
        <v>2.0960999999999999</v>
      </c>
      <c r="I638" s="2">
        <v>2.2458</v>
      </c>
      <c r="J638" s="2">
        <v>2.3955000000000002</v>
      </c>
      <c r="K638" s="2">
        <v>2.5451999999999999</v>
      </c>
      <c r="L638" s="2">
        <v>2.6949999999999998</v>
      </c>
      <c r="M638" s="2">
        <v>2.8506999999999998</v>
      </c>
      <c r="N638" s="2">
        <v>3.0543</v>
      </c>
      <c r="O638" s="2">
        <v>3.2578999999999998</v>
      </c>
      <c r="P638" s="2">
        <v>3.4615</v>
      </c>
      <c r="Q638" s="2">
        <v>3.6650999999999998</v>
      </c>
      <c r="R638" t="s">
        <v>5</v>
      </c>
      <c r="S638" t="s">
        <v>5</v>
      </c>
      <c r="T638" t="s">
        <v>125</v>
      </c>
    </row>
    <row r="639" spans="1:20" x14ac:dyDescent="0.25">
      <c r="B639" t="s">
        <v>15</v>
      </c>
      <c r="C639" s="2">
        <v>0.56830000000000003</v>
      </c>
      <c r="D639" s="2">
        <v>0.61450000000000005</v>
      </c>
      <c r="E639" s="2">
        <v>0.66080000000000005</v>
      </c>
      <c r="F639" s="2">
        <v>0.72689999999999999</v>
      </c>
      <c r="G639" s="2">
        <v>0.77310000000000001</v>
      </c>
      <c r="H639" s="2">
        <v>0.82599999999999996</v>
      </c>
      <c r="I639" s="2">
        <v>0.89870000000000005</v>
      </c>
      <c r="J639" s="2">
        <v>0.97140000000000004</v>
      </c>
      <c r="K639" s="2">
        <v>1.0441</v>
      </c>
      <c r="L639" s="2">
        <v>1.1234</v>
      </c>
      <c r="M639" s="2">
        <v>1.2027000000000001</v>
      </c>
      <c r="N639" s="2">
        <v>1.282</v>
      </c>
      <c r="O639" s="2">
        <v>1.3612</v>
      </c>
      <c r="P639" s="2">
        <v>1.4404999999999999</v>
      </c>
      <c r="Q639" s="2">
        <v>1.5198</v>
      </c>
      <c r="R639" t="s">
        <v>3</v>
      </c>
      <c r="S639" t="s">
        <v>3</v>
      </c>
      <c r="T639" t="s">
        <v>125</v>
      </c>
    </row>
    <row r="640" spans="1:20" x14ac:dyDescent="0.25">
      <c r="B640" t="s">
        <v>133</v>
      </c>
      <c r="C640" s="2">
        <v>1.1363000000000001</v>
      </c>
      <c r="D640" s="2">
        <v>1.2287999999999999</v>
      </c>
      <c r="E640" s="2">
        <v>1.3212999999999999</v>
      </c>
      <c r="F640" s="2">
        <v>1.4535</v>
      </c>
      <c r="G640" s="2">
        <v>1.5459000000000001</v>
      </c>
      <c r="H640" s="2">
        <v>1.6516999999999999</v>
      </c>
      <c r="I640" s="2">
        <v>1.7969999999999999</v>
      </c>
      <c r="J640" s="2">
        <v>1.9422999999999999</v>
      </c>
      <c r="K640" s="2">
        <v>2.0876999999999999</v>
      </c>
      <c r="L640" s="2">
        <v>2.2462</v>
      </c>
      <c r="M640" s="2">
        <v>2.4047999999999998</v>
      </c>
      <c r="N640" s="2">
        <v>2.5634000000000001</v>
      </c>
      <c r="O640" s="2">
        <v>2.7219000000000002</v>
      </c>
      <c r="P640" s="2">
        <v>2.8805000000000001</v>
      </c>
      <c r="Q640" s="2">
        <v>3.0390000000000001</v>
      </c>
      <c r="R640" t="s">
        <v>3</v>
      </c>
      <c r="S640" t="s">
        <v>3</v>
      </c>
      <c r="T640" t="s">
        <v>125</v>
      </c>
    </row>
    <row r="641" spans="1:20" x14ac:dyDescent="0.25">
      <c r="B641" t="s">
        <v>134</v>
      </c>
      <c r="C641" s="2">
        <v>1.4193</v>
      </c>
      <c r="D641" s="2">
        <v>1.5348999999999999</v>
      </c>
      <c r="E641" s="2">
        <v>1.6504000000000001</v>
      </c>
      <c r="F641" s="2">
        <v>1.8153999999999999</v>
      </c>
      <c r="G641" s="2">
        <v>1.931</v>
      </c>
      <c r="H641" s="2">
        <v>2.0630000000000002</v>
      </c>
      <c r="I641" s="2">
        <v>2.2444999999999999</v>
      </c>
      <c r="J641" s="2">
        <v>2.4260999999999999</v>
      </c>
      <c r="K641" s="2">
        <v>2.6076000000000001</v>
      </c>
      <c r="L641" s="2">
        <v>2.8056999999999999</v>
      </c>
      <c r="M641" s="2">
        <v>3.0036999999999998</v>
      </c>
      <c r="N641" s="2">
        <v>3.2018</v>
      </c>
      <c r="O641" s="2">
        <v>3.3997999999999999</v>
      </c>
      <c r="P641" s="2">
        <v>3.5979000000000001</v>
      </c>
      <c r="Q641" s="2">
        <v>3.7959000000000001</v>
      </c>
      <c r="R641" t="s">
        <v>3</v>
      </c>
      <c r="S641" t="s">
        <v>3</v>
      </c>
      <c r="T641" t="s">
        <v>125</v>
      </c>
    </row>
    <row r="642" spans="1:20" x14ac:dyDescent="0.25">
      <c r="B642" t="s">
        <v>262</v>
      </c>
      <c r="C642" s="2">
        <v>0.32</v>
      </c>
      <c r="D642" s="2">
        <v>0.34399999999999997</v>
      </c>
      <c r="E642" s="2">
        <v>0.36799999999999999</v>
      </c>
      <c r="F642" s="2">
        <v>0.4</v>
      </c>
      <c r="G642" s="2">
        <v>0.42399999999999999</v>
      </c>
      <c r="H642" s="2">
        <v>0.44800000000000001</v>
      </c>
      <c r="I642" s="2">
        <v>0.48</v>
      </c>
      <c r="J642" s="2">
        <v>0.51200000000000001</v>
      </c>
      <c r="K642" s="2">
        <v>0.54400000000000004</v>
      </c>
      <c r="L642" s="2">
        <v>0.57599999999999996</v>
      </c>
      <c r="M642" s="2">
        <v>0.60799999999999998</v>
      </c>
      <c r="N642" s="2">
        <v>0.64</v>
      </c>
      <c r="O642" s="2">
        <v>0.68</v>
      </c>
      <c r="P642" s="2">
        <v>0.72</v>
      </c>
      <c r="Q642" s="2">
        <v>0.76</v>
      </c>
      <c r="R642" t="s">
        <v>19</v>
      </c>
      <c r="S642" t="s">
        <v>19</v>
      </c>
      <c r="T642" t="s">
        <v>125</v>
      </c>
    </row>
    <row r="643" spans="1:20" x14ac:dyDescent="0.25">
      <c r="B643" t="s">
        <v>263</v>
      </c>
      <c r="C643" s="2">
        <v>1.3280000000000001</v>
      </c>
      <c r="D643" s="2">
        <v>1.4276</v>
      </c>
      <c r="E643" s="2">
        <v>1.5271999999999999</v>
      </c>
      <c r="F643" s="2">
        <v>1.66</v>
      </c>
      <c r="G643" s="2">
        <v>1.7596000000000001</v>
      </c>
      <c r="H643" s="2">
        <v>1.8592</v>
      </c>
      <c r="I643" s="2">
        <v>1.992</v>
      </c>
      <c r="J643" s="2">
        <v>2.1248</v>
      </c>
      <c r="K643" s="2">
        <v>2.2576000000000001</v>
      </c>
      <c r="L643" s="2">
        <v>2.3904000000000001</v>
      </c>
      <c r="M643" s="2">
        <v>2.5232000000000001</v>
      </c>
      <c r="N643" s="2">
        <v>2.6560000000000001</v>
      </c>
      <c r="O643" s="2">
        <v>2.8220000000000001</v>
      </c>
      <c r="P643" s="2">
        <v>2.988</v>
      </c>
      <c r="Q643" s="2">
        <v>3.1539999999999999</v>
      </c>
      <c r="R643" t="s">
        <v>19</v>
      </c>
      <c r="S643" t="s">
        <v>19</v>
      </c>
      <c r="T643" t="s">
        <v>125</v>
      </c>
    </row>
    <row r="644" spans="1:20" x14ac:dyDescent="0.25">
      <c r="B644" t="s">
        <v>264</v>
      </c>
      <c r="C644" s="2">
        <v>4.4240000000000004</v>
      </c>
      <c r="D644" s="2">
        <v>4.7557999999999998</v>
      </c>
      <c r="E644" s="2">
        <v>5.0876000000000001</v>
      </c>
      <c r="F644" s="2">
        <v>5.53</v>
      </c>
      <c r="G644" s="2">
        <v>5.8617999999999997</v>
      </c>
      <c r="H644" s="2">
        <v>6.1936</v>
      </c>
      <c r="I644" s="2">
        <v>6.6360000000000001</v>
      </c>
      <c r="J644" s="2">
        <v>7.0784000000000002</v>
      </c>
      <c r="K644" s="2">
        <v>7.5208000000000004</v>
      </c>
      <c r="L644" s="2">
        <v>7.9631999999999996</v>
      </c>
      <c r="M644" s="2">
        <v>8.4055999999999997</v>
      </c>
      <c r="N644" s="2">
        <v>8.8480000000000008</v>
      </c>
      <c r="O644" s="2">
        <v>9.4009999999999998</v>
      </c>
      <c r="P644" s="2">
        <v>9.9540000000000006</v>
      </c>
      <c r="Q644" s="2">
        <v>10.507</v>
      </c>
      <c r="R644" t="s">
        <v>0</v>
      </c>
      <c r="S644" t="s">
        <v>0</v>
      </c>
      <c r="T644" t="s">
        <v>125</v>
      </c>
    </row>
    <row r="645" spans="1:20" x14ac:dyDescent="0.25">
      <c r="B645" s="3" t="s">
        <v>763</v>
      </c>
      <c r="C645" s="23"/>
      <c r="D645" s="23"/>
      <c r="E645" s="23"/>
      <c r="F645" s="23"/>
      <c r="G645" s="23"/>
      <c r="H645" s="23"/>
      <c r="I645" s="23"/>
      <c r="J645" s="23"/>
      <c r="K645" s="23"/>
      <c r="L645" s="23"/>
      <c r="M645" s="23"/>
      <c r="N645" s="23"/>
      <c r="O645" s="23"/>
      <c r="P645" s="23"/>
      <c r="Q645" s="23"/>
      <c r="R645" s="5" t="s">
        <v>763</v>
      </c>
      <c r="S645" s="5" t="s">
        <v>763</v>
      </c>
      <c r="T645" t="s">
        <v>764</v>
      </c>
    </row>
    <row r="646" spans="1:20" x14ac:dyDescent="0.25">
      <c r="B646" s="3" t="s">
        <v>386</v>
      </c>
      <c r="C646" s="23"/>
      <c r="D646" s="23"/>
      <c r="E646" s="23"/>
      <c r="F646" s="23"/>
      <c r="G646" s="23"/>
      <c r="H646" s="23"/>
      <c r="I646" s="23"/>
      <c r="J646" s="23"/>
      <c r="K646" s="23"/>
      <c r="L646" s="23"/>
      <c r="M646" s="23"/>
      <c r="N646" s="23"/>
      <c r="O646" s="23"/>
      <c r="P646" s="23"/>
      <c r="Q646" s="23"/>
      <c r="R646" s="5" t="s">
        <v>392</v>
      </c>
      <c r="S646" s="5" t="s">
        <v>392</v>
      </c>
      <c r="T646" t="s">
        <v>69</v>
      </c>
    </row>
    <row r="647" spans="1:20" x14ac:dyDescent="0.25">
      <c r="B647" s="3" t="s">
        <v>388</v>
      </c>
      <c r="C647" s="23"/>
      <c r="D647" s="23"/>
      <c r="E647" s="23"/>
      <c r="F647" s="23"/>
      <c r="G647" s="23"/>
      <c r="H647" s="23"/>
      <c r="I647" s="23"/>
      <c r="J647" s="23"/>
      <c r="K647" s="23"/>
      <c r="L647" s="23"/>
      <c r="M647" s="23"/>
      <c r="N647" s="23"/>
      <c r="O647" s="23"/>
      <c r="P647" s="23"/>
      <c r="Q647" s="23"/>
      <c r="R647" s="5" t="s">
        <v>392</v>
      </c>
      <c r="S647" s="5" t="s">
        <v>392</v>
      </c>
      <c r="T647" t="s">
        <v>69</v>
      </c>
    </row>
    <row r="648" spans="1:20" x14ac:dyDescent="0.25">
      <c r="B648" s="3" t="s">
        <v>389</v>
      </c>
      <c r="C648" s="23"/>
      <c r="D648" s="23"/>
      <c r="E648" s="23"/>
      <c r="F648" s="23"/>
      <c r="G648" s="23"/>
      <c r="H648" s="23"/>
      <c r="I648" s="23"/>
      <c r="J648" s="23"/>
      <c r="K648" s="23"/>
      <c r="L648" s="23"/>
      <c r="M648" s="23"/>
      <c r="N648" s="23"/>
      <c r="O648" s="23"/>
      <c r="P648" s="23"/>
      <c r="Q648" s="23"/>
      <c r="R648" s="5" t="s">
        <v>392</v>
      </c>
      <c r="S648" s="5" t="s">
        <v>392</v>
      </c>
      <c r="T648" t="s">
        <v>69</v>
      </c>
    </row>
    <row r="649" spans="1:20" x14ac:dyDescent="0.25">
      <c r="B649" s="3" t="s">
        <v>385</v>
      </c>
      <c r="C649" s="23"/>
      <c r="D649" s="23"/>
      <c r="E649" s="23"/>
      <c r="F649" s="23"/>
      <c r="G649" s="23"/>
      <c r="H649" s="23"/>
      <c r="I649" s="23"/>
      <c r="J649" s="23"/>
      <c r="K649" s="23"/>
      <c r="L649" s="23"/>
      <c r="M649" s="23"/>
      <c r="N649" s="23"/>
      <c r="O649" s="23"/>
      <c r="P649" s="23"/>
      <c r="Q649" s="23"/>
      <c r="R649" s="5" t="s">
        <v>392</v>
      </c>
      <c r="S649" s="5" t="s">
        <v>392</v>
      </c>
      <c r="T649" t="s">
        <v>69</v>
      </c>
    </row>
    <row r="650" spans="1:20" x14ac:dyDescent="0.25">
      <c r="B650" s="3" t="s">
        <v>387</v>
      </c>
      <c r="C650" s="23"/>
      <c r="D650" s="23"/>
      <c r="E650" s="23"/>
      <c r="F650" s="23"/>
      <c r="G650" s="23"/>
      <c r="H650" s="23"/>
      <c r="I650" s="23"/>
      <c r="J650" s="23"/>
      <c r="K650" s="23"/>
      <c r="L650" s="23"/>
      <c r="M650" s="23"/>
      <c r="N650" s="23"/>
      <c r="O650" s="23"/>
      <c r="P650" s="23"/>
      <c r="Q650" s="23"/>
      <c r="R650" s="5" t="s">
        <v>392</v>
      </c>
      <c r="S650" s="5" t="s">
        <v>392</v>
      </c>
      <c r="T650" t="s">
        <v>69</v>
      </c>
    </row>
    <row r="651" spans="1:20" x14ac:dyDescent="0.25">
      <c r="B651" s="3" t="s">
        <v>390</v>
      </c>
      <c r="C651" s="23"/>
      <c r="D651" s="23"/>
      <c r="E651" s="23"/>
      <c r="F651" s="23"/>
      <c r="G651" s="23"/>
      <c r="H651" s="23"/>
      <c r="I651" s="23"/>
      <c r="J651" s="23"/>
      <c r="K651" s="23"/>
      <c r="L651" s="23"/>
      <c r="M651" s="23"/>
      <c r="N651" s="23"/>
      <c r="O651" s="23"/>
      <c r="P651" s="23"/>
      <c r="Q651" s="23"/>
      <c r="R651" s="5" t="s">
        <v>392</v>
      </c>
      <c r="S651" s="5" t="s">
        <v>392</v>
      </c>
      <c r="T651" t="s">
        <v>69</v>
      </c>
    </row>
    <row r="652" spans="1:20" x14ac:dyDescent="0.25">
      <c r="B652" s="3" t="s">
        <v>391</v>
      </c>
      <c r="C652" s="23"/>
      <c r="D652" s="23"/>
      <c r="E652" s="23"/>
      <c r="F652" s="23"/>
      <c r="G652" s="23"/>
      <c r="H652" s="23"/>
      <c r="I652" s="23"/>
      <c r="J652" s="23"/>
      <c r="K652" s="23"/>
      <c r="L652" s="23"/>
      <c r="M652" s="23"/>
      <c r="N652" s="23"/>
      <c r="O652" s="23"/>
      <c r="P652" s="23"/>
      <c r="Q652" s="23"/>
      <c r="R652" s="5" t="s">
        <v>392</v>
      </c>
      <c r="S652" s="5" t="s">
        <v>392</v>
      </c>
      <c r="T652" t="s">
        <v>69</v>
      </c>
    </row>
    <row r="653" spans="1:20" x14ac:dyDescent="0.25">
      <c r="A653" t="s">
        <v>867</v>
      </c>
      <c r="B653" s="3" t="s">
        <v>393</v>
      </c>
      <c r="C653" s="23"/>
      <c r="D653" s="23"/>
      <c r="E653" s="23"/>
      <c r="F653" s="23"/>
      <c r="G653" s="23"/>
      <c r="H653" s="23"/>
      <c r="I653" s="23"/>
      <c r="J653" s="23"/>
      <c r="K653" s="23"/>
      <c r="L653" s="23"/>
      <c r="M653" s="23"/>
      <c r="N653" s="23"/>
      <c r="O653" s="23"/>
      <c r="P653" s="23"/>
      <c r="Q653" s="23"/>
      <c r="R653" s="5" t="s">
        <v>392</v>
      </c>
      <c r="S653" s="5" t="s">
        <v>392</v>
      </c>
      <c r="T653" t="s">
        <v>69</v>
      </c>
    </row>
    <row r="654" spans="1:20" x14ac:dyDescent="0.25">
      <c r="B654" t="s">
        <v>267</v>
      </c>
      <c r="C654" s="21">
        <v>1</v>
      </c>
      <c r="D654" s="21">
        <v>2</v>
      </c>
      <c r="E654" s="21">
        <v>3</v>
      </c>
      <c r="F654" s="21">
        <v>4</v>
      </c>
      <c r="G654" s="21">
        <v>5</v>
      </c>
      <c r="H654" s="21">
        <v>6</v>
      </c>
      <c r="I654" s="21">
        <v>7</v>
      </c>
      <c r="J654" s="21">
        <v>8</v>
      </c>
      <c r="K654" s="21">
        <v>9</v>
      </c>
      <c r="L654" s="21">
        <v>10</v>
      </c>
      <c r="M654" s="21">
        <v>11</v>
      </c>
      <c r="N654" s="21">
        <v>12</v>
      </c>
      <c r="O654" s="21">
        <v>13</v>
      </c>
      <c r="P654" s="21">
        <v>14</v>
      </c>
      <c r="Q654" s="21">
        <v>15</v>
      </c>
      <c r="R654" s="5" t="s">
        <v>11</v>
      </c>
      <c r="S654" s="5" t="s">
        <v>1024</v>
      </c>
      <c r="T654" t="s">
        <v>124</v>
      </c>
    </row>
    <row r="655" spans="1:20" x14ac:dyDescent="0.25">
      <c r="A655" t="s">
        <v>868</v>
      </c>
      <c r="B655" t="s">
        <v>265</v>
      </c>
      <c r="C655" s="2">
        <v>0.28000000000000003</v>
      </c>
      <c r="D655" s="2">
        <v>0.30099999999999999</v>
      </c>
      <c r="E655" s="2">
        <v>0.32200000000000001</v>
      </c>
      <c r="F655" s="2">
        <v>0.35</v>
      </c>
      <c r="G655" s="2">
        <v>0.371</v>
      </c>
      <c r="H655" s="2">
        <v>0.39200000000000002</v>
      </c>
      <c r="I655" s="2">
        <v>0.42</v>
      </c>
      <c r="J655" s="2">
        <v>0.44800000000000001</v>
      </c>
      <c r="K655" s="2">
        <v>0.47599999999999998</v>
      </c>
      <c r="L655" s="2">
        <v>0.504</v>
      </c>
      <c r="M655" s="2">
        <v>0.53310000000000002</v>
      </c>
      <c r="N655" s="2">
        <v>0.57120000000000004</v>
      </c>
      <c r="O655" s="2">
        <v>0.60929999999999995</v>
      </c>
      <c r="P655" s="2">
        <v>0.64739999999999998</v>
      </c>
      <c r="Q655" s="2">
        <v>0.68540000000000001</v>
      </c>
      <c r="R655" t="s">
        <v>6</v>
      </c>
      <c r="S655" t="s">
        <v>6</v>
      </c>
      <c r="T655" t="s">
        <v>125</v>
      </c>
    </row>
    <row r="656" spans="1:20" x14ac:dyDescent="0.25">
      <c r="B656" t="s">
        <v>14</v>
      </c>
      <c r="C656" s="2">
        <v>1.7407999999999999</v>
      </c>
      <c r="D656" s="2">
        <v>1.8714</v>
      </c>
      <c r="E656" s="2">
        <v>2.0019</v>
      </c>
      <c r="F656" s="2">
        <v>2.1760000000000002</v>
      </c>
      <c r="G656" s="2">
        <v>2.3066</v>
      </c>
      <c r="H656" s="2">
        <v>2.4371</v>
      </c>
      <c r="I656" s="2">
        <v>2.6112000000000002</v>
      </c>
      <c r="J656" s="2">
        <v>2.7852999999999999</v>
      </c>
      <c r="K656" s="2">
        <v>2.9594</v>
      </c>
      <c r="L656" s="2">
        <v>3.1334</v>
      </c>
      <c r="M656" s="2">
        <v>3.3144999999999998</v>
      </c>
      <c r="N656" s="2">
        <v>3.5512000000000001</v>
      </c>
      <c r="O656" s="2">
        <v>3.7879999999999998</v>
      </c>
      <c r="P656" s="2">
        <v>4.0247000000000002</v>
      </c>
      <c r="Q656" s="2">
        <v>4.2614999999999998</v>
      </c>
      <c r="R656" t="s">
        <v>5</v>
      </c>
      <c r="S656" t="s">
        <v>5</v>
      </c>
      <c r="T656" t="s">
        <v>125</v>
      </c>
    </row>
    <row r="657" spans="1:20" x14ac:dyDescent="0.25">
      <c r="B657" t="s">
        <v>266</v>
      </c>
      <c r="C657" s="2">
        <v>0.496</v>
      </c>
      <c r="D657" s="2">
        <v>0.53320000000000001</v>
      </c>
      <c r="E657" s="2">
        <v>0.57040000000000002</v>
      </c>
      <c r="F657" s="2">
        <v>0.62</v>
      </c>
      <c r="G657" s="2">
        <v>0.65720000000000001</v>
      </c>
      <c r="H657" s="2">
        <v>0.69440000000000002</v>
      </c>
      <c r="I657" s="2">
        <v>0.74399999999999999</v>
      </c>
      <c r="J657" s="2">
        <v>0.79359999999999997</v>
      </c>
      <c r="K657" s="2">
        <v>0.84319999999999995</v>
      </c>
      <c r="L657" s="2">
        <v>0.89280000000000004</v>
      </c>
      <c r="M657" s="2">
        <v>0.94440000000000002</v>
      </c>
      <c r="N657" s="2">
        <v>1.0118</v>
      </c>
      <c r="O657" s="2">
        <v>1.0792999999999999</v>
      </c>
      <c r="P657" s="2">
        <v>1.1468</v>
      </c>
      <c r="Q657" s="2">
        <v>1.2141999999999999</v>
      </c>
      <c r="R657" t="s">
        <v>5</v>
      </c>
      <c r="S657" t="s">
        <v>5</v>
      </c>
      <c r="T657" t="s">
        <v>125</v>
      </c>
    </row>
    <row r="658" spans="1:20" x14ac:dyDescent="0.25">
      <c r="B658" t="s">
        <v>152</v>
      </c>
      <c r="C658" s="2">
        <v>0.56830000000000003</v>
      </c>
      <c r="D658" s="2">
        <v>0.61450000000000005</v>
      </c>
      <c r="E658" s="2">
        <v>0.66080000000000005</v>
      </c>
      <c r="F658" s="2">
        <v>0.72689999999999999</v>
      </c>
      <c r="G658" s="2">
        <v>0.77310000000000001</v>
      </c>
      <c r="H658" s="2">
        <v>0.82599999999999996</v>
      </c>
      <c r="I658" s="2">
        <v>0.89870000000000005</v>
      </c>
      <c r="J658" s="2">
        <v>0.97140000000000004</v>
      </c>
      <c r="K658" s="2">
        <v>1.0441</v>
      </c>
      <c r="L658" s="2">
        <v>1.1234</v>
      </c>
      <c r="M658" s="2">
        <v>1.2027000000000001</v>
      </c>
      <c r="N658" s="2">
        <v>1.282</v>
      </c>
      <c r="O658" s="2">
        <v>1.3612</v>
      </c>
      <c r="P658" s="2">
        <v>1.4404999999999999</v>
      </c>
      <c r="Q658" s="2">
        <v>1.5198</v>
      </c>
      <c r="R658" t="s">
        <v>3</v>
      </c>
      <c r="S658" t="s">
        <v>3</v>
      </c>
      <c r="T658" t="s">
        <v>125</v>
      </c>
    </row>
    <row r="659" spans="1:20" x14ac:dyDescent="0.25">
      <c r="B659" t="s">
        <v>133</v>
      </c>
      <c r="C659" s="2">
        <v>1.1363000000000001</v>
      </c>
      <c r="D659" s="2">
        <v>1.2287999999999999</v>
      </c>
      <c r="E659" s="2">
        <v>1.3212999999999999</v>
      </c>
      <c r="F659" s="2">
        <v>1.4535</v>
      </c>
      <c r="G659" s="2">
        <v>1.5459000000000001</v>
      </c>
      <c r="H659" s="2">
        <v>1.6516999999999999</v>
      </c>
      <c r="I659" s="2">
        <v>1.7969999999999999</v>
      </c>
      <c r="J659" s="2">
        <v>1.9422999999999999</v>
      </c>
      <c r="K659" s="2">
        <v>2.0876999999999999</v>
      </c>
      <c r="L659" s="2">
        <v>2.2462</v>
      </c>
      <c r="M659" s="2">
        <v>2.4047999999999998</v>
      </c>
      <c r="N659" s="2">
        <v>2.5634000000000001</v>
      </c>
      <c r="O659" s="2">
        <v>2.7219000000000002</v>
      </c>
      <c r="P659" s="2">
        <v>2.8805000000000001</v>
      </c>
      <c r="Q659" s="2">
        <v>3.0390000000000001</v>
      </c>
      <c r="R659" t="s">
        <v>3</v>
      </c>
      <c r="S659" t="s">
        <v>3</v>
      </c>
      <c r="T659" t="s">
        <v>125</v>
      </c>
    </row>
    <row r="660" spans="1:20" x14ac:dyDescent="0.25">
      <c r="B660" t="s">
        <v>134</v>
      </c>
      <c r="C660" s="2">
        <v>1.4193</v>
      </c>
      <c r="D660" s="2">
        <v>1.5348999999999999</v>
      </c>
      <c r="E660" s="2">
        <v>1.6504000000000001</v>
      </c>
      <c r="F660" s="2">
        <v>1.8153999999999999</v>
      </c>
      <c r="G660" s="2">
        <v>1.931</v>
      </c>
      <c r="H660" s="2">
        <v>2.0630000000000002</v>
      </c>
      <c r="I660" s="2">
        <v>2.2444999999999999</v>
      </c>
      <c r="J660" s="2">
        <v>2.4260999999999999</v>
      </c>
      <c r="K660" s="2">
        <v>2.6076000000000001</v>
      </c>
      <c r="L660" s="2">
        <v>2.8056999999999999</v>
      </c>
      <c r="M660" s="2">
        <v>3.0036999999999998</v>
      </c>
      <c r="N660" s="2">
        <v>3.2018</v>
      </c>
      <c r="O660" s="2">
        <v>3.3997999999999999</v>
      </c>
      <c r="P660" s="2">
        <v>3.5979000000000001</v>
      </c>
      <c r="Q660" s="2">
        <v>3.7959000000000001</v>
      </c>
      <c r="R660" t="s">
        <v>3</v>
      </c>
      <c r="S660" t="s">
        <v>3</v>
      </c>
      <c r="T660" t="s">
        <v>125</v>
      </c>
    </row>
    <row r="661" spans="1:20" x14ac:dyDescent="0.25">
      <c r="B661" t="s">
        <v>4</v>
      </c>
      <c r="C661" s="2">
        <v>2.3039999999999998</v>
      </c>
      <c r="D661" s="2">
        <v>2.4767999999999999</v>
      </c>
      <c r="E661" s="2">
        <v>2.6496</v>
      </c>
      <c r="F661" s="2">
        <v>2.88</v>
      </c>
      <c r="G661" s="2">
        <v>3.0528</v>
      </c>
      <c r="H661" s="2">
        <v>3.2256</v>
      </c>
      <c r="I661" s="2">
        <v>3.456</v>
      </c>
      <c r="J661" s="2">
        <v>3.6863999999999999</v>
      </c>
      <c r="K661" s="2">
        <v>3.9167999999999998</v>
      </c>
      <c r="L661" s="2">
        <v>4.1471999999999998</v>
      </c>
      <c r="M661" s="2">
        <v>4.3776000000000002</v>
      </c>
      <c r="N661" s="2">
        <v>4.6079999999999997</v>
      </c>
      <c r="O661" s="2">
        <v>4.8959999999999999</v>
      </c>
      <c r="P661" s="2">
        <v>5.1840000000000002</v>
      </c>
      <c r="Q661" s="2">
        <v>5.4720000000000004</v>
      </c>
      <c r="R661" t="s">
        <v>19</v>
      </c>
      <c r="S661" t="s">
        <v>19</v>
      </c>
      <c r="T661" t="s">
        <v>125</v>
      </c>
    </row>
    <row r="662" spans="1:20" x14ac:dyDescent="0.25">
      <c r="B662" t="s">
        <v>268</v>
      </c>
      <c r="C662" s="2">
        <v>0.86960000000000004</v>
      </c>
      <c r="D662" s="2">
        <v>0.93479999999999996</v>
      </c>
      <c r="E662" s="2">
        <v>1</v>
      </c>
      <c r="F662" s="2">
        <v>1.087</v>
      </c>
      <c r="G662" s="2">
        <v>1.1521999999999999</v>
      </c>
      <c r="H662" s="2">
        <v>1.2174</v>
      </c>
      <c r="I662" s="2">
        <v>1.3044</v>
      </c>
      <c r="J662" s="2">
        <v>1.3914</v>
      </c>
      <c r="K662" s="2">
        <v>1.4782999999999999</v>
      </c>
      <c r="L662" s="2">
        <v>1.5652999999999999</v>
      </c>
      <c r="M662" s="2">
        <v>1.6521999999999999</v>
      </c>
      <c r="N662" s="2">
        <v>1.7392000000000001</v>
      </c>
      <c r="O662" s="2">
        <v>1.8479000000000001</v>
      </c>
      <c r="P662" s="2">
        <v>1.9565999999999999</v>
      </c>
      <c r="Q662" s="2">
        <v>2.0653000000000001</v>
      </c>
      <c r="R662" t="s">
        <v>0</v>
      </c>
      <c r="S662" t="s">
        <v>0</v>
      </c>
      <c r="T662" t="s">
        <v>125</v>
      </c>
    </row>
    <row r="663" spans="1:20" x14ac:dyDescent="0.25">
      <c r="B663" s="3" t="s">
        <v>763</v>
      </c>
      <c r="C663" s="23"/>
      <c r="D663" s="23"/>
      <c r="E663" s="23"/>
      <c r="F663" s="23"/>
      <c r="G663" s="23"/>
      <c r="H663" s="23"/>
      <c r="I663" s="23"/>
      <c r="J663" s="23"/>
      <c r="K663" s="23"/>
      <c r="L663" s="23"/>
      <c r="M663" s="23"/>
      <c r="N663" s="23"/>
      <c r="O663" s="23"/>
      <c r="P663" s="23"/>
      <c r="Q663" s="23"/>
      <c r="R663" s="5" t="s">
        <v>763</v>
      </c>
      <c r="S663" s="5" t="s">
        <v>763</v>
      </c>
      <c r="T663" t="s">
        <v>764</v>
      </c>
    </row>
    <row r="664" spans="1:20" x14ac:dyDescent="0.25">
      <c r="B664" s="3" t="s">
        <v>386</v>
      </c>
      <c r="C664" s="23"/>
      <c r="D664" s="23"/>
      <c r="E664" s="23"/>
      <c r="F664" s="23"/>
      <c r="G664" s="23"/>
      <c r="H664" s="23"/>
      <c r="I664" s="23"/>
      <c r="J664" s="23"/>
      <c r="K664" s="23"/>
      <c r="L664" s="23"/>
      <c r="M664" s="23"/>
      <c r="N664" s="23"/>
      <c r="O664" s="23"/>
      <c r="P664" s="23"/>
      <c r="Q664" s="23"/>
      <c r="R664" s="5" t="s">
        <v>392</v>
      </c>
      <c r="S664" s="5" t="s">
        <v>392</v>
      </c>
      <c r="T664" t="s">
        <v>69</v>
      </c>
    </row>
    <row r="665" spans="1:20" x14ac:dyDescent="0.25">
      <c r="B665" s="3" t="s">
        <v>388</v>
      </c>
      <c r="C665" s="23"/>
      <c r="D665" s="23"/>
      <c r="E665" s="23"/>
      <c r="F665" s="23"/>
      <c r="G665" s="23"/>
      <c r="H665" s="23"/>
      <c r="I665" s="23"/>
      <c r="J665" s="23"/>
      <c r="K665" s="23"/>
      <c r="L665" s="23"/>
      <c r="M665" s="23"/>
      <c r="N665" s="23"/>
      <c r="O665" s="23"/>
      <c r="P665" s="23"/>
      <c r="Q665" s="23"/>
      <c r="R665" s="5" t="s">
        <v>392</v>
      </c>
      <c r="S665" s="5" t="s">
        <v>392</v>
      </c>
      <c r="T665" t="s">
        <v>69</v>
      </c>
    </row>
    <row r="666" spans="1:20" x14ac:dyDescent="0.25">
      <c r="B666" s="3" t="s">
        <v>389</v>
      </c>
      <c r="C666" s="23"/>
      <c r="D666" s="23"/>
      <c r="E666" s="23"/>
      <c r="F666" s="23"/>
      <c r="G666" s="23"/>
      <c r="H666" s="23"/>
      <c r="I666" s="23"/>
      <c r="J666" s="23"/>
      <c r="K666" s="23"/>
      <c r="L666" s="23"/>
      <c r="M666" s="23"/>
      <c r="N666" s="23"/>
      <c r="O666" s="23"/>
      <c r="P666" s="23"/>
      <c r="Q666" s="23"/>
      <c r="R666" s="5" t="s">
        <v>392</v>
      </c>
      <c r="S666" s="5" t="s">
        <v>392</v>
      </c>
      <c r="T666" t="s">
        <v>69</v>
      </c>
    </row>
    <row r="667" spans="1:20" x14ac:dyDescent="0.25">
      <c r="B667" s="3" t="s">
        <v>385</v>
      </c>
      <c r="C667" s="23"/>
      <c r="D667" s="23"/>
      <c r="E667" s="23"/>
      <c r="F667" s="23"/>
      <c r="G667" s="23"/>
      <c r="H667" s="23"/>
      <c r="I667" s="23"/>
      <c r="J667" s="23"/>
      <c r="K667" s="23"/>
      <c r="L667" s="23"/>
      <c r="M667" s="23"/>
      <c r="N667" s="23"/>
      <c r="O667" s="23"/>
      <c r="P667" s="23"/>
      <c r="Q667" s="23"/>
      <c r="R667" s="5" t="s">
        <v>392</v>
      </c>
      <c r="S667" s="5" t="s">
        <v>392</v>
      </c>
      <c r="T667" t="s">
        <v>69</v>
      </c>
    </row>
    <row r="668" spans="1:20" x14ac:dyDescent="0.25">
      <c r="B668" s="3" t="s">
        <v>387</v>
      </c>
      <c r="C668" s="23"/>
      <c r="D668" s="23"/>
      <c r="E668" s="23"/>
      <c r="F668" s="23"/>
      <c r="G668" s="23"/>
      <c r="H668" s="23"/>
      <c r="I668" s="23"/>
      <c r="J668" s="23"/>
      <c r="K668" s="23"/>
      <c r="L668" s="23"/>
      <c r="M668" s="23"/>
      <c r="N668" s="23"/>
      <c r="O668" s="23"/>
      <c r="P668" s="23"/>
      <c r="Q668" s="23"/>
      <c r="R668" s="5" t="s">
        <v>392</v>
      </c>
      <c r="S668" s="5" t="s">
        <v>392</v>
      </c>
      <c r="T668" t="s">
        <v>69</v>
      </c>
    </row>
    <row r="669" spans="1:20" x14ac:dyDescent="0.25">
      <c r="B669" s="3" t="s">
        <v>390</v>
      </c>
      <c r="C669" s="23"/>
      <c r="D669" s="23"/>
      <c r="E669" s="23"/>
      <c r="F669" s="23"/>
      <c r="G669" s="23"/>
      <c r="H669" s="23"/>
      <c r="I669" s="23"/>
      <c r="J669" s="23"/>
      <c r="K669" s="23"/>
      <c r="L669" s="23"/>
      <c r="M669" s="23"/>
      <c r="N669" s="23"/>
      <c r="O669" s="23"/>
      <c r="P669" s="23"/>
      <c r="Q669" s="23"/>
      <c r="R669" s="5" t="s">
        <v>392</v>
      </c>
      <c r="S669" s="5" t="s">
        <v>392</v>
      </c>
      <c r="T669" t="s">
        <v>69</v>
      </c>
    </row>
    <row r="670" spans="1:20" x14ac:dyDescent="0.25">
      <c r="B670" s="3" t="s">
        <v>391</v>
      </c>
      <c r="C670" s="23"/>
      <c r="D670" s="23"/>
      <c r="E670" s="23"/>
      <c r="F670" s="23"/>
      <c r="G670" s="23"/>
      <c r="H670" s="23"/>
      <c r="I670" s="23"/>
      <c r="J670" s="23"/>
      <c r="K670" s="23"/>
      <c r="L670" s="23"/>
      <c r="M670" s="23"/>
      <c r="N670" s="23"/>
      <c r="O670" s="23"/>
      <c r="P670" s="23"/>
      <c r="Q670" s="23"/>
      <c r="R670" s="5" t="s">
        <v>392</v>
      </c>
      <c r="S670" s="5" t="s">
        <v>392</v>
      </c>
      <c r="T670" t="s">
        <v>69</v>
      </c>
    </row>
    <row r="671" spans="1:20" x14ac:dyDescent="0.25">
      <c r="A671" t="s">
        <v>869</v>
      </c>
      <c r="B671" s="3" t="s">
        <v>393</v>
      </c>
      <c r="C671" s="23"/>
      <c r="D671" s="23"/>
      <c r="E671" s="23"/>
      <c r="F671" s="23"/>
      <c r="G671" s="23"/>
      <c r="H671" s="23"/>
      <c r="I671" s="23"/>
      <c r="J671" s="23"/>
      <c r="K671" s="23"/>
      <c r="L671" s="23"/>
      <c r="M671" s="23"/>
      <c r="N671" s="23"/>
      <c r="O671" s="23"/>
      <c r="P671" s="23"/>
      <c r="Q671" s="23"/>
      <c r="R671" s="5" t="s">
        <v>392</v>
      </c>
      <c r="S671" s="5" t="s">
        <v>392</v>
      </c>
      <c r="T671" t="s">
        <v>69</v>
      </c>
    </row>
    <row r="672" spans="1:20" x14ac:dyDescent="0.25">
      <c r="B672" t="s">
        <v>269</v>
      </c>
      <c r="C672" s="21">
        <v>1</v>
      </c>
      <c r="D672" s="21">
        <v>2</v>
      </c>
      <c r="E672" s="21">
        <v>3</v>
      </c>
      <c r="F672" s="21">
        <v>4</v>
      </c>
      <c r="G672" s="21">
        <v>5</v>
      </c>
      <c r="H672" s="21">
        <v>6</v>
      </c>
      <c r="I672" s="21">
        <v>7</v>
      </c>
      <c r="J672" s="21">
        <v>8</v>
      </c>
      <c r="K672" s="21">
        <v>9</v>
      </c>
      <c r="L672" s="21">
        <v>10</v>
      </c>
      <c r="M672" s="21">
        <v>11</v>
      </c>
      <c r="N672" s="21">
        <v>12</v>
      </c>
      <c r="O672" s="21">
        <v>13</v>
      </c>
      <c r="P672" s="21">
        <v>14</v>
      </c>
      <c r="Q672" s="21">
        <v>15</v>
      </c>
      <c r="R672" s="5" t="s">
        <v>11</v>
      </c>
      <c r="S672" s="5" t="s">
        <v>1024</v>
      </c>
      <c r="T672" t="s">
        <v>124</v>
      </c>
    </row>
    <row r="673" spans="1:20" x14ac:dyDescent="0.25">
      <c r="A673" t="s">
        <v>870</v>
      </c>
      <c r="B673" t="s">
        <v>10</v>
      </c>
      <c r="C673" s="2">
        <v>0.79120000000000001</v>
      </c>
      <c r="D673" s="2">
        <v>0.85560000000000003</v>
      </c>
      <c r="E673" s="2">
        <v>0.92</v>
      </c>
      <c r="F673" s="2">
        <v>1.012</v>
      </c>
      <c r="G673" s="2">
        <v>1.0764</v>
      </c>
      <c r="H673" s="2">
        <v>1.1499999999999999</v>
      </c>
      <c r="I673" s="2">
        <v>1.2512000000000001</v>
      </c>
      <c r="J673" s="2">
        <v>1.3524</v>
      </c>
      <c r="K673" s="2">
        <v>1.4536</v>
      </c>
      <c r="L673" s="2">
        <v>1.5640000000000001</v>
      </c>
      <c r="M673" s="2">
        <v>1.6744000000000001</v>
      </c>
      <c r="N673" s="2">
        <v>1.7847999999999999</v>
      </c>
      <c r="O673" s="2">
        <v>1.8952</v>
      </c>
      <c r="P673" s="2">
        <v>2.0055999999999998</v>
      </c>
      <c r="Q673" s="2">
        <v>2.1160000000000001</v>
      </c>
      <c r="R673" t="s">
        <v>6</v>
      </c>
      <c r="S673" t="s">
        <v>6</v>
      </c>
      <c r="T673" t="s">
        <v>125</v>
      </c>
    </row>
    <row r="674" spans="1:20" x14ac:dyDescent="0.25">
      <c r="B674" t="s">
        <v>9</v>
      </c>
      <c r="C674" s="2">
        <v>0.73360000000000003</v>
      </c>
      <c r="D674" s="2">
        <v>0.79330000000000001</v>
      </c>
      <c r="E674" s="2">
        <v>0.85299999999999998</v>
      </c>
      <c r="F674" s="2">
        <v>0.93830000000000002</v>
      </c>
      <c r="G674" s="2">
        <v>0.998</v>
      </c>
      <c r="H674" s="2">
        <v>1.0663</v>
      </c>
      <c r="I674" s="2">
        <v>1.1600999999999999</v>
      </c>
      <c r="J674" s="2">
        <v>1.2539</v>
      </c>
      <c r="K674" s="2">
        <v>1.3476999999999999</v>
      </c>
      <c r="L674" s="2">
        <v>1.4500999999999999</v>
      </c>
      <c r="M674" s="2">
        <v>1.5525</v>
      </c>
      <c r="N674" s="2">
        <v>1.6548</v>
      </c>
      <c r="O674" s="2">
        <v>1.7572000000000001</v>
      </c>
      <c r="P674" s="2">
        <v>1.8594999999999999</v>
      </c>
      <c r="Q674" s="2">
        <v>1.9619</v>
      </c>
      <c r="R674" t="s">
        <v>6</v>
      </c>
      <c r="S674" t="s">
        <v>6</v>
      </c>
      <c r="T674" t="s">
        <v>125</v>
      </c>
    </row>
    <row r="675" spans="1:20" x14ac:dyDescent="0.25">
      <c r="B675" t="s">
        <v>8</v>
      </c>
      <c r="C675" s="2">
        <v>0.86260000000000003</v>
      </c>
      <c r="D675" s="2">
        <v>0.93279999999999996</v>
      </c>
      <c r="E675" s="2">
        <v>1.0029999999999999</v>
      </c>
      <c r="F675" s="2">
        <v>1.1032999999999999</v>
      </c>
      <c r="G675" s="2">
        <v>1.1735</v>
      </c>
      <c r="H675" s="2">
        <v>1.2538</v>
      </c>
      <c r="I675" s="2">
        <v>1.3641000000000001</v>
      </c>
      <c r="J675" s="2">
        <v>1.4743999999999999</v>
      </c>
      <c r="K675" s="2">
        <v>1.5847</v>
      </c>
      <c r="L675" s="2">
        <v>1.7051000000000001</v>
      </c>
      <c r="M675" s="2">
        <v>1.8254999999999999</v>
      </c>
      <c r="N675" s="2">
        <v>1.9458</v>
      </c>
      <c r="O675" s="2">
        <v>2.0661999999999998</v>
      </c>
      <c r="P675" s="2">
        <v>2.1865000000000001</v>
      </c>
      <c r="Q675" s="2">
        <v>2.3069000000000002</v>
      </c>
      <c r="R675" t="s">
        <v>6</v>
      </c>
      <c r="S675" t="s">
        <v>6</v>
      </c>
      <c r="T675" t="s">
        <v>125</v>
      </c>
    </row>
    <row r="676" spans="1:20" x14ac:dyDescent="0.25">
      <c r="B676" t="s">
        <v>13</v>
      </c>
      <c r="C676" s="2">
        <v>1.1343000000000001</v>
      </c>
      <c r="D676" s="2">
        <v>1.2266999999999999</v>
      </c>
      <c r="E676" s="2">
        <v>1.319</v>
      </c>
      <c r="F676" s="2">
        <v>1.4509000000000001</v>
      </c>
      <c r="G676" s="2">
        <v>1.5431999999999999</v>
      </c>
      <c r="H676" s="2">
        <v>1.6488</v>
      </c>
      <c r="I676" s="2">
        <v>1.7938000000000001</v>
      </c>
      <c r="J676" s="2">
        <v>1.9389000000000001</v>
      </c>
      <c r="K676" s="2">
        <v>2.0840000000000001</v>
      </c>
      <c r="L676" s="2">
        <v>2.2423000000000002</v>
      </c>
      <c r="M676" s="2">
        <v>2.4005999999999998</v>
      </c>
      <c r="N676" s="2">
        <v>2.5589</v>
      </c>
      <c r="O676" s="2">
        <v>2.7170999999999998</v>
      </c>
      <c r="P676" s="2">
        <v>2.8754</v>
      </c>
      <c r="Q676" s="2">
        <v>3.0337000000000001</v>
      </c>
      <c r="R676" t="s">
        <v>6</v>
      </c>
      <c r="S676" t="s">
        <v>6</v>
      </c>
      <c r="T676" t="s">
        <v>125</v>
      </c>
    </row>
    <row r="677" spans="1:20" x14ac:dyDescent="0.25">
      <c r="B677" t="s">
        <v>154</v>
      </c>
      <c r="C677" s="2">
        <v>0.50739999999999996</v>
      </c>
      <c r="D677" s="2">
        <v>0.54869999999999997</v>
      </c>
      <c r="E677" s="2">
        <v>0.59</v>
      </c>
      <c r="F677" s="2">
        <v>0.64900000000000002</v>
      </c>
      <c r="G677" s="2">
        <v>0.69030000000000002</v>
      </c>
      <c r="H677" s="2">
        <v>0.73750000000000004</v>
      </c>
      <c r="I677" s="2">
        <v>0.8024</v>
      </c>
      <c r="J677" s="2">
        <v>0.86729999999999996</v>
      </c>
      <c r="K677" s="2">
        <v>0.93220000000000003</v>
      </c>
      <c r="L677" s="2">
        <v>1.0029999999999999</v>
      </c>
      <c r="M677" s="2">
        <v>1.0738000000000001</v>
      </c>
      <c r="N677" s="2">
        <v>1.1446000000000001</v>
      </c>
      <c r="O677" s="2">
        <v>1.2154</v>
      </c>
      <c r="P677" s="2">
        <v>1.2862</v>
      </c>
      <c r="Q677" s="2">
        <v>1.357</v>
      </c>
      <c r="R677" t="s">
        <v>5</v>
      </c>
      <c r="S677" t="s">
        <v>5</v>
      </c>
      <c r="T677" t="s">
        <v>125</v>
      </c>
    </row>
    <row r="678" spans="1:20" x14ac:dyDescent="0.25">
      <c r="B678" t="s">
        <v>155</v>
      </c>
      <c r="C678" s="2">
        <v>0.90469999999999995</v>
      </c>
      <c r="D678" s="2">
        <v>0.97840000000000005</v>
      </c>
      <c r="E678" s="2">
        <v>1.052</v>
      </c>
      <c r="F678" s="2">
        <v>1.1572</v>
      </c>
      <c r="G678" s="2">
        <v>1.2307999999999999</v>
      </c>
      <c r="H678" s="2">
        <v>1.3149999999999999</v>
      </c>
      <c r="I678" s="2">
        <v>1.4307000000000001</v>
      </c>
      <c r="J678" s="2">
        <v>1.5464</v>
      </c>
      <c r="K678" s="2">
        <v>1.6621999999999999</v>
      </c>
      <c r="L678" s="2">
        <v>1.7884</v>
      </c>
      <c r="M678" s="2">
        <v>1.9146000000000001</v>
      </c>
      <c r="N678" s="2">
        <v>2.0409000000000002</v>
      </c>
      <c r="O678" s="2">
        <v>2.1671</v>
      </c>
      <c r="P678" s="2">
        <v>2.2934000000000001</v>
      </c>
      <c r="Q678" s="2">
        <v>2.4196</v>
      </c>
      <c r="R678" t="s">
        <v>5</v>
      </c>
      <c r="S678" t="s">
        <v>5</v>
      </c>
      <c r="T678" t="s">
        <v>125</v>
      </c>
    </row>
    <row r="679" spans="1:20" x14ac:dyDescent="0.25">
      <c r="B679" t="s">
        <v>152</v>
      </c>
      <c r="C679" s="2">
        <v>0.74590000000000001</v>
      </c>
      <c r="D679" s="2">
        <v>0.80659999999999998</v>
      </c>
      <c r="E679" s="2">
        <v>0.86729999999999996</v>
      </c>
      <c r="F679" s="2">
        <v>0.95399999999999996</v>
      </c>
      <c r="G679" s="2">
        <v>1.0146999999999999</v>
      </c>
      <c r="H679" s="2">
        <v>1.0841000000000001</v>
      </c>
      <c r="I679" s="2">
        <v>1.1795</v>
      </c>
      <c r="J679" s="2">
        <v>1.2748999999999999</v>
      </c>
      <c r="K679" s="2">
        <v>1.3703000000000001</v>
      </c>
      <c r="L679" s="2">
        <v>1.4743999999999999</v>
      </c>
      <c r="M679" s="2">
        <v>1.5785</v>
      </c>
      <c r="N679" s="2">
        <v>1.6826000000000001</v>
      </c>
      <c r="O679" s="2">
        <v>1.7866</v>
      </c>
      <c r="P679" s="2">
        <v>1.8907</v>
      </c>
      <c r="Q679" s="2">
        <v>1.9947999999999999</v>
      </c>
      <c r="R679" t="s">
        <v>3</v>
      </c>
      <c r="S679" t="s">
        <v>3</v>
      </c>
      <c r="T679" t="s">
        <v>125</v>
      </c>
    </row>
    <row r="680" spans="1:20" x14ac:dyDescent="0.25">
      <c r="B680" t="s">
        <v>133</v>
      </c>
      <c r="C680" s="2">
        <v>1.4914000000000001</v>
      </c>
      <c r="D680" s="2">
        <v>1.6128</v>
      </c>
      <c r="E680" s="2">
        <v>1.7342</v>
      </c>
      <c r="F680" s="2">
        <v>1.9077</v>
      </c>
      <c r="G680" s="2">
        <v>2.0291000000000001</v>
      </c>
      <c r="H680" s="2">
        <v>2.1678000000000002</v>
      </c>
      <c r="I680" s="2">
        <v>2.3586</v>
      </c>
      <c r="J680" s="2">
        <v>2.5493000000000001</v>
      </c>
      <c r="K680" s="2">
        <v>2.7401</v>
      </c>
      <c r="L680" s="2">
        <v>2.9481999999999999</v>
      </c>
      <c r="M680" s="2">
        <v>3.1562999999999999</v>
      </c>
      <c r="N680" s="2">
        <v>3.3643999999999998</v>
      </c>
      <c r="O680" s="2">
        <v>3.5724999999999998</v>
      </c>
      <c r="P680" s="2">
        <v>3.7806000000000002</v>
      </c>
      <c r="Q680" s="2">
        <v>3.9887000000000001</v>
      </c>
      <c r="R680" t="s">
        <v>3</v>
      </c>
      <c r="S680" t="s">
        <v>3</v>
      </c>
      <c r="T680" t="s">
        <v>125</v>
      </c>
    </row>
    <row r="681" spans="1:20" x14ac:dyDescent="0.25">
      <c r="B681" t="s">
        <v>134</v>
      </c>
      <c r="C681" s="2">
        <v>1.8629</v>
      </c>
      <c r="D681" s="2">
        <v>2.0145</v>
      </c>
      <c r="E681" s="2">
        <v>2.1661999999999999</v>
      </c>
      <c r="F681" s="2">
        <v>2.3828</v>
      </c>
      <c r="G681" s="2">
        <v>2.5344000000000002</v>
      </c>
      <c r="H681" s="2">
        <v>2.7077</v>
      </c>
      <c r="I681" s="2">
        <v>2.9460000000000002</v>
      </c>
      <c r="J681" s="2">
        <v>3.1842000000000001</v>
      </c>
      <c r="K681" s="2">
        <v>3.4224999999999999</v>
      </c>
      <c r="L681" s="2">
        <v>3.6825000000000001</v>
      </c>
      <c r="M681" s="2">
        <v>3.9424000000000001</v>
      </c>
      <c r="N681" s="2">
        <v>4.2023000000000001</v>
      </c>
      <c r="O681" s="2">
        <v>4.4622999999999999</v>
      </c>
      <c r="P681" s="2">
        <v>4.7222</v>
      </c>
      <c r="Q681" s="2">
        <v>4.9821</v>
      </c>
      <c r="R681" t="s">
        <v>3</v>
      </c>
      <c r="S681" t="s">
        <v>3</v>
      </c>
      <c r="T681" t="s">
        <v>125</v>
      </c>
    </row>
    <row r="682" spans="1:20" x14ac:dyDescent="0.25">
      <c r="B682" t="s">
        <v>927</v>
      </c>
      <c r="C682" s="2">
        <v>0.21279999999999999</v>
      </c>
      <c r="D682" s="2">
        <v>0.2288</v>
      </c>
      <c r="E682" s="2">
        <v>0.2447</v>
      </c>
      <c r="F682" s="2">
        <v>0.26600000000000001</v>
      </c>
      <c r="G682" s="2">
        <v>0.28199999999999997</v>
      </c>
      <c r="H682" s="2">
        <v>0.2979</v>
      </c>
      <c r="I682" s="2">
        <v>0.31919999999999998</v>
      </c>
      <c r="J682" s="2">
        <v>0.34050000000000002</v>
      </c>
      <c r="K682" s="2">
        <v>0.36180000000000001</v>
      </c>
      <c r="L682" s="2">
        <v>0.38300000000000001</v>
      </c>
      <c r="M682" s="2">
        <v>0.40429999999999999</v>
      </c>
      <c r="N682" s="2">
        <v>0.42559999999999998</v>
      </c>
      <c r="O682" s="2">
        <v>0.45219999999999999</v>
      </c>
      <c r="P682" s="2">
        <v>0.4788</v>
      </c>
      <c r="Q682" s="2">
        <v>0.50539999999999996</v>
      </c>
      <c r="R682" t="s">
        <v>911</v>
      </c>
      <c r="S682" t="s">
        <v>911</v>
      </c>
      <c r="T682" t="s">
        <v>128</v>
      </c>
    </row>
    <row r="683" spans="1:20" x14ac:dyDescent="0.25">
      <c r="B683" t="s">
        <v>926</v>
      </c>
      <c r="C683">
        <v>103</v>
      </c>
      <c r="D683">
        <v>113</v>
      </c>
      <c r="E683">
        <v>124</v>
      </c>
      <c r="F683">
        <v>136</v>
      </c>
      <c r="G683">
        <v>149</v>
      </c>
      <c r="H683">
        <v>163</v>
      </c>
      <c r="I683">
        <v>177</v>
      </c>
      <c r="J683">
        <v>193</v>
      </c>
      <c r="K683">
        <v>209</v>
      </c>
      <c r="L683">
        <v>226</v>
      </c>
      <c r="M683">
        <v>244</v>
      </c>
      <c r="N683">
        <v>263</v>
      </c>
      <c r="O683">
        <v>282</v>
      </c>
      <c r="P683">
        <v>303</v>
      </c>
      <c r="Q683">
        <v>324</v>
      </c>
      <c r="R683" t="s">
        <v>912</v>
      </c>
      <c r="S683" t="s">
        <v>912</v>
      </c>
      <c r="T683" t="s">
        <v>223</v>
      </c>
    </row>
    <row r="684" spans="1:20" x14ac:dyDescent="0.25">
      <c r="B684" t="s">
        <v>4</v>
      </c>
      <c r="C684" s="2">
        <v>1.2</v>
      </c>
      <c r="D684" s="2">
        <v>1.29</v>
      </c>
      <c r="E684" s="2">
        <v>1.38</v>
      </c>
      <c r="F684" s="2">
        <v>1.5</v>
      </c>
      <c r="G684" s="2">
        <v>1.59</v>
      </c>
      <c r="H684" s="2">
        <v>1.68</v>
      </c>
      <c r="I684" s="2">
        <v>1.8</v>
      </c>
      <c r="J684" s="2">
        <v>1.92</v>
      </c>
      <c r="K684" s="2">
        <v>2.04</v>
      </c>
      <c r="L684" s="2">
        <v>2.16</v>
      </c>
      <c r="M684" s="2">
        <v>2.2799999999999998</v>
      </c>
      <c r="N684" s="2">
        <v>2.4</v>
      </c>
      <c r="O684" s="2">
        <v>2.5499999999999998</v>
      </c>
      <c r="P684" s="2">
        <v>2.7</v>
      </c>
      <c r="Q684" s="2">
        <v>2.85</v>
      </c>
      <c r="R684" t="s">
        <v>19</v>
      </c>
      <c r="S684" t="s">
        <v>19</v>
      </c>
      <c r="T684" t="s">
        <v>128</v>
      </c>
    </row>
    <row r="685" spans="1:20" x14ac:dyDescent="0.25">
      <c r="B685" t="s">
        <v>270</v>
      </c>
      <c r="C685" s="2">
        <v>0.67200000000000004</v>
      </c>
      <c r="D685" s="2">
        <v>0.72240000000000004</v>
      </c>
      <c r="E685" s="2">
        <v>0.77280000000000004</v>
      </c>
      <c r="F685" s="2">
        <v>0.84</v>
      </c>
      <c r="G685" s="2">
        <v>0.89039999999999997</v>
      </c>
      <c r="H685" s="2">
        <v>0.94079999999999997</v>
      </c>
      <c r="I685" s="2">
        <v>1.008</v>
      </c>
      <c r="J685" s="2">
        <v>1.0751999999999999</v>
      </c>
      <c r="K685" s="2">
        <v>1.1424000000000001</v>
      </c>
      <c r="L685" s="2">
        <v>1.2096</v>
      </c>
      <c r="M685" s="2">
        <v>1.2767999999999999</v>
      </c>
      <c r="N685" s="2">
        <v>1.3440000000000001</v>
      </c>
      <c r="O685" s="2">
        <v>1.4279999999999999</v>
      </c>
      <c r="P685" s="2">
        <v>1.512</v>
      </c>
      <c r="Q685" s="2">
        <v>1.5960000000000001</v>
      </c>
      <c r="R685" t="s">
        <v>0</v>
      </c>
      <c r="S685" t="s">
        <v>0</v>
      </c>
      <c r="T685" t="s">
        <v>125</v>
      </c>
    </row>
    <row r="686" spans="1:20" x14ac:dyDescent="0.25">
      <c r="B686" t="s">
        <v>271</v>
      </c>
      <c r="C686" s="2">
        <v>0.92800000000000005</v>
      </c>
      <c r="D686" s="2">
        <v>0.99760000000000004</v>
      </c>
      <c r="E686" s="2">
        <v>1.0671999999999999</v>
      </c>
      <c r="F686" s="2">
        <v>1.1599999999999999</v>
      </c>
      <c r="G686" s="2">
        <v>1.2296</v>
      </c>
      <c r="H686" s="2">
        <v>1.2991999999999999</v>
      </c>
      <c r="I686" s="2">
        <v>1.3919999999999999</v>
      </c>
      <c r="J686" s="2">
        <v>1.4847999999999999</v>
      </c>
      <c r="K686" s="2">
        <v>1.5775999999999999</v>
      </c>
      <c r="L686" s="2">
        <v>1.6704000000000001</v>
      </c>
      <c r="M686" s="2">
        <v>1.7632000000000001</v>
      </c>
      <c r="N686" s="2">
        <v>1.8560000000000001</v>
      </c>
      <c r="O686" s="2">
        <v>1.972</v>
      </c>
      <c r="P686" s="2">
        <v>2.0880000000000001</v>
      </c>
      <c r="Q686" s="2">
        <v>2.2040000000000002</v>
      </c>
      <c r="R686" t="s">
        <v>0</v>
      </c>
      <c r="S686" t="s">
        <v>0</v>
      </c>
      <c r="T686" t="s">
        <v>125</v>
      </c>
    </row>
    <row r="687" spans="1:20" x14ac:dyDescent="0.25">
      <c r="B687" t="s">
        <v>272</v>
      </c>
      <c r="C687" s="20">
        <v>4</v>
      </c>
      <c r="D687" s="20">
        <v>4</v>
      </c>
      <c r="E687" s="20">
        <v>4</v>
      </c>
      <c r="F687" s="20">
        <v>4</v>
      </c>
      <c r="G687" s="20">
        <v>4</v>
      </c>
      <c r="H687" s="20">
        <v>4</v>
      </c>
      <c r="I687" s="20">
        <v>4</v>
      </c>
      <c r="J687" s="20">
        <v>4</v>
      </c>
      <c r="K687" s="20">
        <v>4</v>
      </c>
      <c r="L687" s="20">
        <v>4</v>
      </c>
      <c r="M687" s="20">
        <v>4</v>
      </c>
      <c r="N687" s="20">
        <v>4</v>
      </c>
      <c r="O687" s="20">
        <v>4</v>
      </c>
      <c r="P687" s="20">
        <v>4</v>
      </c>
      <c r="Q687" s="20">
        <v>4</v>
      </c>
      <c r="R687" t="s">
        <v>19</v>
      </c>
      <c r="S687" t="s">
        <v>19</v>
      </c>
      <c r="T687" t="s">
        <v>125</v>
      </c>
    </row>
    <row r="688" spans="1:20" x14ac:dyDescent="0.25">
      <c r="B688" s="3" t="s">
        <v>763</v>
      </c>
      <c r="C688" s="23"/>
      <c r="D688" s="23"/>
      <c r="E688" s="23"/>
      <c r="F688" s="23"/>
      <c r="G688" s="23"/>
      <c r="H688" s="23"/>
      <c r="I688" s="23"/>
      <c r="J688" s="23"/>
      <c r="K688" s="23"/>
      <c r="L688" s="23"/>
      <c r="M688" s="23"/>
      <c r="N688" s="23"/>
      <c r="O688" s="23"/>
      <c r="P688" s="23"/>
      <c r="Q688" s="23"/>
      <c r="R688" s="5" t="s">
        <v>763</v>
      </c>
      <c r="S688" s="5" t="s">
        <v>763</v>
      </c>
      <c r="T688" t="s">
        <v>764</v>
      </c>
    </row>
    <row r="689" spans="1:20" x14ac:dyDescent="0.25">
      <c r="B689" s="3" t="s">
        <v>386</v>
      </c>
      <c r="C689" s="23"/>
      <c r="D689" s="23"/>
      <c r="E689" s="23"/>
      <c r="F689" s="23"/>
      <c r="G689" s="23"/>
      <c r="H689" s="23"/>
      <c r="I689" s="23"/>
      <c r="J689" s="23"/>
      <c r="K689" s="23"/>
      <c r="L689" s="23"/>
      <c r="M689" s="23"/>
      <c r="N689" s="23"/>
      <c r="O689" s="23"/>
      <c r="P689" s="23"/>
      <c r="Q689" s="23"/>
      <c r="R689" s="5" t="s">
        <v>392</v>
      </c>
      <c r="S689" s="5" t="s">
        <v>392</v>
      </c>
      <c r="T689" t="s">
        <v>69</v>
      </c>
    </row>
    <row r="690" spans="1:20" x14ac:dyDescent="0.25">
      <c r="B690" s="3" t="s">
        <v>388</v>
      </c>
      <c r="C690" s="23"/>
      <c r="D690" s="23"/>
      <c r="E690" s="23"/>
      <c r="F690" s="23"/>
      <c r="G690" s="23"/>
      <c r="H690" s="23"/>
      <c r="I690" s="23"/>
      <c r="J690" s="23"/>
      <c r="K690" s="23"/>
      <c r="L690" s="23"/>
      <c r="M690" s="23"/>
      <c r="N690" s="23"/>
      <c r="O690" s="23"/>
      <c r="P690" s="23"/>
      <c r="Q690" s="23"/>
      <c r="R690" s="5" t="s">
        <v>392</v>
      </c>
      <c r="S690" s="5" t="s">
        <v>392</v>
      </c>
      <c r="T690" t="s">
        <v>69</v>
      </c>
    </row>
    <row r="691" spans="1:20" x14ac:dyDescent="0.25">
      <c r="B691" s="3" t="s">
        <v>389</v>
      </c>
      <c r="C691" s="23"/>
      <c r="D691" s="23"/>
      <c r="E691" s="23"/>
      <c r="F691" s="23"/>
      <c r="G691" s="23"/>
      <c r="H691" s="23"/>
      <c r="I691" s="23"/>
      <c r="J691" s="23"/>
      <c r="K691" s="23"/>
      <c r="L691" s="23"/>
      <c r="M691" s="23"/>
      <c r="N691" s="23"/>
      <c r="O691" s="23"/>
      <c r="P691" s="23"/>
      <c r="Q691" s="23"/>
      <c r="R691" s="5" t="s">
        <v>392</v>
      </c>
      <c r="S691" s="5" t="s">
        <v>392</v>
      </c>
      <c r="T691" t="s">
        <v>69</v>
      </c>
    </row>
    <row r="692" spans="1:20" x14ac:dyDescent="0.25">
      <c r="B692" s="3" t="s">
        <v>385</v>
      </c>
      <c r="C692" s="23"/>
      <c r="D692" s="23"/>
      <c r="E692" s="23"/>
      <c r="F692" s="23"/>
      <c r="G692" s="23"/>
      <c r="H692" s="23"/>
      <c r="I692" s="23"/>
      <c r="J692" s="23"/>
      <c r="K692" s="23"/>
      <c r="L692" s="23"/>
      <c r="M692" s="23"/>
      <c r="N692" s="23"/>
      <c r="O692" s="23"/>
      <c r="P692" s="23"/>
      <c r="Q692" s="23"/>
      <c r="R692" s="5" t="s">
        <v>392</v>
      </c>
      <c r="S692" s="5" t="s">
        <v>392</v>
      </c>
      <c r="T692" t="s">
        <v>69</v>
      </c>
    </row>
    <row r="693" spans="1:20" x14ac:dyDescent="0.25">
      <c r="B693" s="3" t="s">
        <v>387</v>
      </c>
      <c r="C693" s="23"/>
      <c r="D693" s="23"/>
      <c r="E693" s="23"/>
      <c r="F693" s="23"/>
      <c r="G693" s="23"/>
      <c r="H693" s="23"/>
      <c r="I693" s="23"/>
      <c r="J693" s="23"/>
      <c r="K693" s="23"/>
      <c r="L693" s="23"/>
      <c r="M693" s="23"/>
      <c r="N693" s="23"/>
      <c r="O693" s="23"/>
      <c r="P693" s="23"/>
      <c r="Q693" s="23"/>
      <c r="R693" s="5" t="s">
        <v>392</v>
      </c>
      <c r="S693" s="5" t="s">
        <v>392</v>
      </c>
      <c r="T693" t="s">
        <v>69</v>
      </c>
    </row>
    <row r="694" spans="1:20" x14ac:dyDescent="0.25">
      <c r="B694" s="3" t="s">
        <v>390</v>
      </c>
      <c r="C694" s="23"/>
      <c r="D694" s="23"/>
      <c r="E694" s="23"/>
      <c r="F694" s="23"/>
      <c r="G694" s="23"/>
      <c r="H694" s="23"/>
      <c r="I694" s="23"/>
      <c r="J694" s="23"/>
      <c r="K694" s="23"/>
      <c r="L694" s="23"/>
      <c r="M694" s="23"/>
      <c r="N694" s="23"/>
      <c r="O694" s="23"/>
      <c r="P694" s="23"/>
      <c r="Q694" s="23"/>
      <c r="R694" s="5" t="s">
        <v>392</v>
      </c>
      <c r="S694" s="5" t="s">
        <v>392</v>
      </c>
      <c r="T694" t="s">
        <v>69</v>
      </c>
    </row>
    <row r="695" spans="1:20" x14ac:dyDescent="0.25">
      <c r="B695" s="3" t="s">
        <v>391</v>
      </c>
      <c r="C695" s="23"/>
      <c r="D695" s="23"/>
      <c r="E695" s="23"/>
      <c r="F695" s="23"/>
      <c r="G695" s="23"/>
      <c r="H695" s="23"/>
      <c r="I695" s="23"/>
      <c r="J695" s="23"/>
      <c r="K695" s="23"/>
      <c r="L695" s="23"/>
      <c r="M695" s="23"/>
      <c r="N695" s="23"/>
      <c r="O695" s="23"/>
      <c r="P695" s="23"/>
      <c r="Q695" s="23"/>
      <c r="R695" s="5" t="s">
        <v>392</v>
      </c>
      <c r="S695" s="5" t="s">
        <v>392</v>
      </c>
      <c r="T695" t="s">
        <v>69</v>
      </c>
    </row>
    <row r="696" spans="1:20" x14ac:dyDescent="0.25">
      <c r="A696" t="s">
        <v>871</v>
      </c>
      <c r="B696" s="3" t="s">
        <v>393</v>
      </c>
      <c r="C696" s="23"/>
      <c r="D696" s="23"/>
      <c r="E696" s="23"/>
      <c r="F696" s="23"/>
      <c r="G696" s="23"/>
      <c r="H696" s="23"/>
      <c r="I696" s="23"/>
      <c r="J696" s="23"/>
      <c r="K696" s="23"/>
      <c r="L696" s="23"/>
      <c r="M696" s="23"/>
      <c r="N696" s="23"/>
      <c r="O696" s="23"/>
      <c r="P696" s="23"/>
      <c r="Q696" s="23"/>
      <c r="R696" s="5" t="s">
        <v>392</v>
      </c>
      <c r="S696" s="5" t="s">
        <v>392</v>
      </c>
      <c r="T696" t="s">
        <v>69</v>
      </c>
    </row>
    <row r="697" spans="1:20" x14ac:dyDescent="0.25">
      <c r="B697" t="s">
        <v>273</v>
      </c>
      <c r="C697" s="21">
        <v>1</v>
      </c>
      <c r="D697" s="21">
        <v>2</v>
      </c>
      <c r="E697" s="21">
        <v>3</v>
      </c>
      <c r="F697" s="21">
        <v>4</v>
      </c>
      <c r="G697" s="21">
        <v>5</v>
      </c>
      <c r="H697" s="21">
        <v>6</v>
      </c>
      <c r="I697" s="21">
        <v>7</v>
      </c>
      <c r="J697" s="21">
        <v>8</v>
      </c>
      <c r="K697" s="21">
        <v>9</v>
      </c>
      <c r="L697" s="21">
        <v>10</v>
      </c>
      <c r="M697" s="21">
        <v>11</v>
      </c>
      <c r="N697" s="21">
        <v>12</v>
      </c>
      <c r="O697" s="21">
        <v>13</v>
      </c>
      <c r="P697" s="21">
        <v>14</v>
      </c>
      <c r="Q697" s="21">
        <v>15</v>
      </c>
      <c r="R697" s="5" t="s">
        <v>11</v>
      </c>
      <c r="S697" s="5" t="s">
        <v>1024</v>
      </c>
      <c r="T697" t="s">
        <v>124</v>
      </c>
    </row>
    <row r="698" spans="1:20" x14ac:dyDescent="0.25">
      <c r="A698" t="s">
        <v>872</v>
      </c>
      <c r="B698" t="s">
        <v>10</v>
      </c>
      <c r="C698" s="2">
        <v>0.3775</v>
      </c>
      <c r="D698" s="2">
        <v>0.4083</v>
      </c>
      <c r="E698" s="2">
        <v>0.439</v>
      </c>
      <c r="F698" s="2">
        <v>0.4829</v>
      </c>
      <c r="G698" s="2">
        <v>0.51359999999999995</v>
      </c>
      <c r="H698" s="2">
        <v>0.54879999999999995</v>
      </c>
      <c r="I698" s="2">
        <v>0.59699999999999998</v>
      </c>
      <c r="J698" s="2">
        <v>0.64529999999999998</v>
      </c>
      <c r="K698" s="2">
        <v>0.69359999999999999</v>
      </c>
      <c r="L698" s="2">
        <v>0.74629999999999996</v>
      </c>
      <c r="M698" s="2">
        <v>0.79900000000000004</v>
      </c>
      <c r="N698" s="2">
        <v>0.85170000000000001</v>
      </c>
      <c r="O698" s="2">
        <v>0.90429999999999999</v>
      </c>
      <c r="P698" s="2">
        <v>0.95699999999999996</v>
      </c>
      <c r="Q698" s="2">
        <v>1.0097</v>
      </c>
      <c r="R698" t="s">
        <v>6</v>
      </c>
      <c r="S698" t="s">
        <v>6</v>
      </c>
      <c r="T698" t="s">
        <v>125</v>
      </c>
    </row>
    <row r="699" spans="1:20" x14ac:dyDescent="0.25">
      <c r="B699" t="s">
        <v>9</v>
      </c>
      <c r="C699" s="2">
        <v>0.38869999999999999</v>
      </c>
      <c r="D699" s="2">
        <v>0.4204</v>
      </c>
      <c r="E699" s="2">
        <v>0.45200000000000001</v>
      </c>
      <c r="F699" s="2">
        <v>0.49719999999999998</v>
      </c>
      <c r="G699" s="2">
        <v>0.52880000000000005</v>
      </c>
      <c r="H699" s="2">
        <v>0.56499999999999995</v>
      </c>
      <c r="I699" s="2">
        <v>0.61470000000000002</v>
      </c>
      <c r="J699" s="2">
        <v>0.66439999999999999</v>
      </c>
      <c r="K699" s="2">
        <v>0.71419999999999995</v>
      </c>
      <c r="L699" s="2">
        <v>0.76839999999999997</v>
      </c>
      <c r="M699" s="2">
        <v>0.8226</v>
      </c>
      <c r="N699" s="2">
        <v>0.87690000000000001</v>
      </c>
      <c r="O699" s="2">
        <v>0.93110000000000004</v>
      </c>
      <c r="P699" s="2">
        <v>0.98540000000000005</v>
      </c>
      <c r="Q699" s="2">
        <v>1.0396000000000001</v>
      </c>
      <c r="R699" t="s">
        <v>6</v>
      </c>
      <c r="S699" t="s">
        <v>6</v>
      </c>
      <c r="T699" t="s">
        <v>125</v>
      </c>
    </row>
    <row r="700" spans="1:20" ht="30" customHeight="1" x14ac:dyDescent="0.25">
      <c r="B700" t="s">
        <v>275</v>
      </c>
      <c r="C700" s="2">
        <v>0.2417</v>
      </c>
      <c r="D700" s="2">
        <v>0.26129999999999998</v>
      </c>
      <c r="E700" s="2">
        <v>0.28100000000000003</v>
      </c>
      <c r="F700" s="2">
        <v>0.30909999999999999</v>
      </c>
      <c r="G700" s="2">
        <v>0.32879999999999998</v>
      </c>
      <c r="H700" s="2">
        <v>0.3513</v>
      </c>
      <c r="I700" s="2">
        <v>0.38219999999999998</v>
      </c>
      <c r="J700" s="2">
        <v>0.41310000000000002</v>
      </c>
      <c r="K700" s="2">
        <v>0.44400000000000001</v>
      </c>
      <c r="L700" s="2">
        <v>0.47770000000000001</v>
      </c>
      <c r="M700" s="2">
        <v>0.51139999999999997</v>
      </c>
      <c r="N700" s="2">
        <v>0.54510000000000003</v>
      </c>
      <c r="O700" s="2">
        <v>0.57889999999999997</v>
      </c>
      <c r="P700" s="2">
        <v>0.61260000000000003</v>
      </c>
      <c r="Q700" s="2">
        <v>0.64629999999999999</v>
      </c>
      <c r="R700" t="s">
        <v>6</v>
      </c>
      <c r="S700" t="s">
        <v>6</v>
      </c>
      <c r="T700" t="s">
        <v>125</v>
      </c>
    </row>
    <row r="701" spans="1:20" x14ac:dyDescent="0.25">
      <c r="B701" t="s">
        <v>274</v>
      </c>
      <c r="C701" s="2">
        <v>0.24679999999999999</v>
      </c>
      <c r="D701" s="2">
        <v>0.26690000000000003</v>
      </c>
      <c r="E701" s="2">
        <v>0.28699999999999998</v>
      </c>
      <c r="F701" s="2">
        <v>0.31569999999999998</v>
      </c>
      <c r="G701" s="2">
        <v>0.33579999999999999</v>
      </c>
      <c r="H701" s="2">
        <v>0.35880000000000001</v>
      </c>
      <c r="I701" s="2">
        <v>0.39029999999999998</v>
      </c>
      <c r="J701" s="2">
        <v>0.4219</v>
      </c>
      <c r="K701" s="2">
        <v>0.45350000000000001</v>
      </c>
      <c r="L701" s="2">
        <v>0.4879</v>
      </c>
      <c r="M701" s="2">
        <v>0.52229999999999999</v>
      </c>
      <c r="N701" s="2">
        <v>0.55679999999999996</v>
      </c>
      <c r="O701" s="2">
        <v>0.59119999999999995</v>
      </c>
      <c r="P701" s="2">
        <v>0.62570000000000003</v>
      </c>
      <c r="Q701" s="2">
        <v>0.66010000000000002</v>
      </c>
      <c r="R701" t="s">
        <v>6</v>
      </c>
      <c r="S701" t="s">
        <v>6</v>
      </c>
      <c r="T701" t="s">
        <v>125</v>
      </c>
    </row>
    <row r="702" spans="1:20" x14ac:dyDescent="0.25">
      <c r="B702" t="s">
        <v>7</v>
      </c>
      <c r="C702" s="2">
        <v>0.63039999999999996</v>
      </c>
      <c r="D702" s="2">
        <v>0.68169999999999997</v>
      </c>
      <c r="E702" s="2">
        <v>0.73299999999999998</v>
      </c>
      <c r="F702" s="2">
        <v>0.80630000000000002</v>
      </c>
      <c r="G702" s="2">
        <v>0.85760000000000003</v>
      </c>
      <c r="H702" s="2">
        <v>0.9163</v>
      </c>
      <c r="I702" s="2">
        <v>0.99690000000000001</v>
      </c>
      <c r="J702" s="2">
        <v>1.0774999999999999</v>
      </c>
      <c r="K702" s="2">
        <v>1.1580999999999999</v>
      </c>
      <c r="L702" s="2">
        <v>1.2461</v>
      </c>
      <c r="M702" s="2">
        <v>1.3341000000000001</v>
      </c>
      <c r="N702" s="2">
        <v>1.4219999999999999</v>
      </c>
      <c r="O702" s="2">
        <v>1.51</v>
      </c>
      <c r="P702" s="2">
        <v>1.5979000000000001</v>
      </c>
      <c r="Q702" s="2">
        <v>1.6859</v>
      </c>
      <c r="R702" t="s">
        <v>6</v>
      </c>
      <c r="S702" t="s">
        <v>6</v>
      </c>
      <c r="T702" t="s">
        <v>125</v>
      </c>
    </row>
    <row r="703" spans="1:20" x14ac:dyDescent="0.25">
      <c r="B703" t="s">
        <v>276</v>
      </c>
      <c r="C703" s="2">
        <v>0.64329999999999998</v>
      </c>
      <c r="D703" s="2">
        <v>0.6956</v>
      </c>
      <c r="E703" s="2">
        <v>0.748</v>
      </c>
      <c r="F703" s="2">
        <v>0.82279999999999998</v>
      </c>
      <c r="G703" s="2">
        <v>0.87519999999999998</v>
      </c>
      <c r="H703" s="2">
        <v>0.93500000000000005</v>
      </c>
      <c r="I703" s="2">
        <v>1.0173000000000001</v>
      </c>
      <c r="J703" s="2">
        <v>1.0995999999999999</v>
      </c>
      <c r="K703" s="2">
        <v>1.1818</v>
      </c>
      <c r="L703" s="2">
        <v>1.2716000000000001</v>
      </c>
      <c r="M703" s="2">
        <v>1.3613999999999999</v>
      </c>
      <c r="N703" s="2">
        <v>1.4511000000000001</v>
      </c>
      <c r="O703" s="2">
        <v>1.5408999999999999</v>
      </c>
      <c r="P703" s="2">
        <v>1.6306</v>
      </c>
      <c r="Q703" s="2">
        <v>1.7203999999999999</v>
      </c>
      <c r="R703" t="s">
        <v>5</v>
      </c>
      <c r="S703" t="s">
        <v>5</v>
      </c>
      <c r="T703" t="s">
        <v>125</v>
      </c>
    </row>
    <row r="704" spans="1:20" x14ac:dyDescent="0.25">
      <c r="B704" t="s">
        <v>15</v>
      </c>
      <c r="C704" s="2">
        <v>0.63929999999999998</v>
      </c>
      <c r="D704" s="2">
        <v>0.69140000000000001</v>
      </c>
      <c r="E704" s="2">
        <v>0.74339999999999995</v>
      </c>
      <c r="F704" s="2">
        <v>0.81769999999999998</v>
      </c>
      <c r="G704" s="2">
        <v>0.86980000000000002</v>
      </c>
      <c r="H704" s="2">
        <v>0.92930000000000001</v>
      </c>
      <c r="I704" s="2">
        <v>1.0109999999999999</v>
      </c>
      <c r="J704" s="2">
        <v>1.0928</v>
      </c>
      <c r="K704" s="2">
        <v>1.1746000000000001</v>
      </c>
      <c r="L704" s="2">
        <v>1.2638</v>
      </c>
      <c r="M704" s="2">
        <v>1.353</v>
      </c>
      <c r="N704" s="2">
        <v>1.4421999999999999</v>
      </c>
      <c r="O704" s="2">
        <v>1.5314000000000001</v>
      </c>
      <c r="P704" s="2">
        <v>1.6206</v>
      </c>
      <c r="Q704" s="2">
        <v>1.7098</v>
      </c>
      <c r="R704" t="s">
        <v>3</v>
      </c>
      <c r="S704" t="s">
        <v>3</v>
      </c>
      <c r="T704" t="s">
        <v>125</v>
      </c>
    </row>
    <row r="705" spans="2:21" x14ac:dyDescent="0.25">
      <c r="B705" t="s">
        <v>133</v>
      </c>
      <c r="C705" s="2">
        <v>1.2784</v>
      </c>
      <c r="D705" s="2">
        <v>1.3824000000000001</v>
      </c>
      <c r="E705" s="2">
        <v>1.4864999999999999</v>
      </c>
      <c r="F705" s="2">
        <v>1.6351</v>
      </c>
      <c r="G705" s="2">
        <v>1.7392000000000001</v>
      </c>
      <c r="H705" s="2">
        <v>1.8581000000000001</v>
      </c>
      <c r="I705" s="2">
        <v>2.0215999999999998</v>
      </c>
      <c r="J705" s="2">
        <v>2.1850999999999998</v>
      </c>
      <c r="K705" s="2">
        <v>2.3485999999999998</v>
      </c>
      <c r="L705" s="2">
        <v>2.5270000000000001</v>
      </c>
      <c r="M705" s="2">
        <v>2.7054</v>
      </c>
      <c r="N705" s="2">
        <v>2.8837999999999999</v>
      </c>
      <c r="O705" s="2">
        <v>3.0621999999999998</v>
      </c>
      <c r="P705" s="2">
        <v>3.2404999999999999</v>
      </c>
      <c r="Q705" s="2">
        <v>3.4188999999999998</v>
      </c>
      <c r="R705" t="s">
        <v>3</v>
      </c>
      <c r="S705" t="s">
        <v>3</v>
      </c>
      <c r="T705" t="s">
        <v>125</v>
      </c>
    </row>
    <row r="706" spans="2:21" x14ac:dyDescent="0.25">
      <c r="B706" t="s">
        <v>134</v>
      </c>
      <c r="C706" s="2">
        <v>1.5968</v>
      </c>
      <c r="D706" s="2">
        <v>1.7266999999999999</v>
      </c>
      <c r="E706" s="2">
        <v>1.8567</v>
      </c>
      <c r="F706" s="2">
        <v>2.0424000000000002</v>
      </c>
      <c r="G706" s="2">
        <v>2.1722999999999999</v>
      </c>
      <c r="H706" s="2">
        <v>2.3209</v>
      </c>
      <c r="I706" s="2">
        <v>2.5251000000000001</v>
      </c>
      <c r="J706" s="2">
        <v>2.7292999999999998</v>
      </c>
      <c r="K706" s="2">
        <v>2.9336000000000002</v>
      </c>
      <c r="L706" s="2">
        <v>3.1564000000000001</v>
      </c>
      <c r="M706" s="2">
        <v>3.3792</v>
      </c>
      <c r="N706" s="2">
        <v>3.6019999999999999</v>
      </c>
      <c r="O706" s="2">
        <v>3.8248000000000002</v>
      </c>
      <c r="P706" s="2">
        <v>4.0476000000000001</v>
      </c>
      <c r="Q706" s="2">
        <v>4.2704000000000004</v>
      </c>
      <c r="R706" t="s">
        <v>3</v>
      </c>
      <c r="S706" t="s">
        <v>3</v>
      </c>
      <c r="T706" t="s">
        <v>125</v>
      </c>
    </row>
    <row r="707" spans="2:21" x14ac:dyDescent="0.25">
      <c r="B707" t="s">
        <v>928</v>
      </c>
      <c r="C707" s="2">
        <v>0.1056</v>
      </c>
      <c r="D707" s="2">
        <v>0.1135</v>
      </c>
      <c r="E707" s="2">
        <v>0.12139999999999999</v>
      </c>
      <c r="F707" s="2">
        <v>0.13200000000000001</v>
      </c>
      <c r="G707" s="2">
        <v>0.1399</v>
      </c>
      <c r="H707" s="2">
        <v>0.14779999999999999</v>
      </c>
      <c r="I707" s="2">
        <v>0.15840000000000001</v>
      </c>
      <c r="J707" s="2">
        <v>0.16900000000000001</v>
      </c>
      <c r="K707" s="2">
        <v>0.17949999999999999</v>
      </c>
      <c r="L707" s="2">
        <v>0.19009999999999999</v>
      </c>
      <c r="M707" s="2">
        <v>0.2006</v>
      </c>
      <c r="N707" s="2">
        <v>0.2112</v>
      </c>
      <c r="O707" s="2">
        <v>0.22439999999999999</v>
      </c>
      <c r="P707" s="2">
        <v>0.23760000000000001</v>
      </c>
      <c r="Q707" s="2">
        <v>0.25080000000000002</v>
      </c>
      <c r="R707" t="s">
        <v>19</v>
      </c>
      <c r="S707" t="s">
        <v>19</v>
      </c>
      <c r="T707" t="s">
        <v>125</v>
      </c>
      <c r="U707" t="s">
        <v>944</v>
      </c>
    </row>
    <row r="708" spans="2:21" x14ac:dyDescent="0.25">
      <c r="B708" t="s">
        <v>929</v>
      </c>
      <c r="C708">
        <v>67</v>
      </c>
      <c r="D708">
        <v>74</v>
      </c>
      <c r="E708">
        <v>81</v>
      </c>
      <c r="F708">
        <v>89</v>
      </c>
      <c r="G708">
        <v>98</v>
      </c>
      <c r="H708">
        <v>107</v>
      </c>
      <c r="I708">
        <v>116</v>
      </c>
      <c r="J708">
        <v>126</v>
      </c>
      <c r="K708">
        <v>137</v>
      </c>
      <c r="L708">
        <v>148</v>
      </c>
      <c r="M708">
        <v>160</v>
      </c>
      <c r="N708">
        <v>172</v>
      </c>
      <c r="O708">
        <v>185</v>
      </c>
      <c r="P708">
        <v>199</v>
      </c>
      <c r="Q708">
        <v>213</v>
      </c>
      <c r="R708" t="s">
        <v>19</v>
      </c>
      <c r="S708" t="s">
        <v>19</v>
      </c>
      <c r="T708" t="s">
        <v>223</v>
      </c>
      <c r="U708" t="s">
        <v>945</v>
      </c>
    </row>
    <row r="709" spans="2:21" x14ac:dyDescent="0.25">
      <c r="B709" t="s">
        <v>930</v>
      </c>
      <c r="C709" s="2">
        <v>0.69599999999999995</v>
      </c>
      <c r="D709" s="2">
        <v>0.74819999999999998</v>
      </c>
      <c r="E709" s="2">
        <v>0.8004</v>
      </c>
      <c r="F709" s="2">
        <v>0.87</v>
      </c>
      <c r="G709" s="2">
        <v>0.92220000000000002</v>
      </c>
      <c r="H709" s="2">
        <v>0.97440000000000004</v>
      </c>
      <c r="I709" s="2">
        <v>1.044</v>
      </c>
      <c r="J709" s="2">
        <v>1.1135999999999999</v>
      </c>
      <c r="K709" s="2">
        <v>1.1832</v>
      </c>
      <c r="L709" s="2">
        <v>1.2527999999999999</v>
      </c>
      <c r="M709" s="2">
        <v>1.3224</v>
      </c>
      <c r="N709" s="2">
        <v>1.3919999999999999</v>
      </c>
      <c r="O709" s="2">
        <v>1.4790000000000001</v>
      </c>
      <c r="P709" s="2">
        <v>1.5660000000000001</v>
      </c>
      <c r="Q709" s="2">
        <v>1.653</v>
      </c>
      <c r="R709" t="s">
        <v>19</v>
      </c>
      <c r="S709" t="s">
        <v>19</v>
      </c>
      <c r="T709" t="s">
        <v>125</v>
      </c>
      <c r="U709" t="s">
        <v>944</v>
      </c>
    </row>
    <row r="710" spans="2:21" x14ac:dyDescent="0.25">
      <c r="B710" t="s">
        <v>931</v>
      </c>
      <c r="C710">
        <v>451</v>
      </c>
      <c r="D710">
        <v>496</v>
      </c>
      <c r="E710">
        <v>544</v>
      </c>
      <c r="F710">
        <v>597</v>
      </c>
      <c r="G710">
        <v>653</v>
      </c>
      <c r="H710">
        <v>713</v>
      </c>
      <c r="I710">
        <v>777</v>
      </c>
      <c r="J710">
        <v>845</v>
      </c>
      <c r="K710">
        <v>916</v>
      </c>
      <c r="L710">
        <v>991</v>
      </c>
      <c r="M710">
        <v>1070</v>
      </c>
      <c r="N710">
        <v>1153</v>
      </c>
      <c r="O710">
        <v>1239</v>
      </c>
      <c r="P710">
        <v>1329</v>
      </c>
      <c r="Q710">
        <v>1423</v>
      </c>
      <c r="R710" t="s">
        <v>19</v>
      </c>
      <c r="S710" t="s">
        <v>19</v>
      </c>
      <c r="T710" t="s">
        <v>223</v>
      </c>
      <c r="U710" t="s">
        <v>945</v>
      </c>
    </row>
    <row r="711" spans="2:21" x14ac:dyDescent="0.25">
      <c r="B711" t="s">
        <v>278</v>
      </c>
      <c r="C711" s="2">
        <v>0.96</v>
      </c>
      <c r="D711" s="2">
        <v>1.032</v>
      </c>
      <c r="E711" s="2">
        <v>1.1040000000000001</v>
      </c>
      <c r="F711" s="2">
        <v>1.2</v>
      </c>
      <c r="G711" s="2">
        <v>1.272</v>
      </c>
      <c r="H711" s="2">
        <v>1.3440000000000001</v>
      </c>
      <c r="I711" s="2">
        <v>1.44</v>
      </c>
      <c r="J711" s="2">
        <v>1.536</v>
      </c>
      <c r="K711" s="2">
        <v>1.6319999999999999</v>
      </c>
      <c r="L711" s="2">
        <v>1.728</v>
      </c>
      <c r="M711" s="2">
        <v>1.8240000000000001</v>
      </c>
      <c r="N711" s="2">
        <v>1.92</v>
      </c>
      <c r="O711" s="2">
        <v>2.04</v>
      </c>
      <c r="P711" s="2">
        <v>2.16</v>
      </c>
      <c r="Q711" s="2">
        <v>2.2799999999999998</v>
      </c>
      <c r="R711" t="s">
        <v>19</v>
      </c>
      <c r="S711" t="s">
        <v>19</v>
      </c>
      <c r="T711" t="s">
        <v>125</v>
      </c>
    </row>
    <row r="712" spans="2:21" x14ac:dyDescent="0.25">
      <c r="B712" t="s">
        <v>277</v>
      </c>
      <c r="C712" s="2">
        <v>0.36</v>
      </c>
      <c r="D712" s="2">
        <v>0.38700000000000001</v>
      </c>
      <c r="E712" s="2">
        <v>0.41399999999999998</v>
      </c>
      <c r="F712" s="2">
        <v>0.45</v>
      </c>
      <c r="G712" s="2">
        <v>0.47699999999999998</v>
      </c>
      <c r="H712" s="2">
        <v>0.504</v>
      </c>
      <c r="I712" s="2">
        <v>0.54</v>
      </c>
      <c r="J712" s="2">
        <v>0.57599999999999996</v>
      </c>
      <c r="K712" s="2">
        <v>0.61199999999999999</v>
      </c>
      <c r="L712" s="2">
        <v>0.64800000000000002</v>
      </c>
      <c r="M712" s="2">
        <v>0.68400000000000005</v>
      </c>
      <c r="N712" s="2">
        <v>0.72</v>
      </c>
      <c r="O712" s="2">
        <v>0.76500000000000001</v>
      </c>
      <c r="P712" s="2">
        <v>0.81</v>
      </c>
      <c r="Q712" s="2">
        <v>0.85499999999999998</v>
      </c>
      <c r="R712" t="s">
        <v>19</v>
      </c>
      <c r="S712" t="s">
        <v>19</v>
      </c>
      <c r="T712" t="s">
        <v>125</v>
      </c>
    </row>
    <row r="713" spans="2:21" x14ac:dyDescent="0.25">
      <c r="B713" t="s">
        <v>932</v>
      </c>
      <c r="C713" s="2">
        <v>0.9</v>
      </c>
      <c r="D713" s="2">
        <v>0.96750000000000003</v>
      </c>
      <c r="E713" s="2">
        <v>1.0349999999999999</v>
      </c>
      <c r="F713" s="2">
        <v>1.125</v>
      </c>
      <c r="G713" s="2">
        <v>1.1924999999999999</v>
      </c>
      <c r="H713" s="2">
        <v>1.26</v>
      </c>
      <c r="I713" s="2">
        <v>1.35</v>
      </c>
      <c r="J713" s="2">
        <v>1.44</v>
      </c>
      <c r="K713" s="2">
        <v>1.53</v>
      </c>
      <c r="L713" s="2">
        <v>1.62</v>
      </c>
      <c r="M713" s="2">
        <v>1.71</v>
      </c>
      <c r="N713" s="2">
        <v>1.8</v>
      </c>
      <c r="O713" s="2">
        <v>1.9125000000000001</v>
      </c>
      <c r="P713" s="2">
        <v>2.0249999999999999</v>
      </c>
      <c r="Q713" s="2">
        <v>2.1375000000000002</v>
      </c>
      <c r="R713" t="s">
        <v>0</v>
      </c>
      <c r="S713" t="s">
        <v>0</v>
      </c>
      <c r="T713" t="s">
        <v>125</v>
      </c>
      <c r="U713" t="s">
        <v>944</v>
      </c>
    </row>
    <row r="714" spans="2:21" x14ac:dyDescent="0.25">
      <c r="B714" t="s">
        <v>933</v>
      </c>
      <c r="C714">
        <v>577</v>
      </c>
      <c r="D714">
        <v>635</v>
      </c>
      <c r="E714">
        <v>698</v>
      </c>
      <c r="F714">
        <v>765</v>
      </c>
      <c r="G714">
        <v>837</v>
      </c>
      <c r="H714">
        <v>914</v>
      </c>
      <c r="I714">
        <v>996</v>
      </c>
      <c r="J714">
        <v>1083</v>
      </c>
      <c r="K714">
        <v>1174</v>
      </c>
      <c r="L714">
        <v>1270</v>
      </c>
      <c r="M714">
        <v>1371</v>
      </c>
      <c r="N714">
        <v>1477</v>
      </c>
      <c r="O714">
        <v>1588</v>
      </c>
      <c r="P714">
        <v>1703</v>
      </c>
      <c r="Q714">
        <v>1824</v>
      </c>
      <c r="R714" t="s">
        <v>0</v>
      </c>
      <c r="S714" t="s">
        <v>0</v>
      </c>
      <c r="T714" t="s">
        <v>223</v>
      </c>
      <c r="U714" t="s">
        <v>945</v>
      </c>
    </row>
    <row r="715" spans="2:21" x14ac:dyDescent="0.25">
      <c r="B715" t="s">
        <v>170</v>
      </c>
      <c r="C715" s="2">
        <v>2.8479999999999999</v>
      </c>
      <c r="D715" s="2">
        <v>3.0615999999999999</v>
      </c>
      <c r="E715" s="2">
        <v>3.2751999999999999</v>
      </c>
      <c r="F715" s="2">
        <v>3.56</v>
      </c>
      <c r="G715" s="2">
        <v>3.7736000000000001</v>
      </c>
      <c r="H715" s="2">
        <v>3.9872000000000001</v>
      </c>
      <c r="I715" s="2">
        <v>4.2720000000000002</v>
      </c>
      <c r="J715" s="2">
        <v>4.5568</v>
      </c>
      <c r="K715" s="2">
        <v>4.8415999999999997</v>
      </c>
      <c r="L715" s="2">
        <v>5.1264000000000003</v>
      </c>
      <c r="M715" s="2">
        <v>5.4112</v>
      </c>
      <c r="N715" s="2">
        <v>5.6959999999999997</v>
      </c>
      <c r="O715" s="2">
        <v>6.0519999999999996</v>
      </c>
      <c r="P715" s="2">
        <v>6.4080000000000004</v>
      </c>
      <c r="Q715" s="2">
        <v>6.7640000000000002</v>
      </c>
      <c r="R715" t="s">
        <v>0</v>
      </c>
      <c r="S715" t="s">
        <v>0</v>
      </c>
      <c r="T715" t="s">
        <v>125</v>
      </c>
    </row>
    <row r="716" spans="2:21" x14ac:dyDescent="0.25">
      <c r="B716" s="3" t="s">
        <v>763</v>
      </c>
      <c r="C716" s="23"/>
      <c r="D716" s="23"/>
      <c r="E716" s="23"/>
      <c r="F716" s="23"/>
      <c r="G716" s="23"/>
      <c r="H716" s="23"/>
      <c r="I716" s="23"/>
      <c r="J716" s="23"/>
      <c r="K716" s="23"/>
      <c r="L716" s="23"/>
      <c r="M716" s="23"/>
      <c r="N716" s="23"/>
      <c r="O716" s="23"/>
      <c r="P716" s="23"/>
      <c r="Q716" s="23"/>
      <c r="R716" s="5" t="s">
        <v>763</v>
      </c>
      <c r="S716" s="5" t="s">
        <v>763</v>
      </c>
      <c r="T716" t="s">
        <v>764</v>
      </c>
    </row>
    <row r="717" spans="2:21" x14ac:dyDescent="0.25">
      <c r="B717" s="3" t="s">
        <v>386</v>
      </c>
      <c r="C717" s="23"/>
      <c r="D717" s="23"/>
      <c r="E717" s="23"/>
      <c r="F717" s="23"/>
      <c r="G717" s="23"/>
      <c r="H717" s="23"/>
      <c r="I717" s="23"/>
      <c r="J717" s="23"/>
      <c r="K717" s="23"/>
      <c r="L717" s="23"/>
      <c r="M717" s="23"/>
      <c r="N717" s="23"/>
      <c r="O717" s="23"/>
      <c r="P717" s="23"/>
      <c r="Q717" s="23"/>
      <c r="R717" s="5" t="s">
        <v>392</v>
      </c>
      <c r="S717" s="5" t="s">
        <v>392</v>
      </c>
      <c r="T717" t="s">
        <v>69</v>
      </c>
    </row>
    <row r="718" spans="2:21" x14ac:dyDescent="0.25">
      <c r="B718" s="3" t="s">
        <v>388</v>
      </c>
      <c r="C718" s="23"/>
      <c r="D718" s="23"/>
      <c r="E718" s="23"/>
      <c r="F718" s="23"/>
      <c r="G718" s="23"/>
      <c r="H718" s="23"/>
      <c r="I718" s="23"/>
      <c r="J718" s="23"/>
      <c r="K718" s="23"/>
      <c r="L718" s="23"/>
      <c r="M718" s="23"/>
      <c r="N718" s="23"/>
      <c r="O718" s="23"/>
      <c r="P718" s="23"/>
      <c r="Q718" s="23"/>
      <c r="R718" s="5" t="s">
        <v>392</v>
      </c>
      <c r="S718" s="5" t="s">
        <v>392</v>
      </c>
      <c r="T718" t="s">
        <v>69</v>
      </c>
    </row>
    <row r="719" spans="2:21" x14ac:dyDescent="0.25">
      <c r="B719" s="3" t="s">
        <v>389</v>
      </c>
      <c r="C719" s="23"/>
      <c r="D719" s="23"/>
      <c r="E719" s="23"/>
      <c r="F719" s="23"/>
      <c r="G719" s="23"/>
      <c r="H719" s="23"/>
      <c r="I719" s="23"/>
      <c r="J719" s="23"/>
      <c r="K719" s="23"/>
      <c r="L719" s="23"/>
      <c r="M719" s="23"/>
      <c r="N719" s="23"/>
      <c r="O719" s="23"/>
      <c r="P719" s="23"/>
      <c r="Q719" s="23"/>
      <c r="R719" s="5" t="s">
        <v>392</v>
      </c>
      <c r="S719" s="5" t="s">
        <v>392</v>
      </c>
      <c r="T719" t="s">
        <v>69</v>
      </c>
    </row>
    <row r="720" spans="2:21" x14ac:dyDescent="0.25">
      <c r="B720" s="3" t="s">
        <v>385</v>
      </c>
      <c r="C720" s="23"/>
      <c r="D720" s="23"/>
      <c r="E720" s="23"/>
      <c r="F720" s="23"/>
      <c r="G720" s="23"/>
      <c r="H720" s="23"/>
      <c r="I720" s="23"/>
      <c r="J720" s="23"/>
      <c r="K720" s="23"/>
      <c r="L720" s="23"/>
      <c r="M720" s="23"/>
      <c r="N720" s="23"/>
      <c r="O720" s="23"/>
      <c r="P720" s="23"/>
      <c r="Q720" s="23"/>
      <c r="R720" s="5" t="s">
        <v>392</v>
      </c>
      <c r="S720" s="5" t="s">
        <v>392</v>
      </c>
      <c r="T720" t="s">
        <v>69</v>
      </c>
    </row>
    <row r="721" spans="1:20" x14ac:dyDescent="0.25">
      <c r="B721" s="3" t="s">
        <v>387</v>
      </c>
      <c r="C721" s="23"/>
      <c r="D721" s="23"/>
      <c r="E721" s="23"/>
      <c r="F721" s="23"/>
      <c r="G721" s="23"/>
      <c r="H721" s="23"/>
      <c r="I721" s="23"/>
      <c r="J721" s="23"/>
      <c r="K721" s="23"/>
      <c r="L721" s="23"/>
      <c r="M721" s="23"/>
      <c r="N721" s="23"/>
      <c r="O721" s="23"/>
      <c r="P721" s="23"/>
      <c r="Q721" s="23"/>
      <c r="R721" s="5" t="s">
        <v>392</v>
      </c>
      <c r="S721" s="5" t="s">
        <v>392</v>
      </c>
      <c r="T721" t="s">
        <v>69</v>
      </c>
    </row>
    <row r="722" spans="1:20" x14ac:dyDescent="0.25">
      <c r="B722" s="3" t="s">
        <v>390</v>
      </c>
      <c r="C722" s="23"/>
      <c r="D722" s="23"/>
      <c r="E722" s="23"/>
      <c r="F722" s="23"/>
      <c r="G722" s="23"/>
      <c r="H722" s="23"/>
      <c r="I722" s="23"/>
      <c r="J722" s="23"/>
      <c r="K722" s="23"/>
      <c r="L722" s="23"/>
      <c r="M722" s="23"/>
      <c r="N722" s="23"/>
      <c r="O722" s="23"/>
      <c r="P722" s="23"/>
      <c r="Q722" s="23"/>
      <c r="R722" s="5" t="s">
        <v>392</v>
      </c>
      <c r="S722" s="5" t="s">
        <v>392</v>
      </c>
      <c r="T722" t="s">
        <v>69</v>
      </c>
    </row>
    <row r="723" spans="1:20" x14ac:dyDescent="0.25">
      <c r="B723" s="3" t="s">
        <v>391</v>
      </c>
      <c r="C723" s="23"/>
      <c r="D723" s="23"/>
      <c r="E723" s="23"/>
      <c r="F723" s="23"/>
      <c r="G723" s="23"/>
      <c r="H723" s="23"/>
      <c r="I723" s="23"/>
      <c r="J723" s="23"/>
      <c r="K723" s="23"/>
      <c r="L723" s="23"/>
      <c r="M723" s="23"/>
      <c r="N723" s="23"/>
      <c r="O723" s="23"/>
      <c r="P723" s="23"/>
      <c r="Q723" s="23"/>
      <c r="R723" s="5" t="s">
        <v>392</v>
      </c>
      <c r="S723" s="5" t="s">
        <v>392</v>
      </c>
      <c r="T723" t="s">
        <v>69</v>
      </c>
    </row>
    <row r="724" spans="1:20" x14ac:dyDescent="0.25">
      <c r="A724" t="s">
        <v>873</v>
      </c>
      <c r="B724" s="3" t="s">
        <v>393</v>
      </c>
      <c r="C724" s="23"/>
      <c r="D724" s="23"/>
      <c r="E724" s="23"/>
      <c r="F724" s="23"/>
      <c r="G724" s="23"/>
      <c r="H724" s="23"/>
      <c r="I724" s="23"/>
      <c r="J724" s="23"/>
      <c r="K724" s="23"/>
      <c r="L724" s="23"/>
      <c r="M724" s="23"/>
      <c r="N724" s="23"/>
      <c r="O724" s="23"/>
      <c r="P724" s="23"/>
      <c r="Q724" s="23"/>
      <c r="R724" s="5" t="s">
        <v>392</v>
      </c>
      <c r="S724" s="5" t="s">
        <v>392</v>
      </c>
      <c r="T724" t="s">
        <v>69</v>
      </c>
    </row>
    <row r="725" spans="1:20" x14ac:dyDescent="0.25">
      <c r="B725" t="s">
        <v>279</v>
      </c>
      <c r="C725" s="21">
        <v>1</v>
      </c>
      <c r="D725" s="21">
        <v>2</v>
      </c>
      <c r="E725" s="21">
        <v>3</v>
      </c>
      <c r="F725" s="21">
        <v>4</v>
      </c>
      <c r="G725" s="21">
        <v>5</v>
      </c>
      <c r="H725" s="21">
        <v>6</v>
      </c>
      <c r="I725" s="21">
        <v>7</v>
      </c>
      <c r="J725" s="21">
        <v>8</v>
      </c>
      <c r="K725" s="21">
        <v>9</v>
      </c>
      <c r="L725" s="21">
        <v>10</v>
      </c>
      <c r="M725" s="21">
        <v>11</v>
      </c>
      <c r="N725" s="21">
        <v>12</v>
      </c>
      <c r="O725" s="21">
        <v>13</v>
      </c>
      <c r="P725" s="21">
        <v>14</v>
      </c>
      <c r="Q725" s="21">
        <v>15</v>
      </c>
      <c r="R725" s="5" t="s">
        <v>11</v>
      </c>
      <c r="S725" s="5" t="s">
        <v>1024</v>
      </c>
      <c r="T725" t="s">
        <v>124</v>
      </c>
    </row>
    <row r="726" spans="1:20" x14ac:dyDescent="0.25">
      <c r="A726" t="s">
        <v>874</v>
      </c>
      <c r="B726" t="s">
        <v>10</v>
      </c>
      <c r="C726" s="2">
        <v>0.95920000000000005</v>
      </c>
      <c r="D726" s="2">
        <v>1.0246</v>
      </c>
      <c r="E726" s="2">
        <v>1.0900000000000001</v>
      </c>
      <c r="F726" s="2">
        <v>1.1772</v>
      </c>
      <c r="G726" s="2">
        <v>1.2425999999999999</v>
      </c>
      <c r="H726" s="2">
        <v>1.3189</v>
      </c>
      <c r="I726" s="2">
        <v>1.417</v>
      </c>
      <c r="J726" s="2">
        <v>1.5150999999999999</v>
      </c>
      <c r="K726" s="2">
        <v>1.6132</v>
      </c>
      <c r="L726" s="2">
        <v>1.7113</v>
      </c>
      <c r="M726" s="2">
        <v>1.8093999999999999</v>
      </c>
      <c r="N726" s="2">
        <v>1.9075</v>
      </c>
      <c r="O726" s="2">
        <v>2.0055999999999998</v>
      </c>
      <c r="P726" s="2">
        <v>2.1036999999999999</v>
      </c>
      <c r="Q726" s="2">
        <v>2.2018</v>
      </c>
      <c r="R726" t="s">
        <v>6</v>
      </c>
      <c r="S726" t="s">
        <v>6</v>
      </c>
      <c r="T726" t="s">
        <v>125</v>
      </c>
    </row>
    <row r="727" spans="1:20" x14ac:dyDescent="0.25">
      <c r="B727" t="s">
        <v>9</v>
      </c>
      <c r="C727" s="2">
        <v>0.82630000000000003</v>
      </c>
      <c r="D727" s="2">
        <v>0.88270000000000004</v>
      </c>
      <c r="E727" s="2">
        <v>0.93899999999999995</v>
      </c>
      <c r="F727" s="2">
        <v>1.0141</v>
      </c>
      <c r="G727" s="2">
        <v>1.0705</v>
      </c>
      <c r="H727" s="2">
        <v>1.1362000000000001</v>
      </c>
      <c r="I727" s="2">
        <v>1.2206999999999999</v>
      </c>
      <c r="J727" s="2">
        <v>1.3051999999999999</v>
      </c>
      <c r="K727" s="2">
        <v>1.3896999999999999</v>
      </c>
      <c r="L727" s="2">
        <v>1.4742</v>
      </c>
      <c r="M727" s="2">
        <v>1.5587</v>
      </c>
      <c r="N727" s="2">
        <v>1.6433</v>
      </c>
      <c r="O727" s="2">
        <v>1.7278</v>
      </c>
      <c r="P727" s="2">
        <v>1.8123</v>
      </c>
      <c r="Q727" s="2">
        <v>1.8968</v>
      </c>
      <c r="R727" t="s">
        <v>6</v>
      </c>
      <c r="S727" t="s">
        <v>6</v>
      </c>
      <c r="T727" t="s">
        <v>125</v>
      </c>
    </row>
    <row r="728" spans="1:20" x14ac:dyDescent="0.25">
      <c r="B728" t="s">
        <v>8</v>
      </c>
      <c r="C728" s="2">
        <v>1.0330999999999999</v>
      </c>
      <c r="D728" s="2">
        <v>1.1035999999999999</v>
      </c>
      <c r="E728" s="2">
        <v>1.1739999999999999</v>
      </c>
      <c r="F728" s="2">
        <v>1.2679</v>
      </c>
      <c r="G728" s="2">
        <v>1.3384</v>
      </c>
      <c r="H728" s="2">
        <v>1.4205000000000001</v>
      </c>
      <c r="I728" s="2">
        <v>1.5262</v>
      </c>
      <c r="J728" s="2">
        <v>1.6318999999999999</v>
      </c>
      <c r="K728" s="2">
        <v>1.7375</v>
      </c>
      <c r="L728" s="2">
        <v>1.8431999999999999</v>
      </c>
      <c r="M728" s="2">
        <v>1.9488000000000001</v>
      </c>
      <c r="N728" s="2">
        <v>2.0545</v>
      </c>
      <c r="O728" s="2">
        <v>2.1602000000000001</v>
      </c>
      <c r="P728" s="2">
        <v>2.2658</v>
      </c>
      <c r="Q728" s="2">
        <v>2.3715000000000002</v>
      </c>
      <c r="R728" t="s">
        <v>6</v>
      </c>
      <c r="S728" t="s">
        <v>6</v>
      </c>
      <c r="T728" t="s">
        <v>125</v>
      </c>
    </row>
    <row r="729" spans="1:20" x14ac:dyDescent="0.25">
      <c r="B729" t="s">
        <v>13</v>
      </c>
      <c r="C729" s="2">
        <v>1.3605</v>
      </c>
      <c r="D729" s="2">
        <v>1.4532</v>
      </c>
      <c r="E729" s="2">
        <v>1.546</v>
      </c>
      <c r="F729" s="2">
        <v>1.6697</v>
      </c>
      <c r="G729" s="2">
        <v>1.7624</v>
      </c>
      <c r="H729" s="2">
        <v>1.8707</v>
      </c>
      <c r="I729" s="2">
        <v>2.0097999999999998</v>
      </c>
      <c r="J729" s="2">
        <v>2.1488999999999998</v>
      </c>
      <c r="K729" s="2">
        <v>2.2881</v>
      </c>
      <c r="L729" s="2">
        <v>2.4272</v>
      </c>
      <c r="M729" s="2">
        <v>2.5663999999999998</v>
      </c>
      <c r="N729" s="2">
        <v>2.7054999999999998</v>
      </c>
      <c r="O729" s="2">
        <v>2.8445999999999998</v>
      </c>
      <c r="P729" s="2">
        <v>2.9838</v>
      </c>
      <c r="Q729" s="2">
        <v>3.1229</v>
      </c>
      <c r="R729" t="s">
        <v>6</v>
      </c>
      <c r="S729" t="s">
        <v>6</v>
      </c>
      <c r="T729" t="s">
        <v>125</v>
      </c>
    </row>
    <row r="730" spans="1:20" x14ac:dyDescent="0.25">
      <c r="B730" t="s">
        <v>154</v>
      </c>
      <c r="C730" s="2">
        <v>0.62539999999999996</v>
      </c>
      <c r="D730" s="2">
        <v>0.67630000000000001</v>
      </c>
      <c r="E730" s="2">
        <v>0.72719999999999996</v>
      </c>
      <c r="F730" s="2">
        <v>0.79990000000000006</v>
      </c>
      <c r="G730" s="2">
        <v>0.8508</v>
      </c>
      <c r="H730" s="2">
        <v>0.90900000000000003</v>
      </c>
      <c r="I730" s="2">
        <v>0.98899999999999999</v>
      </c>
      <c r="J730" s="2">
        <v>1.069</v>
      </c>
      <c r="K730" s="2">
        <v>1.149</v>
      </c>
      <c r="L730" s="2">
        <v>1.2362</v>
      </c>
      <c r="M730" s="2">
        <v>1.3234999999999999</v>
      </c>
      <c r="N730" s="2">
        <v>1.4108000000000001</v>
      </c>
      <c r="O730" s="2">
        <v>1.498</v>
      </c>
      <c r="P730" s="2">
        <v>1.5852999999999999</v>
      </c>
      <c r="Q730" s="2">
        <v>1.6726000000000001</v>
      </c>
      <c r="R730" t="s">
        <v>5</v>
      </c>
      <c r="S730" t="s">
        <v>5</v>
      </c>
      <c r="T730" t="s">
        <v>125</v>
      </c>
    </row>
    <row r="731" spans="1:20" x14ac:dyDescent="0.25">
      <c r="B731" t="s">
        <v>155</v>
      </c>
      <c r="C731" s="2">
        <v>1.1309</v>
      </c>
      <c r="D731" s="2">
        <v>1.2230000000000001</v>
      </c>
      <c r="E731" s="2">
        <v>1.3149999999999999</v>
      </c>
      <c r="F731" s="2">
        <v>1.4464999999999999</v>
      </c>
      <c r="G731" s="2">
        <v>1.5386</v>
      </c>
      <c r="H731" s="2">
        <v>1.6437999999999999</v>
      </c>
      <c r="I731" s="2">
        <v>1.7884</v>
      </c>
      <c r="J731" s="2">
        <v>1.9331</v>
      </c>
      <c r="K731" s="2">
        <v>2.0777000000000001</v>
      </c>
      <c r="L731" s="2">
        <v>2.2355</v>
      </c>
      <c r="M731" s="2">
        <v>2.3933</v>
      </c>
      <c r="N731" s="2">
        <v>2.5510999999999999</v>
      </c>
      <c r="O731" s="2">
        <v>2.7088999999999999</v>
      </c>
      <c r="P731" s="2">
        <v>2.8666999999999998</v>
      </c>
      <c r="Q731" s="2">
        <v>3.0245000000000002</v>
      </c>
      <c r="R731" t="s">
        <v>5</v>
      </c>
      <c r="S731" t="s">
        <v>5</v>
      </c>
      <c r="T731" t="s">
        <v>125</v>
      </c>
    </row>
    <row r="732" spans="1:20" x14ac:dyDescent="0.25">
      <c r="B732" t="s">
        <v>152</v>
      </c>
      <c r="C732" s="2">
        <v>0.82050000000000001</v>
      </c>
      <c r="D732" s="2">
        <v>0.88719999999999999</v>
      </c>
      <c r="E732" s="2">
        <v>0.95399999999999996</v>
      </c>
      <c r="F732" s="2">
        <v>1.0494000000000001</v>
      </c>
      <c r="G732" s="2">
        <v>1.1162000000000001</v>
      </c>
      <c r="H732" s="2">
        <v>1.1924999999999999</v>
      </c>
      <c r="I732" s="2">
        <v>1.2975000000000001</v>
      </c>
      <c r="J732" s="2">
        <v>1.4024000000000001</v>
      </c>
      <c r="K732" s="2">
        <v>1.5074000000000001</v>
      </c>
      <c r="L732" s="2">
        <v>1.6218999999999999</v>
      </c>
      <c r="M732" s="2">
        <v>1.7363</v>
      </c>
      <c r="N732" s="2">
        <v>1.8508</v>
      </c>
      <c r="O732" s="2">
        <v>1.9653</v>
      </c>
      <c r="P732" s="2">
        <v>2.0798000000000001</v>
      </c>
      <c r="Q732" s="2">
        <v>2.1943000000000001</v>
      </c>
      <c r="R732" t="s">
        <v>3</v>
      </c>
      <c r="S732" t="s">
        <v>3</v>
      </c>
      <c r="T732" t="s">
        <v>125</v>
      </c>
    </row>
    <row r="733" spans="1:20" x14ac:dyDescent="0.25">
      <c r="B733" t="s">
        <v>133</v>
      </c>
      <c r="C733" s="2">
        <v>1.6406000000000001</v>
      </c>
      <c r="D733" s="2">
        <v>1.7741</v>
      </c>
      <c r="E733" s="2">
        <v>1.9077</v>
      </c>
      <c r="F733" s="2">
        <v>2.0983999999999998</v>
      </c>
      <c r="G733" s="2">
        <v>2.2320000000000002</v>
      </c>
      <c r="H733" s="2">
        <v>2.3845999999999998</v>
      </c>
      <c r="I733" s="2">
        <v>2.5943999999999998</v>
      </c>
      <c r="J733" s="2">
        <v>2.8043</v>
      </c>
      <c r="K733" s="2">
        <v>3.0141</v>
      </c>
      <c r="L733" s="2">
        <v>3.2429999999999999</v>
      </c>
      <c r="M733" s="2">
        <v>3.4719000000000002</v>
      </c>
      <c r="N733" s="2">
        <v>3.7008999999999999</v>
      </c>
      <c r="O733" s="2">
        <v>3.9298000000000002</v>
      </c>
      <c r="P733" s="2">
        <v>4.1586999999999996</v>
      </c>
      <c r="Q733" s="2">
        <v>4.3875999999999999</v>
      </c>
      <c r="R733" t="s">
        <v>3</v>
      </c>
      <c r="S733" t="s">
        <v>3</v>
      </c>
      <c r="T733" t="s">
        <v>125</v>
      </c>
    </row>
    <row r="734" spans="1:20" x14ac:dyDescent="0.25">
      <c r="B734" t="s">
        <v>134</v>
      </c>
      <c r="C734" s="2">
        <v>2.0491999999999999</v>
      </c>
      <c r="D734" s="2">
        <v>2.2160000000000002</v>
      </c>
      <c r="E734" s="2">
        <v>2.3828</v>
      </c>
      <c r="F734" s="2">
        <v>2.621</v>
      </c>
      <c r="G734" s="2">
        <v>2.7877999999999998</v>
      </c>
      <c r="H734" s="2">
        <v>2.9784999999999999</v>
      </c>
      <c r="I734" s="2">
        <v>3.2406000000000001</v>
      </c>
      <c r="J734" s="2">
        <v>3.5026999999999999</v>
      </c>
      <c r="K734" s="2">
        <v>3.7648000000000001</v>
      </c>
      <c r="L734" s="2">
        <v>4.0507</v>
      </c>
      <c r="M734" s="2">
        <v>4.3365999999999998</v>
      </c>
      <c r="N734" s="2">
        <v>4.6226000000000003</v>
      </c>
      <c r="O734" s="2">
        <v>4.9085000000000001</v>
      </c>
      <c r="P734" s="2">
        <v>5.1943999999999999</v>
      </c>
      <c r="Q734" s="2">
        <v>5.4804000000000004</v>
      </c>
      <c r="R734" t="s">
        <v>3</v>
      </c>
      <c r="S734" t="s">
        <v>3</v>
      </c>
      <c r="T734" t="s">
        <v>125</v>
      </c>
    </row>
    <row r="735" spans="1:20" x14ac:dyDescent="0.25">
      <c r="B735" t="s">
        <v>231</v>
      </c>
      <c r="C735" s="2">
        <v>1.992</v>
      </c>
      <c r="D735" s="2">
        <v>2.1414</v>
      </c>
      <c r="E735" s="2">
        <v>2.2907999999999999</v>
      </c>
      <c r="F735" s="2">
        <v>2.4900000000000002</v>
      </c>
      <c r="G735" s="2">
        <v>2.6394000000000002</v>
      </c>
      <c r="H735" s="2">
        <v>2.7888000000000002</v>
      </c>
      <c r="I735" s="2">
        <v>2.988</v>
      </c>
      <c r="J735" s="2">
        <v>3.1871999999999998</v>
      </c>
      <c r="K735" s="2">
        <v>3.3864000000000001</v>
      </c>
      <c r="L735" s="2">
        <v>3.5855999999999999</v>
      </c>
      <c r="M735" s="2">
        <v>3.7848000000000002</v>
      </c>
      <c r="N735" s="2">
        <v>3.984</v>
      </c>
      <c r="O735" s="2">
        <v>4.2329999999999997</v>
      </c>
      <c r="P735" s="2">
        <v>4.4820000000000002</v>
      </c>
      <c r="Q735" s="2">
        <v>4.7309999999999999</v>
      </c>
      <c r="R735" t="s">
        <v>19</v>
      </c>
      <c r="S735" t="s">
        <v>19</v>
      </c>
      <c r="T735" t="s">
        <v>125</v>
      </c>
    </row>
    <row r="736" spans="1:20" x14ac:dyDescent="0.25">
      <c r="B736" t="s">
        <v>232</v>
      </c>
      <c r="C736" s="2">
        <v>2.952</v>
      </c>
      <c r="D736" s="2">
        <v>3.1734</v>
      </c>
      <c r="E736" s="2">
        <v>3.3948</v>
      </c>
      <c r="F736" s="2">
        <v>3.69</v>
      </c>
      <c r="G736" s="2">
        <v>3.9114</v>
      </c>
      <c r="H736" s="2">
        <v>4.1327999999999996</v>
      </c>
      <c r="I736" s="2">
        <v>4.4279999999999999</v>
      </c>
      <c r="J736" s="2">
        <v>4.7232000000000003</v>
      </c>
      <c r="K736" s="2">
        <v>5.0183999999999997</v>
      </c>
      <c r="L736" s="2">
        <v>5.3136000000000001</v>
      </c>
      <c r="M736" s="2">
        <v>5.6087999999999996</v>
      </c>
      <c r="N736" s="2">
        <v>5.9039999999999999</v>
      </c>
      <c r="O736" s="2">
        <v>6.2729999999999997</v>
      </c>
      <c r="P736" s="2">
        <v>6.6420000000000003</v>
      </c>
      <c r="Q736" s="2">
        <v>7.0110000000000001</v>
      </c>
      <c r="R736" t="s">
        <v>19</v>
      </c>
      <c r="S736" t="s">
        <v>19</v>
      </c>
      <c r="T736" t="s">
        <v>125</v>
      </c>
    </row>
    <row r="737" spans="1:20" x14ac:dyDescent="0.25">
      <c r="B737" t="s">
        <v>129</v>
      </c>
      <c r="C737" s="2">
        <v>1.6</v>
      </c>
      <c r="D737" s="2">
        <v>1.72</v>
      </c>
      <c r="E737" s="2">
        <v>1.84</v>
      </c>
      <c r="F737" s="2">
        <v>2</v>
      </c>
      <c r="G737" s="2">
        <v>2.12</v>
      </c>
      <c r="H737" s="2">
        <v>2.2400000000000002</v>
      </c>
      <c r="I737" s="2">
        <v>2.4</v>
      </c>
      <c r="J737" s="2">
        <v>2.56</v>
      </c>
      <c r="K737" s="2">
        <v>2.72</v>
      </c>
      <c r="L737" s="2">
        <v>2.88</v>
      </c>
      <c r="M737" s="2">
        <v>3.04</v>
      </c>
      <c r="N737" s="2">
        <v>3.2</v>
      </c>
      <c r="O737" s="2">
        <v>3.4</v>
      </c>
      <c r="P737" s="2">
        <v>3.6</v>
      </c>
      <c r="Q737" s="2">
        <v>3.8</v>
      </c>
      <c r="R737" t="s">
        <v>0</v>
      </c>
      <c r="S737" t="s">
        <v>0</v>
      </c>
      <c r="T737" t="s">
        <v>125</v>
      </c>
    </row>
    <row r="738" spans="1:20" x14ac:dyDescent="0.25">
      <c r="B738" t="s">
        <v>280</v>
      </c>
      <c r="C738" s="2">
        <v>0.24</v>
      </c>
      <c r="D738" s="2">
        <v>0.25800000000000001</v>
      </c>
      <c r="E738" s="2">
        <v>0.27600000000000002</v>
      </c>
      <c r="F738" s="2">
        <v>0.3</v>
      </c>
      <c r="G738" s="2">
        <v>0.318</v>
      </c>
      <c r="H738" s="2">
        <v>0.33600000000000002</v>
      </c>
      <c r="I738" s="2">
        <v>0.36</v>
      </c>
      <c r="J738" s="2">
        <v>0.38400000000000001</v>
      </c>
      <c r="K738" s="2">
        <v>0.40799999999999997</v>
      </c>
      <c r="L738" s="2">
        <v>0.432</v>
      </c>
      <c r="M738" s="2">
        <v>0.45600000000000002</v>
      </c>
      <c r="N738" s="2">
        <v>0.48</v>
      </c>
      <c r="O738" s="2">
        <v>0.51</v>
      </c>
      <c r="P738" s="2">
        <v>0.54</v>
      </c>
      <c r="Q738" s="2">
        <v>0.56999999999999995</v>
      </c>
      <c r="R738" t="s">
        <v>24</v>
      </c>
      <c r="S738" t="s">
        <v>24</v>
      </c>
      <c r="T738" t="s">
        <v>125</v>
      </c>
    </row>
    <row r="739" spans="1:20" x14ac:dyDescent="0.25">
      <c r="B739" s="3" t="s">
        <v>763</v>
      </c>
      <c r="C739" s="23"/>
      <c r="D739" s="23"/>
      <c r="E739" s="23"/>
      <c r="F739" s="23"/>
      <c r="G739" s="23"/>
      <c r="H739" s="23"/>
      <c r="I739" s="23"/>
      <c r="J739" s="23"/>
      <c r="K739" s="23"/>
      <c r="L739" s="23"/>
      <c r="M739" s="23"/>
      <c r="N739" s="23"/>
      <c r="O739" s="23"/>
      <c r="P739" s="23"/>
      <c r="Q739" s="23"/>
      <c r="R739" s="5" t="s">
        <v>763</v>
      </c>
      <c r="S739" s="5" t="s">
        <v>763</v>
      </c>
      <c r="T739" t="s">
        <v>764</v>
      </c>
    </row>
    <row r="740" spans="1:20" x14ac:dyDescent="0.25">
      <c r="B740" s="3" t="s">
        <v>386</v>
      </c>
      <c r="C740" s="23"/>
      <c r="D740" s="23"/>
      <c r="E740" s="23"/>
      <c r="F740" s="23"/>
      <c r="G740" s="23"/>
      <c r="H740" s="23"/>
      <c r="I740" s="23"/>
      <c r="J740" s="23"/>
      <c r="K740" s="23"/>
      <c r="L740" s="23"/>
      <c r="M740" s="23"/>
      <c r="N740" s="23"/>
      <c r="O740" s="23"/>
      <c r="P740" s="23"/>
      <c r="Q740" s="23"/>
      <c r="R740" s="5" t="s">
        <v>392</v>
      </c>
      <c r="S740" s="5" t="s">
        <v>392</v>
      </c>
      <c r="T740" t="s">
        <v>69</v>
      </c>
    </row>
    <row r="741" spans="1:20" x14ac:dyDescent="0.25">
      <c r="B741" s="3" t="s">
        <v>388</v>
      </c>
      <c r="C741" s="23"/>
      <c r="D741" s="23"/>
      <c r="E741" s="23"/>
      <c r="F741" s="23"/>
      <c r="G741" s="23"/>
      <c r="H741" s="23"/>
      <c r="I741" s="23"/>
      <c r="J741" s="23"/>
      <c r="K741" s="23"/>
      <c r="L741" s="23"/>
      <c r="M741" s="23"/>
      <c r="N741" s="23"/>
      <c r="O741" s="23"/>
      <c r="P741" s="23"/>
      <c r="Q741" s="23"/>
      <c r="R741" s="5" t="s">
        <v>392</v>
      </c>
      <c r="S741" s="5" t="s">
        <v>392</v>
      </c>
      <c r="T741" t="s">
        <v>69</v>
      </c>
    </row>
    <row r="742" spans="1:20" x14ac:dyDescent="0.25">
      <c r="B742" s="3" t="s">
        <v>389</v>
      </c>
      <c r="C742" s="23"/>
      <c r="D742" s="23"/>
      <c r="E742" s="23"/>
      <c r="F742" s="23"/>
      <c r="G742" s="23"/>
      <c r="H742" s="23"/>
      <c r="I742" s="23"/>
      <c r="J742" s="23"/>
      <c r="K742" s="23"/>
      <c r="L742" s="23"/>
      <c r="M742" s="23"/>
      <c r="N742" s="23"/>
      <c r="O742" s="23"/>
      <c r="P742" s="23"/>
      <c r="Q742" s="23"/>
      <c r="R742" s="5" t="s">
        <v>392</v>
      </c>
      <c r="S742" s="5" t="s">
        <v>392</v>
      </c>
      <c r="T742" t="s">
        <v>69</v>
      </c>
    </row>
    <row r="743" spans="1:20" x14ac:dyDescent="0.25">
      <c r="B743" s="3" t="s">
        <v>385</v>
      </c>
      <c r="C743" s="23"/>
      <c r="D743" s="23"/>
      <c r="E743" s="23"/>
      <c r="F743" s="23"/>
      <c r="G743" s="23"/>
      <c r="H743" s="23"/>
      <c r="I743" s="23"/>
      <c r="J743" s="23"/>
      <c r="K743" s="23"/>
      <c r="L743" s="23"/>
      <c r="M743" s="23"/>
      <c r="N743" s="23"/>
      <c r="O743" s="23"/>
      <c r="P743" s="23"/>
      <c r="Q743" s="23"/>
      <c r="R743" s="5" t="s">
        <v>392</v>
      </c>
      <c r="S743" s="5" t="s">
        <v>392</v>
      </c>
      <c r="T743" t="s">
        <v>69</v>
      </c>
    </row>
    <row r="744" spans="1:20" x14ac:dyDescent="0.25">
      <c r="B744" s="3" t="s">
        <v>387</v>
      </c>
      <c r="C744" s="23"/>
      <c r="D744" s="23"/>
      <c r="E744" s="23"/>
      <c r="F744" s="23"/>
      <c r="G744" s="23"/>
      <c r="H744" s="23"/>
      <c r="I744" s="23"/>
      <c r="J744" s="23"/>
      <c r="K744" s="23"/>
      <c r="L744" s="23"/>
      <c r="M744" s="23"/>
      <c r="N744" s="23"/>
      <c r="O744" s="23"/>
      <c r="P744" s="23"/>
      <c r="Q744" s="23"/>
      <c r="R744" s="5" t="s">
        <v>392</v>
      </c>
      <c r="S744" s="5" t="s">
        <v>392</v>
      </c>
      <c r="T744" t="s">
        <v>69</v>
      </c>
    </row>
    <row r="745" spans="1:20" x14ac:dyDescent="0.25">
      <c r="B745" s="3" t="s">
        <v>390</v>
      </c>
      <c r="C745" s="23"/>
      <c r="D745" s="23"/>
      <c r="E745" s="23"/>
      <c r="F745" s="23"/>
      <c r="G745" s="23"/>
      <c r="H745" s="23"/>
      <c r="I745" s="23"/>
      <c r="J745" s="23"/>
      <c r="K745" s="23"/>
      <c r="L745" s="23"/>
      <c r="M745" s="23"/>
      <c r="N745" s="23"/>
      <c r="O745" s="23"/>
      <c r="P745" s="23"/>
      <c r="Q745" s="23"/>
      <c r="R745" s="5" t="s">
        <v>392</v>
      </c>
      <c r="S745" s="5" t="s">
        <v>392</v>
      </c>
      <c r="T745" t="s">
        <v>69</v>
      </c>
    </row>
    <row r="746" spans="1:20" x14ac:dyDescent="0.25">
      <c r="B746" s="3" t="s">
        <v>391</v>
      </c>
      <c r="C746" s="23"/>
      <c r="D746" s="23"/>
      <c r="E746" s="23"/>
      <c r="F746" s="23"/>
      <c r="G746" s="23"/>
      <c r="H746" s="23"/>
      <c r="I746" s="23"/>
      <c r="J746" s="23"/>
      <c r="K746" s="23"/>
      <c r="L746" s="23"/>
      <c r="M746" s="23"/>
      <c r="N746" s="23"/>
      <c r="O746" s="23"/>
      <c r="P746" s="23"/>
      <c r="Q746" s="23"/>
      <c r="R746" s="5" t="s">
        <v>392</v>
      </c>
      <c r="S746" s="5" t="s">
        <v>392</v>
      </c>
      <c r="T746" t="s">
        <v>69</v>
      </c>
    </row>
    <row r="747" spans="1:20" x14ac:dyDescent="0.25">
      <c r="A747" t="s">
        <v>875</v>
      </c>
      <c r="B747" s="3" t="s">
        <v>393</v>
      </c>
      <c r="C747" s="23"/>
      <c r="D747" s="23"/>
      <c r="E747" s="23"/>
      <c r="F747" s="23"/>
      <c r="G747" s="23"/>
      <c r="H747" s="23"/>
      <c r="I747" s="23"/>
      <c r="J747" s="23"/>
      <c r="K747" s="23"/>
      <c r="L747" s="23"/>
      <c r="M747" s="23"/>
      <c r="N747" s="23"/>
      <c r="O747" s="23"/>
      <c r="P747" s="23"/>
      <c r="Q747" s="23"/>
      <c r="R747" s="5" t="s">
        <v>392</v>
      </c>
      <c r="S747" s="5" t="s">
        <v>392</v>
      </c>
      <c r="T747" t="s">
        <v>69</v>
      </c>
    </row>
    <row r="748" spans="1:20" x14ac:dyDescent="0.25">
      <c r="B748" t="s">
        <v>281</v>
      </c>
      <c r="C748" s="21">
        <v>1</v>
      </c>
      <c r="D748" s="21">
        <v>2</v>
      </c>
      <c r="E748" s="21">
        <v>3</v>
      </c>
      <c r="F748" s="21">
        <v>4</v>
      </c>
      <c r="G748" s="21">
        <v>5</v>
      </c>
      <c r="H748" s="21">
        <v>6</v>
      </c>
      <c r="I748" s="21">
        <v>7</v>
      </c>
      <c r="J748" s="21">
        <v>8</v>
      </c>
      <c r="K748" s="21">
        <v>9</v>
      </c>
      <c r="L748" s="21">
        <v>10</v>
      </c>
      <c r="M748" s="21">
        <v>11</v>
      </c>
      <c r="N748" s="21">
        <v>12</v>
      </c>
      <c r="O748" s="21">
        <v>13</v>
      </c>
      <c r="P748" s="21">
        <v>14</v>
      </c>
      <c r="Q748" s="21">
        <v>15</v>
      </c>
      <c r="R748" s="5" t="s">
        <v>11</v>
      </c>
      <c r="S748" s="5" t="s">
        <v>1024</v>
      </c>
      <c r="T748" t="s">
        <v>124</v>
      </c>
    </row>
    <row r="749" spans="1:20" x14ac:dyDescent="0.25">
      <c r="A749" t="s">
        <v>876</v>
      </c>
      <c r="B749" t="s">
        <v>10</v>
      </c>
      <c r="C749" s="2">
        <v>0.39650000000000002</v>
      </c>
      <c r="D749" s="2">
        <v>0.42870000000000003</v>
      </c>
      <c r="E749" s="2">
        <v>0.46100000000000002</v>
      </c>
      <c r="F749" s="2">
        <v>0.5071</v>
      </c>
      <c r="G749" s="2">
        <v>0.53939999999999999</v>
      </c>
      <c r="H749" s="2">
        <v>0.57630000000000003</v>
      </c>
      <c r="I749" s="2">
        <v>0.627</v>
      </c>
      <c r="J749" s="2">
        <v>0.67769999999999997</v>
      </c>
      <c r="K749" s="2">
        <v>0.72840000000000005</v>
      </c>
      <c r="L749" s="2">
        <v>0.78369999999999995</v>
      </c>
      <c r="M749" s="2">
        <v>0.84709999999999996</v>
      </c>
      <c r="N749" s="2">
        <v>0.92159999999999997</v>
      </c>
      <c r="O749" s="2">
        <v>0.99619999999999997</v>
      </c>
      <c r="P749" s="2">
        <v>1.0707</v>
      </c>
      <c r="Q749" s="2">
        <v>1.1519999999999999</v>
      </c>
      <c r="R749" t="s">
        <v>6</v>
      </c>
      <c r="S749" t="s">
        <v>6</v>
      </c>
      <c r="T749" t="s">
        <v>125</v>
      </c>
    </row>
    <row r="750" spans="1:20" x14ac:dyDescent="0.25">
      <c r="B750" t="s">
        <v>9</v>
      </c>
      <c r="C750" s="2">
        <v>0.39729999999999999</v>
      </c>
      <c r="D750" s="2">
        <v>0.42970000000000003</v>
      </c>
      <c r="E750" s="2">
        <v>0.46200000000000002</v>
      </c>
      <c r="F750" s="2">
        <v>0.50819999999999999</v>
      </c>
      <c r="G750" s="2">
        <v>0.54049999999999998</v>
      </c>
      <c r="H750" s="2">
        <v>0.57750000000000001</v>
      </c>
      <c r="I750" s="2">
        <v>0.62829999999999997</v>
      </c>
      <c r="J750" s="2">
        <v>0.67910000000000004</v>
      </c>
      <c r="K750" s="2">
        <v>0.73</v>
      </c>
      <c r="L750" s="2">
        <v>0.78539999999999999</v>
      </c>
      <c r="M750" s="2">
        <v>0.84889999999999999</v>
      </c>
      <c r="N750" s="2">
        <v>0.92359999999999998</v>
      </c>
      <c r="O750" s="2">
        <v>0.99829999999999997</v>
      </c>
      <c r="P750" s="2">
        <v>1.073</v>
      </c>
      <c r="Q750" s="2">
        <v>1.1545000000000001</v>
      </c>
      <c r="R750" t="s">
        <v>6</v>
      </c>
      <c r="S750" t="s">
        <v>6</v>
      </c>
      <c r="T750" t="s">
        <v>125</v>
      </c>
    </row>
    <row r="751" spans="1:20" x14ac:dyDescent="0.25">
      <c r="B751" t="s">
        <v>8</v>
      </c>
      <c r="C751" s="2">
        <v>0.49880000000000002</v>
      </c>
      <c r="D751" s="2">
        <v>0.53939999999999999</v>
      </c>
      <c r="E751" s="2">
        <v>0.57999999999999996</v>
      </c>
      <c r="F751" s="2">
        <v>0.63800000000000001</v>
      </c>
      <c r="G751" s="2">
        <v>0.67859999999999998</v>
      </c>
      <c r="H751" s="2">
        <v>0.72499999999999998</v>
      </c>
      <c r="I751" s="2">
        <v>0.78879999999999995</v>
      </c>
      <c r="J751" s="2">
        <v>0.85260000000000002</v>
      </c>
      <c r="K751" s="2">
        <v>0.91639999999999999</v>
      </c>
      <c r="L751" s="2">
        <v>0.98599999999999999</v>
      </c>
      <c r="M751" s="2">
        <v>1.0658000000000001</v>
      </c>
      <c r="N751" s="2">
        <v>1.1595</v>
      </c>
      <c r="O751" s="2">
        <v>1.2533000000000001</v>
      </c>
      <c r="P751" s="2">
        <v>1.3471</v>
      </c>
      <c r="Q751" s="2">
        <v>1.4494</v>
      </c>
      <c r="R751" t="s">
        <v>6</v>
      </c>
      <c r="S751" t="s">
        <v>6</v>
      </c>
      <c r="T751" t="s">
        <v>125</v>
      </c>
    </row>
    <row r="752" spans="1:20" x14ac:dyDescent="0.25">
      <c r="B752" t="s">
        <v>274</v>
      </c>
      <c r="C752" s="2">
        <v>0.2898</v>
      </c>
      <c r="D752" s="2">
        <v>0.31340000000000001</v>
      </c>
      <c r="E752" s="2">
        <v>0.33700000000000002</v>
      </c>
      <c r="F752" s="2">
        <v>0.37069999999999997</v>
      </c>
      <c r="G752" s="2">
        <v>0.39429999999999998</v>
      </c>
      <c r="H752" s="2">
        <v>0.42130000000000001</v>
      </c>
      <c r="I752" s="2">
        <v>0.45829999999999999</v>
      </c>
      <c r="J752" s="2">
        <v>0.49540000000000001</v>
      </c>
      <c r="K752" s="2">
        <v>0.53249999999999997</v>
      </c>
      <c r="L752" s="2">
        <v>0.57289999999999996</v>
      </c>
      <c r="M752" s="2">
        <v>0.61919999999999997</v>
      </c>
      <c r="N752" s="2">
        <v>0.67369999999999997</v>
      </c>
      <c r="O752" s="2">
        <v>0.72819999999999996</v>
      </c>
      <c r="P752" s="2">
        <v>0.78269999999999995</v>
      </c>
      <c r="Q752" s="2">
        <v>0.84219999999999995</v>
      </c>
      <c r="R752" t="s">
        <v>6</v>
      </c>
      <c r="S752" t="s">
        <v>6</v>
      </c>
      <c r="T752" t="s">
        <v>125</v>
      </c>
    </row>
    <row r="753" spans="2:20" x14ac:dyDescent="0.25">
      <c r="B753" t="s">
        <v>7</v>
      </c>
      <c r="C753" s="2">
        <v>0.65449999999999997</v>
      </c>
      <c r="D753" s="2">
        <v>0.7077</v>
      </c>
      <c r="E753" s="2">
        <v>0.76100000000000001</v>
      </c>
      <c r="F753" s="2">
        <v>0.83709999999999996</v>
      </c>
      <c r="G753" s="2">
        <v>0.89039999999999997</v>
      </c>
      <c r="H753" s="2">
        <v>0.95130000000000003</v>
      </c>
      <c r="I753" s="2">
        <v>1.0349999999999999</v>
      </c>
      <c r="J753" s="2">
        <v>1.1187</v>
      </c>
      <c r="K753" s="2">
        <v>1.2023999999999999</v>
      </c>
      <c r="L753" s="2">
        <v>1.2937000000000001</v>
      </c>
      <c r="M753" s="2">
        <v>1.3983000000000001</v>
      </c>
      <c r="N753" s="2">
        <v>1.5214000000000001</v>
      </c>
      <c r="O753" s="2">
        <v>1.6444000000000001</v>
      </c>
      <c r="P753" s="2">
        <v>1.7675000000000001</v>
      </c>
      <c r="Q753" s="2">
        <v>1.9016999999999999</v>
      </c>
      <c r="R753" t="s">
        <v>6</v>
      </c>
      <c r="S753" t="s">
        <v>6</v>
      </c>
      <c r="T753" t="s">
        <v>125</v>
      </c>
    </row>
    <row r="754" spans="2:20" x14ac:dyDescent="0.25">
      <c r="B754" t="s">
        <v>14</v>
      </c>
      <c r="C754" s="2">
        <v>0.99590000000000001</v>
      </c>
      <c r="D754" s="2">
        <v>1.0769</v>
      </c>
      <c r="E754" s="2">
        <v>1.1579999999999999</v>
      </c>
      <c r="F754" s="2">
        <v>1.2738</v>
      </c>
      <c r="G754" s="2">
        <v>1.3549</v>
      </c>
      <c r="H754" s="2">
        <v>1.4475</v>
      </c>
      <c r="I754" s="2">
        <v>1.5749</v>
      </c>
      <c r="J754" s="2">
        <v>1.7022999999999999</v>
      </c>
      <c r="K754" s="2">
        <v>1.8295999999999999</v>
      </c>
      <c r="L754" s="2">
        <v>1.9685999999999999</v>
      </c>
      <c r="M754" s="2">
        <v>2.1278000000000001</v>
      </c>
      <c r="N754" s="2">
        <v>2.3151000000000002</v>
      </c>
      <c r="O754" s="2">
        <v>2.5023</v>
      </c>
      <c r="P754" s="2">
        <v>2.6896</v>
      </c>
      <c r="Q754" s="2">
        <v>2.8938000000000001</v>
      </c>
      <c r="R754" t="s">
        <v>5</v>
      </c>
      <c r="S754" t="s">
        <v>5</v>
      </c>
      <c r="T754" t="s">
        <v>125</v>
      </c>
    </row>
    <row r="755" spans="2:20" x14ac:dyDescent="0.25">
      <c r="B755" t="s">
        <v>152</v>
      </c>
      <c r="C755" s="2">
        <v>0.63929999999999998</v>
      </c>
      <c r="D755" s="2">
        <v>0.69140000000000001</v>
      </c>
      <c r="E755" s="2">
        <v>0.74339999999999995</v>
      </c>
      <c r="F755" s="2">
        <v>0.81769999999999998</v>
      </c>
      <c r="G755" s="2">
        <v>0.86980000000000002</v>
      </c>
      <c r="H755" s="2">
        <v>0.92930000000000001</v>
      </c>
      <c r="I755" s="2">
        <v>1.0109999999999999</v>
      </c>
      <c r="J755" s="2">
        <v>1.0928</v>
      </c>
      <c r="K755" s="2">
        <v>1.1746000000000001</v>
      </c>
      <c r="L755" s="2">
        <v>1.2638</v>
      </c>
      <c r="M755" s="2">
        <v>1.353</v>
      </c>
      <c r="N755" s="2">
        <v>1.4421999999999999</v>
      </c>
      <c r="O755" s="2">
        <v>1.5314000000000001</v>
      </c>
      <c r="P755" s="2">
        <v>1.6206</v>
      </c>
      <c r="Q755" s="2">
        <v>1.7098</v>
      </c>
      <c r="R755" t="s">
        <v>3</v>
      </c>
      <c r="S755" t="s">
        <v>3</v>
      </c>
      <c r="T755" t="s">
        <v>125</v>
      </c>
    </row>
    <row r="756" spans="2:20" x14ac:dyDescent="0.25">
      <c r="B756" t="s">
        <v>133</v>
      </c>
      <c r="C756" s="2">
        <v>1.2784</v>
      </c>
      <c r="D756" s="2">
        <v>1.3824000000000001</v>
      </c>
      <c r="E756" s="2">
        <v>1.4864999999999999</v>
      </c>
      <c r="F756" s="2">
        <v>1.6351</v>
      </c>
      <c r="G756" s="2">
        <v>1.7392000000000001</v>
      </c>
      <c r="H756" s="2">
        <v>1.8581000000000001</v>
      </c>
      <c r="I756" s="2">
        <v>2.0215999999999998</v>
      </c>
      <c r="J756" s="2">
        <v>2.1850999999999998</v>
      </c>
      <c r="K756" s="2">
        <v>2.3485999999999998</v>
      </c>
      <c r="L756" s="2">
        <v>2.5270000000000001</v>
      </c>
      <c r="M756" s="2">
        <v>2.7054</v>
      </c>
      <c r="N756" s="2">
        <v>2.8837999999999999</v>
      </c>
      <c r="O756" s="2">
        <v>3.0621999999999998</v>
      </c>
      <c r="P756" s="2">
        <v>3.2404999999999999</v>
      </c>
      <c r="Q756" s="2">
        <v>3.4188999999999998</v>
      </c>
      <c r="R756" t="s">
        <v>3</v>
      </c>
      <c r="S756" t="s">
        <v>3</v>
      </c>
      <c r="T756" t="s">
        <v>125</v>
      </c>
    </row>
    <row r="757" spans="2:20" x14ac:dyDescent="0.25">
      <c r="B757" t="s">
        <v>134</v>
      </c>
      <c r="C757" s="2">
        <v>1.5968</v>
      </c>
      <c r="D757" s="2">
        <v>1.7266999999999999</v>
      </c>
      <c r="E757" s="2">
        <v>1.8567</v>
      </c>
      <c r="F757" s="2">
        <v>2.0424000000000002</v>
      </c>
      <c r="G757" s="2">
        <v>2.1722999999999999</v>
      </c>
      <c r="H757" s="2">
        <v>2.3209</v>
      </c>
      <c r="I757" s="2">
        <v>2.5251000000000001</v>
      </c>
      <c r="J757" s="2">
        <v>2.7292999999999998</v>
      </c>
      <c r="K757" s="2">
        <v>2.9336000000000002</v>
      </c>
      <c r="L757" s="2">
        <v>3.1564000000000001</v>
      </c>
      <c r="M757" s="2">
        <v>3.3792</v>
      </c>
      <c r="N757" s="2">
        <v>3.6019999999999999</v>
      </c>
      <c r="O757" s="2">
        <v>3.8248000000000002</v>
      </c>
      <c r="P757" s="2">
        <v>4.0476000000000001</v>
      </c>
      <c r="Q757" s="2">
        <v>4.2704000000000004</v>
      </c>
      <c r="R757" t="s">
        <v>3</v>
      </c>
      <c r="S757" t="s">
        <v>3</v>
      </c>
      <c r="T757" t="s">
        <v>125</v>
      </c>
    </row>
    <row r="758" spans="2:20" x14ac:dyDescent="0.25">
      <c r="B758" t="s">
        <v>4</v>
      </c>
      <c r="C758" s="2">
        <v>1.1719999999999999</v>
      </c>
      <c r="D758" s="2">
        <v>1.2599</v>
      </c>
      <c r="E758" s="2">
        <v>1.3478000000000001</v>
      </c>
      <c r="F758" s="2">
        <v>1.4650000000000001</v>
      </c>
      <c r="G758" s="2">
        <v>1.5528999999999999</v>
      </c>
      <c r="H758" s="2">
        <v>1.6408</v>
      </c>
      <c r="I758" s="2">
        <v>1.758</v>
      </c>
      <c r="J758" s="2">
        <v>1.8752</v>
      </c>
      <c r="K758" s="2">
        <v>1.9923999999999999</v>
      </c>
      <c r="L758" s="2">
        <v>2.1095999999999999</v>
      </c>
      <c r="M758" s="2">
        <v>2.2267999999999999</v>
      </c>
      <c r="N758" s="2">
        <v>2.3439999999999999</v>
      </c>
      <c r="O758" s="2">
        <v>2.4904999999999999</v>
      </c>
      <c r="P758" s="2">
        <v>2.637</v>
      </c>
      <c r="Q758" s="2">
        <v>2.7835000000000001</v>
      </c>
      <c r="R758" t="s">
        <v>19</v>
      </c>
      <c r="S758" t="s">
        <v>19</v>
      </c>
      <c r="T758" t="s">
        <v>125</v>
      </c>
    </row>
    <row r="759" spans="2:20" x14ac:dyDescent="0.25">
      <c r="B759" t="s">
        <v>282</v>
      </c>
      <c r="C759" s="2">
        <v>0.42</v>
      </c>
      <c r="D759" s="2">
        <v>0.45150000000000001</v>
      </c>
      <c r="E759" s="2">
        <v>0.48299999999999998</v>
      </c>
      <c r="F759" s="2">
        <v>0.52500000000000002</v>
      </c>
      <c r="G759" s="2">
        <v>0.55649999999999999</v>
      </c>
      <c r="H759" s="2">
        <v>0.58799999999999997</v>
      </c>
      <c r="I759" s="2">
        <v>0.63</v>
      </c>
      <c r="J759" s="2">
        <v>0.67200000000000004</v>
      </c>
      <c r="K759" s="2">
        <v>0.71399999999999997</v>
      </c>
      <c r="L759" s="2">
        <v>0.75600000000000001</v>
      </c>
      <c r="M759" s="2">
        <v>0.79800000000000004</v>
      </c>
      <c r="N759" s="2">
        <v>0.84</v>
      </c>
      <c r="O759" s="2">
        <v>0.89249999999999996</v>
      </c>
      <c r="P759" s="2">
        <v>0.94499999999999995</v>
      </c>
      <c r="Q759" s="2">
        <v>0.99750000000000005</v>
      </c>
      <c r="R759" t="s">
        <v>19</v>
      </c>
      <c r="S759" t="s">
        <v>19</v>
      </c>
      <c r="T759" t="s">
        <v>125</v>
      </c>
    </row>
    <row r="760" spans="2:20" x14ac:dyDescent="0.25">
      <c r="B760" t="s">
        <v>283</v>
      </c>
      <c r="C760" s="2">
        <v>4.008</v>
      </c>
      <c r="D760" s="2">
        <v>4.3086000000000002</v>
      </c>
      <c r="E760" s="2">
        <v>4.6092000000000004</v>
      </c>
      <c r="F760" s="2">
        <v>5.01</v>
      </c>
      <c r="G760" s="2">
        <v>5.3106</v>
      </c>
      <c r="H760" s="2">
        <v>5.6112000000000002</v>
      </c>
      <c r="I760" s="2">
        <v>6.0119999999999996</v>
      </c>
      <c r="J760" s="2">
        <v>6.4127999999999998</v>
      </c>
      <c r="K760" s="2">
        <v>6.8136000000000001</v>
      </c>
      <c r="L760" s="2">
        <v>7.2144000000000004</v>
      </c>
      <c r="M760" s="2">
        <v>7.6151999999999997</v>
      </c>
      <c r="N760" s="2">
        <v>8.016</v>
      </c>
      <c r="O760" s="2">
        <v>8.5169999999999995</v>
      </c>
      <c r="P760" s="2">
        <v>9.0180000000000007</v>
      </c>
      <c r="Q760" s="2">
        <v>9.5190000000000001</v>
      </c>
      <c r="R760" t="s">
        <v>0</v>
      </c>
      <c r="S760" t="s">
        <v>0</v>
      </c>
      <c r="T760" t="s">
        <v>125</v>
      </c>
    </row>
    <row r="761" spans="2:20" x14ac:dyDescent="0.25">
      <c r="B761" t="s">
        <v>284</v>
      </c>
      <c r="C761" s="2">
        <v>3.8899999999999997E-2</v>
      </c>
      <c r="D761" s="2">
        <v>4.1799999999999997E-2</v>
      </c>
      <c r="E761" s="2">
        <v>4.4699999999999997E-2</v>
      </c>
      <c r="F761" s="2">
        <v>4.8599999999999997E-2</v>
      </c>
      <c r="G761" s="2">
        <v>5.1499999999999997E-2</v>
      </c>
      <c r="H761" s="2">
        <v>5.4399999999999997E-2</v>
      </c>
      <c r="I761" s="2">
        <v>5.8299999999999998E-2</v>
      </c>
      <c r="J761" s="2">
        <v>6.2199999999999998E-2</v>
      </c>
      <c r="K761" s="2">
        <v>6.6100000000000006E-2</v>
      </c>
      <c r="L761" s="2">
        <v>7.0000000000000007E-2</v>
      </c>
      <c r="M761" s="2">
        <v>7.3899999999999993E-2</v>
      </c>
      <c r="N761" s="2">
        <v>7.7799999999999994E-2</v>
      </c>
      <c r="O761" s="2">
        <v>8.2600000000000007E-2</v>
      </c>
      <c r="P761" s="2">
        <v>8.7499999999999994E-2</v>
      </c>
      <c r="Q761" s="2">
        <v>9.2299999999999993E-2</v>
      </c>
      <c r="R761" t="s">
        <v>0</v>
      </c>
      <c r="S761" t="s">
        <v>0</v>
      </c>
      <c r="T761" t="s">
        <v>125</v>
      </c>
    </row>
    <row r="762" spans="2:20" x14ac:dyDescent="0.25">
      <c r="B762" t="s">
        <v>285</v>
      </c>
      <c r="C762" s="2">
        <v>7.3000000000000001E-3</v>
      </c>
      <c r="D762" s="2">
        <v>7.7999999999999996E-3</v>
      </c>
      <c r="E762" s="2">
        <v>8.3999999999999995E-3</v>
      </c>
      <c r="F762" s="2">
        <v>9.1000000000000004E-3</v>
      </c>
      <c r="G762" s="2">
        <v>9.5999999999999992E-3</v>
      </c>
      <c r="H762" s="2">
        <v>1.0200000000000001E-2</v>
      </c>
      <c r="I762" s="2">
        <v>1.09E-2</v>
      </c>
      <c r="J762" s="2">
        <v>1.1599999999999999E-2</v>
      </c>
      <c r="K762" s="2">
        <v>1.23E-2</v>
      </c>
      <c r="L762" s="2">
        <v>1.3100000000000001E-2</v>
      </c>
      <c r="M762" s="2">
        <v>1.38E-2</v>
      </c>
      <c r="N762" s="2">
        <v>1.4500000000000001E-2</v>
      </c>
      <c r="O762" s="2">
        <v>1.54E-2</v>
      </c>
      <c r="P762" s="2">
        <v>1.6299999999999999E-2</v>
      </c>
      <c r="Q762" s="2">
        <v>1.72E-2</v>
      </c>
      <c r="R762" t="s">
        <v>0</v>
      </c>
      <c r="S762" t="s">
        <v>0</v>
      </c>
      <c r="T762" t="s">
        <v>125</v>
      </c>
    </row>
    <row r="763" spans="2:20" x14ac:dyDescent="0.25">
      <c r="B763" s="21" t="s">
        <v>286</v>
      </c>
      <c r="C763" s="2">
        <v>0.44740000000000002</v>
      </c>
      <c r="D763" s="2">
        <v>0.47789999999999999</v>
      </c>
      <c r="E763" s="2">
        <v>0.50839999999999996</v>
      </c>
      <c r="F763" s="2">
        <v>0.54910000000000003</v>
      </c>
      <c r="G763" s="2">
        <v>0.5796</v>
      </c>
      <c r="H763" s="2">
        <v>0.61509999999999998</v>
      </c>
      <c r="I763" s="2">
        <v>0.66090000000000004</v>
      </c>
      <c r="J763" s="2">
        <v>0.70660000000000001</v>
      </c>
      <c r="K763" s="2">
        <v>0.75239999999999996</v>
      </c>
      <c r="L763" s="2">
        <v>0.79820000000000002</v>
      </c>
      <c r="M763" s="2">
        <v>0.84389999999999998</v>
      </c>
      <c r="N763" s="2">
        <v>0.88970000000000005</v>
      </c>
      <c r="O763" s="2">
        <v>0.93540000000000001</v>
      </c>
      <c r="P763" s="2">
        <v>0.98119999999999996</v>
      </c>
      <c r="Q763" s="2">
        <v>1.0268999999999999</v>
      </c>
      <c r="R763" t="s">
        <v>0</v>
      </c>
      <c r="S763" t="s">
        <v>0</v>
      </c>
      <c r="T763" t="s">
        <v>125</v>
      </c>
    </row>
    <row r="764" spans="2:20" x14ac:dyDescent="0.25">
      <c r="B764" s="21" t="s">
        <v>287</v>
      </c>
      <c r="C764" s="2">
        <v>0.43959999999999999</v>
      </c>
      <c r="D764" s="2">
        <v>0.46949999999999997</v>
      </c>
      <c r="E764" s="2">
        <v>0.4995</v>
      </c>
      <c r="F764" s="2">
        <v>0.53949999999999998</v>
      </c>
      <c r="G764" s="2">
        <v>0.56940000000000002</v>
      </c>
      <c r="H764" s="2">
        <v>0.60440000000000005</v>
      </c>
      <c r="I764" s="2">
        <v>0.64939999999999998</v>
      </c>
      <c r="J764" s="2">
        <v>0.69430000000000003</v>
      </c>
      <c r="K764" s="2">
        <v>0.73929999999999996</v>
      </c>
      <c r="L764" s="2">
        <v>0.78420000000000001</v>
      </c>
      <c r="M764" s="2">
        <v>0.82920000000000005</v>
      </c>
      <c r="N764" s="2">
        <v>0.87409999999999999</v>
      </c>
      <c r="O764" s="2">
        <v>0.91910000000000003</v>
      </c>
      <c r="P764" s="2">
        <v>0.96399999999999997</v>
      </c>
      <c r="Q764" s="2">
        <v>1.0089999999999999</v>
      </c>
      <c r="R764" t="s">
        <v>0</v>
      </c>
      <c r="S764" t="s">
        <v>0</v>
      </c>
      <c r="T764" t="s">
        <v>125</v>
      </c>
    </row>
    <row r="765" spans="2:20" x14ac:dyDescent="0.25">
      <c r="B765" s="21" t="s">
        <v>288</v>
      </c>
      <c r="C765" s="2">
        <v>0.53820000000000001</v>
      </c>
      <c r="D765" s="2">
        <v>0.57489999999999997</v>
      </c>
      <c r="E765" s="2">
        <v>0.61160000000000003</v>
      </c>
      <c r="F765" s="2">
        <v>0.66049999999999998</v>
      </c>
      <c r="G765" s="2">
        <v>0.69720000000000004</v>
      </c>
      <c r="H765" s="2">
        <v>0.74</v>
      </c>
      <c r="I765" s="2">
        <v>0.79510000000000003</v>
      </c>
      <c r="J765" s="2">
        <v>0.85009999999999997</v>
      </c>
      <c r="K765" s="2">
        <v>0.9052</v>
      </c>
      <c r="L765" s="2">
        <v>0.96020000000000005</v>
      </c>
      <c r="M765" s="2">
        <v>1.0153000000000001</v>
      </c>
      <c r="N765" s="2">
        <v>1.0703</v>
      </c>
      <c r="O765" s="2">
        <v>1.1254</v>
      </c>
      <c r="P765" s="2">
        <v>1.1803999999999999</v>
      </c>
      <c r="Q765" s="2">
        <v>1.2355</v>
      </c>
      <c r="R765" t="s">
        <v>0</v>
      </c>
      <c r="S765" t="s">
        <v>0</v>
      </c>
      <c r="T765" t="s">
        <v>125</v>
      </c>
    </row>
    <row r="766" spans="2:20" x14ac:dyDescent="0.25">
      <c r="B766" s="21" t="s">
        <v>296</v>
      </c>
      <c r="C766" s="2">
        <v>0.30890000000000001</v>
      </c>
      <c r="D766" s="2">
        <v>0.32990000000000003</v>
      </c>
      <c r="E766" s="2">
        <v>0.35099999999999998</v>
      </c>
      <c r="F766" s="2">
        <v>0.37909999999999999</v>
      </c>
      <c r="G766" s="2">
        <v>0.40010000000000001</v>
      </c>
      <c r="H766" s="2">
        <v>0.42470000000000002</v>
      </c>
      <c r="I766" s="2">
        <v>0.45629999999999998</v>
      </c>
      <c r="J766" s="2">
        <v>0.4879</v>
      </c>
      <c r="K766" s="2">
        <v>0.51949999999999996</v>
      </c>
      <c r="L766" s="2">
        <v>0.55110000000000003</v>
      </c>
      <c r="M766" s="2">
        <v>0.5827</v>
      </c>
      <c r="N766" s="2">
        <v>0.61429999999999996</v>
      </c>
      <c r="O766" s="2">
        <v>0.64580000000000004</v>
      </c>
      <c r="P766" s="2">
        <v>0.6774</v>
      </c>
      <c r="Q766" s="2">
        <v>0.70899999999999996</v>
      </c>
      <c r="R766" t="s">
        <v>0</v>
      </c>
      <c r="S766" t="s">
        <v>0</v>
      </c>
      <c r="T766" t="s">
        <v>125</v>
      </c>
    </row>
    <row r="767" spans="2:20" x14ac:dyDescent="0.25">
      <c r="B767" s="21" t="s">
        <v>295</v>
      </c>
      <c r="C767" s="2">
        <v>0.30980000000000002</v>
      </c>
      <c r="D767" s="2">
        <v>0.33090000000000003</v>
      </c>
      <c r="E767" s="2">
        <v>0.35199999999999998</v>
      </c>
      <c r="F767" s="2">
        <v>0.38019999999999998</v>
      </c>
      <c r="G767" s="2">
        <v>0.40129999999999999</v>
      </c>
      <c r="H767" s="2">
        <v>0.4259</v>
      </c>
      <c r="I767" s="2">
        <v>0.45760000000000001</v>
      </c>
      <c r="J767" s="2">
        <v>0.48930000000000001</v>
      </c>
      <c r="K767" s="2">
        <v>0.52100000000000002</v>
      </c>
      <c r="L767" s="2">
        <v>0.55259999999999998</v>
      </c>
      <c r="M767" s="2">
        <v>0.58430000000000004</v>
      </c>
      <c r="N767" s="2">
        <v>0.61599999999999999</v>
      </c>
      <c r="O767" s="2">
        <v>0.64770000000000005</v>
      </c>
      <c r="P767" s="2">
        <v>0.6794</v>
      </c>
      <c r="Q767" s="2">
        <v>0.71099999999999997</v>
      </c>
      <c r="R767" t="s">
        <v>0</v>
      </c>
      <c r="S767" t="s">
        <v>0</v>
      </c>
      <c r="T767" t="s">
        <v>125</v>
      </c>
    </row>
    <row r="768" spans="2:20" x14ac:dyDescent="0.25">
      <c r="B768" s="21" t="s">
        <v>289</v>
      </c>
      <c r="C768" s="2">
        <v>0.73939999999999995</v>
      </c>
      <c r="D768" s="2">
        <v>0.78990000000000005</v>
      </c>
      <c r="E768" s="2">
        <v>0.84030000000000005</v>
      </c>
      <c r="F768" s="2">
        <v>0.90749999999999997</v>
      </c>
      <c r="G768" s="2">
        <v>0.95789999999999997</v>
      </c>
      <c r="H768" s="2">
        <v>1.0166999999999999</v>
      </c>
      <c r="I768" s="2">
        <v>1.0924</v>
      </c>
      <c r="J768" s="2">
        <v>1.1679999999999999</v>
      </c>
      <c r="K768" s="2">
        <v>1.2436</v>
      </c>
      <c r="L768" s="2">
        <v>1.3191999999999999</v>
      </c>
      <c r="M768" s="2">
        <v>1.3948</v>
      </c>
      <c r="N768" s="2">
        <v>1.4704999999999999</v>
      </c>
      <c r="O768" s="2">
        <v>1.5461</v>
      </c>
      <c r="P768" s="2">
        <v>1.6216999999999999</v>
      </c>
      <c r="Q768" s="2">
        <v>1.6973</v>
      </c>
      <c r="R768" t="s">
        <v>0</v>
      </c>
      <c r="S768" t="s">
        <v>0</v>
      </c>
      <c r="T768" t="s">
        <v>125</v>
      </c>
    </row>
    <row r="769" spans="1:20" x14ac:dyDescent="0.25">
      <c r="B769" s="21" t="s">
        <v>293</v>
      </c>
      <c r="C769" s="2">
        <v>0.61599999999999999</v>
      </c>
      <c r="D769" s="2">
        <v>0.65800000000000003</v>
      </c>
      <c r="E769" s="2">
        <v>0.7</v>
      </c>
      <c r="F769" s="2">
        <v>0.75600000000000001</v>
      </c>
      <c r="G769" s="2">
        <v>0.79800000000000004</v>
      </c>
      <c r="H769" s="2">
        <v>0.84699999999999998</v>
      </c>
      <c r="I769" s="2">
        <v>0.91</v>
      </c>
      <c r="J769" s="2">
        <v>0.97299999999999998</v>
      </c>
      <c r="K769" s="2">
        <v>1.036</v>
      </c>
      <c r="L769" s="2">
        <v>1.099</v>
      </c>
      <c r="M769" s="2">
        <v>1.1619999999999999</v>
      </c>
      <c r="N769" s="2">
        <v>1.2250000000000001</v>
      </c>
      <c r="O769" s="2">
        <v>1.288</v>
      </c>
      <c r="P769" s="2">
        <v>1.351</v>
      </c>
      <c r="Q769" s="2">
        <v>1.4139999999999999</v>
      </c>
      <c r="R769" t="s">
        <v>0</v>
      </c>
      <c r="S769" t="s">
        <v>0</v>
      </c>
      <c r="T769" t="s">
        <v>125</v>
      </c>
    </row>
    <row r="770" spans="1:20" x14ac:dyDescent="0.25">
      <c r="B770" s="21" t="s">
        <v>294</v>
      </c>
      <c r="C770" s="2">
        <v>0.74360000000000004</v>
      </c>
      <c r="D770" s="2">
        <v>0.79430000000000001</v>
      </c>
      <c r="E770" s="2">
        <v>0.84499999999999997</v>
      </c>
      <c r="F770" s="2">
        <v>0.91259999999999997</v>
      </c>
      <c r="G770" s="2">
        <v>0.96330000000000005</v>
      </c>
      <c r="H770" s="2">
        <v>1.0225</v>
      </c>
      <c r="I770" s="2">
        <v>1.0985</v>
      </c>
      <c r="J770" s="2">
        <v>1.1746000000000001</v>
      </c>
      <c r="K770" s="2">
        <v>1.2505999999999999</v>
      </c>
      <c r="L770" s="2">
        <v>1.3267</v>
      </c>
      <c r="M770" s="2">
        <v>1.4027000000000001</v>
      </c>
      <c r="N770" s="2">
        <v>1.4787999999999999</v>
      </c>
      <c r="O770" s="2">
        <v>1.5548</v>
      </c>
      <c r="P770" s="2">
        <v>1.6309</v>
      </c>
      <c r="Q770" s="2">
        <v>1.7069000000000001</v>
      </c>
      <c r="R770" t="s">
        <v>0</v>
      </c>
      <c r="S770" t="s">
        <v>0</v>
      </c>
      <c r="T770" t="s">
        <v>125</v>
      </c>
    </row>
    <row r="771" spans="1:20" x14ac:dyDescent="0.25">
      <c r="B771" s="21" t="s">
        <v>292</v>
      </c>
      <c r="C771" s="2">
        <v>0.63929999999999998</v>
      </c>
      <c r="D771" s="2">
        <v>0.69140000000000001</v>
      </c>
      <c r="E771" s="2">
        <v>0.74339999999999995</v>
      </c>
      <c r="F771" s="2">
        <v>0.81769999999999998</v>
      </c>
      <c r="G771" s="2">
        <v>0.86980000000000002</v>
      </c>
      <c r="H771" s="2">
        <v>0.92930000000000001</v>
      </c>
      <c r="I771" s="2">
        <v>1.0109999999999999</v>
      </c>
      <c r="J771" s="2">
        <v>1.0928</v>
      </c>
      <c r="K771" s="2">
        <v>1.1746000000000001</v>
      </c>
      <c r="L771" s="2">
        <v>1.2638</v>
      </c>
      <c r="M771" s="2">
        <v>1.353</v>
      </c>
      <c r="N771" s="2">
        <v>1.4421999999999999</v>
      </c>
      <c r="O771" s="2">
        <v>1.5314000000000001</v>
      </c>
      <c r="P771" s="2">
        <v>1.6206</v>
      </c>
      <c r="Q771" s="2">
        <v>1.7098</v>
      </c>
      <c r="R771" t="s">
        <v>0</v>
      </c>
      <c r="S771" t="s">
        <v>0</v>
      </c>
      <c r="T771" t="s">
        <v>125</v>
      </c>
    </row>
    <row r="772" spans="1:20" x14ac:dyDescent="0.25">
      <c r="B772" s="21" t="s">
        <v>290</v>
      </c>
      <c r="C772" s="2">
        <v>1.2784</v>
      </c>
      <c r="D772" s="2">
        <v>1.3824000000000001</v>
      </c>
      <c r="E772" s="2">
        <v>1.4864999999999999</v>
      </c>
      <c r="F772" s="2">
        <v>1.6351</v>
      </c>
      <c r="G772" s="2">
        <v>1.7392000000000001</v>
      </c>
      <c r="H772" s="2">
        <v>1.8581000000000001</v>
      </c>
      <c r="I772" s="2">
        <v>2.0215999999999998</v>
      </c>
      <c r="J772" s="2">
        <v>2.1850999999999998</v>
      </c>
      <c r="K772" s="2">
        <v>2.3485999999999998</v>
      </c>
      <c r="L772" s="2">
        <v>2.5270000000000001</v>
      </c>
      <c r="M772" s="2">
        <v>2.7054</v>
      </c>
      <c r="N772" s="2">
        <v>2.8837999999999999</v>
      </c>
      <c r="O772" s="2">
        <v>3.0621999999999998</v>
      </c>
      <c r="P772" s="2">
        <v>3.2404999999999999</v>
      </c>
      <c r="Q772" s="2">
        <v>3.4188999999999998</v>
      </c>
      <c r="R772" t="s">
        <v>0</v>
      </c>
      <c r="S772" t="s">
        <v>0</v>
      </c>
      <c r="T772" t="s">
        <v>125</v>
      </c>
    </row>
    <row r="773" spans="1:20" x14ac:dyDescent="0.25">
      <c r="B773" s="21" t="s">
        <v>291</v>
      </c>
      <c r="C773" s="2">
        <v>1.5968</v>
      </c>
      <c r="D773" s="2">
        <v>1.7266999999999999</v>
      </c>
      <c r="E773" s="2">
        <v>1.8567</v>
      </c>
      <c r="F773" s="2">
        <v>2.0424000000000002</v>
      </c>
      <c r="G773" s="2">
        <v>2.1722999999999999</v>
      </c>
      <c r="H773" s="2">
        <v>2.3209</v>
      </c>
      <c r="I773" s="2">
        <v>2.5251000000000001</v>
      </c>
      <c r="J773" s="2">
        <v>2.7292999999999998</v>
      </c>
      <c r="K773" s="2">
        <v>2.9336000000000002</v>
      </c>
      <c r="L773" s="2">
        <v>3.1564000000000001</v>
      </c>
      <c r="M773" s="2">
        <v>3.3792</v>
      </c>
      <c r="N773" s="2">
        <v>3.6019999999999999</v>
      </c>
      <c r="O773" s="2">
        <v>3.8248000000000002</v>
      </c>
      <c r="P773" s="2">
        <v>4.0476000000000001</v>
      </c>
      <c r="Q773" s="2">
        <v>4.2704000000000004</v>
      </c>
      <c r="R773" t="s">
        <v>0</v>
      </c>
      <c r="S773" t="s">
        <v>0</v>
      </c>
      <c r="T773" t="s">
        <v>125</v>
      </c>
    </row>
    <row r="774" spans="1:20" x14ac:dyDescent="0.25">
      <c r="B774" s="3" t="s">
        <v>763</v>
      </c>
      <c r="C774" s="23"/>
      <c r="D774" s="23"/>
      <c r="E774" s="23"/>
      <c r="F774" s="23"/>
      <c r="G774" s="23"/>
      <c r="H774" s="23"/>
      <c r="I774" s="23"/>
      <c r="J774" s="23"/>
      <c r="K774" s="23"/>
      <c r="L774" s="23"/>
      <c r="M774" s="23"/>
      <c r="N774" s="23"/>
      <c r="O774" s="23"/>
      <c r="P774" s="23"/>
      <c r="Q774" s="23"/>
      <c r="R774" s="5" t="s">
        <v>763</v>
      </c>
      <c r="S774" s="5" t="s">
        <v>763</v>
      </c>
      <c r="T774" t="s">
        <v>764</v>
      </c>
    </row>
    <row r="775" spans="1:20" x14ac:dyDescent="0.25">
      <c r="B775" s="3" t="s">
        <v>386</v>
      </c>
      <c r="C775" s="23"/>
      <c r="D775" s="23"/>
      <c r="E775" s="23"/>
      <c r="F775" s="23"/>
      <c r="G775" s="23"/>
      <c r="H775" s="23"/>
      <c r="I775" s="23"/>
      <c r="J775" s="23"/>
      <c r="K775" s="23"/>
      <c r="L775" s="23"/>
      <c r="M775" s="23"/>
      <c r="N775" s="23"/>
      <c r="O775" s="23"/>
      <c r="P775" s="23"/>
      <c r="Q775" s="23"/>
      <c r="R775" s="5" t="s">
        <v>392</v>
      </c>
      <c r="S775" s="5" t="s">
        <v>392</v>
      </c>
      <c r="T775" t="s">
        <v>69</v>
      </c>
    </row>
    <row r="776" spans="1:20" x14ac:dyDescent="0.25">
      <c r="B776" s="3" t="s">
        <v>388</v>
      </c>
      <c r="C776" s="23"/>
      <c r="D776" s="23"/>
      <c r="E776" s="23"/>
      <c r="F776" s="23"/>
      <c r="G776" s="23"/>
      <c r="H776" s="23"/>
      <c r="I776" s="23"/>
      <c r="J776" s="23"/>
      <c r="K776" s="23"/>
      <c r="L776" s="23"/>
      <c r="M776" s="23"/>
      <c r="N776" s="23"/>
      <c r="O776" s="23"/>
      <c r="P776" s="23"/>
      <c r="Q776" s="23"/>
      <c r="R776" s="5" t="s">
        <v>392</v>
      </c>
      <c r="S776" s="5" t="s">
        <v>392</v>
      </c>
      <c r="T776" t="s">
        <v>69</v>
      </c>
    </row>
    <row r="777" spans="1:20" x14ac:dyDescent="0.25">
      <c r="B777" s="3" t="s">
        <v>389</v>
      </c>
      <c r="C777" s="23"/>
      <c r="D777" s="23"/>
      <c r="E777" s="23"/>
      <c r="F777" s="23"/>
      <c r="G777" s="23"/>
      <c r="H777" s="23"/>
      <c r="I777" s="23"/>
      <c r="J777" s="23"/>
      <c r="K777" s="23"/>
      <c r="L777" s="23"/>
      <c r="M777" s="23"/>
      <c r="N777" s="23"/>
      <c r="O777" s="23"/>
      <c r="P777" s="23"/>
      <c r="Q777" s="23"/>
      <c r="R777" s="5" t="s">
        <v>392</v>
      </c>
      <c r="S777" s="5" t="s">
        <v>392</v>
      </c>
      <c r="T777" t="s">
        <v>69</v>
      </c>
    </row>
    <row r="778" spans="1:20" x14ac:dyDescent="0.25">
      <c r="B778" s="3" t="s">
        <v>385</v>
      </c>
      <c r="C778" s="23"/>
      <c r="D778" s="23"/>
      <c r="E778" s="23"/>
      <c r="F778" s="23"/>
      <c r="G778" s="23"/>
      <c r="H778" s="23"/>
      <c r="I778" s="23"/>
      <c r="J778" s="23"/>
      <c r="K778" s="23"/>
      <c r="L778" s="23"/>
      <c r="M778" s="23"/>
      <c r="N778" s="23"/>
      <c r="O778" s="23"/>
      <c r="P778" s="23"/>
      <c r="Q778" s="23"/>
      <c r="R778" s="5" t="s">
        <v>392</v>
      </c>
      <c r="S778" s="5" t="s">
        <v>392</v>
      </c>
      <c r="T778" t="s">
        <v>69</v>
      </c>
    </row>
    <row r="779" spans="1:20" x14ac:dyDescent="0.25">
      <c r="B779" s="3" t="s">
        <v>387</v>
      </c>
      <c r="C779" s="23"/>
      <c r="D779" s="23"/>
      <c r="E779" s="23"/>
      <c r="F779" s="23"/>
      <c r="G779" s="23"/>
      <c r="H779" s="23"/>
      <c r="I779" s="23"/>
      <c r="J779" s="23"/>
      <c r="K779" s="23"/>
      <c r="L779" s="23"/>
      <c r="M779" s="23"/>
      <c r="N779" s="23"/>
      <c r="O779" s="23"/>
      <c r="P779" s="23"/>
      <c r="Q779" s="23"/>
      <c r="R779" s="5" t="s">
        <v>392</v>
      </c>
      <c r="S779" s="5" t="s">
        <v>392</v>
      </c>
      <c r="T779" t="s">
        <v>69</v>
      </c>
    </row>
    <row r="780" spans="1:20" x14ac:dyDescent="0.25">
      <c r="B780" s="3" t="s">
        <v>390</v>
      </c>
      <c r="C780" s="23"/>
      <c r="D780" s="23"/>
      <c r="E780" s="23"/>
      <c r="F780" s="23"/>
      <c r="G780" s="23"/>
      <c r="H780" s="23"/>
      <c r="I780" s="23"/>
      <c r="J780" s="23"/>
      <c r="K780" s="23"/>
      <c r="L780" s="23"/>
      <c r="M780" s="23"/>
      <c r="N780" s="23"/>
      <c r="O780" s="23"/>
      <c r="P780" s="23"/>
      <c r="Q780" s="23"/>
      <c r="R780" s="5" t="s">
        <v>392</v>
      </c>
      <c r="S780" s="5" t="s">
        <v>392</v>
      </c>
      <c r="T780" t="s">
        <v>69</v>
      </c>
    </row>
    <row r="781" spans="1:20" x14ac:dyDescent="0.25">
      <c r="B781" s="3" t="s">
        <v>391</v>
      </c>
      <c r="C781" s="23"/>
      <c r="D781" s="23"/>
      <c r="E781" s="23"/>
      <c r="F781" s="23"/>
      <c r="G781" s="23"/>
      <c r="H781" s="23"/>
      <c r="I781" s="23"/>
      <c r="J781" s="23"/>
      <c r="K781" s="23"/>
      <c r="L781" s="23"/>
      <c r="M781" s="23"/>
      <c r="N781" s="23"/>
      <c r="O781" s="23"/>
      <c r="P781" s="23"/>
      <c r="Q781" s="23"/>
      <c r="R781" s="5" t="s">
        <v>392</v>
      </c>
      <c r="S781" s="5" t="s">
        <v>392</v>
      </c>
      <c r="T781" t="s">
        <v>69</v>
      </c>
    </row>
    <row r="782" spans="1:20" x14ac:dyDescent="0.25">
      <c r="A782" t="s">
        <v>877</v>
      </c>
      <c r="B782" s="3" t="s">
        <v>393</v>
      </c>
      <c r="C782" s="23"/>
      <c r="D782" s="23"/>
      <c r="E782" s="23"/>
      <c r="F782" s="23"/>
      <c r="G782" s="23"/>
      <c r="H782" s="23"/>
      <c r="I782" s="23"/>
      <c r="J782" s="23"/>
      <c r="K782" s="23"/>
      <c r="L782" s="23"/>
      <c r="M782" s="23"/>
      <c r="N782" s="23"/>
      <c r="O782" s="23"/>
      <c r="P782" s="23"/>
      <c r="Q782" s="23"/>
      <c r="R782" s="5" t="s">
        <v>392</v>
      </c>
      <c r="S782" s="5" t="s">
        <v>392</v>
      </c>
      <c r="T782" t="s">
        <v>69</v>
      </c>
    </row>
    <row r="783" spans="1:20" x14ac:dyDescent="0.25">
      <c r="B783" s="21" t="s">
        <v>297</v>
      </c>
      <c r="C783" s="21">
        <v>1</v>
      </c>
      <c r="D783" s="21">
        <v>2</v>
      </c>
      <c r="E783" s="21">
        <v>3</v>
      </c>
      <c r="F783" s="21">
        <v>4</v>
      </c>
      <c r="G783" s="21">
        <v>5</v>
      </c>
      <c r="H783" s="21">
        <v>6</v>
      </c>
      <c r="I783" s="21">
        <v>7</v>
      </c>
      <c r="J783" s="21">
        <v>8</v>
      </c>
      <c r="K783" s="21">
        <v>9</v>
      </c>
      <c r="L783" s="21">
        <v>10</v>
      </c>
      <c r="M783" s="21">
        <v>11</v>
      </c>
      <c r="N783" s="21">
        <v>12</v>
      </c>
      <c r="O783" s="21">
        <v>13</v>
      </c>
      <c r="P783" s="21">
        <v>14</v>
      </c>
      <c r="Q783" s="21">
        <v>15</v>
      </c>
      <c r="R783" s="5" t="s">
        <v>11</v>
      </c>
      <c r="S783" s="5" t="s">
        <v>1024</v>
      </c>
      <c r="T783" t="s">
        <v>124</v>
      </c>
    </row>
    <row r="784" spans="1:20" x14ac:dyDescent="0.25">
      <c r="A784" t="s">
        <v>878</v>
      </c>
      <c r="B784" t="s">
        <v>10</v>
      </c>
      <c r="C784" s="2">
        <v>0.52459999999999996</v>
      </c>
      <c r="D784" s="2">
        <v>0.56730000000000003</v>
      </c>
      <c r="E784" s="2">
        <v>0.61</v>
      </c>
      <c r="F784" s="2">
        <v>0.67100000000000004</v>
      </c>
      <c r="G784" s="2">
        <v>0.7137</v>
      </c>
      <c r="H784" s="2">
        <v>0.76249999999999996</v>
      </c>
      <c r="I784" s="2">
        <v>0.8296</v>
      </c>
      <c r="J784" s="2">
        <v>0.89670000000000005</v>
      </c>
      <c r="K784" s="2">
        <v>0.96379999999999999</v>
      </c>
      <c r="L784" s="2">
        <v>1.0369999999999999</v>
      </c>
      <c r="M784" s="2">
        <v>1.1102000000000001</v>
      </c>
      <c r="N784" s="2">
        <v>1.1834</v>
      </c>
      <c r="O784" s="2">
        <v>1.2565999999999999</v>
      </c>
      <c r="P784" s="2">
        <v>1.3298000000000001</v>
      </c>
      <c r="Q784" s="2">
        <v>1.403</v>
      </c>
      <c r="R784" t="s">
        <v>6</v>
      </c>
      <c r="S784" t="s">
        <v>6</v>
      </c>
      <c r="T784" t="s">
        <v>125</v>
      </c>
    </row>
    <row r="785" spans="2:20" x14ac:dyDescent="0.25">
      <c r="B785" t="s">
        <v>9</v>
      </c>
      <c r="C785" s="2">
        <v>0.51600000000000001</v>
      </c>
      <c r="D785" s="2">
        <v>0.55800000000000005</v>
      </c>
      <c r="E785" s="2">
        <v>0.6</v>
      </c>
      <c r="F785" s="2">
        <v>0.66</v>
      </c>
      <c r="G785" s="2">
        <v>0.70199999999999996</v>
      </c>
      <c r="H785" s="2">
        <v>0.75</v>
      </c>
      <c r="I785" s="2">
        <v>0.81599999999999995</v>
      </c>
      <c r="J785" s="2">
        <v>0.88200000000000001</v>
      </c>
      <c r="K785" s="2">
        <v>0.94799999999999995</v>
      </c>
      <c r="L785" s="2">
        <v>1.02</v>
      </c>
      <c r="M785" s="2">
        <v>1.0920000000000001</v>
      </c>
      <c r="N785" s="2">
        <v>1.1639999999999999</v>
      </c>
      <c r="O785" s="2">
        <v>1.236</v>
      </c>
      <c r="P785" s="2">
        <v>1.3080000000000001</v>
      </c>
      <c r="Q785" s="2">
        <v>1.38</v>
      </c>
      <c r="R785" t="s">
        <v>6</v>
      </c>
      <c r="S785" t="s">
        <v>6</v>
      </c>
      <c r="T785" t="s">
        <v>125</v>
      </c>
    </row>
    <row r="786" spans="2:20" x14ac:dyDescent="0.25">
      <c r="B786" t="s">
        <v>275</v>
      </c>
      <c r="C786" s="2">
        <v>0.31819999999999998</v>
      </c>
      <c r="D786" s="2">
        <v>0.34410000000000002</v>
      </c>
      <c r="E786" s="2">
        <v>0.37</v>
      </c>
      <c r="F786" s="2">
        <v>0.40699999999999997</v>
      </c>
      <c r="G786" s="2">
        <v>0.43290000000000001</v>
      </c>
      <c r="H786" s="2">
        <v>0.46250000000000002</v>
      </c>
      <c r="I786" s="2">
        <v>0.50319999999999998</v>
      </c>
      <c r="J786" s="2">
        <v>0.54390000000000005</v>
      </c>
      <c r="K786" s="2">
        <v>0.58460000000000001</v>
      </c>
      <c r="L786" s="2">
        <v>0.629</v>
      </c>
      <c r="M786" s="2">
        <v>0.6734</v>
      </c>
      <c r="N786" s="2">
        <v>0.71779999999999999</v>
      </c>
      <c r="O786" s="2">
        <v>0.76219999999999999</v>
      </c>
      <c r="P786" s="2">
        <v>0.80659999999999998</v>
      </c>
      <c r="Q786" s="2">
        <v>0.85099999999999998</v>
      </c>
      <c r="R786" t="s">
        <v>6</v>
      </c>
      <c r="S786" t="s">
        <v>6</v>
      </c>
      <c r="T786" t="s">
        <v>125</v>
      </c>
    </row>
    <row r="787" spans="2:20" x14ac:dyDescent="0.25">
      <c r="B787" t="s">
        <v>13</v>
      </c>
      <c r="C787" s="2">
        <v>0.6966</v>
      </c>
      <c r="D787" s="2">
        <v>0.75329999999999997</v>
      </c>
      <c r="E787" s="2">
        <v>0.81</v>
      </c>
      <c r="F787" s="2">
        <v>0.89100000000000001</v>
      </c>
      <c r="G787" s="2">
        <v>0.94769999999999999</v>
      </c>
      <c r="H787" s="2">
        <v>1.0125</v>
      </c>
      <c r="I787" s="2">
        <v>1.1015999999999999</v>
      </c>
      <c r="J787" s="2">
        <v>1.1907000000000001</v>
      </c>
      <c r="K787" s="2">
        <v>1.2798</v>
      </c>
      <c r="L787" s="2">
        <v>1.377</v>
      </c>
      <c r="M787" s="2">
        <v>1.4742</v>
      </c>
      <c r="N787" s="2">
        <v>1.5713999999999999</v>
      </c>
      <c r="O787" s="2">
        <v>1.6686000000000001</v>
      </c>
      <c r="P787" s="2">
        <v>1.7658</v>
      </c>
      <c r="Q787" s="2">
        <v>1.863</v>
      </c>
      <c r="R787" t="s">
        <v>6</v>
      </c>
      <c r="S787" t="s">
        <v>6</v>
      </c>
      <c r="T787" t="s">
        <v>125</v>
      </c>
    </row>
    <row r="788" spans="2:20" x14ac:dyDescent="0.25">
      <c r="B788" t="s">
        <v>192</v>
      </c>
      <c r="C788" s="2">
        <v>0.41620000000000001</v>
      </c>
      <c r="D788" s="2">
        <v>0.4501</v>
      </c>
      <c r="E788" s="2">
        <v>0.48399999999999999</v>
      </c>
      <c r="F788" s="2">
        <v>0.53239999999999998</v>
      </c>
      <c r="G788" s="2">
        <v>0.56630000000000003</v>
      </c>
      <c r="H788" s="2">
        <v>0.60499999999999998</v>
      </c>
      <c r="I788" s="2">
        <v>0.65820000000000001</v>
      </c>
      <c r="J788" s="2">
        <v>0.71150000000000002</v>
      </c>
      <c r="K788" s="2">
        <v>0.76470000000000005</v>
      </c>
      <c r="L788" s="2">
        <v>0.82279999999999998</v>
      </c>
      <c r="M788" s="2">
        <v>0.88090000000000002</v>
      </c>
      <c r="N788" s="2">
        <v>0.93899999999999995</v>
      </c>
      <c r="O788" s="2">
        <v>0.997</v>
      </c>
      <c r="P788" s="2">
        <v>1.0550999999999999</v>
      </c>
      <c r="Q788" s="2">
        <v>1.1132</v>
      </c>
      <c r="R788" t="s">
        <v>6</v>
      </c>
      <c r="S788" t="s">
        <v>6</v>
      </c>
      <c r="T788" t="s">
        <v>125</v>
      </c>
    </row>
    <row r="789" spans="2:20" x14ac:dyDescent="0.25">
      <c r="B789" t="s">
        <v>193</v>
      </c>
      <c r="C789" s="2">
        <v>0.43</v>
      </c>
      <c r="D789" s="2">
        <v>0.46500000000000002</v>
      </c>
      <c r="E789" s="2">
        <v>0.5</v>
      </c>
      <c r="F789" s="2">
        <v>0.55000000000000004</v>
      </c>
      <c r="G789" s="2">
        <v>0.58499999999999996</v>
      </c>
      <c r="H789" s="2">
        <v>0.625</v>
      </c>
      <c r="I789" s="2">
        <v>0.68</v>
      </c>
      <c r="J789" s="2">
        <v>0.73499999999999999</v>
      </c>
      <c r="K789" s="2">
        <v>0.79</v>
      </c>
      <c r="L789" s="2">
        <v>0.85</v>
      </c>
      <c r="M789" s="2">
        <v>0.91</v>
      </c>
      <c r="N789" s="2">
        <v>0.97</v>
      </c>
      <c r="O789" s="2">
        <v>1.03</v>
      </c>
      <c r="P789" s="2">
        <v>1.0900000000000001</v>
      </c>
      <c r="Q789" s="2">
        <v>1.1499999999999999</v>
      </c>
      <c r="R789" t="s">
        <v>6</v>
      </c>
      <c r="S789" t="s">
        <v>6</v>
      </c>
      <c r="T789" t="s">
        <v>125</v>
      </c>
    </row>
    <row r="790" spans="2:20" x14ac:dyDescent="0.25">
      <c r="B790" t="s">
        <v>14</v>
      </c>
      <c r="C790" s="2">
        <v>1.3673999999999999</v>
      </c>
      <c r="D790" s="2">
        <v>1.4786999999999999</v>
      </c>
      <c r="E790" s="2">
        <v>1.59</v>
      </c>
      <c r="F790" s="2">
        <v>1.7490000000000001</v>
      </c>
      <c r="G790" s="2">
        <v>1.8603000000000001</v>
      </c>
      <c r="H790" s="2">
        <v>1.9875</v>
      </c>
      <c r="I790" s="2">
        <v>2.1623999999999999</v>
      </c>
      <c r="J790" s="2">
        <v>2.3372999999999999</v>
      </c>
      <c r="K790" s="2">
        <v>2.5122</v>
      </c>
      <c r="L790" s="2">
        <v>2.7029999999999998</v>
      </c>
      <c r="M790" s="2">
        <v>2.8938000000000001</v>
      </c>
      <c r="N790" s="2">
        <v>3.0846</v>
      </c>
      <c r="O790" s="2">
        <v>3.2753999999999999</v>
      </c>
      <c r="P790" s="2">
        <v>3.4662000000000002</v>
      </c>
      <c r="Q790" s="2">
        <v>3.657</v>
      </c>
      <c r="R790" t="s">
        <v>5</v>
      </c>
      <c r="S790" t="s">
        <v>5</v>
      </c>
      <c r="T790" t="s">
        <v>125</v>
      </c>
    </row>
    <row r="791" spans="2:20" x14ac:dyDescent="0.25">
      <c r="B791" t="s">
        <v>152</v>
      </c>
      <c r="C791" s="2">
        <v>0.63929999999999998</v>
      </c>
      <c r="D791" s="2">
        <v>0.69140000000000001</v>
      </c>
      <c r="E791" s="2">
        <v>0.74339999999999995</v>
      </c>
      <c r="F791" s="2">
        <v>0.81769999999999998</v>
      </c>
      <c r="G791" s="2">
        <v>0.86980000000000002</v>
      </c>
      <c r="H791" s="2">
        <v>0.92930000000000001</v>
      </c>
      <c r="I791" s="2">
        <v>1.0109999999999999</v>
      </c>
      <c r="J791" s="2">
        <v>1.0928</v>
      </c>
      <c r="K791" s="2">
        <v>1.1746000000000001</v>
      </c>
      <c r="L791" s="2">
        <v>1.2638</v>
      </c>
      <c r="M791" s="2">
        <v>1.353</v>
      </c>
      <c r="N791" s="2">
        <v>1.4421999999999999</v>
      </c>
      <c r="O791" s="2">
        <v>1.5314000000000001</v>
      </c>
      <c r="P791" s="2">
        <v>1.6206</v>
      </c>
      <c r="Q791" s="2">
        <v>1.7098</v>
      </c>
      <c r="R791" t="s">
        <v>3</v>
      </c>
      <c r="S791" t="s">
        <v>3</v>
      </c>
      <c r="T791" t="s">
        <v>125</v>
      </c>
    </row>
    <row r="792" spans="2:20" x14ac:dyDescent="0.25">
      <c r="B792" t="s">
        <v>133</v>
      </c>
      <c r="C792" s="2">
        <v>1.2784</v>
      </c>
      <c r="D792" s="2">
        <v>1.3824000000000001</v>
      </c>
      <c r="E792" s="2">
        <v>1.4864999999999999</v>
      </c>
      <c r="F792" s="2">
        <v>1.6351</v>
      </c>
      <c r="G792" s="2">
        <v>1.7392000000000001</v>
      </c>
      <c r="H792" s="2">
        <v>1.8581000000000001</v>
      </c>
      <c r="I792" s="2">
        <v>2.0215999999999998</v>
      </c>
      <c r="J792" s="2">
        <v>2.1850999999999998</v>
      </c>
      <c r="K792" s="2">
        <v>2.3485999999999998</v>
      </c>
      <c r="L792" s="2">
        <v>2.5270000000000001</v>
      </c>
      <c r="M792" s="2">
        <v>2.7054</v>
      </c>
      <c r="N792" s="2">
        <v>2.8837999999999999</v>
      </c>
      <c r="O792" s="2">
        <v>3.0621999999999998</v>
      </c>
      <c r="P792" s="2">
        <v>3.2404999999999999</v>
      </c>
      <c r="Q792" s="2">
        <v>3.4188999999999998</v>
      </c>
      <c r="R792" t="s">
        <v>3</v>
      </c>
      <c r="S792" t="s">
        <v>3</v>
      </c>
      <c r="T792" t="s">
        <v>125</v>
      </c>
    </row>
    <row r="793" spans="2:20" x14ac:dyDescent="0.25">
      <c r="B793" t="s">
        <v>134</v>
      </c>
      <c r="C793" s="2">
        <v>1.5968</v>
      </c>
      <c r="D793" s="2">
        <v>1.7266999999999999</v>
      </c>
      <c r="E793" s="2">
        <v>1.8567</v>
      </c>
      <c r="F793" s="2">
        <v>2.0424000000000002</v>
      </c>
      <c r="G793" s="2">
        <v>2.1722999999999999</v>
      </c>
      <c r="H793" s="2">
        <v>2.3209</v>
      </c>
      <c r="I793" s="2">
        <v>2.5251000000000001</v>
      </c>
      <c r="J793" s="2">
        <v>2.7292999999999998</v>
      </c>
      <c r="K793" s="2">
        <v>2.9336000000000002</v>
      </c>
      <c r="L793" s="2">
        <v>3.1564000000000001</v>
      </c>
      <c r="M793" s="2">
        <v>3.3792</v>
      </c>
      <c r="N793" s="2">
        <v>3.6019999999999999</v>
      </c>
      <c r="O793" s="2">
        <v>3.8248000000000002</v>
      </c>
      <c r="P793" s="2">
        <v>4.0476000000000001</v>
      </c>
      <c r="Q793" s="2">
        <v>4.2704000000000004</v>
      </c>
      <c r="R793" t="s">
        <v>3</v>
      </c>
      <c r="S793" t="s">
        <v>3</v>
      </c>
      <c r="T793" t="s">
        <v>125</v>
      </c>
    </row>
    <row r="794" spans="2:20" x14ac:dyDescent="0.25">
      <c r="B794" t="s">
        <v>298</v>
      </c>
      <c r="C794" s="2">
        <v>0.58399999999999996</v>
      </c>
      <c r="D794" s="2">
        <v>0.62780000000000002</v>
      </c>
      <c r="E794" s="2">
        <v>0.67159999999999997</v>
      </c>
      <c r="F794" s="2">
        <v>0.73</v>
      </c>
      <c r="G794" s="2">
        <v>0.77380000000000004</v>
      </c>
      <c r="H794" s="2">
        <v>0.81759999999999999</v>
      </c>
      <c r="I794" s="2">
        <v>0.876</v>
      </c>
      <c r="J794" s="2">
        <v>0.93440000000000001</v>
      </c>
      <c r="K794" s="2">
        <v>0.99280000000000002</v>
      </c>
      <c r="L794" s="2">
        <v>1.0511999999999999</v>
      </c>
      <c r="M794" s="2">
        <v>1.1095999999999999</v>
      </c>
      <c r="N794" s="2">
        <v>1.1679999999999999</v>
      </c>
      <c r="O794" s="2">
        <v>1.2410000000000001</v>
      </c>
      <c r="P794" s="2">
        <v>1.3140000000000001</v>
      </c>
      <c r="Q794" s="2">
        <v>1.387</v>
      </c>
      <c r="R794" t="s">
        <v>19</v>
      </c>
      <c r="S794" t="s">
        <v>19</v>
      </c>
      <c r="T794" t="s">
        <v>125</v>
      </c>
    </row>
    <row r="795" spans="2:20" x14ac:dyDescent="0.25">
      <c r="B795" t="s">
        <v>299</v>
      </c>
      <c r="C795" s="2">
        <v>1.36</v>
      </c>
      <c r="D795" s="2">
        <v>1.462</v>
      </c>
      <c r="E795" s="2">
        <v>1.5640000000000001</v>
      </c>
      <c r="F795" s="2">
        <v>1.7</v>
      </c>
      <c r="G795" s="2">
        <v>1.802</v>
      </c>
      <c r="H795" s="2">
        <v>1.9039999999999999</v>
      </c>
      <c r="I795" s="2">
        <v>2.04</v>
      </c>
      <c r="J795" s="2">
        <v>2.1760000000000002</v>
      </c>
      <c r="K795" s="2">
        <v>2.3119999999999998</v>
      </c>
      <c r="L795" s="2">
        <v>2.448</v>
      </c>
      <c r="M795" s="2">
        <v>2.5840000000000001</v>
      </c>
      <c r="N795" s="2">
        <v>2.72</v>
      </c>
      <c r="O795" s="2">
        <v>2.89</v>
      </c>
      <c r="P795" s="2">
        <v>3.06</v>
      </c>
      <c r="Q795" s="2">
        <v>3.23</v>
      </c>
      <c r="R795" t="s">
        <v>19</v>
      </c>
      <c r="S795" t="s">
        <v>19</v>
      </c>
      <c r="T795" t="s">
        <v>125</v>
      </c>
    </row>
    <row r="796" spans="2:20" x14ac:dyDescent="0.25">
      <c r="B796" t="s">
        <v>300</v>
      </c>
      <c r="C796" s="2">
        <v>1.04</v>
      </c>
      <c r="D796" s="2">
        <v>1.1180000000000001</v>
      </c>
      <c r="E796" s="2">
        <v>1.196</v>
      </c>
      <c r="F796" s="2">
        <v>1.3</v>
      </c>
      <c r="G796" s="2">
        <v>1.3779999999999999</v>
      </c>
      <c r="H796" s="2">
        <v>1.456</v>
      </c>
      <c r="I796" s="2">
        <v>1.56</v>
      </c>
      <c r="J796" s="2">
        <v>1.6639999999999999</v>
      </c>
      <c r="K796" s="2">
        <v>1.768</v>
      </c>
      <c r="L796" s="2">
        <v>1.8720000000000001</v>
      </c>
      <c r="M796" s="2">
        <v>1.976</v>
      </c>
      <c r="N796" s="2">
        <v>2.08</v>
      </c>
      <c r="O796" s="2">
        <v>2.21</v>
      </c>
      <c r="P796" s="2">
        <v>2.34</v>
      </c>
      <c r="Q796" s="2">
        <v>2.4700000000000002</v>
      </c>
      <c r="R796" t="s">
        <v>0</v>
      </c>
      <c r="S796" t="s">
        <v>0</v>
      </c>
      <c r="T796" t="s">
        <v>125</v>
      </c>
    </row>
    <row r="797" spans="2:20" x14ac:dyDescent="0.25">
      <c r="B797" t="s">
        <v>301</v>
      </c>
      <c r="C797" s="2">
        <v>1.52</v>
      </c>
      <c r="D797" s="2">
        <v>1.6339999999999999</v>
      </c>
      <c r="E797" s="2">
        <v>1.748</v>
      </c>
      <c r="F797" s="2">
        <v>1.9</v>
      </c>
      <c r="G797" s="2">
        <v>2.0139999999999998</v>
      </c>
      <c r="H797" s="2">
        <v>2.1280000000000001</v>
      </c>
      <c r="I797" s="2">
        <v>2.2799999999999998</v>
      </c>
      <c r="J797" s="2">
        <v>2.4319999999999999</v>
      </c>
      <c r="K797" s="2">
        <v>2.5840000000000001</v>
      </c>
      <c r="L797" s="2">
        <v>2.7360000000000002</v>
      </c>
      <c r="M797" s="2">
        <v>2.8879999999999999</v>
      </c>
      <c r="N797" s="2">
        <v>3.04</v>
      </c>
      <c r="O797" s="2">
        <v>3.23</v>
      </c>
      <c r="P797" s="2">
        <v>3.42</v>
      </c>
      <c r="Q797" s="2">
        <v>3.61</v>
      </c>
      <c r="R797" t="s">
        <v>0</v>
      </c>
      <c r="S797" t="s">
        <v>0</v>
      </c>
      <c r="T797" t="s">
        <v>125</v>
      </c>
    </row>
    <row r="798" spans="2:20" x14ac:dyDescent="0.25">
      <c r="B798" t="s">
        <v>302</v>
      </c>
      <c r="C798" s="2">
        <v>1.32</v>
      </c>
      <c r="D798" s="2">
        <v>1.419</v>
      </c>
      <c r="E798" s="2">
        <v>1.518</v>
      </c>
      <c r="F798" s="2">
        <v>1.65</v>
      </c>
      <c r="G798" s="2">
        <v>1.7490000000000001</v>
      </c>
      <c r="H798" s="2">
        <v>1.8480000000000001</v>
      </c>
      <c r="I798" s="2">
        <v>1.98</v>
      </c>
      <c r="J798" s="2">
        <v>2.1120000000000001</v>
      </c>
      <c r="K798" s="2">
        <v>2.2440000000000002</v>
      </c>
      <c r="L798" s="2">
        <v>2.3759999999999999</v>
      </c>
      <c r="M798" s="2">
        <v>2.508</v>
      </c>
      <c r="N798" s="2">
        <v>2.64</v>
      </c>
      <c r="O798" s="2">
        <v>2.8050000000000002</v>
      </c>
      <c r="P798" s="2">
        <v>2.97</v>
      </c>
      <c r="Q798" s="2">
        <v>3.1349999999999998</v>
      </c>
      <c r="R798" t="s">
        <v>0</v>
      </c>
      <c r="S798" t="s">
        <v>0</v>
      </c>
      <c r="T798" t="s">
        <v>125</v>
      </c>
    </row>
    <row r="799" spans="2:20" x14ac:dyDescent="0.25">
      <c r="B799" s="3" t="s">
        <v>763</v>
      </c>
      <c r="C799" s="23"/>
      <c r="D799" s="23"/>
      <c r="E799" s="23"/>
      <c r="F799" s="23"/>
      <c r="G799" s="23"/>
      <c r="H799" s="23"/>
      <c r="I799" s="23"/>
      <c r="J799" s="23"/>
      <c r="K799" s="23"/>
      <c r="L799" s="23"/>
      <c r="M799" s="23"/>
      <c r="N799" s="23"/>
      <c r="O799" s="23"/>
      <c r="P799" s="23"/>
      <c r="Q799" s="23"/>
      <c r="R799" s="5" t="s">
        <v>763</v>
      </c>
      <c r="S799" s="5" t="s">
        <v>763</v>
      </c>
      <c r="T799" t="s">
        <v>764</v>
      </c>
    </row>
    <row r="800" spans="2:20" x14ac:dyDescent="0.25">
      <c r="B800" s="3" t="s">
        <v>386</v>
      </c>
      <c r="C800" s="23"/>
      <c r="D800" s="23"/>
      <c r="E800" s="23"/>
      <c r="F800" s="23"/>
      <c r="G800" s="23"/>
      <c r="H800" s="23"/>
      <c r="I800" s="23"/>
      <c r="J800" s="23"/>
      <c r="K800" s="23"/>
      <c r="L800" s="23"/>
      <c r="M800" s="23"/>
      <c r="N800" s="23"/>
      <c r="O800" s="23"/>
      <c r="P800" s="23"/>
      <c r="Q800" s="23"/>
      <c r="R800" s="5" t="s">
        <v>392</v>
      </c>
      <c r="S800" s="5" t="s">
        <v>392</v>
      </c>
      <c r="T800" t="s">
        <v>69</v>
      </c>
    </row>
    <row r="801" spans="1:20" x14ac:dyDescent="0.25">
      <c r="B801" s="3" t="s">
        <v>388</v>
      </c>
      <c r="C801" s="23"/>
      <c r="D801" s="23"/>
      <c r="E801" s="23"/>
      <c r="F801" s="23"/>
      <c r="G801" s="23"/>
      <c r="H801" s="23"/>
      <c r="I801" s="23"/>
      <c r="J801" s="23"/>
      <c r="K801" s="23"/>
      <c r="L801" s="23"/>
      <c r="M801" s="23"/>
      <c r="N801" s="23"/>
      <c r="O801" s="23"/>
      <c r="P801" s="23"/>
      <c r="Q801" s="23"/>
      <c r="R801" s="5" t="s">
        <v>392</v>
      </c>
      <c r="S801" s="5" t="s">
        <v>392</v>
      </c>
      <c r="T801" t="s">
        <v>69</v>
      </c>
    </row>
    <row r="802" spans="1:20" x14ac:dyDescent="0.25">
      <c r="B802" s="3" t="s">
        <v>389</v>
      </c>
      <c r="C802" s="23"/>
      <c r="D802" s="23"/>
      <c r="E802" s="23"/>
      <c r="F802" s="23"/>
      <c r="G802" s="23"/>
      <c r="H802" s="23"/>
      <c r="I802" s="23"/>
      <c r="J802" s="23"/>
      <c r="K802" s="23"/>
      <c r="L802" s="23"/>
      <c r="M802" s="23"/>
      <c r="N802" s="23"/>
      <c r="O802" s="23"/>
      <c r="P802" s="23"/>
      <c r="Q802" s="23"/>
      <c r="R802" s="5" t="s">
        <v>392</v>
      </c>
      <c r="S802" s="5" t="s">
        <v>392</v>
      </c>
      <c r="T802" t="s">
        <v>69</v>
      </c>
    </row>
    <row r="803" spans="1:20" x14ac:dyDescent="0.25">
      <c r="B803" s="3" t="s">
        <v>385</v>
      </c>
      <c r="C803" s="23"/>
      <c r="D803" s="23"/>
      <c r="E803" s="23"/>
      <c r="F803" s="23"/>
      <c r="G803" s="23"/>
      <c r="H803" s="23"/>
      <c r="I803" s="23"/>
      <c r="J803" s="23"/>
      <c r="K803" s="23"/>
      <c r="L803" s="23"/>
      <c r="M803" s="23"/>
      <c r="N803" s="23"/>
      <c r="O803" s="23"/>
      <c r="P803" s="23"/>
      <c r="Q803" s="23"/>
      <c r="R803" s="5" t="s">
        <v>392</v>
      </c>
      <c r="S803" s="5" t="s">
        <v>392</v>
      </c>
      <c r="T803" t="s">
        <v>69</v>
      </c>
    </row>
    <row r="804" spans="1:20" x14ac:dyDescent="0.25">
      <c r="B804" s="3" t="s">
        <v>387</v>
      </c>
      <c r="C804" s="23"/>
      <c r="D804" s="23"/>
      <c r="E804" s="23"/>
      <c r="F804" s="23"/>
      <c r="G804" s="23"/>
      <c r="H804" s="23"/>
      <c r="I804" s="23"/>
      <c r="J804" s="23"/>
      <c r="K804" s="23"/>
      <c r="L804" s="23"/>
      <c r="M804" s="23"/>
      <c r="N804" s="23"/>
      <c r="O804" s="23"/>
      <c r="P804" s="23"/>
      <c r="Q804" s="23"/>
      <c r="R804" s="5" t="s">
        <v>392</v>
      </c>
      <c r="S804" s="5" t="s">
        <v>392</v>
      </c>
      <c r="T804" t="s">
        <v>69</v>
      </c>
    </row>
    <row r="805" spans="1:20" x14ac:dyDescent="0.25">
      <c r="B805" s="3" t="s">
        <v>390</v>
      </c>
      <c r="C805" s="23"/>
      <c r="D805" s="23"/>
      <c r="E805" s="23"/>
      <c r="F805" s="23"/>
      <c r="G805" s="23"/>
      <c r="H805" s="23"/>
      <c r="I805" s="23"/>
      <c r="J805" s="23"/>
      <c r="K805" s="23"/>
      <c r="L805" s="23"/>
      <c r="M805" s="23"/>
      <c r="N805" s="23"/>
      <c r="O805" s="23"/>
      <c r="P805" s="23"/>
      <c r="Q805" s="23"/>
      <c r="R805" s="5" t="s">
        <v>392</v>
      </c>
      <c r="S805" s="5" t="s">
        <v>392</v>
      </c>
      <c r="T805" t="s">
        <v>69</v>
      </c>
    </row>
    <row r="806" spans="1:20" x14ac:dyDescent="0.25">
      <c r="B806" s="3" t="s">
        <v>391</v>
      </c>
      <c r="C806" s="23"/>
      <c r="D806" s="23"/>
      <c r="E806" s="23"/>
      <c r="F806" s="23"/>
      <c r="G806" s="23"/>
      <c r="H806" s="23"/>
      <c r="I806" s="23"/>
      <c r="J806" s="23"/>
      <c r="K806" s="23"/>
      <c r="L806" s="23"/>
      <c r="M806" s="23"/>
      <c r="N806" s="23"/>
      <c r="O806" s="23"/>
      <c r="P806" s="23"/>
      <c r="Q806" s="23"/>
      <c r="R806" s="5" t="s">
        <v>392</v>
      </c>
      <c r="S806" s="5" t="s">
        <v>392</v>
      </c>
      <c r="T806" t="s">
        <v>69</v>
      </c>
    </row>
    <row r="807" spans="1:20" x14ac:dyDescent="0.25">
      <c r="A807" t="s">
        <v>1144</v>
      </c>
      <c r="B807" s="3" t="s">
        <v>393</v>
      </c>
      <c r="C807" s="23"/>
      <c r="D807" s="23"/>
      <c r="E807" s="23"/>
      <c r="F807" s="23"/>
      <c r="G807" s="23"/>
      <c r="H807" s="23"/>
      <c r="I807" s="23"/>
      <c r="J807" s="23"/>
      <c r="K807" s="23"/>
      <c r="L807" s="23"/>
      <c r="M807" s="23"/>
      <c r="N807" s="23"/>
      <c r="O807" s="23"/>
      <c r="P807" s="23"/>
      <c r="Q807" s="23"/>
      <c r="R807" s="5" t="s">
        <v>392</v>
      </c>
      <c r="S807" s="5" t="s">
        <v>392</v>
      </c>
      <c r="T807" t="s">
        <v>69</v>
      </c>
    </row>
    <row r="808" spans="1:20" x14ac:dyDescent="0.25">
      <c r="B808" t="s">
        <v>303</v>
      </c>
      <c r="C808" s="21">
        <v>1</v>
      </c>
      <c r="D808" s="21">
        <v>2</v>
      </c>
      <c r="E808" s="21">
        <v>3</v>
      </c>
      <c r="F808" s="21">
        <v>4</v>
      </c>
      <c r="G808" s="21">
        <v>5</v>
      </c>
      <c r="H808" s="21">
        <v>6</v>
      </c>
      <c r="I808" s="21">
        <v>7</v>
      </c>
      <c r="J808" s="21">
        <v>8</v>
      </c>
      <c r="K808" s="21">
        <v>9</v>
      </c>
      <c r="L808" s="21">
        <v>10</v>
      </c>
      <c r="M808" s="21">
        <v>11</v>
      </c>
      <c r="N808" s="21">
        <v>12</v>
      </c>
      <c r="O808" s="21">
        <v>13</v>
      </c>
      <c r="P808" s="21">
        <v>14</v>
      </c>
      <c r="Q808" s="21">
        <v>15</v>
      </c>
      <c r="R808" s="5" t="s">
        <v>11</v>
      </c>
      <c r="S808" s="5" t="s">
        <v>1024</v>
      </c>
      <c r="T808" t="s">
        <v>124</v>
      </c>
    </row>
    <row r="809" spans="1:20" x14ac:dyDescent="0.25">
      <c r="A809" t="s">
        <v>879</v>
      </c>
      <c r="B809" t="s">
        <v>10</v>
      </c>
      <c r="C809" s="2">
        <v>0.36890000000000001</v>
      </c>
      <c r="D809" s="2">
        <v>0.39900000000000002</v>
      </c>
      <c r="E809" s="2">
        <v>0.42899999999999999</v>
      </c>
      <c r="F809" s="2">
        <v>0.47189999999999999</v>
      </c>
      <c r="G809" s="2">
        <v>0.50190000000000001</v>
      </c>
      <c r="H809" s="2">
        <v>0.5363</v>
      </c>
      <c r="I809" s="2">
        <v>0.58340000000000003</v>
      </c>
      <c r="J809" s="2">
        <v>0.63060000000000005</v>
      </c>
      <c r="K809" s="2">
        <v>0.67779999999999996</v>
      </c>
      <c r="L809" s="2">
        <v>0.72929999999999995</v>
      </c>
      <c r="M809" s="2">
        <v>0.78080000000000005</v>
      </c>
      <c r="N809" s="2">
        <v>0.83230000000000004</v>
      </c>
      <c r="O809" s="2">
        <v>0.88370000000000004</v>
      </c>
      <c r="P809" s="2">
        <v>0.93520000000000003</v>
      </c>
      <c r="Q809" s="2">
        <v>0.98670000000000002</v>
      </c>
      <c r="R809" t="s">
        <v>6</v>
      </c>
      <c r="S809" t="s">
        <v>6</v>
      </c>
      <c r="T809" t="s">
        <v>125</v>
      </c>
    </row>
    <row r="810" spans="1:20" x14ac:dyDescent="0.25">
      <c r="B810" t="s">
        <v>9</v>
      </c>
      <c r="C810" s="2">
        <v>0.38700000000000001</v>
      </c>
      <c r="D810" s="2">
        <v>0.41849999999999998</v>
      </c>
      <c r="E810" s="2">
        <v>0.45</v>
      </c>
      <c r="F810" s="2">
        <v>0.495</v>
      </c>
      <c r="G810" s="2">
        <v>0.52649999999999997</v>
      </c>
      <c r="H810" s="2">
        <v>0.5625</v>
      </c>
      <c r="I810" s="2">
        <v>0.61199999999999999</v>
      </c>
      <c r="J810" s="2">
        <v>0.66149999999999998</v>
      </c>
      <c r="K810" s="2">
        <v>0.71099999999999997</v>
      </c>
      <c r="L810" s="2">
        <v>0.76500000000000001</v>
      </c>
      <c r="M810" s="2">
        <v>0.81899999999999995</v>
      </c>
      <c r="N810" s="2">
        <v>0.873</v>
      </c>
      <c r="O810" s="2">
        <v>0.92700000000000005</v>
      </c>
      <c r="P810" s="2">
        <v>0.98099999999999998</v>
      </c>
      <c r="Q810" s="2">
        <v>1.0349999999999999</v>
      </c>
      <c r="R810" t="s">
        <v>6</v>
      </c>
      <c r="S810" t="s">
        <v>6</v>
      </c>
      <c r="T810" t="s">
        <v>125</v>
      </c>
    </row>
    <row r="811" spans="1:20" x14ac:dyDescent="0.25">
      <c r="B811" t="s">
        <v>8</v>
      </c>
      <c r="C811" s="2">
        <v>0.48499999999999999</v>
      </c>
      <c r="D811" s="2">
        <v>0.52449999999999997</v>
      </c>
      <c r="E811" s="2">
        <v>0.56399999999999995</v>
      </c>
      <c r="F811" s="2">
        <v>0.62039999999999995</v>
      </c>
      <c r="G811" s="2">
        <v>0.65990000000000004</v>
      </c>
      <c r="H811" s="2">
        <v>0.70499999999999996</v>
      </c>
      <c r="I811" s="2">
        <v>0.76700000000000002</v>
      </c>
      <c r="J811" s="2">
        <v>0.82909999999999995</v>
      </c>
      <c r="K811" s="2">
        <v>0.8911</v>
      </c>
      <c r="L811" s="2">
        <v>0.95879999999999999</v>
      </c>
      <c r="M811" s="2">
        <v>1.0265</v>
      </c>
      <c r="N811" s="2">
        <v>1.0942000000000001</v>
      </c>
      <c r="O811" s="2">
        <v>1.1617999999999999</v>
      </c>
      <c r="P811" s="2">
        <v>1.2295</v>
      </c>
      <c r="Q811" s="2">
        <v>1.2971999999999999</v>
      </c>
      <c r="R811" t="s">
        <v>6</v>
      </c>
      <c r="S811" t="s">
        <v>6</v>
      </c>
      <c r="T811" t="s">
        <v>125</v>
      </c>
    </row>
    <row r="812" spans="1:20" x14ac:dyDescent="0.25">
      <c r="B812" t="s">
        <v>13</v>
      </c>
      <c r="C812" s="2">
        <v>0.504</v>
      </c>
      <c r="D812" s="2">
        <v>0.54500000000000004</v>
      </c>
      <c r="E812" s="2">
        <v>0.58599999999999997</v>
      </c>
      <c r="F812" s="2">
        <v>0.64459999999999995</v>
      </c>
      <c r="G812" s="2">
        <v>0.68559999999999999</v>
      </c>
      <c r="H812" s="2">
        <v>0.73250000000000004</v>
      </c>
      <c r="I812" s="2">
        <v>0.79700000000000004</v>
      </c>
      <c r="J812" s="2">
        <v>0.86140000000000005</v>
      </c>
      <c r="K812" s="2">
        <v>0.92589999999999995</v>
      </c>
      <c r="L812" s="2">
        <v>0.99619999999999997</v>
      </c>
      <c r="M812" s="2">
        <v>1.0665</v>
      </c>
      <c r="N812" s="2">
        <v>1.1368</v>
      </c>
      <c r="O812" s="2">
        <v>1.2072000000000001</v>
      </c>
      <c r="P812" s="2">
        <v>1.2775000000000001</v>
      </c>
      <c r="Q812" s="2">
        <v>1.3478000000000001</v>
      </c>
      <c r="R812" t="s">
        <v>6</v>
      </c>
      <c r="S812" t="s">
        <v>6</v>
      </c>
      <c r="T812" t="s">
        <v>125</v>
      </c>
    </row>
    <row r="813" spans="1:20" x14ac:dyDescent="0.25">
      <c r="B813" t="s">
        <v>7</v>
      </c>
      <c r="C813" s="2">
        <v>0.58050000000000002</v>
      </c>
      <c r="D813" s="2">
        <v>0.62780000000000002</v>
      </c>
      <c r="E813" s="2">
        <v>0.67500000000000004</v>
      </c>
      <c r="F813" s="2">
        <v>0.74250000000000005</v>
      </c>
      <c r="G813" s="2">
        <v>0.78969999999999996</v>
      </c>
      <c r="H813" s="2">
        <v>0.84379999999999999</v>
      </c>
      <c r="I813" s="2">
        <v>0.91800000000000004</v>
      </c>
      <c r="J813" s="2">
        <v>0.99229999999999996</v>
      </c>
      <c r="K813" s="2">
        <v>1.0665</v>
      </c>
      <c r="L813" s="2">
        <v>1.1475</v>
      </c>
      <c r="M813" s="2">
        <v>1.2284999999999999</v>
      </c>
      <c r="N813" s="2">
        <v>1.3095000000000001</v>
      </c>
      <c r="O813" s="2">
        <v>1.3905000000000001</v>
      </c>
      <c r="P813" s="2">
        <v>1.4715</v>
      </c>
      <c r="Q813" s="2">
        <v>1.5525</v>
      </c>
      <c r="R813" t="s">
        <v>6</v>
      </c>
      <c r="S813" t="s">
        <v>6</v>
      </c>
      <c r="T813" t="s">
        <v>125</v>
      </c>
    </row>
    <row r="814" spans="1:20" x14ac:dyDescent="0.25">
      <c r="B814" t="s">
        <v>131</v>
      </c>
      <c r="C814" s="2">
        <v>0.43859999999999999</v>
      </c>
      <c r="D814" s="2">
        <v>0.4743</v>
      </c>
      <c r="E814" s="2">
        <v>0.51</v>
      </c>
      <c r="F814" s="2">
        <v>0.56100000000000005</v>
      </c>
      <c r="G814" s="2">
        <v>0.59670000000000001</v>
      </c>
      <c r="H814" s="2">
        <v>0.63749999999999996</v>
      </c>
      <c r="I814" s="2">
        <v>0.69359999999999999</v>
      </c>
      <c r="J814" s="2">
        <v>0.74970000000000003</v>
      </c>
      <c r="K814" s="2">
        <v>0.80579999999999996</v>
      </c>
      <c r="L814" s="2">
        <v>0.86699999999999999</v>
      </c>
      <c r="M814" s="2">
        <v>0.92820000000000003</v>
      </c>
      <c r="N814" s="2">
        <v>0.98939999999999995</v>
      </c>
      <c r="O814" s="2">
        <v>1.0506</v>
      </c>
      <c r="P814" s="2">
        <v>1.1117999999999999</v>
      </c>
      <c r="Q814" s="2">
        <v>1.173</v>
      </c>
      <c r="R814" t="s">
        <v>5</v>
      </c>
      <c r="S814" t="s">
        <v>5</v>
      </c>
      <c r="T814" t="s">
        <v>125</v>
      </c>
    </row>
    <row r="815" spans="1:20" x14ac:dyDescent="0.25">
      <c r="B815" t="s">
        <v>132</v>
      </c>
      <c r="C815" s="2">
        <v>1.24</v>
      </c>
      <c r="D815" s="2">
        <v>1.333</v>
      </c>
      <c r="E815" s="2">
        <v>1.4259999999999999</v>
      </c>
      <c r="F815" s="2">
        <v>1.55</v>
      </c>
      <c r="G815" s="2">
        <v>1.643</v>
      </c>
      <c r="H815" s="2">
        <v>1.736</v>
      </c>
      <c r="I815" s="2">
        <v>1.86</v>
      </c>
      <c r="J815" s="2">
        <v>1.984</v>
      </c>
      <c r="K815" s="2">
        <v>2.1080000000000001</v>
      </c>
      <c r="L815" s="2">
        <v>2.2320000000000002</v>
      </c>
      <c r="M815" s="2">
        <v>2.3559999999999999</v>
      </c>
      <c r="N815" s="2">
        <v>2.48</v>
      </c>
      <c r="O815" s="2">
        <v>2.6349999999999998</v>
      </c>
      <c r="P815" s="2">
        <v>2.79</v>
      </c>
      <c r="Q815" s="2">
        <v>2.9449999999999998</v>
      </c>
      <c r="R815" t="s">
        <v>5</v>
      </c>
      <c r="S815" t="s">
        <v>5</v>
      </c>
      <c r="T815" t="s">
        <v>125</v>
      </c>
    </row>
    <row r="816" spans="1:20" x14ac:dyDescent="0.25">
      <c r="B816" t="s">
        <v>152</v>
      </c>
      <c r="C816" s="2">
        <v>0.56830000000000003</v>
      </c>
      <c r="D816" s="2">
        <v>0.61450000000000005</v>
      </c>
      <c r="E816" s="2">
        <v>0.66080000000000005</v>
      </c>
      <c r="F816" s="2">
        <v>0.72689999999999999</v>
      </c>
      <c r="G816" s="2">
        <v>0.77310000000000001</v>
      </c>
      <c r="H816" s="2">
        <v>0.82599999999999996</v>
      </c>
      <c r="I816" s="2">
        <v>0.89870000000000005</v>
      </c>
      <c r="J816" s="2">
        <v>0.97140000000000004</v>
      </c>
      <c r="K816" s="2">
        <v>1.0441</v>
      </c>
      <c r="L816" s="2">
        <v>1.1234</v>
      </c>
      <c r="M816" s="2">
        <v>1.2027000000000001</v>
      </c>
      <c r="N816" s="2">
        <v>1.282</v>
      </c>
      <c r="O816" s="2">
        <v>1.3612</v>
      </c>
      <c r="P816" s="2">
        <v>1.4404999999999999</v>
      </c>
      <c r="Q816" s="2">
        <v>1.5198</v>
      </c>
      <c r="R816" t="s">
        <v>3</v>
      </c>
      <c r="S816" t="s">
        <v>3</v>
      </c>
      <c r="T816" t="s">
        <v>125</v>
      </c>
    </row>
    <row r="817" spans="1:20" x14ac:dyDescent="0.25">
      <c r="B817" t="s">
        <v>133</v>
      </c>
      <c r="C817" s="2">
        <v>1.1363000000000001</v>
      </c>
      <c r="D817" s="2">
        <v>1.2287999999999999</v>
      </c>
      <c r="E817" s="2">
        <v>1.3212999999999999</v>
      </c>
      <c r="F817" s="2">
        <v>1.4535</v>
      </c>
      <c r="G817" s="2">
        <v>1.5459000000000001</v>
      </c>
      <c r="H817" s="2">
        <v>1.6516999999999999</v>
      </c>
      <c r="I817" s="2">
        <v>1.7969999999999999</v>
      </c>
      <c r="J817" s="2">
        <v>1.9422999999999999</v>
      </c>
      <c r="K817" s="2">
        <v>2.0876999999999999</v>
      </c>
      <c r="L817" s="2">
        <v>2.2462</v>
      </c>
      <c r="M817" s="2">
        <v>2.4047999999999998</v>
      </c>
      <c r="N817" s="2">
        <v>2.5634000000000001</v>
      </c>
      <c r="O817" s="2">
        <v>2.7219000000000002</v>
      </c>
      <c r="P817" s="2">
        <v>2.8805000000000001</v>
      </c>
      <c r="Q817" s="2">
        <v>3.0390000000000001</v>
      </c>
      <c r="R817" t="s">
        <v>3</v>
      </c>
      <c r="S817" t="s">
        <v>3</v>
      </c>
      <c r="T817" t="s">
        <v>125</v>
      </c>
    </row>
    <row r="818" spans="1:20" x14ac:dyDescent="0.25">
      <c r="B818" t="s">
        <v>134</v>
      </c>
      <c r="C818" s="2">
        <v>1.4193</v>
      </c>
      <c r="D818" s="2">
        <v>1.5348999999999999</v>
      </c>
      <c r="E818" s="2">
        <v>1.6504000000000001</v>
      </c>
      <c r="F818" s="2">
        <v>1.8153999999999999</v>
      </c>
      <c r="G818" s="2">
        <v>1.931</v>
      </c>
      <c r="H818" s="2">
        <v>2.0630000000000002</v>
      </c>
      <c r="I818" s="2">
        <v>2.2444999999999999</v>
      </c>
      <c r="J818" s="2">
        <v>2.4260999999999999</v>
      </c>
      <c r="K818" s="2">
        <v>2.6076000000000001</v>
      </c>
      <c r="L818" s="2">
        <v>2.8056999999999999</v>
      </c>
      <c r="M818" s="2">
        <v>3.0036999999999998</v>
      </c>
      <c r="N818" s="2">
        <v>3.2018</v>
      </c>
      <c r="O818" s="2">
        <v>3.3997999999999999</v>
      </c>
      <c r="P818" s="2">
        <v>3.5979000000000001</v>
      </c>
      <c r="Q818" s="2">
        <v>3.7959000000000001</v>
      </c>
      <c r="R818" t="s">
        <v>3</v>
      </c>
      <c r="S818" t="s">
        <v>3</v>
      </c>
      <c r="T818" t="s">
        <v>125</v>
      </c>
    </row>
    <row r="819" spans="1:20" x14ac:dyDescent="0.25">
      <c r="B819" t="s">
        <v>304</v>
      </c>
      <c r="C819" s="2">
        <v>1.2576000000000001</v>
      </c>
      <c r="D819" s="2">
        <v>1.3519000000000001</v>
      </c>
      <c r="E819" s="2">
        <v>1.4461999999999999</v>
      </c>
      <c r="F819" s="2">
        <v>1.5720000000000001</v>
      </c>
      <c r="G819" s="2">
        <v>1.6662999999999999</v>
      </c>
      <c r="H819" s="2">
        <v>1.7605999999999999</v>
      </c>
      <c r="I819" s="2">
        <v>1.8864000000000001</v>
      </c>
      <c r="J819" s="2">
        <v>2.0122</v>
      </c>
      <c r="K819" s="2">
        <v>2.1379000000000001</v>
      </c>
      <c r="L819" s="2">
        <v>2.2637</v>
      </c>
      <c r="M819" s="2">
        <v>2.3894000000000002</v>
      </c>
      <c r="N819" s="2">
        <v>2.5152000000000001</v>
      </c>
      <c r="O819" s="2">
        <v>2.6724000000000001</v>
      </c>
      <c r="P819" s="2">
        <v>2.8296000000000001</v>
      </c>
      <c r="Q819" s="2">
        <v>2.9868000000000001</v>
      </c>
      <c r="R819" t="s">
        <v>19</v>
      </c>
      <c r="S819" t="s">
        <v>19</v>
      </c>
      <c r="T819" t="s">
        <v>125</v>
      </c>
    </row>
    <row r="820" spans="1:20" x14ac:dyDescent="0.25">
      <c r="B820" t="s">
        <v>305</v>
      </c>
      <c r="C820" s="2">
        <v>4.0960000000000001</v>
      </c>
      <c r="D820" s="2">
        <v>4.4032</v>
      </c>
      <c r="E820" s="2">
        <v>4.7103999999999999</v>
      </c>
      <c r="F820" s="2">
        <v>5.12</v>
      </c>
      <c r="G820" s="2">
        <v>5.4272</v>
      </c>
      <c r="H820" s="2">
        <v>5.7343999999999999</v>
      </c>
      <c r="I820" s="2">
        <v>6.1440000000000001</v>
      </c>
      <c r="J820" s="2">
        <v>6.5536000000000003</v>
      </c>
      <c r="K820" s="2">
        <v>6.9631999999999996</v>
      </c>
      <c r="L820" s="2">
        <v>7.3727999999999998</v>
      </c>
      <c r="M820" s="2">
        <v>7.7824</v>
      </c>
      <c r="N820" s="2">
        <v>8.1920000000000002</v>
      </c>
      <c r="O820" s="2">
        <v>8.7040000000000006</v>
      </c>
      <c r="P820" s="2">
        <v>9.2159999999999993</v>
      </c>
      <c r="Q820" s="2">
        <v>9.7279999999999998</v>
      </c>
      <c r="R820" t="s">
        <v>0</v>
      </c>
      <c r="S820" t="s">
        <v>0</v>
      </c>
      <c r="T820" t="s">
        <v>125</v>
      </c>
    </row>
    <row r="821" spans="1:20" x14ac:dyDescent="0.25">
      <c r="B821" t="s">
        <v>306</v>
      </c>
      <c r="C821" s="2">
        <v>0.3412</v>
      </c>
      <c r="D821" s="2">
        <v>0.36680000000000001</v>
      </c>
      <c r="E821" s="2">
        <v>0.39240000000000003</v>
      </c>
      <c r="F821" s="2">
        <v>0.42649999999999999</v>
      </c>
      <c r="G821" s="2">
        <v>0.4521</v>
      </c>
      <c r="H821" s="2">
        <v>0.47770000000000001</v>
      </c>
      <c r="I821" s="2">
        <v>0.51180000000000003</v>
      </c>
      <c r="J821" s="2">
        <v>0.54590000000000005</v>
      </c>
      <c r="K821" s="2">
        <v>0.57999999999999996</v>
      </c>
      <c r="L821" s="2">
        <v>0.61419999999999997</v>
      </c>
      <c r="M821" s="2">
        <v>0.64829999999999999</v>
      </c>
      <c r="N821" s="2">
        <v>0.68240000000000001</v>
      </c>
      <c r="O821" s="2">
        <v>0.72509999999999997</v>
      </c>
      <c r="P821" s="2">
        <v>0.76770000000000005</v>
      </c>
      <c r="Q821" s="2">
        <v>0.81040000000000001</v>
      </c>
      <c r="R821" t="s">
        <v>0</v>
      </c>
      <c r="S821" t="s">
        <v>0</v>
      </c>
      <c r="T821" t="s">
        <v>125</v>
      </c>
    </row>
    <row r="822" spans="1:20" x14ac:dyDescent="0.25">
      <c r="B822" t="s">
        <v>307</v>
      </c>
      <c r="C822" s="29">
        <f t="shared" ref="C822:Q822" si="8">30%*C819</f>
        <v>0.37728</v>
      </c>
      <c r="D822" s="29">
        <f t="shared" si="8"/>
        <v>0.40557000000000004</v>
      </c>
      <c r="E822" s="29">
        <f t="shared" si="8"/>
        <v>0.43385999999999997</v>
      </c>
      <c r="F822" s="29">
        <f t="shared" si="8"/>
        <v>0.47160000000000002</v>
      </c>
      <c r="G822" s="29">
        <f t="shared" si="8"/>
        <v>0.49988999999999995</v>
      </c>
      <c r="H822" s="29">
        <f t="shared" si="8"/>
        <v>0.52817999999999998</v>
      </c>
      <c r="I822" s="29">
        <f t="shared" si="8"/>
        <v>0.56591999999999998</v>
      </c>
      <c r="J822" s="29">
        <f t="shared" si="8"/>
        <v>0.60365999999999997</v>
      </c>
      <c r="K822" s="29">
        <f t="shared" si="8"/>
        <v>0.64137</v>
      </c>
      <c r="L822" s="29">
        <f t="shared" si="8"/>
        <v>0.67910999999999999</v>
      </c>
      <c r="M822" s="29">
        <f t="shared" si="8"/>
        <v>0.71682000000000001</v>
      </c>
      <c r="N822" s="29">
        <f t="shared" si="8"/>
        <v>0.75456000000000001</v>
      </c>
      <c r="O822" s="29">
        <f t="shared" si="8"/>
        <v>0.80171999999999999</v>
      </c>
      <c r="P822" s="29">
        <f t="shared" si="8"/>
        <v>0.84887999999999997</v>
      </c>
      <c r="Q822" s="29">
        <f t="shared" si="8"/>
        <v>0.89604000000000006</v>
      </c>
      <c r="R822" t="s">
        <v>19</v>
      </c>
      <c r="S822" t="s">
        <v>19</v>
      </c>
      <c r="T822" t="s">
        <v>125</v>
      </c>
    </row>
    <row r="823" spans="1:20" x14ac:dyDescent="0.25">
      <c r="B823" s="3" t="s">
        <v>763</v>
      </c>
      <c r="C823" s="23"/>
      <c r="D823" s="23"/>
      <c r="E823" s="23"/>
      <c r="F823" s="23"/>
      <c r="G823" s="23"/>
      <c r="H823" s="23"/>
      <c r="I823" s="23"/>
      <c r="J823" s="23"/>
      <c r="K823" s="23"/>
      <c r="L823" s="23"/>
      <c r="M823" s="23"/>
      <c r="N823" s="23"/>
      <c r="O823" s="23"/>
      <c r="P823" s="23"/>
      <c r="Q823" s="23"/>
      <c r="R823" s="5" t="s">
        <v>763</v>
      </c>
      <c r="S823" s="5" t="s">
        <v>763</v>
      </c>
      <c r="T823" t="s">
        <v>764</v>
      </c>
    </row>
    <row r="824" spans="1:20" x14ac:dyDescent="0.25">
      <c r="B824" s="3" t="s">
        <v>386</v>
      </c>
      <c r="C824" s="23"/>
      <c r="D824" s="23"/>
      <c r="E824" s="23"/>
      <c r="F824" s="23"/>
      <c r="G824" s="23"/>
      <c r="H824" s="23"/>
      <c r="I824" s="23"/>
      <c r="J824" s="23"/>
      <c r="K824" s="23"/>
      <c r="L824" s="23"/>
      <c r="M824" s="23"/>
      <c r="N824" s="23"/>
      <c r="O824" s="23"/>
      <c r="P824" s="23"/>
      <c r="Q824" s="23"/>
      <c r="R824" s="5" t="s">
        <v>392</v>
      </c>
      <c r="S824" s="5" t="s">
        <v>392</v>
      </c>
      <c r="T824" t="s">
        <v>69</v>
      </c>
    </row>
    <row r="825" spans="1:20" x14ac:dyDescent="0.25">
      <c r="B825" s="3" t="s">
        <v>388</v>
      </c>
      <c r="C825" s="23"/>
      <c r="D825" s="23"/>
      <c r="E825" s="23"/>
      <c r="F825" s="23"/>
      <c r="G825" s="23"/>
      <c r="H825" s="23"/>
      <c r="I825" s="23"/>
      <c r="J825" s="23"/>
      <c r="K825" s="23"/>
      <c r="L825" s="23"/>
      <c r="M825" s="23"/>
      <c r="N825" s="23"/>
      <c r="O825" s="23"/>
      <c r="P825" s="23"/>
      <c r="Q825" s="23"/>
      <c r="R825" s="5" t="s">
        <v>392</v>
      </c>
      <c r="S825" s="5" t="s">
        <v>392</v>
      </c>
      <c r="T825" t="s">
        <v>69</v>
      </c>
    </row>
    <row r="826" spans="1:20" x14ac:dyDescent="0.25">
      <c r="B826" s="3" t="s">
        <v>389</v>
      </c>
      <c r="C826" s="23"/>
      <c r="D826" s="23"/>
      <c r="E826" s="23"/>
      <c r="F826" s="23"/>
      <c r="G826" s="23"/>
      <c r="H826" s="23"/>
      <c r="I826" s="23"/>
      <c r="J826" s="23"/>
      <c r="K826" s="23"/>
      <c r="L826" s="23"/>
      <c r="M826" s="23"/>
      <c r="N826" s="23"/>
      <c r="O826" s="23"/>
      <c r="P826" s="23"/>
      <c r="Q826" s="23"/>
      <c r="R826" s="5" t="s">
        <v>392</v>
      </c>
      <c r="S826" s="5" t="s">
        <v>392</v>
      </c>
      <c r="T826" t="s">
        <v>69</v>
      </c>
    </row>
    <row r="827" spans="1:20" x14ac:dyDescent="0.25">
      <c r="B827" s="3" t="s">
        <v>385</v>
      </c>
      <c r="C827" s="23"/>
      <c r="D827" s="23"/>
      <c r="E827" s="23"/>
      <c r="F827" s="23"/>
      <c r="G827" s="23"/>
      <c r="H827" s="23"/>
      <c r="I827" s="23"/>
      <c r="J827" s="23"/>
      <c r="K827" s="23"/>
      <c r="L827" s="23"/>
      <c r="M827" s="23"/>
      <c r="N827" s="23"/>
      <c r="O827" s="23"/>
      <c r="P827" s="23"/>
      <c r="Q827" s="23"/>
      <c r="R827" s="5" t="s">
        <v>392</v>
      </c>
      <c r="S827" s="5" t="s">
        <v>392</v>
      </c>
      <c r="T827" t="s">
        <v>69</v>
      </c>
    </row>
    <row r="828" spans="1:20" x14ac:dyDescent="0.25">
      <c r="B828" s="3" t="s">
        <v>387</v>
      </c>
      <c r="C828" s="23"/>
      <c r="D828" s="23"/>
      <c r="E828" s="23"/>
      <c r="F828" s="23"/>
      <c r="G828" s="23"/>
      <c r="H828" s="23"/>
      <c r="I828" s="23"/>
      <c r="J828" s="23"/>
      <c r="K828" s="23"/>
      <c r="L828" s="23"/>
      <c r="M828" s="23"/>
      <c r="N828" s="23"/>
      <c r="O828" s="23"/>
      <c r="P828" s="23"/>
      <c r="Q828" s="23"/>
      <c r="R828" s="5" t="s">
        <v>392</v>
      </c>
      <c r="S828" s="5" t="s">
        <v>392</v>
      </c>
      <c r="T828" t="s">
        <v>69</v>
      </c>
    </row>
    <row r="829" spans="1:20" x14ac:dyDescent="0.25">
      <c r="B829" s="3" t="s">
        <v>390</v>
      </c>
      <c r="C829" s="23"/>
      <c r="D829" s="23"/>
      <c r="E829" s="23"/>
      <c r="F829" s="23"/>
      <c r="G829" s="23"/>
      <c r="H829" s="23"/>
      <c r="I829" s="23"/>
      <c r="J829" s="23"/>
      <c r="K829" s="23"/>
      <c r="L829" s="23"/>
      <c r="M829" s="23"/>
      <c r="N829" s="23"/>
      <c r="O829" s="23"/>
      <c r="P829" s="23"/>
      <c r="Q829" s="23"/>
      <c r="R829" s="5" t="s">
        <v>392</v>
      </c>
      <c r="S829" s="5" t="s">
        <v>392</v>
      </c>
      <c r="T829" t="s">
        <v>69</v>
      </c>
    </row>
    <row r="830" spans="1:20" x14ac:dyDescent="0.25">
      <c r="B830" s="3" t="s">
        <v>391</v>
      </c>
      <c r="C830" s="23"/>
      <c r="D830" s="23"/>
      <c r="E830" s="23"/>
      <c r="F830" s="23"/>
      <c r="G830" s="23"/>
      <c r="H830" s="23"/>
      <c r="I830" s="23"/>
      <c r="J830" s="23"/>
      <c r="K830" s="23"/>
      <c r="L830" s="23"/>
      <c r="M830" s="23"/>
      <c r="N830" s="23"/>
      <c r="O830" s="23"/>
      <c r="P830" s="23"/>
      <c r="Q830" s="23"/>
      <c r="R830" s="5" t="s">
        <v>392</v>
      </c>
      <c r="S830" s="5" t="s">
        <v>392</v>
      </c>
      <c r="T830" t="s">
        <v>69</v>
      </c>
    </row>
    <row r="831" spans="1:20" x14ac:dyDescent="0.25">
      <c r="A831" t="s">
        <v>881</v>
      </c>
      <c r="B831" s="3" t="s">
        <v>393</v>
      </c>
      <c r="C831" s="23"/>
      <c r="D831" s="23"/>
      <c r="E831" s="23"/>
      <c r="F831" s="23"/>
      <c r="G831" s="23"/>
      <c r="H831" s="23"/>
      <c r="I831" s="23"/>
      <c r="J831" s="23"/>
      <c r="K831" s="23"/>
      <c r="L831" s="23"/>
      <c r="M831" s="23"/>
      <c r="N831" s="23"/>
      <c r="O831" s="23"/>
      <c r="P831" s="23"/>
      <c r="Q831" s="23"/>
      <c r="R831" s="5" t="s">
        <v>392</v>
      </c>
      <c r="S831" s="5" t="s">
        <v>392</v>
      </c>
      <c r="T831" t="s">
        <v>69</v>
      </c>
    </row>
    <row r="832" spans="1:20" x14ac:dyDescent="0.25">
      <c r="B832" t="s">
        <v>308</v>
      </c>
      <c r="C832" s="21">
        <v>1</v>
      </c>
      <c r="D832" s="21">
        <v>2</v>
      </c>
      <c r="E832" s="21">
        <v>3</v>
      </c>
      <c r="F832" s="21">
        <v>4</v>
      </c>
      <c r="G832" s="21">
        <v>5</v>
      </c>
      <c r="H832" s="21">
        <v>6</v>
      </c>
      <c r="I832" s="21">
        <v>7</v>
      </c>
      <c r="J832" s="21">
        <v>8</v>
      </c>
      <c r="K832" s="21">
        <v>9</v>
      </c>
      <c r="L832" s="21">
        <v>10</v>
      </c>
      <c r="M832" s="21">
        <v>11</v>
      </c>
      <c r="N832" s="21">
        <v>12</v>
      </c>
      <c r="O832" s="21">
        <v>13</v>
      </c>
      <c r="P832" s="21">
        <v>14</v>
      </c>
      <c r="Q832" s="21">
        <v>15</v>
      </c>
      <c r="R832" s="5" t="s">
        <v>11</v>
      </c>
      <c r="S832" s="5" t="s">
        <v>1024</v>
      </c>
      <c r="T832" t="s">
        <v>124</v>
      </c>
    </row>
    <row r="833" spans="1:21" x14ac:dyDescent="0.25">
      <c r="A833" t="s">
        <v>882</v>
      </c>
      <c r="B833" t="s">
        <v>10</v>
      </c>
      <c r="C833" s="2">
        <v>0.72240000000000004</v>
      </c>
      <c r="D833" s="2">
        <v>0.78120000000000001</v>
      </c>
      <c r="E833" s="2">
        <v>0.84</v>
      </c>
      <c r="F833" s="2">
        <v>0.92400000000000004</v>
      </c>
      <c r="G833" s="2">
        <v>0.98280000000000001</v>
      </c>
      <c r="H833" s="2">
        <v>1.05</v>
      </c>
      <c r="I833" s="2">
        <v>1.1424000000000001</v>
      </c>
      <c r="J833" s="2">
        <v>1.2347999999999999</v>
      </c>
      <c r="K833" s="2">
        <v>1.3271999999999999</v>
      </c>
      <c r="L833" s="2">
        <v>1.4279999999999999</v>
      </c>
      <c r="M833" s="2">
        <v>1.5435000000000001</v>
      </c>
      <c r="N833" s="2">
        <v>1.6793</v>
      </c>
      <c r="O833" s="2">
        <v>1.8151999999999999</v>
      </c>
      <c r="P833" s="2">
        <v>1.9510000000000001</v>
      </c>
      <c r="Q833" s="2">
        <v>2.0992000000000002</v>
      </c>
      <c r="R833" t="s">
        <v>6</v>
      </c>
      <c r="S833" t="s">
        <v>6</v>
      </c>
      <c r="T833" t="s">
        <v>125</v>
      </c>
    </row>
    <row r="834" spans="1:21" x14ac:dyDescent="0.25">
      <c r="B834" t="s">
        <v>9</v>
      </c>
      <c r="C834" s="2">
        <v>0.71379999999999999</v>
      </c>
      <c r="D834" s="2">
        <v>0.77190000000000003</v>
      </c>
      <c r="E834" s="2">
        <v>0.83</v>
      </c>
      <c r="F834" s="2">
        <v>0.91300000000000003</v>
      </c>
      <c r="G834" s="2">
        <v>0.97109999999999996</v>
      </c>
      <c r="H834" s="2">
        <v>1.0375000000000001</v>
      </c>
      <c r="I834" s="2">
        <v>1.1288</v>
      </c>
      <c r="J834" s="2">
        <v>1.2201</v>
      </c>
      <c r="K834" s="2">
        <v>1.3113999999999999</v>
      </c>
      <c r="L834" s="2">
        <v>1.411</v>
      </c>
      <c r="M834" s="2">
        <v>1.5250999999999999</v>
      </c>
      <c r="N834" s="2">
        <v>1.6593</v>
      </c>
      <c r="O834" s="2">
        <v>1.7935000000000001</v>
      </c>
      <c r="P834" s="2">
        <v>1.9278</v>
      </c>
      <c r="Q834" s="2">
        <v>2.0741999999999998</v>
      </c>
      <c r="R834" t="s">
        <v>6</v>
      </c>
      <c r="S834" t="s">
        <v>6</v>
      </c>
      <c r="T834" t="s">
        <v>125</v>
      </c>
    </row>
    <row r="835" spans="1:21" x14ac:dyDescent="0.25">
      <c r="B835" t="s">
        <v>275</v>
      </c>
      <c r="C835" s="2">
        <v>0.43430000000000002</v>
      </c>
      <c r="D835" s="2">
        <v>0.46970000000000001</v>
      </c>
      <c r="E835" s="2">
        <v>0.505</v>
      </c>
      <c r="F835" s="2">
        <v>0.55549999999999999</v>
      </c>
      <c r="G835" s="2">
        <v>0.59089999999999998</v>
      </c>
      <c r="H835" s="2">
        <v>0.63129999999999997</v>
      </c>
      <c r="I835" s="2">
        <v>0.68679999999999997</v>
      </c>
      <c r="J835" s="2">
        <v>0.74229999999999996</v>
      </c>
      <c r="K835" s="2">
        <v>0.79790000000000005</v>
      </c>
      <c r="L835" s="2">
        <v>0.85850000000000004</v>
      </c>
      <c r="M835" s="2">
        <v>0.92789999999999995</v>
      </c>
      <c r="N835" s="2">
        <v>1.0096000000000001</v>
      </c>
      <c r="O835" s="2">
        <v>1.0912999999999999</v>
      </c>
      <c r="P835" s="2">
        <v>1.1729000000000001</v>
      </c>
      <c r="Q835" s="2">
        <v>1.262</v>
      </c>
      <c r="R835" t="s">
        <v>6</v>
      </c>
      <c r="S835" t="s">
        <v>6</v>
      </c>
      <c r="T835" t="s">
        <v>125</v>
      </c>
    </row>
    <row r="836" spans="1:21" x14ac:dyDescent="0.25">
      <c r="B836" t="s">
        <v>13</v>
      </c>
      <c r="C836" s="2">
        <v>0.98129999999999995</v>
      </c>
      <c r="D836" s="2">
        <v>1.0610999999999999</v>
      </c>
      <c r="E836" s="2">
        <v>1.141</v>
      </c>
      <c r="F836" s="2">
        <v>1.2551000000000001</v>
      </c>
      <c r="G836" s="2">
        <v>1.335</v>
      </c>
      <c r="H836" s="2">
        <v>1.4262999999999999</v>
      </c>
      <c r="I836" s="2">
        <v>1.5518000000000001</v>
      </c>
      <c r="J836" s="2">
        <v>1.6773</v>
      </c>
      <c r="K836" s="2">
        <v>1.8028</v>
      </c>
      <c r="L836" s="2">
        <v>1.9397</v>
      </c>
      <c r="M836" s="2">
        <v>2.0966</v>
      </c>
      <c r="N836" s="2">
        <v>2.2810999999999999</v>
      </c>
      <c r="O836" s="2">
        <v>2.4655999999999998</v>
      </c>
      <c r="P836" s="2">
        <v>2.6501000000000001</v>
      </c>
      <c r="Q836" s="2">
        <v>2.8513999999999999</v>
      </c>
      <c r="R836" t="s">
        <v>6</v>
      </c>
      <c r="S836" t="s">
        <v>6</v>
      </c>
      <c r="T836" t="s">
        <v>125</v>
      </c>
    </row>
    <row r="837" spans="1:21" x14ac:dyDescent="0.25">
      <c r="B837" t="s">
        <v>154</v>
      </c>
      <c r="C837" s="2">
        <v>0.62549999999999994</v>
      </c>
      <c r="D837" s="2">
        <v>0.6764</v>
      </c>
      <c r="E837" s="2">
        <v>0.72729999999999995</v>
      </c>
      <c r="F837" s="2">
        <v>0.8</v>
      </c>
      <c r="G837" s="2">
        <v>0.85089999999999999</v>
      </c>
      <c r="H837" s="2">
        <v>0.90910000000000002</v>
      </c>
      <c r="I837" s="2">
        <v>0.98909999999999998</v>
      </c>
      <c r="J837" s="2">
        <v>1.0690999999999999</v>
      </c>
      <c r="K837" s="2">
        <v>1.1491</v>
      </c>
      <c r="L837" s="2">
        <v>1.2363999999999999</v>
      </c>
      <c r="M837" s="2">
        <v>1.3364</v>
      </c>
      <c r="N837" s="2">
        <v>1.454</v>
      </c>
      <c r="O837" s="2">
        <v>1.5716000000000001</v>
      </c>
      <c r="P837" s="2">
        <v>1.6892</v>
      </c>
      <c r="Q837" s="2">
        <v>1.8174999999999999</v>
      </c>
      <c r="R837" t="s">
        <v>5</v>
      </c>
      <c r="S837" t="s">
        <v>5</v>
      </c>
      <c r="T837" t="s">
        <v>125</v>
      </c>
    </row>
    <row r="838" spans="1:21" x14ac:dyDescent="0.25">
      <c r="B838" t="s">
        <v>155</v>
      </c>
      <c r="C838" s="2">
        <v>1.1309</v>
      </c>
      <c r="D838" s="2">
        <v>1.2230000000000001</v>
      </c>
      <c r="E838" s="2">
        <v>1.3149999999999999</v>
      </c>
      <c r="F838" s="2">
        <v>1.4464999999999999</v>
      </c>
      <c r="G838" s="2">
        <v>1.5386</v>
      </c>
      <c r="H838" s="2">
        <v>1.6437999999999999</v>
      </c>
      <c r="I838" s="2">
        <v>1.7884</v>
      </c>
      <c r="J838" s="2">
        <v>1.9331</v>
      </c>
      <c r="K838" s="2">
        <v>2.0777000000000001</v>
      </c>
      <c r="L838" s="2">
        <v>2.2355</v>
      </c>
      <c r="M838" s="2">
        <v>2.4163000000000001</v>
      </c>
      <c r="N838" s="2">
        <v>2.6288999999999998</v>
      </c>
      <c r="O838" s="2">
        <v>2.8416000000000001</v>
      </c>
      <c r="P838" s="2">
        <v>3.0541999999999998</v>
      </c>
      <c r="Q838" s="2">
        <v>3.2862</v>
      </c>
      <c r="R838" t="s">
        <v>5</v>
      </c>
      <c r="S838" t="s">
        <v>5</v>
      </c>
      <c r="T838" t="s">
        <v>125</v>
      </c>
    </row>
    <row r="839" spans="1:21" x14ac:dyDescent="0.25">
      <c r="B839" t="s">
        <v>152</v>
      </c>
      <c r="C839" s="2">
        <v>0.74590000000000001</v>
      </c>
      <c r="D839" s="2">
        <v>0.80659999999999998</v>
      </c>
      <c r="E839" s="2">
        <v>0.86729999999999996</v>
      </c>
      <c r="F839" s="2">
        <v>0.95399999999999996</v>
      </c>
      <c r="G839" s="2">
        <v>1.0146999999999999</v>
      </c>
      <c r="H839" s="2">
        <v>1.0841000000000001</v>
      </c>
      <c r="I839" s="2">
        <v>1.1795</v>
      </c>
      <c r="J839" s="2">
        <v>1.2748999999999999</v>
      </c>
      <c r="K839" s="2">
        <v>1.3703000000000001</v>
      </c>
      <c r="L839" s="2">
        <v>1.4743999999999999</v>
      </c>
      <c r="M839" s="2">
        <v>1.5785</v>
      </c>
      <c r="N839" s="2">
        <v>1.6826000000000001</v>
      </c>
      <c r="O839" s="2">
        <v>1.7866</v>
      </c>
      <c r="P839" s="2">
        <v>1.8907</v>
      </c>
      <c r="Q839" s="2">
        <v>1.9947999999999999</v>
      </c>
      <c r="R839" t="s">
        <v>3</v>
      </c>
      <c r="S839" t="s">
        <v>3</v>
      </c>
      <c r="T839" t="s">
        <v>125</v>
      </c>
    </row>
    <row r="840" spans="1:21" x14ac:dyDescent="0.25">
      <c r="B840" t="s">
        <v>133</v>
      </c>
      <c r="C840" s="2">
        <v>1.4914000000000001</v>
      </c>
      <c r="D840" s="2">
        <v>1.6128</v>
      </c>
      <c r="E840" s="2">
        <v>1.7342</v>
      </c>
      <c r="F840" s="2">
        <v>1.9077</v>
      </c>
      <c r="G840" s="2">
        <v>2.0291000000000001</v>
      </c>
      <c r="H840" s="2">
        <v>2.1678000000000002</v>
      </c>
      <c r="I840" s="2">
        <v>2.3586</v>
      </c>
      <c r="J840" s="2">
        <v>2.5493000000000001</v>
      </c>
      <c r="K840" s="2">
        <v>2.7401</v>
      </c>
      <c r="L840" s="2">
        <v>2.9481999999999999</v>
      </c>
      <c r="M840" s="2">
        <v>3.1562999999999999</v>
      </c>
      <c r="N840" s="2">
        <v>3.3643999999999998</v>
      </c>
      <c r="O840" s="2">
        <v>3.5724999999999998</v>
      </c>
      <c r="P840" s="2">
        <v>3.7806000000000002</v>
      </c>
      <c r="Q840" s="2">
        <v>3.9887000000000001</v>
      </c>
      <c r="R840" t="s">
        <v>3</v>
      </c>
      <c r="S840" t="s">
        <v>3</v>
      </c>
      <c r="T840" t="s">
        <v>125</v>
      </c>
    </row>
    <row r="841" spans="1:21" x14ac:dyDescent="0.25">
      <c r="B841" t="s">
        <v>134</v>
      </c>
      <c r="C841" s="2">
        <v>1.8629</v>
      </c>
      <c r="D841" s="2">
        <v>2.0145</v>
      </c>
      <c r="E841" s="2">
        <v>2.1661999999999999</v>
      </c>
      <c r="F841" s="2">
        <v>2.3828</v>
      </c>
      <c r="G841" s="2">
        <v>2.5344000000000002</v>
      </c>
      <c r="H841" s="2">
        <v>2.7077</v>
      </c>
      <c r="I841" s="2">
        <v>2.9460000000000002</v>
      </c>
      <c r="J841" s="2">
        <v>3.1842000000000001</v>
      </c>
      <c r="K841" s="2">
        <v>3.4224999999999999</v>
      </c>
      <c r="L841" s="2">
        <v>3.6825000000000001</v>
      </c>
      <c r="M841" s="2">
        <v>3.9424000000000001</v>
      </c>
      <c r="N841" s="2">
        <v>4.2023000000000001</v>
      </c>
      <c r="O841" s="2">
        <v>4.4622999999999999</v>
      </c>
      <c r="P841" s="2">
        <v>4.7222</v>
      </c>
      <c r="Q841" s="2">
        <v>4.9821</v>
      </c>
      <c r="R841" t="s">
        <v>3</v>
      </c>
      <c r="S841" t="s">
        <v>3</v>
      </c>
      <c r="T841" t="s">
        <v>125</v>
      </c>
    </row>
    <row r="842" spans="1:21" x14ac:dyDescent="0.25">
      <c r="B842" t="s">
        <v>309</v>
      </c>
      <c r="C842" s="2">
        <v>0.36</v>
      </c>
      <c r="D842" s="2">
        <v>0.38700000000000001</v>
      </c>
      <c r="E842" s="2">
        <v>0.41399999999999998</v>
      </c>
      <c r="F842" s="2">
        <v>0.45</v>
      </c>
      <c r="G842" s="2">
        <v>0.47699999999999998</v>
      </c>
      <c r="H842" s="2">
        <v>0.504</v>
      </c>
      <c r="I842" s="2">
        <v>0.54</v>
      </c>
      <c r="J842" s="2">
        <v>0.57599999999999996</v>
      </c>
      <c r="K842" s="2">
        <v>0.61199999999999999</v>
      </c>
      <c r="L842" s="2">
        <v>0.64800000000000002</v>
      </c>
      <c r="M842" s="2">
        <v>0.68400000000000005</v>
      </c>
      <c r="N842" s="2">
        <v>0.72</v>
      </c>
      <c r="O842" s="2">
        <v>0.76500000000000001</v>
      </c>
      <c r="P842" s="2">
        <v>0.81</v>
      </c>
      <c r="Q842" s="2">
        <v>0.85499999999999998</v>
      </c>
      <c r="R842" t="s">
        <v>19</v>
      </c>
      <c r="S842" t="s">
        <v>19</v>
      </c>
      <c r="T842" t="s">
        <v>125</v>
      </c>
    </row>
    <row r="843" spans="1:21" x14ac:dyDescent="0.25">
      <c r="B843" t="s">
        <v>312</v>
      </c>
      <c r="C843" s="2">
        <v>1.5840000000000001</v>
      </c>
      <c r="D843" s="2">
        <v>1.7028000000000001</v>
      </c>
      <c r="E843" s="2">
        <v>1.8216000000000001</v>
      </c>
      <c r="F843" s="2">
        <v>1.98</v>
      </c>
      <c r="G843" s="2">
        <v>2.0988000000000002</v>
      </c>
      <c r="H843" s="2">
        <v>2.2176</v>
      </c>
      <c r="I843" s="2">
        <v>2.3759999999999999</v>
      </c>
      <c r="J843" s="2">
        <v>2.5344000000000002</v>
      </c>
      <c r="K843" s="2">
        <v>2.6928000000000001</v>
      </c>
      <c r="L843" s="2">
        <v>2.8512</v>
      </c>
      <c r="M843" s="2">
        <v>3.0095999999999998</v>
      </c>
      <c r="N843" s="2">
        <v>3.1680000000000001</v>
      </c>
      <c r="O843" s="2">
        <v>3.3660000000000001</v>
      </c>
      <c r="P843" s="2">
        <v>3.5640000000000001</v>
      </c>
      <c r="Q843" s="2">
        <v>3.762</v>
      </c>
      <c r="R843" t="s">
        <v>19</v>
      </c>
      <c r="S843" t="s">
        <v>19</v>
      </c>
      <c r="T843" t="s">
        <v>125</v>
      </c>
    </row>
    <row r="844" spans="1:21" x14ac:dyDescent="0.25">
      <c r="B844" t="s">
        <v>310</v>
      </c>
      <c r="C844" s="2">
        <v>2.1760000000000002</v>
      </c>
      <c r="D844" s="2">
        <v>2.3391999999999999</v>
      </c>
      <c r="E844" s="2">
        <v>2.5024000000000002</v>
      </c>
      <c r="F844" s="2">
        <v>2.72</v>
      </c>
      <c r="G844" s="2">
        <v>2.8832</v>
      </c>
      <c r="H844" s="2">
        <v>3.0464000000000002</v>
      </c>
      <c r="I844" s="2">
        <v>3.2639999999999998</v>
      </c>
      <c r="J844" s="2">
        <v>3.4815999999999998</v>
      </c>
      <c r="K844" s="2">
        <v>3.6991999999999998</v>
      </c>
      <c r="L844" s="2">
        <v>3.9167999999999998</v>
      </c>
      <c r="M844" s="2">
        <v>4.1344000000000003</v>
      </c>
      <c r="N844" s="2">
        <v>4.3520000000000003</v>
      </c>
      <c r="O844" s="2">
        <v>4.6239999999999997</v>
      </c>
      <c r="P844" s="2">
        <v>4.8959999999999999</v>
      </c>
      <c r="Q844" s="2">
        <v>5.1680000000000001</v>
      </c>
      <c r="R844" t="s">
        <v>19</v>
      </c>
      <c r="S844" t="s">
        <v>19</v>
      </c>
      <c r="T844" t="s">
        <v>125</v>
      </c>
    </row>
    <row r="845" spans="1:21" x14ac:dyDescent="0.25">
      <c r="B845" t="s">
        <v>313</v>
      </c>
      <c r="C845" s="2">
        <v>0.16800000000000001</v>
      </c>
      <c r="D845" s="2">
        <v>0.18060000000000001</v>
      </c>
      <c r="E845" s="2">
        <v>0.19320000000000001</v>
      </c>
      <c r="F845" s="2">
        <v>0.21</v>
      </c>
      <c r="G845" s="2">
        <v>0.22259999999999999</v>
      </c>
      <c r="H845" s="2">
        <v>0.23519999999999999</v>
      </c>
      <c r="I845" s="2">
        <v>0.252</v>
      </c>
      <c r="J845" s="2">
        <v>0.26879999999999998</v>
      </c>
      <c r="K845" s="2">
        <v>0.28560000000000002</v>
      </c>
      <c r="L845" s="2">
        <v>0.3024</v>
      </c>
      <c r="M845" s="2">
        <v>0.31919999999999998</v>
      </c>
      <c r="N845" s="2">
        <v>0.33600000000000002</v>
      </c>
      <c r="O845" s="2">
        <v>0.35699999999999998</v>
      </c>
      <c r="P845" s="2">
        <v>0.378</v>
      </c>
      <c r="Q845" s="2">
        <v>0.39900000000000002</v>
      </c>
      <c r="R845" t="s">
        <v>19</v>
      </c>
      <c r="S845" t="s">
        <v>19</v>
      </c>
      <c r="T845" t="s">
        <v>125</v>
      </c>
    </row>
    <row r="846" spans="1:21" x14ac:dyDescent="0.25">
      <c r="B846" t="s">
        <v>311</v>
      </c>
      <c r="C846" s="2">
        <v>0.76160000000000005</v>
      </c>
      <c r="D846" s="2">
        <v>0.81869999999999998</v>
      </c>
      <c r="E846" s="2">
        <v>0.87580000000000002</v>
      </c>
      <c r="F846" s="2">
        <v>0.95199999999999996</v>
      </c>
      <c r="G846" s="2">
        <v>1.0091000000000001</v>
      </c>
      <c r="H846" s="2">
        <v>1.0662</v>
      </c>
      <c r="I846" s="2">
        <v>1.1424000000000001</v>
      </c>
      <c r="J846" s="2">
        <v>1.2185999999999999</v>
      </c>
      <c r="K846" s="2">
        <v>1.2947</v>
      </c>
      <c r="L846" s="2">
        <v>1.3709</v>
      </c>
      <c r="M846" s="2">
        <v>1.4470000000000001</v>
      </c>
      <c r="N846" s="2">
        <v>1.5232000000000001</v>
      </c>
      <c r="O846" s="2">
        <v>1.6184000000000001</v>
      </c>
      <c r="P846" s="2">
        <v>1.7136</v>
      </c>
      <c r="Q846" s="2">
        <v>1.8088</v>
      </c>
      <c r="R846" t="s">
        <v>19</v>
      </c>
      <c r="S846" t="s">
        <v>19</v>
      </c>
      <c r="T846" t="s">
        <v>125</v>
      </c>
    </row>
    <row r="847" spans="1:21" x14ac:dyDescent="0.25">
      <c r="B847" t="s">
        <v>936</v>
      </c>
      <c r="C847" s="2">
        <v>0.92159999999999997</v>
      </c>
      <c r="D847" s="2">
        <v>0.99070000000000003</v>
      </c>
      <c r="E847" s="2">
        <v>1.0598000000000001</v>
      </c>
      <c r="F847" s="2">
        <v>1.1519999999999999</v>
      </c>
      <c r="G847" s="2">
        <v>1.2211000000000001</v>
      </c>
      <c r="H847" s="2">
        <v>1.2902</v>
      </c>
      <c r="I847" s="2">
        <v>1.3824000000000001</v>
      </c>
      <c r="J847" s="2">
        <v>1.4745999999999999</v>
      </c>
      <c r="K847" s="2">
        <v>1.5667</v>
      </c>
      <c r="L847" s="2">
        <v>1.6589</v>
      </c>
      <c r="M847" s="2">
        <v>1.7509999999999999</v>
      </c>
      <c r="N847" s="2">
        <v>1.8431999999999999</v>
      </c>
      <c r="O847" s="2">
        <v>1.9583999999999999</v>
      </c>
      <c r="P847" s="2">
        <v>2.0735999999999999</v>
      </c>
      <c r="Q847" s="2">
        <v>2.1888000000000001</v>
      </c>
      <c r="R847" t="s">
        <v>0</v>
      </c>
      <c r="S847" t="s">
        <v>0</v>
      </c>
      <c r="T847" t="s">
        <v>125</v>
      </c>
      <c r="U847" t="s">
        <v>944</v>
      </c>
    </row>
    <row r="848" spans="1:21" x14ac:dyDescent="0.25">
      <c r="B848" t="s">
        <v>937</v>
      </c>
      <c r="C848">
        <v>577</v>
      </c>
      <c r="D848">
        <v>635</v>
      </c>
      <c r="E848">
        <v>698</v>
      </c>
      <c r="F848">
        <v>765</v>
      </c>
      <c r="G848">
        <v>837</v>
      </c>
      <c r="H848">
        <v>914</v>
      </c>
      <c r="I848">
        <v>996</v>
      </c>
      <c r="J848">
        <v>1083</v>
      </c>
      <c r="K848">
        <v>1174</v>
      </c>
      <c r="L848">
        <v>1270</v>
      </c>
      <c r="M848">
        <v>1371</v>
      </c>
      <c r="N848">
        <v>1477</v>
      </c>
      <c r="O848">
        <v>1588</v>
      </c>
      <c r="P848">
        <v>1703</v>
      </c>
      <c r="Q848">
        <v>1824</v>
      </c>
      <c r="R848" t="s">
        <v>0</v>
      </c>
      <c r="S848" t="s">
        <v>0</v>
      </c>
      <c r="T848" t="s">
        <v>223</v>
      </c>
      <c r="U848" t="s">
        <v>945</v>
      </c>
    </row>
    <row r="849" spans="1:21" x14ac:dyDescent="0.25">
      <c r="B849" t="s">
        <v>935</v>
      </c>
      <c r="C849" s="2">
        <v>0.79869999999999997</v>
      </c>
      <c r="D849" s="2">
        <v>0.85860000000000003</v>
      </c>
      <c r="E849" s="2">
        <v>0.91849999999999998</v>
      </c>
      <c r="F849" s="2">
        <v>0.99839999999999995</v>
      </c>
      <c r="G849" s="2">
        <v>1.0583</v>
      </c>
      <c r="H849" s="2">
        <v>1.1182000000000001</v>
      </c>
      <c r="I849" s="2">
        <v>1.1980999999999999</v>
      </c>
      <c r="J849" s="2">
        <v>1.278</v>
      </c>
      <c r="K849" s="2">
        <v>1.3577999999999999</v>
      </c>
      <c r="L849" s="2">
        <v>1.4377</v>
      </c>
      <c r="M849" s="2">
        <v>1.5176000000000001</v>
      </c>
      <c r="N849" s="2">
        <v>1.5973999999999999</v>
      </c>
      <c r="O849" s="2">
        <v>1.6973</v>
      </c>
      <c r="P849" s="2">
        <v>1.7970999999999999</v>
      </c>
      <c r="Q849" s="2">
        <v>1.897</v>
      </c>
      <c r="R849" t="s">
        <v>0</v>
      </c>
      <c r="S849" t="s">
        <v>0</v>
      </c>
      <c r="T849" t="s">
        <v>125</v>
      </c>
      <c r="U849" t="s">
        <v>944</v>
      </c>
    </row>
    <row r="850" spans="1:21" x14ac:dyDescent="0.25">
      <c r="B850" t="s">
        <v>934</v>
      </c>
      <c r="C850">
        <v>500</v>
      </c>
      <c r="D850">
        <v>550</v>
      </c>
      <c r="E850">
        <v>605</v>
      </c>
      <c r="F850">
        <v>663</v>
      </c>
      <c r="G850">
        <v>726</v>
      </c>
      <c r="H850">
        <v>792</v>
      </c>
      <c r="I850">
        <v>863</v>
      </c>
      <c r="J850">
        <v>938</v>
      </c>
      <c r="K850">
        <v>1017</v>
      </c>
      <c r="L850">
        <v>1101</v>
      </c>
      <c r="M850">
        <v>1188</v>
      </c>
      <c r="N850">
        <v>1280</v>
      </c>
      <c r="O850">
        <v>1376</v>
      </c>
      <c r="P850">
        <v>1476</v>
      </c>
      <c r="Q850">
        <v>1580</v>
      </c>
      <c r="R850" t="s">
        <v>0</v>
      </c>
      <c r="S850" t="s">
        <v>0</v>
      </c>
      <c r="T850" t="s">
        <v>223</v>
      </c>
      <c r="U850" t="s">
        <v>945</v>
      </c>
    </row>
    <row r="851" spans="1:21" x14ac:dyDescent="0.25">
      <c r="B851" t="s">
        <v>314</v>
      </c>
      <c r="C851" s="2">
        <v>1.1679999999999999</v>
      </c>
      <c r="D851" s="2">
        <v>1.2556</v>
      </c>
      <c r="E851" s="2">
        <v>1.3431999999999999</v>
      </c>
      <c r="F851" s="2">
        <v>1.46</v>
      </c>
      <c r="G851" s="2">
        <v>1.5476000000000001</v>
      </c>
      <c r="H851" s="2">
        <v>1.6352</v>
      </c>
      <c r="I851" s="2">
        <v>1.752</v>
      </c>
      <c r="J851" s="2">
        <v>1.8688</v>
      </c>
      <c r="K851" s="2">
        <v>1.9856</v>
      </c>
      <c r="L851" s="2">
        <v>2.1023999999999998</v>
      </c>
      <c r="M851" s="2">
        <v>2.2191999999999998</v>
      </c>
      <c r="N851" s="2">
        <v>2.3359999999999999</v>
      </c>
      <c r="O851" s="2">
        <v>2.4820000000000002</v>
      </c>
      <c r="P851" s="2">
        <v>2.6280000000000001</v>
      </c>
      <c r="Q851" s="2">
        <v>2.774</v>
      </c>
      <c r="R851" t="s">
        <v>0</v>
      </c>
      <c r="S851" t="s">
        <v>0</v>
      </c>
      <c r="T851" t="s">
        <v>125</v>
      </c>
    </row>
    <row r="852" spans="1:21" x14ac:dyDescent="0.25">
      <c r="B852" t="s">
        <v>315</v>
      </c>
      <c r="C852" s="2">
        <v>0.52</v>
      </c>
      <c r="D852" s="2">
        <v>0.55900000000000005</v>
      </c>
      <c r="E852" s="2">
        <v>0.59799999999999998</v>
      </c>
      <c r="F852" s="2">
        <v>0.65</v>
      </c>
      <c r="G852" s="2">
        <v>0.68899999999999995</v>
      </c>
      <c r="H852" s="2">
        <v>0.72799999999999998</v>
      </c>
      <c r="I852" s="2">
        <v>0.78</v>
      </c>
      <c r="J852" s="2">
        <v>0.83199999999999996</v>
      </c>
      <c r="K852" s="2">
        <v>0.88400000000000001</v>
      </c>
      <c r="L852" s="2">
        <v>0.93600000000000005</v>
      </c>
      <c r="M852" s="2">
        <v>0.98799999999999999</v>
      </c>
      <c r="N852" s="2">
        <v>1.04</v>
      </c>
      <c r="O852" s="2">
        <v>1.105</v>
      </c>
      <c r="P852" s="2">
        <v>1.17</v>
      </c>
      <c r="Q852" s="2">
        <v>1.2350000000000001</v>
      </c>
      <c r="R852" t="s">
        <v>0</v>
      </c>
      <c r="S852" t="s">
        <v>0</v>
      </c>
      <c r="T852" t="s">
        <v>125</v>
      </c>
    </row>
    <row r="853" spans="1:21" x14ac:dyDescent="0.25">
      <c r="B853" t="s">
        <v>938</v>
      </c>
      <c r="C853" s="21">
        <v>300</v>
      </c>
      <c r="D853" s="21">
        <v>300</v>
      </c>
      <c r="E853" s="21">
        <v>300</v>
      </c>
      <c r="F853" s="21">
        <v>300</v>
      </c>
      <c r="G853" s="21">
        <v>300</v>
      </c>
      <c r="H853" s="21">
        <v>300</v>
      </c>
      <c r="I853" s="21">
        <v>300</v>
      </c>
      <c r="J853" s="21">
        <v>300</v>
      </c>
      <c r="K853" s="21">
        <v>300</v>
      </c>
      <c r="L853" s="21">
        <v>300</v>
      </c>
      <c r="M853" s="21">
        <v>300</v>
      </c>
      <c r="N853" s="21">
        <v>300</v>
      </c>
      <c r="O853" s="21">
        <v>300</v>
      </c>
      <c r="P853" s="21">
        <v>300</v>
      </c>
      <c r="Q853" s="21">
        <v>300</v>
      </c>
      <c r="R853" t="s">
        <v>246</v>
      </c>
      <c r="S853" t="s">
        <v>246</v>
      </c>
      <c r="T853" t="s">
        <v>223</v>
      </c>
      <c r="U853" t="s">
        <v>945</v>
      </c>
    </row>
    <row r="854" spans="1:21" x14ac:dyDescent="0.25">
      <c r="B854" t="s">
        <v>939</v>
      </c>
      <c r="C854" s="209">
        <v>3</v>
      </c>
      <c r="D854" s="209">
        <v>3</v>
      </c>
      <c r="E854" s="209">
        <v>3</v>
      </c>
      <c r="F854" s="209">
        <v>3</v>
      </c>
      <c r="G854" s="209">
        <v>3</v>
      </c>
      <c r="H854" s="209">
        <v>3</v>
      </c>
      <c r="I854" s="209">
        <v>3</v>
      </c>
      <c r="J854" s="209">
        <v>3</v>
      </c>
      <c r="K854" s="209">
        <v>3</v>
      </c>
      <c r="L854" s="209">
        <v>3</v>
      </c>
      <c r="M854" s="209">
        <v>3</v>
      </c>
      <c r="N854" s="209">
        <v>3</v>
      </c>
      <c r="O854" s="209">
        <v>3</v>
      </c>
      <c r="P854" s="209">
        <v>3</v>
      </c>
      <c r="Q854" s="209">
        <v>3</v>
      </c>
      <c r="R854" t="s">
        <v>246</v>
      </c>
      <c r="S854" t="s">
        <v>246</v>
      </c>
      <c r="T854" t="s">
        <v>69</v>
      </c>
      <c r="U854" t="s">
        <v>944</v>
      </c>
    </row>
    <row r="855" spans="1:21" x14ac:dyDescent="0.25">
      <c r="B855" s="3" t="s">
        <v>763</v>
      </c>
      <c r="C855" s="23"/>
      <c r="D855" s="23"/>
      <c r="E855" s="23"/>
      <c r="F855" s="23"/>
      <c r="G855" s="23"/>
      <c r="H855" s="23"/>
      <c r="I855" s="23"/>
      <c r="J855" s="23"/>
      <c r="K855" s="23"/>
      <c r="L855" s="23"/>
      <c r="M855" s="23"/>
      <c r="N855" s="23"/>
      <c r="O855" s="23"/>
      <c r="P855" s="23"/>
      <c r="Q855" s="23"/>
      <c r="R855" s="5" t="s">
        <v>763</v>
      </c>
      <c r="S855" s="5" t="s">
        <v>763</v>
      </c>
      <c r="T855" t="s">
        <v>764</v>
      </c>
    </row>
    <row r="856" spans="1:21" x14ac:dyDescent="0.25">
      <c r="B856" s="3" t="s">
        <v>386</v>
      </c>
      <c r="C856" s="23"/>
      <c r="D856" s="23"/>
      <c r="E856" s="23"/>
      <c r="F856" s="23"/>
      <c r="G856" s="23"/>
      <c r="H856" s="23"/>
      <c r="I856" s="23"/>
      <c r="J856" s="23"/>
      <c r="K856" s="23"/>
      <c r="L856" s="23"/>
      <c r="M856" s="23"/>
      <c r="N856" s="23"/>
      <c r="O856" s="23"/>
      <c r="P856" s="23"/>
      <c r="Q856" s="23"/>
      <c r="R856" s="5" t="s">
        <v>392</v>
      </c>
      <c r="S856" s="5" t="s">
        <v>392</v>
      </c>
      <c r="T856" t="s">
        <v>69</v>
      </c>
    </row>
    <row r="857" spans="1:21" x14ac:dyDescent="0.25">
      <c r="B857" s="3" t="s">
        <v>388</v>
      </c>
      <c r="C857" s="23"/>
      <c r="D857" s="23"/>
      <c r="E857" s="23"/>
      <c r="F857" s="23"/>
      <c r="G857" s="23"/>
      <c r="H857" s="23"/>
      <c r="I857" s="23"/>
      <c r="J857" s="23"/>
      <c r="K857" s="23"/>
      <c r="L857" s="23"/>
      <c r="M857" s="23"/>
      <c r="N857" s="23"/>
      <c r="O857" s="23"/>
      <c r="P857" s="23"/>
      <c r="Q857" s="23"/>
      <c r="R857" s="5" t="s">
        <v>392</v>
      </c>
      <c r="S857" s="5" t="s">
        <v>392</v>
      </c>
      <c r="T857" t="s">
        <v>69</v>
      </c>
    </row>
    <row r="858" spans="1:21" x14ac:dyDescent="0.25">
      <c r="B858" s="3" t="s">
        <v>389</v>
      </c>
      <c r="C858" s="23"/>
      <c r="D858" s="23"/>
      <c r="E858" s="23"/>
      <c r="F858" s="23"/>
      <c r="G858" s="23"/>
      <c r="H858" s="23"/>
      <c r="I858" s="23"/>
      <c r="J858" s="23"/>
      <c r="K858" s="23"/>
      <c r="L858" s="23"/>
      <c r="M858" s="23"/>
      <c r="N858" s="23"/>
      <c r="O858" s="23"/>
      <c r="P858" s="23"/>
      <c r="Q858" s="23"/>
      <c r="R858" s="5" t="s">
        <v>392</v>
      </c>
      <c r="S858" s="5" t="s">
        <v>392</v>
      </c>
      <c r="T858" t="s">
        <v>69</v>
      </c>
    </row>
    <row r="859" spans="1:21" x14ac:dyDescent="0.25">
      <c r="B859" s="3" t="s">
        <v>385</v>
      </c>
      <c r="C859" s="23"/>
      <c r="D859" s="23"/>
      <c r="E859" s="23"/>
      <c r="F859" s="23"/>
      <c r="G859" s="23"/>
      <c r="H859" s="23"/>
      <c r="I859" s="23"/>
      <c r="J859" s="23"/>
      <c r="K859" s="23"/>
      <c r="L859" s="23"/>
      <c r="M859" s="23"/>
      <c r="N859" s="23"/>
      <c r="O859" s="23"/>
      <c r="P859" s="23"/>
      <c r="Q859" s="23"/>
      <c r="R859" s="5" t="s">
        <v>392</v>
      </c>
      <c r="S859" s="5" t="s">
        <v>392</v>
      </c>
      <c r="T859" t="s">
        <v>69</v>
      </c>
    </row>
    <row r="860" spans="1:21" x14ac:dyDescent="0.25">
      <c r="B860" s="3" t="s">
        <v>387</v>
      </c>
      <c r="C860" s="23"/>
      <c r="D860" s="23"/>
      <c r="E860" s="23"/>
      <c r="F860" s="23"/>
      <c r="G860" s="23"/>
      <c r="H860" s="23"/>
      <c r="I860" s="23"/>
      <c r="J860" s="23"/>
      <c r="K860" s="23"/>
      <c r="L860" s="23"/>
      <c r="M860" s="23"/>
      <c r="N860" s="23"/>
      <c r="O860" s="23"/>
      <c r="P860" s="23"/>
      <c r="Q860" s="23"/>
      <c r="R860" s="5" t="s">
        <v>392</v>
      </c>
      <c r="S860" s="5" t="s">
        <v>392</v>
      </c>
      <c r="T860" t="s">
        <v>69</v>
      </c>
    </row>
    <row r="861" spans="1:21" x14ac:dyDescent="0.25">
      <c r="B861" s="3" t="s">
        <v>390</v>
      </c>
      <c r="C861" s="23"/>
      <c r="D861" s="23"/>
      <c r="E861" s="23"/>
      <c r="F861" s="23"/>
      <c r="G861" s="23"/>
      <c r="H861" s="23"/>
      <c r="I861" s="23"/>
      <c r="J861" s="23"/>
      <c r="K861" s="23"/>
      <c r="L861" s="23"/>
      <c r="M861" s="23"/>
      <c r="N861" s="23"/>
      <c r="O861" s="23"/>
      <c r="P861" s="23"/>
      <c r="Q861" s="23"/>
      <c r="R861" s="5" t="s">
        <v>392</v>
      </c>
      <c r="S861" s="5" t="s">
        <v>392</v>
      </c>
      <c r="T861" t="s">
        <v>69</v>
      </c>
    </row>
    <row r="862" spans="1:21" x14ac:dyDescent="0.25">
      <c r="B862" s="3" t="s">
        <v>391</v>
      </c>
      <c r="C862" s="23"/>
      <c r="D862" s="23"/>
      <c r="E862" s="23"/>
      <c r="F862" s="23"/>
      <c r="G862" s="23"/>
      <c r="H862" s="23"/>
      <c r="I862" s="23"/>
      <c r="J862" s="23"/>
      <c r="K862" s="23"/>
      <c r="L862" s="23"/>
      <c r="M862" s="23"/>
      <c r="N862" s="23"/>
      <c r="O862" s="23"/>
      <c r="P862" s="23"/>
      <c r="Q862" s="23"/>
      <c r="R862" s="5" t="s">
        <v>392</v>
      </c>
      <c r="S862" s="5" t="s">
        <v>392</v>
      </c>
      <c r="T862" t="s">
        <v>69</v>
      </c>
    </row>
    <row r="863" spans="1:21" x14ac:dyDescent="0.25">
      <c r="A863" t="s">
        <v>880</v>
      </c>
      <c r="B863" s="3" t="s">
        <v>393</v>
      </c>
      <c r="C863" s="23"/>
      <c r="D863" s="23"/>
      <c r="E863" s="23"/>
      <c r="F863" s="23"/>
      <c r="G863" s="23"/>
      <c r="H863" s="23"/>
      <c r="I863" s="23"/>
      <c r="J863" s="23"/>
      <c r="K863" s="23"/>
      <c r="L863" s="23"/>
      <c r="M863" s="23"/>
      <c r="N863" s="23"/>
      <c r="O863" s="23"/>
      <c r="P863" s="23"/>
      <c r="Q863" s="23"/>
      <c r="R863" s="5" t="s">
        <v>392</v>
      </c>
      <c r="S863" s="5" t="s">
        <v>392</v>
      </c>
      <c r="T863" t="s">
        <v>69</v>
      </c>
    </row>
    <row r="864" spans="1:21" x14ac:dyDescent="0.25">
      <c r="B864" s="3" t="s">
        <v>1042</v>
      </c>
      <c r="C864" s="23"/>
      <c r="D864" s="23"/>
      <c r="E864" s="23"/>
      <c r="F864" s="23"/>
      <c r="G864" s="23"/>
      <c r="H864" s="23"/>
      <c r="I864" s="23"/>
      <c r="J864" s="23"/>
      <c r="K864" s="23"/>
      <c r="L864" s="23"/>
      <c r="M864" s="23"/>
      <c r="N864" s="23"/>
      <c r="O864" s="23"/>
      <c r="P864" s="23"/>
      <c r="Q864" s="23"/>
      <c r="R864" s="5" t="s">
        <v>11</v>
      </c>
      <c r="S864" s="5" t="s">
        <v>1024</v>
      </c>
      <c r="T864" t="s">
        <v>124</v>
      </c>
    </row>
    <row r="865" spans="1:20" x14ac:dyDescent="0.25">
      <c r="A865" t="s">
        <v>1043</v>
      </c>
      <c r="B865" t="s">
        <v>10</v>
      </c>
      <c r="C865" s="2">
        <v>0.43259999999999998</v>
      </c>
      <c r="D865" s="2">
        <v>0.46779999999999999</v>
      </c>
      <c r="E865" s="2">
        <v>0.503</v>
      </c>
      <c r="F865" s="2">
        <v>0.55330000000000001</v>
      </c>
      <c r="G865" s="2">
        <v>0.58850000000000002</v>
      </c>
      <c r="H865" s="2">
        <v>0.62880000000000003</v>
      </c>
      <c r="I865" s="2">
        <v>0.68410000000000004</v>
      </c>
      <c r="J865" s="2">
        <v>0.73939999999999995</v>
      </c>
      <c r="K865" s="2">
        <v>0.79469999999999996</v>
      </c>
      <c r="L865" s="2">
        <v>0.85509999999999997</v>
      </c>
      <c r="M865" s="2">
        <v>0.91549999999999998</v>
      </c>
      <c r="N865" s="2">
        <v>0.9758</v>
      </c>
      <c r="O865" s="2">
        <v>1.0362</v>
      </c>
      <c r="P865" s="2">
        <v>1.0965</v>
      </c>
      <c r="Q865" s="2">
        <v>1.1569</v>
      </c>
      <c r="R865" s="5" t="s">
        <v>6</v>
      </c>
      <c r="S865" s="5" t="s">
        <v>6</v>
      </c>
      <c r="T865" t="s">
        <v>125</v>
      </c>
    </row>
    <row r="866" spans="1:20" x14ac:dyDescent="0.25">
      <c r="B866" t="s">
        <v>9</v>
      </c>
      <c r="C866" s="2">
        <v>0.40250000000000002</v>
      </c>
      <c r="D866" s="2">
        <v>0.43519999999999998</v>
      </c>
      <c r="E866" s="2">
        <v>0.46800000000000003</v>
      </c>
      <c r="F866" s="2">
        <v>0.51480000000000004</v>
      </c>
      <c r="G866" s="2">
        <v>0.54759999999999998</v>
      </c>
      <c r="H866" s="2">
        <v>0.58499999999999996</v>
      </c>
      <c r="I866" s="2">
        <v>0.63649999999999995</v>
      </c>
      <c r="J866" s="2">
        <v>0.68799999999999994</v>
      </c>
      <c r="K866" s="2">
        <v>0.73939999999999995</v>
      </c>
      <c r="L866" s="2">
        <v>0.79559999999999997</v>
      </c>
      <c r="M866" s="2">
        <v>0.8518</v>
      </c>
      <c r="N866" s="2">
        <v>0.90790000000000004</v>
      </c>
      <c r="O866" s="2">
        <v>0.96409999999999996</v>
      </c>
      <c r="P866" s="2">
        <v>1.0202</v>
      </c>
      <c r="Q866" s="2">
        <v>1.0764</v>
      </c>
      <c r="R866" s="5" t="s">
        <v>6</v>
      </c>
      <c r="S866" s="5" t="s">
        <v>6</v>
      </c>
      <c r="T866" t="s">
        <v>125</v>
      </c>
    </row>
    <row r="867" spans="1:20" x14ac:dyDescent="0.25">
      <c r="B867" t="s">
        <v>8</v>
      </c>
      <c r="C867" s="2">
        <v>0.53320000000000001</v>
      </c>
      <c r="D867" s="2">
        <v>0.5766</v>
      </c>
      <c r="E867" s="2">
        <v>0.62</v>
      </c>
      <c r="F867" s="2">
        <v>0.68200000000000005</v>
      </c>
      <c r="G867" s="2">
        <v>0.72540000000000004</v>
      </c>
      <c r="H867" s="2">
        <v>0.77500000000000002</v>
      </c>
      <c r="I867" s="2">
        <v>0.84319999999999995</v>
      </c>
      <c r="J867" s="2">
        <v>0.91139999999999999</v>
      </c>
      <c r="K867" s="2">
        <v>0.97960000000000003</v>
      </c>
      <c r="L867" s="2">
        <v>1.054</v>
      </c>
      <c r="M867" s="2">
        <v>1.1284000000000001</v>
      </c>
      <c r="N867" s="2">
        <v>1.2028000000000001</v>
      </c>
      <c r="O867" s="2">
        <v>1.2771999999999999</v>
      </c>
      <c r="P867" s="2">
        <v>1.3515999999999999</v>
      </c>
      <c r="Q867" s="2">
        <v>1.4259999999999999</v>
      </c>
      <c r="R867" s="5" t="s">
        <v>6</v>
      </c>
      <c r="S867" s="5" t="s">
        <v>6</v>
      </c>
      <c r="T867" t="s">
        <v>125</v>
      </c>
    </row>
    <row r="868" spans="1:20" x14ac:dyDescent="0.25">
      <c r="B868" t="s">
        <v>274</v>
      </c>
      <c r="C868" s="2">
        <v>0.26319999999999999</v>
      </c>
      <c r="D868" s="2">
        <v>0.28460000000000002</v>
      </c>
      <c r="E868" s="2">
        <v>0.30599999999999999</v>
      </c>
      <c r="F868" s="2">
        <v>0.33660000000000001</v>
      </c>
      <c r="G868" s="2">
        <v>0.35799999999999998</v>
      </c>
      <c r="H868" s="2">
        <v>0.38250000000000001</v>
      </c>
      <c r="I868" s="2">
        <v>0.41620000000000001</v>
      </c>
      <c r="J868" s="2">
        <v>0.44979999999999998</v>
      </c>
      <c r="K868" s="2">
        <v>0.48349999999999999</v>
      </c>
      <c r="L868" s="2">
        <v>0.5202</v>
      </c>
      <c r="M868" s="2">
        <v>0.55689999999999995</v>
      </c>
      <c r="N868" s="2">
        <v>0.59360000000000002</v>
      </c>
      <c r="O868" s="2">
        <v>0.63039999999999996</v>
      </c>
      <c r="P868" s="2">
        <v>0.66710000000000003</v>
      </c>
      <c r="Q868" s="2">
        <v>0.70379999999999998</v>
      </c>
      <c r="R868" s="5" t="s">
        <v>6</v>
      </c>
      <c r="S868" s="5" t="s">
        <v>6</v>
      </c>
      <c r="T868" t="s">
        <v>125</v>
      </c>
    </row>
    <row r="869" spans="1:20" x14ac:dyDescent="0.25">
      <c r="B869" t="s">
        <v>7</v>
      </c>
      <c r="C869" s="2">
        <v>0.65620000000000001</v>
      </c>
      <c r="D869" s="2">
        <v>0.70960000000000001</v>
      </c>
      <c r="E869" s="2">
        <v>0.76300000000000001</v>
      </c>
      <c r="F869" s="2">
        <v>0.83930000000000005</v>
      </c>
      <c r="G869" s="2">
        <v>0.89270000000000005</v>
      </c>
      <c r="H869" s="2">
        <v>0.95379999999999998</v>
      </c>
      <c r="I869" s="2">
        <v>1.0377000000000001</v>
      </c>
      <c r="J869" s="2">
        <v>1.1215999999999999</v>
      </c>
      <c r="K869" s="2">
        <v>1.2055</v>
      </c>
      <c r="L869" s="2">
        <v>1.2970999999999999</v>
      </c>
      <c r="M869" s="2">
        <v>1.3887</v>
      </c>
      <c r="N869" s="2">
        <v>1.4802</v>
      </c>
      <c r="O869" s="2">
        <v>1.5718000000000001</v>
      </c>
      <c r="P869" s="2">
        <v>1.6633</v>
      </c>
      <c r="Q869" s="2">
        <v>1.7548999999999999</v>
      </c>
      <c r="R869" s="5" t="s">
        <v>6</v>
      </c>
      <c r="S869" s="5" t="s">
        <v>6</v>
      </c>
      <c r="T869" t="s">
        <v>125</v>
      </c>
    </row>
    <row r="870" spans="1:20" x14ac:dyDescent="0.25">
      <c r="B870" t="s">
        <v>14</v>
      </c>
      <c r="C870" s="2">
        <v>1.1067</v>
      </c>
      <c r="D870" s="2">
        <v>1.1968000000000001</v>
      </c>
      <c r="E870" s="2">
        <v>1.2868999999999999</v>
      </c>
      <c r="F870" s="2">
        <v>1.4156</v>
      </c>
      <c r="G870" s="2">
        <v>1.5057</v>
      </c>
      <c r="H870" s="2">
        <v>1.6086</v>
      </c>
      <c r="I870" s="2">
        <v>1.7502</v>
      </c>
      <c r="J870" s="2">
        <v>1.8916999999999999</v>
      </c>
      <c r="K870" s="2">
        <v>2.0333000000000001</v>
      </c>
      <c r="L870" s="2">
        <v>2.1877</v>
      </c>
      <c r="M870" s="2">
        <v>2.3422000000000001</v>
      </c>
      <c r="N870" s="2">
        <v>2.4965999999999999</v>
      </c>
      <c r="O870" s="2">
        <v>2.6509999999999998</v>
      </c>
      <c r="P870" s="2">
        <v>2.8054000000000001</v>
      </c>
      <c r="Q870" s="2">
        <v>2.9599000000000002</v>
      </c>
      <c r="R870" s="5" t="s">
        <v>5</v>
      </c>
      <c r="S870" s="5" t="s">
        <v>5</v>
      </c>
      <c r="T870" t="s">
        <v>125</v>
      </c>
    </row>
    <row r="871" spans="1:20" x14ac:dyDescent="0.25">
      <c r="B871" t="s">
        <v>152</v>
      </c>
      <c r="C871" s="2">
        <v>0.63929999999999998</v>
      </c>
      <c r="D871" s="2">
        <v>0.69140000000000001</v>
      </c>
      <c r="E871" s="2">
        <v>0.74339999999999995</v>
      </c>
      <c r="F871" s="2">
        <v>0.81769999999999998</v>
      </c>
      <c r="G871" s="2">
        <v>0.86980000000000002</v>
      </c>
      <c r="H871" s="2">
        <v>0.92930000000000001</v>
      </c>
      <c r="I871" s="2">
        <v>1.0109999999999999</v>
      </c>
      <c r="J871" s="2">
        <v>1.0928</v>
      </c>
      <c r="K871" s="2">
        <v>1.1746000000000001</v>
      </c>
      <c r="L871" s="2">
        <v>1.2638</v>
      </c>
      <c r="M871" s="2">
        <v>1.353</v>
      </c>
      <c r="N871" s="2">
        <v>1.4421999999999999</v>
      </c>
      <c r="O871" s="2">
        <v>1.5314000000000001</v>
      </c>
      <c r="P871" s="2">
        <v>1.6206</v>
      </c>
      <c r="Q871" s="2">
        <v>1.7098</v>
      </c>
      <c r="R871" s="5" t="s">
        <v>3</v>
      </c>
      <c r="S871" s="5" t="s">
        <v>3</v>
      </c>
      <c r="T871" t="s">
        <v>125</v>
      </c>
    </row>
    <row r="872" spans="1:20" x14ac:dyDescent="0.25">
      <c r="B872" t="s">
        <v>133</v>
      </c>
      <c r="C872" s="29">
        <v>1.2784</v>
      </c>
      <c r="D872" s="29">
        <v>1.3824000000000001</v>
      </c>
      <c r="E872" s="29">
        <v>1.4864999999999999</v>
      </c>
      <c r="F872" s="29">
        <v>1.6351</v>
      </c>
      <c r="G872" s="29">
        <v>1.7392000000000001</v>
      </c>
      <c r="H872" s="29">
        <v>1.8581000000000001</v>
      </c>
      <c r="I872" s="29">
        <v>2.0215999999999998</v>
      </c>
      <c r="J872" s="29">
        <v>2.1850999999999998</v>
      </c>
      <c r="K872" s="29">
        <v>2.3485999999999998</v>
      </c>
      <c r="L872" s="29">
        <v>2.5270000000000001</v>
      </c>
      <c r="M872" s="29">
        <v>2.7054</v>
      </c>
      <c r="N872" s="29">
        <v>2.8837999999999999</v>
      </c>
      <c r="O872" s="29">
        <v>3.0621999999999998</v>
      </c>
      <c r="P872" s="29">
        <v>3.2404999999999999</v>
      </c>
      <c r="Q872" s="29">
        <v>3.4188999999999998</v>
      </c>
      <c r="R872" s="5" t="s">
        <v>3</v>
      </c>
      <c r="S872" s="5" t="s">
        <v>3</v>
      </c>
      <c r="T872" t="s">
        <v>125</v>
      </c>
    </row>
    <row r="873" spans="1:20" x14ac:dyDescent="0.25">
      <c r="B873" s="3" t="s">
        <v>134</v>
      </c>
      <c r="C873" s="23">
        <v>1.5968</v>
      </c>
      <c r="D873" s="23">
        <v>1.7266999999999999</v>
      </c>
      <c r="E873" s="23">
        <v>1.8567</v>
      </c>
      <c r="F873" s="23">
        <v>2.0424000000000002</v>
      </c>
      <c r="G873" s="23">
        <v>2.1722999999999999</v>
      </c>
      <c r="H873" s="23">
        <v>2.3209</v>
      </c>
      <c r="I873" s="23">
        <v>2.5251000000000001</v>
      </c>
      <c r="J873" s="23">
        <v>2.7292999999999998</v>
      </c>
      <c r="K873" s="23">
        <v>2.9336000000000002</v>
      </c>
      <c r="L873" s="23">
        <v>3.1564000000000001</v>
      </c>
      <c r="M873" s="23">
        <v>3.3792</v>
      </c>
      <c r="N873" s="23">
        <v>3.6019999999999999</v>
      </c>
      <c r="O873" s="23">
        <v>3.8248000000000002</v>
      </c>
      <c r="P873" s="23">
        <v>4.0476000000000001</v>
      </c>
      <c r="Q873" s="23">
        <v>4.2704000000000004</v>
      </c>
      <c r="R873" s="5" t="s">
        <v>3</v>
      </c>
      <c r="S873" s="5" t="s">
        <v>3</v>
      </c>
      <c r="T873" t="s">
        <v>125</v>
      </c>
    </row>
    <row r="874" spans="1:20" x14ac:dyDescent="0.25">
      <c r="B874" t="s">
        <v>231</v>
      </c>
      <c r="C874" s="2">
        <v>1.3919999999999999</v>
      </c>
      <c r="D874" s="2">
        <v>1.4964</v>
      </c>
      <c r="E874" s="2">
        <v>1.6008</v>
      </c>
      <c r="F874" s="2">
        <v>1.74</v>
      </c>
      <c r="G874" s="2">
        <v>1.8444</v>
      </c>
      <c r="H874" s="2">
        <v>1.9488000000000001</v>
      </c>
      <c r="I874" s="2">
        <v>2.0880000000000001</v>
      </c>
      <c r="J874" s="2">
        <v>2.2271999999999998</v>
      </c>
      <c r="K874" s="2">
        <v>2.3664000000000001</v>
      </c>
      <c r="L874" s="2">
        <v>2.5055999999999998</v>
      </c>
      <c r="M874" s="2">
        <v>2.6448</v>
      </c>
      <c r="N874" s="2">
        <v>2.7839999999999998</v>
      </c>
      <c r="O874" s="2">
        <v>2.9580000000000002</v>
      </c>
      <c r="P874" s="2">
        <v>3.1320000000000001</v>
      </c>
      <c r="Q874" s="2">
        <v>3.306</v>
      </c>
      <c r="R874" s="5" t="s">
        <v>19</v>
      </c>
      <c r="S874" s="5" t="s">
        <v>19</v>
      </c>
      <c r="T874" t="s">
        <v>125</v>
      </c>
    </row>
    <row r="875" spans="1:20" x14ac:dyDescent="0.25">
      <c r="B875" t="s">
        <v>232</v>
      </c>
      <c r="C875" s="2">
        <v>1.8879999999999999</v>
      </c>
      <c r="D875" s="2">
        <v>2.0295999999999998</v>
      </c>
      <c r="E875" s="2">
        <v>2.1711999999999998</v>
      </c>
      <c r="F875" s="2">
        <v>2.36</v>
      </c>
      <c r="G875" s="2">
        <v>2.5015999999999998</v>
      </c>
      <c r="H875" s="2">
        <v>2.6432000000000002</v>
      </c>
      <c r="I875" s="2">
        <v>2.8319999999999999</v>
      </c>
      <c r="J875" s="2">
        <v>3.0207999999999999</v>
      </c>
      <c r="K875" s="2">
        <v>3.2096</v>
      </c>
      <c r="L875" s="2">
        <v>3.3984000000000001</v>
      </c>
      <c r="M875" s="2">
        <v>3.5872000000000002</v>
      </c>
      <c r="N875" s="2">
        <v>3.7759999999999998</v>
      </c>
      <c r="O875" s="2">
        <v>4.0119999999999996</v>
      </c>
      <c r="P875" s="2">
        <v>4.2480000000000002</v>
      </c>
      <c r="Q875" s="2">
        <v>4.484</v>
      </c>
      <c r="R875" s="5" t="s">
        <v>19</v>
      </c>
      <c r="S875" s="5" t="s">
        <v>19</v>
      </c>
      <c r="T875" t="s">
        <v>125</v>
      </c>
    </row>
    <row r="876" spans="1:20" x14ac:dyDescent="0.25">
      <c r="B876" t="s">
        <v>1046</v>
      </c>
      <c r="C876" s="29">
        <v>0.45660000000000001</v>
      </c>
      <c r="D876" s="29">
        <v>0.49080000000000001</v>
      </c>
      <c r="E876" s="29">
        <v>0.52500000000000002</v>
      </c>
      <c r="F876" s="29">
        <v>0.57069999999999999</v>
      </c>
      <c r="G876" s="29">
        <v>0.60489999999999999</v>
      </c>
      <c r="H876" s="29">
        <v>0.63919999999999999</v>
      </c>
      <c r="I876" s="29">
        <v>0.68479999999999996</v>
      </c>
      <c r="J876" s="29">
        <v>0.73050000000000004</v>
      </c>
      <c r="K876" s="29">
        <v>0.7762</v>
      </c>
      <c r="L876" s="29">
        <v>0.82179999999999997</v>
      </c>
      <c r="M876" s="29">
        <v>0.86750000000000005</v>
      </c>
      <c r="N876" s="29">
        <v>0.91310000000000002</v>
      </c>
      <c r="O876" s="29">
        <v>0.97019999999999995</v>
      </c>
      <c r="P876" s="29">
        <v>1.0273000000000001</v>
      </c>
      <c r="Q876" s="29">
        <v>1.0843</v>
      </c>
      <c r="R876" s="5" t="s">
        <v>1045</v>
      </c>
      <c r="S876" s="5" t="s">
        <v>19</v>
      </c>
      <c r="T876" t="s">
        <v>125</v>
      </c>
    </row>
    <row r="877" spans="1:20" x14ac:dyDescent="0.25">
      <c r="B877" t="s">
        <v>170</v>
      </c>
      <c r="C877" s="2">
        <v>1.008</v>
      </c>
      <c r="D877" s="2">
        <v>1.0835999999999999</v>
      </c>
      <c r="E877" s="2">
        <v>1.1592</v>
      </c>
      <c r="F877" s="2">
        <v>1.26</v>
      </c>
      <c r="G877" s="2">
        <v>1.3355999999999999</v>
      </c>
      <c r="H877" s="2">
        <v>1.4112</v>
      </c>
      <c r="I877" s="2">
        <v>1.512</v>
      </c>
      <c r="J877" s="2">
        <v>1.6128</v>
      </c>
      <c r="K877" s="2">
        <v>1.7136</v>
      </c>
      <c r="L877" s="2">
        <v>1.8144</v>
      </c>
      <c r="M877" s="2">
        <v>1.9152</v>
      </c>
      <c r="N877" s="2">
        <v>2.016</v>
      </c>
      <c r="O877" s="2">
        <v>2.1419999999999999</v>
      </c>
      <c r="P877" s="2">
        <v>2.2679999999999998</v>
      </c>
      <c r="Q877" s="2">
        <v>2.3940000000000001</v>
      </c>
      <c r="R877" s="5" t="s">
        <v>0</v>
      </c>
      <c r="S877" s="5" t="s">
        <v>0</v>
      </c>
      <c r="T877" t="s">
        <v>125</v>
      </c>
    </row>
    <row r="878" spans="1:20" x14ac:dyDescent="0.25">
      <c r="B878" t="s">
        <v>179</v>
      </c>
      <c r="C878" s="2">
        <v>0.33119999999999999</v>
      </c>
      <c r="D878" s="2">
        <v>0.35599999999999998</v>
      </c>
      <c r="E878" s="2">
        <v>0.38090000000000002</v>
      </c>
      <c r="F878" s="2">
        <v>0.41399999999999998</v>
      </c>
      <c r="G878" s="2">
        <v>0.43880000000000002</v>
      </c>
      <c r="H878" s="2">
        <v>0.4637</v>
      </c>
      <c r="I878" s="2">
        <v>0.49680000000000002</v>
      </c>
      <c r="J878" s="2">
        <v>0.52990000000000004</v>
      </c>
      <c r="K878" s="2">
        <v>0.56299999999999994</v>
      </c>
      <c r="L878" s="2">
        <v>0.59619999999999995</v>
      </c>
      <c r="M878" s="2">
        <v>0.62929999999999997</v>
      </c>
      <c r="N878" s="2">
        <v>0.66239999999999999</v>
      </c>
      <c r="O878" s="2">
        <v>0.70379999999999998</v>
      </c>
      <c r="P878" s="2">
        <v>0.74519999999999997</v>
      </c>
      <c r="Q878" s="2">
        <v>0.78659999999999997</v>
      </c>
      <c r="R878" s="5" t="s">
        <v>0</v>
      </c>
      <c r="S878" s="5" t="s">
        <v>0</v>
      </c>
      <c r="T878" t="s">
        <v>125</v>
      </c>
    </row>
    <row r="879" spans="1:20" x14ac:dyDescent="0.25">
      <c r="B879" s="3" t="s">
        <v>763</v>
      </c>
      <c r="C879" s="23"/>
      <c r="D879" s="23"/>
      <c r="E879" s="23"/>
      <c r="F879" s="23"/>
      <c r="G879" s="23"/>
      <c r="H879" s="23"/>
      <c r="I879" s="23"/>
      <c r="J879" s="23"/>
      <c r="K879" s="23"/>
      <c r="L879" s="23"/>
      <c r="M879" s="23"/>
      <c r="N879" s="23"/>
      <c r="O879" s="23"/>
      <c r="P879" s="23"/>
      <c r="Q879" s="23"/>
      <c r="R879" s="5" t="s">
        <v>763</v>
      </c>
      <c r="S879" s="5" t="s">
        <v>763</v>
      </c>
      <c r="T879" t="s">
        <v>764</v>
      </c>
    </row>
    <row r="880" spans="1:20" x14ac:dyDescent="0.25">
      <c r="B880" s="3" t="s">
        <v>386</v>
      </c>
      <c r="C880" s="23"/>
      <c r="D880" s="23"/>
      <c r="E880" s="23"/>
      <c r="F880" s="23"/>
      <c r="G880" s="23"/>
      <c r="H880" s="23"/>
      <c r="I880" s="23"/>
      <c r="J880" s="23"/>
      <c r="K880" s="23"/>
      <c r="L880" s="23"/>
      <c r="M880" s="23"/>
      <c r="N880" s="23"/>
      <c r="O880" s="23"/>
      <c r="P880" s="23"/>
      <c r="Q880" s="23"/>
      <c r="R880" s="5" t="s">
        <v>392</v>
      </c>
      <c r="S880" s="5" t="s">
        <v>392</v>
      </c>
      <c r="T880" t="s">
        <v>69</v>
      </c>
    </row>
    <row r="881" spans="1:20" x14ac:dyDescent="0.25">
      <c r="B881" s="3" t="s">
        <v>388</v>
      </c>
      <c r="C881" s="23"/>
      <c r="D881" s="23"/>
      <c r="E881" s="23"/>
      <c r="F881" s="23"/>
      <c r="G881" s="23"/>
      <c r="H881" s="23"/>
      <c r="I881" s="23"/>
      <c r="J881" s="23"/>
      <c r="K881" s="23"/>
      <c r="L881" s="23"/>
      <c r="M881" s="23"/>
      <c r="N881" s="23"/>
      <c r="O881" s="23"/>
      <c r="P881" s="23"/>
      <c r="Q881" s="23"/>
      <c r="R881" s="5" t="s">
        <v>392</v>
      </c>
      <c r="S881" s="5" t="s">
        <v>392</v>
      </c>
      <c r="T881" t="s">
        <v>69</v>
      </c>
    </row>
    <row r="882" spans="1:20" x14ac:dyDescent="0.25">
      <c r="B882" s="3" t="s">
        <v>389</v>
      </c>
      <c r="C882" s="23"/>
      <c r="D882" s="23"/>
      <c r="E882" s="23"/>
      <c r="F882" s="23"/>
      <c r="G882" s="23"/>
      <c r="H882" s="23"/>
      <c r="I882" s="23"/>
      <c r="J882" s="23"/>
      <c r="K882" s="23"/>
      <c r="L882" s="23"/>
      <c r="M882" s="23"/>
      <c r="N882" s="23"/>
      <c r="O882" s="23"/>
      <c r="P882" s="23"/>
      <c r="Q882" s="23"/>
      <c r="R882" s="5" t="s">
        <v>392</v>
      </c>
      <c r="S882" s="5" t="s">
        <v>392</v>
      </c>
      <c r="T882" t="s">
        <v>69</v>
      </c>
    </row>
    <row r="883" spans="1:20" x14ac:dyDescent="0.25">
      <c r="B883" s="3" t="s">
        <v>385</v>
      </c>
      <c r="C883" s="23"/>
      <c r="D883" s="23"/>
      <c r="E883" s="23"/>
      <c r="F883" s="23"/>
      <c r="G883" s="23"/>
      <c r="H883" s="23"/>
      <c r="I883" s="23"/>
      <c r="J883" s="23"/>
      <c r="K883" s="23"/>
      <c r="L883" s="23"/>
      <c r="M883" s="23"/>
      <c r="N883" s="23"/>
      <c r="O883" s="23"/>
      <c r="P883" s="23"/>
      <c r="Q883" s="23"/>
      <c r="R883" s="5" t="s">
        <v>392</v>
      </c>
      <c r="S883" s="5" t="s">
        <v>392</v>
      </c>
      <c r="T883" t="s">
        <v>69</v>
      </c>
    </row>
    <row r="884" spans="1:20" x14ac:dyDescent="0.25">
      <c r="B884" s="3" t="s">
        <v>387</v>
      </c>
      <c r="C884" s="23"/>
      <c r="D884" s="23"/>
      <c r="E884" s="23"/>
      <c r="F884" s="23"/>
      <c r="G884" s="23"/>
      <c r="H884" s="23"/>
      <c r="I884" s="23"/>
      <c r="J884" s="23"/>
      <c r="K884" s="23"/>
      <c r="L884" s="23"/>
      <c r="M884" s="23"/>
      <c r="N884" s="23"/>
      <c r="O884" s="23"/>
      <c r="P884" s="23"/>
      <c r="Q884" s="23"/>
      <c r="R884" s="5" t="s">
        <v>392</v>
      </c>
      <c r="S884" s="5" t="s">
        <v>392</v>
      </c>
      <c r="T884" t="s">
        <v>69</v>
      </c>
    </row>
    <row r="885" spans="1:20" x14ac:dyDescent="0.25">
      <c r="B885" s="3" t="s">
        <v>390</v>
      </c>
      <c r="C885" s="23"/>
      <c r="D885" s="23"/>
      <c r="E885" s="23"/>
      <c r="F885" s="23"/>
      <c r="G885" s="23"/>
      <c r="H885" s="23"/>
      <c r="I885" s="23"/>
      <c r="J885" s="23"/>
      <c r="K885" s="23"/>
      <c r="L885" s="23"/>
      <c r="M885" s="23"/>
      <c r="N885" s="23"/>
      <c r="O885" s="23"/>
      <c r="P885" s="23"/>
      <c r="Q885" s="23"/>
      <c r="R885" s="5" t="s">
        <v>392</v>
      </c>
      <c r="S885" s="5" t="s">
        <v>392</v>
      </c>
      <c r="T885" t="s">
        <v>69</v>
      </c>
    </row>
    <row r="886" spans="1:20" x14ac:dyDescent="0.25">
      <c r="B886" s="3" t="s">
        <v>391</v>
      </c>
      <c r="C886" s="23"/>
      <c r="D886" s="23"/>
      <c r="E886" s="23"/>
      <c r="F886" s="23"/>
      <c r="G886" s="23"/>
      <c r="H886" s="23"/>
      <c r="I886" s="23"/>
      <c r="J886" s="23"/>
      <c r="K886" s="23"/>
      <c r="L886" s="23"/>
      <c r="M886" s="23"/>
      <c r="N886" s="23"/>
      <c r="O886" s="23"/>
      <c r="P886" s="23"/>
      <c r="Q886" s="23"/>
      <c r="R886" s="5" t="s">
        <v>392</v>
      </c>
      <c r="S886" s="5" t="s">
        <v>392</v>
      </c>
      <c r="T886" t="s">
        <v>69</v>
      </c>
    </row>
    <row r="887" spans="1:20" x14ac:dyDescent="0.25">
      <c r="A887" t="s">
        <v>1044</v>
      </c>
      <c r="B887" s="3" t="s">
        <v>393</v>
      </c>
      <c r="C887" s="23"/>
      <c r="D887" s="23"/>
      <c r="E887" s="23"/>
      <c r="F887" s="23"/>
      <c r="G887" s="23"/>
      <c r="H887" s="23"/>
      <c r="I887" s="23"/>
      <c r="J887" s="23"/>
      <c r="K887" s="23"/>
      <c r="L887" s="23"/>
      <c r="M887" s="23"/>
      <c r="N887" s="23"/>
      <c r="O887" s="23"/>
      <c r="P887" s="23"/>
      <c r="Q887" s="23"/>
      <c r="R887" s="5" t="s">
        <v>392</v>
      </c>
      <c r="S887" s="5" t="s">
        <v>392</v>
      </c>
      <c r="T887" t="s">
        <v>69</v>
      </c>
    </row>
    <row r="888" spans="1:20" x14ac:dyDescent="0.25">
      <c r="B888" t="s">
        <v>316</v>
      </c>
      <c r="C888" s="21">
        <v>1</v>
      </c>
      <c r="D888" s="21">
        <v>2</v>
      </c>
      <c r="E888" s="21">
        <v>3</v>
      </c>
      <c r="F888" s="21">
        <v>4</v>
      </c>
      <c r="G888" s="21">
        <v>5</v>
      </c>
      <c r="H888" s="21">
        <v>6</v>
      </c>
      <c r="I888" s="21">
        <v>7</v>
      </c>
      <c r="J888" s="21">
        <v>8</v>
      </c>
      <c r="K888" s="21">
        <v>9</v>
      </c>
      <c r="L888" s="21">
        <v>10</v>
      </c>
      <c r="M888" s="21">
        <v>11</v>
      </c>
      <c r="N888" s="21">
        <v>12</v>
      </c>
      <c r="O888" s="21">
        <v>13</v>
      </c>
      <c r="P888" s="21">
        <v>14</v>
      </c>
      <c r="Q888" s="21">
        <v>15</v>
      </c>
      <c r="R888" s="5" t="s">
        <v>11</v>
      </c>
      <c r="S888" s="5" t="s">
        <v>1024</v>
      </c>
      <c r="T888" t="s">
        <v>124</v>
      </c>
    </row>
    <row r="889" spans="1:20" x14ac:dyDescent="0.25">
      <c r="A889" t="s">
        <v>883</v>
      </c>
      <c r="B889" t="s">
        <v>10</v>
      </c>
      <c r="C889" s="2">
        <v>0.33460000000000001</v>
      </c>
      <c r="D889" s="2">
        <v>0.35970000000000002</v>
      </c>
      <c r="E889" s="2">
        <v>0.38479999999999998</v>
      </c>
      <c r="F889" s="2">
        <v>0.41830000000000001</v>
      </c>
      <c r="G889" s="2">
        <v>0.44340000000000002</v>
      </c>
      <c r="H889" s="2">
        <v>0.46850000000000003</v>
      </c>
      <c r="I889" s="2">
        <v>0.502</v>
      </c>
      <c r="J889" s="2">
        <v>0.53539999999999999</v>
      </c>
      <c r="K889" s="2">
        <v>0.56889999999999996</v>
      </c>
      <c r="L889" s="2">
        <v>0.60240000000000005</v>
      </c>
      <c r="M889" s="2">
        <v>0.63580000000000003</v>
      </c>
      <c r="N889" s="2">
        <v>0.66930000000000001</v>
      </c>
      <c r="O889" s="2">
        <v>0.71109999999999995</v>
      </c>
      <c r="P889" s="2">
        <v>0.75290000000000001</v>
      </c>
      <c r="Q889" s="2">
        <v>0.79479999999999995</v>
      </c>
      <c r="R889" t="s">
        <v>6</v>
      </c>
      <c r="S889" t="s">
        <v>6</v>
      </c>
      <c r="T889" t="s">
        <v>125</v>
      </c>
    </row>
    <row r="890" spans="1:20" x14ac:dyDescent="0.25">
      <c r="B890" t="s">
        <v>9</v>
      </c>
      <c r="C890" s="2">
        <v>0.30620000000000003</v>
      </c>
      <c r="D890" s="2">
        <v>0.3291</v>
      </c>
      <c r="E890" s="2">
        <v>0.35210000000000002</v>
      </c>
      <c r="F890" s="2">
        <v>0.38269999999999998</v>
      </c>
      <c r="G890" s="2">
        <v>0.40570000000000001</v>
      </c>
      <c r="H890" s="2">
        <v>0.42859999999999998</v>
      </c>
      <c r="I890" s="2">
        <v>0.4592</v>
      </c>
      <c r="J890" s="2">
        <v>0.4899</v>
      </c>
      <c r="K890" s="2">
        <v>0.52049999999999996</v>
      </c>
      <c r="L890" s="2">
        <v>0.55110000000000003</v>
      </c>
      <c r="M890" s="2">
        <v>0.58169999999999999</v>
      </c>
      <c r="N890" s="2">
        <v>0.61229999999999996</v>
      </c>
      <c r="O890" s="2">
        <v>0.65059999999999996</v>
      </c>
      <c r="P890" s="2">
        <v>0.68889999999999996</v>
      </c>
      <c r="Q890" s="2">
        <v>0.72709999999999997</v>
      </c>
      <c r="R890" t="s">
        <v>6</v>
      </c>
      <c r="S890" t="s">
        <v>6</v>
      </c>
      <c r="T890" t="s">
        <v>125</v>
      </c>
    </row>
    <row r="891" spans="1:20" x14ac:dyDescent="0.25">
      <c r="B891" t="s">
        <v>8</v>
      </c>
      <c r="C891" s="2">
        <v>0.38450000000000001</v>
      </c>
      <c r="D891" s="2">
        <v>0.4133</v>
      </c>
      <c r="E891" s="2">
        <v>0.44219999999999998</v>
      </c>
      <c r="F891" s="2">
        <v>0.48060000000000003</v>
      </c>
      <c r="G891" s="2">
        <v>0.50939999999999996</v>
      </c>
      <c r="H891" s="2">
        <v>0.5383</v>
      </c>
      <c r="I891" s="2">
        <v>0.57669999999999999</v>
      </c>
      <c r="J891" s="2">
        <v>0.61519999999999997</v>
      </c>
      <c r="K891" s="2">
        <v>0.65359999999999996</v>
      </c>
      <c r="L891" s="2">
        <v>0.69210000000000005</v>
      </c>
      <c r="M891" s="2">
        <v>0.73050000000000004</v>
      </c>
      <c r="N891" s="2">
        <v>0.76900000000000002</v>
      </c>
      <c r="O891" s="2">
        <v>0.81699999999999995</v>
      </c>
      <c r="P891" s="2">
        <v>0.86509999999999998</v>
      </c>
      <c r="Q891" s="2">
        <v>0.91310000000000002</v>
      </c>
      <c r="R891" t="s">
        <v>6</v>
      </c>
      <c r="S891" t="s">
        <v>6</v>
      </c>
      <c r="T891" t="s">
        <v>125</v>
      </c>
    </row>
    <row r="892" spans="1:20" x14ac:dyDescent="0.25">
      <c r="B892" t="s">
        <v>13</v>
      </c>
      <c r="C892" s="2">
        <v>0.47920000000000001</v>
      </c>
      <c r="D892" s="2">
        <v>0.5151</v>
      </c>
      <c r="E892" s="2">
        <v>0.55110000000000003</v>
      </c>
      <c r="F892" s="2">
        <v>0.59899999999999998</v>
      </c>
      <c r="G892" s="2">
        <v>0.63490000000000002</v>
      </c>
      <c r="H892" s="2">
        <v>0.67079999999999995</v>
      </c>
      <c r="I892" s="2">
        <v>0.71879999999999999</v>
      </c>
      <c r="J892" s="2">
        <v>0.76670000000000005</v>
      </c>
      <c r="K892" s="2">
        <v>0.81459999999999999</v>
      </c>
      <c r="L892" s="2">
        <v>0.86250000000000004</v>
      </c>
      <c r="M892" s="2">
        <v>0.91039999999999999</v>
      </c>
      <c r="N892" s="2">
        <v>0.95840000000000003</v>
      </c>
      <c r="O892" s="2">
        <v>1.0182</v>
      </c>
      <c r="P892" s="2">
        <v>1.0781000000000001</v>
      </c>
      <c r="Q892" s="2">
        <v>1.1379999999999999</v>
      </c>
      <c r="R892" t="s">
        <v>6</v>
      </c>
      <c r="S892" t="s">
        <v>6</v>
      </c>
      <c r="T892" t="s">
        <v>125</v>
      </c>
    </row>
    <row r="893" spans="1:20" x14ac:dyDescent="0.25">
      <c r="B893" t="s">
        <v>14</v>
      </c>
      <c r="C893" s="2">
        <v>1.2016</v>
      </c>
      <c r="D893" s="2">
        <v>1.2917000000000001</v>
      </c>
      <c r="E893" s="2">
        <v>1.3817999999999999</v>
      </c>
      <c r="F893" s="2">
        <v>1.502</v>
      </c>
      <c r="G893" s="2">
        <v>1.5921000000000001</v>
      </c>
      <c r="H893" s="2">
        <v>1.6821999999999999</v>
      </c>
      <c r="I893" s="2">
        <v>1.8024</v>
      </c>
      <c r="J893" s="2">
        <v>1.9226000000000001</v>
      </c>
      <c r="K893" s="2">
        <v>2.0427</v>
      </c>
      <c r="L893" s="2">
        <v>2.1629</v>
      </c>
      <c r="M893" s="2">
        <v>2.2829999999999999</v>
      </c>
      <c r="N893" s="2">
        <v>2.4032</v>
      </c>
      <c r="O893" s="2">
        <v>2.5533999999999999</v>
      </c>
      <c r="P893" s="2">
        <v>2.7035999999999998</v>
      </c>
      <c r="Q893" s="2">
        <v>2.8538000000000001</v>
      </c>
      <c r="R893" t="s">
        <v>5</v>
      </c>
      <c r="S893" t="s">
        <v>5</v>
      </c>
      <c r="T893" t="s">
        <v>125</v>
      </c>
    </row>
    <row r="894" spans="1:20" x14ac:dyDescent="0.25">
      <c r="B894" t="s">
        <v>152</v>
      </c>
      <c r="C894" s="2">
        <v>0.56830000000000003</v>
      </c>
      <c r="D894" s="2">
        <v>0.61450000000000005</v>
      </c>
      <c r="E894" s="2">
        <v>0.66080000000000005</v>
      </c>
      <c r="F894" s="2">
        <v>0.72689999999999999</v>
      </c>
      <c r="G894" s="2">
        <v>0.77310000000000001</v>
      </c>
      <c r="H894" s="2">
        <v>0.82599999999999996</v>
      </c>
      <c r="I894" s="2">
        <v>0.89870000000000005</v>
      </c>
      <c r="J894" s="2">
        <v>0.97140000000000004</v>
      </c>
      <c r="K894" s="2">
        <v>1.0441</v>
      </c>
      <c r="L894" s="2">
        <v>1.1234</v>
      </c>
      <c r="M894" s="2">
        <v>1.2027000000000001</v>
      </c>
      <c r="N894" s="2">
        <v>1.282</v>
      </c>
      <c r="O894" s="2">
        <v>1.3612</v>
      </c>
      <c r="P894" s="2">
        <v>1.4404999999999999</v>
      </c>
      <c r="Q894" s="2">
        <v>1.5198</v>
      </c>
      <c r="R894" t="s">
        <v>3</v>
      </c>
      <c r="S894" t="s">
        <v>3</v>
      </c>
      <c r="T894" t="s">
        <v>125</v>
      </c>
    </row>
    <row r="895" spans="1:20" x14ac:dyDescent="0.25">
      <c r="B895" t="s">
        <v>133</v>
      </c>
      <c r="C895" s="2">
        <v>1.1363000000000001</v>
      </c>
      <c r="D895" s="2">
        <v>1.2287999999999999</v>
      </c>
      <c r="E895" s="2">
        <v>1.3212999999999999</v>
      </c>
      <c r="F895" s="2">
        <v>1.4535</v>
      </c>
      <c r="G895" s="2">
        <v>1.5459000000000001</v>
      </c>
      <c r="H895" s="2">
        <v>1.6516999999999999</v>
      </c>
      <c r="I895" s="2">
        <v>1.7969999999999999</v>
      </c>
      <c r="J895" s="2">
        <v>1.9422999999999999</v>
      </c>
      <c r="K895" s="2">
        <v>2.0876999999999999</v>
      </c>
      <c r="L895" s="2">
        <v>2.2462</v>
      </c>
      <c r="M895" s="2">
        <v>2.4047999999999998</v>
      </c>
      <c r="N895" s="2">
        <v>2.5634000000000001</v>
      </c>
      <c r="O895" s="2">
        <v>2.7219000000000002</v>
      </c>
      <c r="P895" s="2">
        <v>2.8805000000000001</v>
      </c>
      <c r="Q895" s="2">
        <v>3.0390000000000001</v>
      </c>
      <c r="R895" t="s">
        <v>3</v>
      </c>
      <c r="S895" t="s">
        <v>3</v>
      </c>
      <c r="T895" t="s">
        <v>125</v>
      </c>
    </row>
    <row r="896" spans="1:20" x14ac:dyDescent="0.25">
      <c r="B896" t="s">
        <v>134</v>
      </c>
      <c r="C896" s="2">
        <v>1.4193</v>
      </c>
      <c r="D896" s="2">
        <v>1.5348999999999999</v>
      </c>
      <c r="E896" s="2">
        <v>1.6504000000000001</v>
      </c>
      <c r="F896" s="2">
        <v>1.8153999999999999</v>
      </c>
      <c r="G896" s="2">
        <v>1.931</v>
      </c>
      <c r="H896" s="2">
        <v>2.0630000000000002</v>
      </c>
      <c r="I896" s="2">
        <v>2.2444999999999999</v>
      </c>
      <c r="J896" s="2">
        <v>2.4260999999999999</v>
      </c>
      <c r="K896" s="2">
        <v>2.6076000000000001</v>
      </c>
      <c r="L896" s="2">
        <v>2.8056999999999999</v>
      </c>
      <c r="M896" s="2">
        <v>3.0036999999999998</v>
      </c>
      <c r="N896" s="2">
        <v>3.2018</v>
      </c>
      <c r="O896" s="2">
        <v>3.3997999999999999</v>
      </c>
      <c r="P896" s="2">
        <v>3.5979000000000001</v>
      </c>
      <c r="Q896" s="2">
        <v>3.7959000000000001</v>
      </c>
      <c r="R896" t="s">
        <v>3</v>
      </c>
      <c r="S896" t="s">
        <v>3</v>
      </c>
      <c r="T896" t="s">
        <v>125</v>
      </c>
    </row>
    <row r="897" spans="1:20" x14ac:dyDescent="0.25">
      <c r="B897" t="s">
        <v>4</v>
      </c>
      <c r="C897" s="2">
        <v>2.1120000000000001</v>
      </c>
      <c r="D897" s="2">
        <v>2.2704</v>
      </c>
      <c r="E897" s="2">
        <v>2.4287999999999998</v>
      </c>
      <c r="F897" s="2">
        <v>2.64</v>
      </c>
      <c r="G897" s="2">
        <v>2.7984</v>
      </c>
      <c r="H897" s="2">
        <v>2.9567999999999999</v>
      </c>
      <c r="I897" s="2">
        <v>3.1680000000000001</v>
      </c>
      <c r="J897" s="2">
        <v>3.3792</v>
      </c>
      <c r="K897" s="2">
        <v>3.5903999999999998</v>
      </c>
      <c r="L897" s="2">
        <v>3.8016000000000001</v>
      </c>
      <c r="M897" s="2">
        <v>4.0128000000000004</v>
      </c>
      <c r="N897" s="2">
        <v>4.2240000000000002</v>
      </c>
      <c r="O897" s="2">
        <v>4.4880000000000004</v>
      </c>
      <c r="P897" s="2">
        <v>4.7519999999999998</v>
      </c>
      <c r="Q897" s="2">
        <v>5.016</v>
      </c>
      <c r="R897" t="s">
        <v>19</v>
      </c>
      <c r="S897" t="s">
        <v>19</v>
      </c>
      <c r="T897" t="s">
        <v>125</v>
      </c>
    </row>
    <row r="898" spans="1:20" x14ac:dyDescent="0.25">
      <c r="B898" t="s">
        <v>181</v>
      </c>
      <c r="C898" s="2">
        <v>1.48</v>
      </c>
      <c r="D898" s="2">
        <v>1.591</v>
      </c>
      <c r="E898" s="2">
        <v>1.702</v>
      </c>
      <c r="F898" s="2">
        <v>1.85</v>
      </c>
      <c r="G898" s="2">
        <v>1.9610000000000001</v>
      </c>
      <c r="H898" s="2">
        <v>2.0720000000000001</v>
      </c>
      <c r="I898" s="2">
        <v>2.2200000000000002</v>
      </c>
      <c r="J898" s="2">
        <v>2.3679999999999999</v>
      </c>
      <c r="K898" s="2">
        <v>2.516</v>
      </c>
      <c r="L898" s="2">
        <v>2.6640000000000001</v>
      </c>
      <c r="M898" s="2">
        <v>2.8119999999999998</v>
      </c>
      <c r="N898" s="2">
        <v>2.96</v>
      </c>
      <c r="O898" s="2">
        <v>3.145</v>
      </c>
      <c r="P898" s="2">
        <v>3.33</v>
      </c>
      <c r="Q898" s="2">
        <v>3.5150000000000001</v>
      </c>
      <c r="R898" t="s">
        <v>0</v>
      </c>
      <c r="S898" t="s">
        <v>0</v>
      </c>
      <c r="T898" t="s">
        <v>125</v>
      </c>
    </row>
    <row r="899" spans="1:20" x14ac:dyDescent="0.25">
      <c r="B899" t="s">
        <v>150</v>
      </c>
      <c r="C899" s="2">
        <v>0.44</v>
      </c>
      <c r="D899" s="2">
        <v>0.47299999999999998</v>
      </c>
      <c r="E899" s="2">
        <v>0.50600000000000001</v>
      </c>
      <c r="F899" s="2">
        <v>0.55000000000000004</v>
      </c>
      <c r="G899" s="2">
        <v>0.58299999999999996</v>
      </c>
      <c r="H899" s="2">
        <v>0.61599999999999999</v>
      </c>
      <c r="I899" s="2">
        <v>0.66</v>
      </c>
      <c r="J899" s="2">
        <v>0.70399999999999996</v>
      </c>
      <c r="K899" s="2">
        <v>0.748</v>
      </c>
      <c r="L899" s="2">
        <v>0.79200000000000004</v>
      </c>
      <c r="M899" s="2">
        <v>0.83599999999999997</v>
      </c>
      <c r="N899" s="2">
        <v>0.88</v>
      </c>
      <c r="O899" s="2">
        <v>0.93500000000000005</v>
      </c>
      <c r="P899" s="2">
        <v>0.99</v>
      </c>
      <c r="Q899" s="2">
        <v>1.0449999999999999</v>
      </c>
      <c r="R899" t="s">
        <v>0</v>
      </c>
      <c r="S899" t="s">
        <v>0</v>
      </c>
      <c r="T899" t="s">
        <v>125</v>
      </c>
    </row>
    <row r="900" spans="1:20" x14ac:dyDescent="0.25">
      <c r="B900" s="3" t="s">
        <v>763</v>
      </c>
      <c r="C900" s="23"/>
      <c r="D900" s="23"/>
      <c r="E900" s="23"/>
      <c r="F900" s="23"/>
      <c r="G900" s="23"/>
      <c r="H900" s="23"/>
      <c r="I900" s="23"/>
      <c r="J900" s="23"/>
      <c r="K900" s="23"/>
      <c r="L900" s="23"/>
      <c r="M900" s="23"/>
      <c r="N900" s="23"/>
      <c r="O900" s="23"/>
      <c r="P900" s="23"/>
      <c r="Q900" s="23"/>
      <c r="R900" s="5" t="s">
        <v>763</v>
      </c>
      <c r="S900" s="5" t="s">
        <v>763</v>
      </c>
      <c r="T900" t="s">
        <v>764</v>
      </c>
    </row>
    <row r="901" spans="1:20" x14ac:dyDescent="0.25">
      <c r="B901" s="3" t="s">
        <v>386</v>
      </c>
      <c r="C901" s="23"/>
      <c r="D901" s="23"/>
      <c r="E901" s="23"/>
      <c r="F901" s="23"/>
      <c r="G901" s="23"/>
      <c r="H901" s="23"/>
      <c r="I901" s="23"/>
      <c r="J901" s="23"/>
      <c r="K901" s="23"/>
      <c r="L901" s="23"/>
      <c r="M901" s="23"/>
      <c r="N901" s="23"/>
      <c r="O901" s="23"/>
      <c r="P901" s="23"/>
      <c r="Q901" s="23"/>
      <c r="R901" s="5" t="s">
        <v>392</v>
      </c>
      <c r="S901" s="5" t="s">
        <v>392</v>
      </c>
      <c r="T901" t="s">
        <v>69</v>
      </c>
    </row>
    <row r="902" spans="1:20" x14ac:dyDescent="0.25">
      <c r="B902" s="3" t="s">
        <v>388</v>
      </c>
      <c r="C902" s="23"/>
      <c r="D902" s="23"/>
      <c r="E902" s="23"/>
      <c r="F902" s="23"/>
      <c r="G902" s="23"/>
      <c r="H902" s="23"/>
      <c r="I902" s="23"/>
      <c r="J902" s="23"/>
      <c r="K902" s="23"/>
      <c r="L902" s="23"/>
      <c r="M902" s="23"/>
      <c r="N902" s="23"/>
      <c r="O902" s="23"/>
      <c r="P902" s="23"/>
      <c r="Q902" s="23"/>
      <c r="R902" s="5" t="s">
        <v>392</v>
      </c>
      <c r="S902" s="5" t="s">
        <v>392</v>
      </c>
      <c r="T902" t="s">
        <v>69</v>
      </c>
    </row>
    <row r="903" spans="1:20" x14ac:dyDescent="0.25">
      <c r="B903" s="3" t="s">
        <v>389</v>
      </c>
      <c r="C903" s="23"/>
      <c r="D903" s="23"/>
      <c r="E903" s="23"/>
      <c r="F903" s="23"/>
      <c r="G903" s="23"/>
      <c r="H903" s="23"/>
      <c r="I903" s="23"/>
      <c r="J903" s="23"/>
      <c r="K903" s="23"/>
      <c r="L903" s="23"/>
      <c r="M903" s="23"/>
      <c r="N903" s="23"/>
      <c r="O903" s="23"/>
      <c r="P903" s="23"/>
      <c r="Q903" s="23"/>
      <c r="R903" s="5" t="s">
        <v>392</v>
      </c>
      <c r="S903" s="5" t="s">
        <v>392</v>
      </c>
      <c r="T903" t="s">
        <v>69</v>
      </c>
    </row>
    <row r="904" spans="1:20" x14ac:dyDescent="0.25">
      <c r="B904" s="3" t="s">
        <v>385</v>
      </c>
      <c r="C904" s="23"/>
      <c r="D904" s="23"/>
      <c r="E904" s="23"/>
      <c r="F904" s="23"/>
      <c r="G904" s="23"/>
      <c r="H904" s="23"/>
      <c r="I904" s="23"/>
      <c r="J904" s="23"/>
      <c r="K904" s="23"/>
      <c r="L904" s="23"/>
      <c r="M904" s="23"/>
      <c r="N904" s="23"/>
      <c r="O904" s="23"/>
      <c r="P904" s="23"/>
      <c r="Q904" s="23"/>
      <c r="R904" s="5" t="s">
        <v>392</v>
      </c>
      <c r="S904" s="5" t="s">
        <v>392</v>
      </c>
      <c r="T904" t="s">
        <v>69</v>
      </c>
    </row>
    <row r="905" spans="1:20" x14ac:dyDescent="0.25">
      <c r="B905" s="3" t="s">
        <v>387</v>
      </c>
      <c r="C905" s="23"/>
      <c r="D905" s="23"/>
      <c r="E905" s="23"/>
      <c r="F905" s="23"/>
      <c r="G905" s="23"/>
      <c r="H905" s="23"/>
      <c r="I905" s="23"/>
      <c r="J905" s="23"/>
      <c r="K905" s="23"/>
      <c r="L905" s="23"/>
      <c r="M905" s="23"/>
      <c r="N905" s="23"/>
      <c r="O905" s="23"/>
      <c r="P905" s="23"/>
      <c r="Q905" s="23"/>
      <c r="R905" s="5" t="s">
        <v>392</v>
      </c>
      <c r="S905" s="5" t="s">
        <v>392</v>
      </c>
      <c r="T905" t="s">
        <v>69</v>
      </c>
    </row>
    <row r="906" spans="1:20" x14ac:dyDescent="0.25">
      <c r="B906" s="3" t="s">
        <v>390</v>
      </c>
      <c r="C906" s="23"/>
      <c r="D906" s="23"/>
      <c r="E906" s="23"/>
      <c r="F906" s="23"/>
      <c r="G906" s="23"/>
      <c r="H906" s="23"/>
      <c r="I906" s="23"/>
      <c r="J906" s="23"/>
      <c r="K906" s="23"/>
      <c r="L906" s="23"/>
      <c r="M906" s="23"/>
      <c r="N906" s="23"/>
      <c r="O906" s="23"/>
      <c r="P906" s="23"/>
      <c r="Q906" s="23"/>
      <c r="R906" s="5" t="s">
        <v>392</v>
      </c>
      <c r="S906" s="5" t="s">
        <v>392</v>
      </c>
      <c r="T906" t="s">
        <v>69</v>
      </c>
    </row>
    <row r="907" spans="1:20" x14ac:dyDescent="0.25">
      <c r="B907" s="3" t="s">
        <v>391</v>
      </c>
      <c r="C907" s="23"/>
      <c r="D907" s="23"/>
      <c r="E907" s="23"/>
      <c r="F907" s="23"/>
      <c r="G907" s="23"/>
      <c r="H907" s="23"/>
      <c r="I907" s="23"/>
      <c r="J907" s="23"/>
      <c r="K907" s="23"/>
      <c r="L907" s="23"/>
      <c r="M907" s="23"/>
      <c r="N907" s="23"/>
      <c r="O907" s="23"/>
      <c r="P907" s="23"/>
      <c r="Q907" s="23"/>
      <c r="R907" s="5" t="s">
        <v>392</v>
      </c>
      <c r="S907" s="5" t="s">
        <v>392</v>
      </c>
      <c r="T907" t="s">
        <v>69</v>
      </c>
    </row>
    <row r="908" spans="1:20" x14ac:dyDescent="0.25">
      <c r="A908" t="s">
        <v>884</v>
      </c>
      <c r="B908" s="3" t="s">
        <v>393</v>
      </c>
      <c r="C908" s="23"/>
      <c r="D908" s="23"/>
      <c r="E908" s="23"/>
      <c r="F908" s="23"/>
      <c r="G908" s="23"/>
      <c r="H908" s="23"/>
      <c r="I908" s="23"/>
      <c r="J908" s="23"/>
      <c r="K908" s="23"/>
      <c r="L908" s="23"/>
      <c r="M908" s="23"/>
      <c r="N908" s="23"/>
      <c r="O908" s="23"/>
      <c r="P908" s="23"/>
      <c r="Q908" s="23"/>
      <c r="R908" s="5" t="s">
        <v>392</v>
      </c>
      <c r="S908" s="5" t="s">
        <v>392</v>
      </c>
      <c r="T908" t="s">
        <v>69</v>
      </c>
    </row>
    <row r="909" spans="1:20" x14ac:dyDescent="0.25">
      <c r="B909" t="s">
        <v>318</v>
      </c>
      <c r="C909" s="21">
        <v>1</v>
      </c>
      <c r="D909" s="21">
        <v>2</v>
      </c>
      <c r="E909" s="21">
        <v>3</v>
      </c>
      <c r="F909" s="21">
        <v>4</v>
      </c>
      <c r="G909" s="21">
        <v>5</v>
      </c>
      <c r="H909" s="21">
        <v>6</v>
      </c>
      <c r="I909" s="21">
        <v>7</v>
      </c>
      <c r="J909" s="21">
        <v>8</v>
      </c>
      <c r="K909" s="21">
        <v>9</v>
      </c>
      <c r="L909" s="21">
        <v>10</v>
      </c>
      <c r="M909" s="21">
        <v>11</v>
      </c>
      <c r="N909" s="21">
        <v>12</v>
      </c>
      <c r="O909" s="21">
        <v>13</v>
      </c>
      <c r="P909" s="21">
        <v>14</v>
      </c>
      <c r="Q909" s="21">
        <v>15</v>
      </c>
      <c r="R909" s="5" t="s">
        <v>11</v>
      </c>
      <c r="S909" s="5" t="s">
        <v>1024</v>
      </c>
      <c r="T909" t="s">
        <v>124</v>
      </c>
    </row>
    <row r="910" spans="1:20" x14ac:dyDescent="0.25">
      <c r="A910" t="s">
        <v>885</v>
      </c>
      <c r="B910" t="s">
        <v>10</v>
      </c>
      <c r="C910" s="2">
        <v>0.4128</v>
      </c>
      <c r="D910" s="2">
        <v>0.44640000000000002</v>
      </c>
      <c r="E910" s="2">
        <v>0.48</v>
      </c>
      <c r="F910" s="2">
        <v>0.52800000000000002</v>
      </c>
      <c r="G910" s="2">
        <v>0.56159999999999999</v>
      </c>
      <c r="H910" s="2">
        <v>0.6</v>
      </c>
      <c r="I910" s="2">
        <v>0.65280000000000005</v>
      </c>
      <c r="J910" s="2">
        <v>0.7056</v>
      </c>
      <c r="K910" s="2">
        <v>0.75839999999999996</v>
      </c>
      <c r="L910" s="2">
        <v>0.81599999999999995</v>
      </c>
      <c r="M910" s="2">
        <v>0.87360000000000004</v>
      </c>
      <c r="N910" s="2">
        <v>0.93120000000000003</v>
      </c>
      <c r="O910" s="2">
        <v>0.98880000000000001</v>
      </c>
      <c r="P910" s="2">
        <v>1.0464</v>
      </c>
      <c r="Q910" s="2">
        <v>1.1040000000000001</v>
      </c>
      <c r="R910" t="s">
        <v>6</v>
      </c>
      <c r="S910" t="s">
        <v>6</v>
      </c>
      <c r="T910" t="s">
        <v>125</v>
      </c>
    </row>
    <row r="911" spans="1:20" x14ac:dyDescent="0.25">
      <c r="B911" t="s">
        <v>9</v>
      </c>
      <c r="C911" s="2">
        <v>0.4627</v>
      </c>
      <c r="D911" s="2">
        <v>0.50029999999999997</v>
      </c>
      <c r="E911" s="2">
        <v>0.53800000000000003</v>
      </c>
      <c r="F911" s="2">
        <v>0.59179999999999999</v>
      </c>
      <c r="G911" s="2">
        <v>0.62949999999999995</v>
      </c>
      <c r="H911" s="2">
        <v>0.67249999999999999</v>
      </c>
      <c r="I911" s="2">
        <v>0.73170000000000002</v>
      </c>
      <c r="J911" s="2">
        <v>0.79090000000000005</v>
      </c>
      <c r="K911" s="2">
        <v>0.85</v>
      </c>
      <c r="L911" s="2">
        <v>0.91459999999999997</v>
      </c>
      <c r="M911" s="2">
        <v>0.97919999999999996</v>
      </c>
      <c r="N911" s="2">
        <v>1.0437000000000001</v>
      </c>
      <c r="O911" s="2">
        <v>1.1083000000000001</v>
      </c>
      <c r="P911" s="2">
        <v>1.1728000000000001</v>
      </c>
      <c r="Q911" s="2">
        <v>1.2374000000000001</v>
      </c>
      <c r="R911" t="s">
        <v>6</v>
      </c>
      <c r="S911" t="s">
        <v>6</v>
      </c>
      <c r="T911" t="s">
        <v>125</v>
      </c>
    </row>
    <row r="912" spans="1:20" x14ac:dyDescent="0.25">
      <c r="B912" t="s">
        <v>8</v>
      </c>
      <c r="C912" s="2">
        <v>0.55379999999999996</v>
      </c>
      <c r="D912" s="2">
        <v>0.59889999999999999</v>
      </c>
      <c r="E912" s="2">
        <v>0.64400000000000002</v>
      </c>
      <c r="F912" s="2">
        <v>0.70840000000000003</v>
      </c>
      <c r="G912" s="2">
        <v>0.75349999999999995</v>
      </c>
      <c r="H912" s="2">
        <v>0.80500000000000005</v>
      </c>
      <c r="I912" s="2">
        <v>0.87580000000000002</v>
      </c>
      <c r="J912" s="2">
        <v>0.94669999999999999</v>
      </c>
      <c r="K912" s="2">
        <v>1.0175000000000001</v>
      </c>
      <c r="L912" s="2">
        <v>1.0948</v>
      </c>
      <c r="M912" s="2">
        <v>1.1720999999999999</v>
      </c>
      <c r="N912" s="2">
        <v>1.2494000000000001</v>
      </c>
      <c r="O912" s="2">
        <v>1.3266</v>
      </c>
      <c r="P912" s="2">
        <v>1.4038999999999999</v>
      </c>
      <c r="Q912" s="2">
        <v>1.4812000000000001</v>
      </c>
      <c r="R912" t="s">
        <v>6</v>
      </c>
      <c r="S912" t="s">
        <v>6</v>
      </c>
      <c r="T912" t="s">
        <v>125</v>
      </c>
    </row>
    <row r="913" spans="2:20" x14ac:dyDescent="0.25">
      <c r="B913" t="s">
        <v>13</v>
      </c>
      <c r="C913" s="2">
        <v>0.57020000000000004</v>
      </c>
      <c r="D913" s="2">
        <v>0.61660000000000004</v>
      </c>
      <c r="E913" s="2">
        <v>0.66300000000000003</v>
      </c>
      <c r="F913" s="2">
        <v>0.72929999999999995</v>
      </c>
      <c r="G913" s="2">
        <v>0.77569999999999995</v>
      </c>
      <c r="H913" s="2">
        <v>0.82879999999999998</v>
      </c>
      <c r="I913" s="2">
        <v>0.90169999999999995</v>
      </c>
      <c r="J913" s="2">
        <v>0.97460000000000002</v>
      </c>
      <c r="K913" s="2">
        <v>1.0475000000000001</v>
      </c>
      <c r="L913" s="2">
        <v>1.1271</v>
      </c>
      <c r="M913" s="2">
        <v>1.2067000000000001</v>
      </c>
      <c r="N913" s="2">
        <v>1.2862</v>
      </c>
      <c r="O913" s="2">
        <v>1.3657999999999999</v>
      </c>
      <c r="P913" s="2">
        <v>1.4453</v>
      </c>
      <c r="Q913" s="2">
        <v>1.5248999999999999</v>
      </c>
      <c r="R913" t="s">
        <v>6</v>
      </c>
      <c r="S913" t="s">
        <v>6</v>
      </c>
      <c r="T913" t="s">
        <v>125</v>
      </c>
    </row>
    <row r="914" spans="2:20" x14ac:dyDescent="0.25">
      <c r="B914" t="s">
        <v>7</v>
      </c>
      <c r="C914" s="2">
        <v>0.6089</v>
      </c>
      <c r="D914" s="2">
        <v>0.65839999999999999</v>
      </c>
      <c r="E914" s="2">
        <v>0.70799999999999996</v>
      </c>
      <c r="F914" s="2">
        <v>0.77880000000000005</v>
      </c>
      <c r="G914" s="2">
        <v>0.82840000000000003</v>
      </c>
      <c r="H914" s="2">
        <v>0.88500000000000001</v>
      </c>
      <c r="I914" s="2">
        <v>0.96289999999999998</v>
      </c>
      <c r="J914" s="2">
        <v>1.0407999999999999</v>
      </c>
      <c r="K914" s="2">
        <v>1.1186</v>
      </c>
      <c r="L914" s="2">
        <v>1.2036</v>
      </c>
      <c r="M914" s="2">
        <v>1.2886</v>
      </c>
      <c r="N914" s="2">
        <v>1.3734999999999999</v>
      </c>
      <c r="O914" s="2">
        <v>1.4584999999999999</v>
      </c>
      <c r="P914" s="2">
        <v>1.5434000000000001</v>
      </c>
      <c r="Q914" s="2">
        <v>1.6284000000000001</v>
      </c>
      <c r="R914" t="s">
        <v>6</v>
      </c>
      <c r="S914" t="s">
        <v>6</v>
      </c>
      <c r="T914" t="s">
        <v>125</v>
      </c>
    </row>
    <row r="915" spans="2:20" x14ac:dyDescent="0.25">
      <c r="B915" t="s">
        <v>214</v>
      </c>
      <c r="C915" s="2">
        <v>0.72760000000000002</v>
      </c>
      <c r="D915" s="2">
        <v>0.78680000000000005</v>
      </c>
      <c r="E915" s="2">
        <v>0.84599999999999997</v>
      </c>
      <c r="F915" s="2">
        <v>0.93059999999999998</v>
      </c>
      <c r="G915" s="2">
        <v>0.98980000000000001</v>
      </c>
      <c r="H915" s="2">
        <v>1.0575000000000001</v>
      </c>
      <c r="I915" s="2">
        <v>1.1506000000000001</v>
      </c>
      <c r="J915" s="2">
        <v>1.2436</v>
      </c>
      <c r="K915" s="2">
        <v>1.3367</v>
      </c>
      <c r="L915" s="2">
        <v>1.4381999999999999</v>
      </c>
      <c r="M915" s="2">
        <v>1.5397000000000001</v>
      </c>
      <c r="N915" s="2">
        <v>1.6412</v>
      </c>
      <c r="O915" s="2">
        <v>1.7427999999999999</v>
      </c>
      <c r="P915" s="2">
        <v>1.8443000000000001</v>
      </c>
      <c r="Q915" s="2">
        <v>1.9458</v>
      </c>
      <c r="R915" t="s">
        <v>6</v>
      </c>
      <c r="S915" t="s">
        <v>6</v>
      </c>
      <c r="T915" t="s">
        <v>125</v>
      </c>
    </row>
    <row r="916" spans="2:20" x14ac:dyDescent="0.25">
      <c r="B916" t="s">
        <v>131</v>
      </c>
      <c r="C916" s="2">
        <v>0.43859999999999999</v>
      </c>
      <c r="D916" s="2">
        <v>0.4743</v>
      </c>
      <c r="E916" s="2">
        <v>0.51</v>
      </c>
      <c r="F916" s="2">
        <v>0.56100000000000005</v>
      </c>
      <c r="G916" s="2">
        <v>0.59670000000000001</v>
      </c>
      <c r="H916" s="2">
        <v>0.63749999999999996</v>
      </c>
      <c r="I916" s="2">
        <v>0.69359999999999999</v>
      </c>
      <c r="J916" s="2">
        <v>0.74970000000000003</v>
      </c>
      <c r="K916" s="2">
        <v>0.80579999999999996</v>
      </c>
      <c r="L916" s="2">
        <v>0.86699999999999999</v>
      </c>
      <c r="M916" s="2">
        <v>0.92820000000000003</v>
      </c>
      <c r="N916" s="2">
        <v>0.98939999999999995</v>
      </c>
      <c r="O916" s="2">
        <v>1.0506</v>
      </c>
      <c r="P916" s="2">
        <v>1.1117999999999999</v>
      </c>
      <c r="Q916" s="2">
        <v>1.173</v>
      </c>
      <c r="R916" t="s">
        <v>5</v>
      </c>
      <c r="S916" t="s">
        <v>5</v>
      </c>
      <c r="T916" t="s">
        <v>125</v>
      </c>
    </row>
    <row r="917" spans="2:20" x14ac:dyDescent="0.25">
      <c r="B917" t="s">
        <v>132</v>
      </c>
      <c r="C917" s="2">
        <v>1.24</v>
      </c>
      <c r="D917" s="2">
        <v>1.333</v>
      </c>
      <c r="E917" s="2">
        <v>1.4259999999999999</v>
      </c>
      <c r="F917" s="2">
        <v>1.55</v>
      </c>
      <c r="G917" s="2">
        <v>1.643</v>
      </c>
      <c r="H917" s="2">
        <v>1.736</v>
      </c>
      <c r="I917" s="2">
        <v>1.86</v>
      </c>
      <c r="J917" s="2">
        <v>1.984</v>
      </c>
      <c r="K917" s="2">
        <v>2.1080000000000001</v>
      </c>
      <c r="L917" s="2">
        <v>2.2320000000000002</v>
      </c>
      <c r="M917" s="2">
        <v>2.3559999999999999</v>
      </c>
      <c r="N917" s="2">
        <v>2.48</v>
      </c>
      <c r="O917" s="2">
        <v>2.6349999999999998</v>
      </c>
      <c r="P917" s="2">
        <v>2.79</v>
      </c>
      <c r="Q917" s="2">
        <v>2.9449999999999998</v>
      </c>
      <c r="R917" t="s">
        <v>5</v>
      </c>
      <c r="S917" t="s">
        <v>5</v>
      </c>
      <c r="T917" t="s">
        <v>125</v>
      </c>
    </row>
    <row r="918" spans="2:20" x14ac:dyDescent="0.25">
      <c r="B918" t="s">
        <v>319</v>
      </c>
      <c r="C918" s="2">
        <v>0.124</v>
      </c>
      <c r="D918" s="2">
        <v>0.1333</v>
      </c>
      <c r="E918" s="2">
        <v>0.1426</v>
      </c>
      <c r="F918" s="2">
        <v>0.155</v>
      </c>
      <c r="G918" s="2">
        <v>0.1643</v>
      </c>
      <c r="H918" s="2">
        <v>0.1736</v>
      </c>
      <c r="I918" s="2">
        <v>0.186</v>
      </c>
      <c r="J918" s="2">
        <v>0.19839999999999999</v>
      </c>
      <c r="K918" s="2">
        <v>0.21079999999999999</v>
      </c>
      <c r="L918" s="2">
        <v>0.22320000000000001</v>
      </c>
      <c r="M918" s="2">
        <v>0.2356</v>
      </c>
      <c r="N918" s="2">
        <v>0.248</v>
      </c>
      <c r="O918" s="2">
        <v>0.26350000000000001</v>
      </c>
      <c r="P918" s="2">
        <v>0.27900000000000003</v>
      </c>
      <c r="Q918" s="2">
        <v>0.29449999999999998</v>
      </c>
      <c r="R918" t="s">
        <v>6</v>
      </c>
      <c r="S918" t="s">
        <v>6</v>
      </c>
      <c r="T918" t="s">
        <v>125</v>
      </c>
    </row>
    <row r="919" spans="2:20" x14ac:dyDescent="0.25">
      <c r="B919" t="s">
        <v>317</v>
      </c>
      <c r="C919" s="2">
        <v>0.62</v>
      </c>
      <c r="D919" s="2">
        <v>0.66649999999999998</v>
      </c>
      <c r="E919" s="2">
        <v>0.71299999999999997</v>
      </c>
      <c r="F919" s="2">
        <v>0.77500000000000002</v>
      </c>
      <c r="G919" s="2">
        <v>0.82150000000000001</v>
      </c>
      <c r="H919" s="2">
        <v>0.86799999999999999</v>
      </c>
      <c r="I919" s="2">
        <v>0.93</v>
      </c>
      <c r="J919" s="2">
        <v>0.99199999999999999</v>
      </c>
      <c r="K919" s="2">
        <v>1.054</v>
      </c>
      <c r="L919" s="2">
        <v>1.1160000000000001</v>
      </c>
      <c r="M919" s="2">
        <v>1.1779999999999999</v>
      </c>
      <c r="N919" s="2">
        <v>1.24</v>
      </c>
      <c r="O919" s="2">
        <v>1.3174999999999999</v>
      </c>
      <c r="P919" s="2">
        <v>1.395</v>
      </c>
      <c r="Q919" s="2">
        <v>1.4724999999999999</v>
      </c>
      <c r="R919" t="s">
        <v>6</v>
      </c>
      <c r="S919" t="s">
        <v>6</v>
      </c>
      <c r="T919" t="s">
        <v>125</v>
      </c>
    </row>
    <row r="920" spans="2:20" x14ac:dyDescent="0.25">
      <c r="B920" t="s">
        <v>152</v>
      </c>
      <c r="C920" s="2">
        <v>0.63929999999999998</v>
      </c>
      <c r="D920" s="2">
        <v>0.69140000000000001</v>
      </c>
      <c r="E920" s="2">
        <v>0.74339999999999995</v>
      </c>
      <c r="F920" s="2">
        <v>0.81769999999999998</v>
      </c>
      <c r="G920" s="2">
        <v>0.86980000000000002</v>
      </c>
      <c r="H920" s="2">
        <v>0.92930000000000001</v>
      </c>
      <c r="I920" s="2">
        <v>1.0109999999999999</v>
      </c>
      <c r="J920" s="2">
        <v>1.0928</v>
      </c>
      <c r="K920" s="2">
        <v>1.1746000000000001</v>
      </c>
      <c r="L920" s="2">
        <v>1.2638</v>
      </c>
      <c r="M920" s="2">
        <v>1.353</v>
      </c>
      <c r="N920" s="2">
        <v>1.4421999999999999</v>
      </c>
      <c r="O920" s="2">
        <v>1.5314000000000001</v>
      </c>
      <c r="P920" s="2">
        <v>1.6206</v>
      </c>
      <c r="Q920" s="2">
        <v>1.7098</v>
      </c>
      <c r="R920" t="s">
        <v>3</v>
      </c>
      <c r="S920" t="s">
        <v>3</v>
      </c>
      <c r="T920" t="s">
        <v>125</v>
      </c>
    </row>
    <row r="921" spans="2:20" x14ac:dyDescent="0.25">
      <c r="B921" t="s">
        <v>133</v>
      </c>
      <c r="C921" s="2">
        <v>1.2784</v>
      </c>
      <c r="D921" s="2">
        <v>1.3824000000000001</v>
      </c>
      <c r="E921" s="2">
        <v>1.4864999999999999</v>
      </c>
      <c r="F921" s="2">
        <v>1.6351</v>
      </c>
      <c r="G921" s="2">
        <v>1.7392000000000001</v>
      </c>
      <c r="H921" s="2">
        <v>1.8581000000000001</v>
      </c>
      <c r="I921" s="2">
        <v>2.0215999999999998</v>
      </c>
      <c r="J921" s="2">
        <v>2.1850999999999998</v>
      </c>
      <c r="K921" s="2">
        <v>2.3485999999999998</v>
      </c>
      <c r="L921" s="2">
        <v>2.5270000000000001</v>
      </c>
      <c r="M921" s="2">
        <v>2.7054</v>
      </c>
      <c r="N921" s="2">
        <v>2.8837999999999999</v>
      </c>
      <c r="O921" s="2">
        <v>3.0621999999999998</v>
      </c>
      <c r="P921" s="2">
        <v>3.2404999999999999</v>
      </c>
      <c r="Q921" s="2">
        <v>3.4188999999999998</v>
      </c>
      <c r="R921" t="s">
        <v>3</v>
      </c>
      <c r="S921" t="s">
        <v>3</v>
      </c>
      <c r="T921" t="s">
        <v>125</v>
      </c>
    </row>
    <row r="922" spans="2:20" x14ac:dyDescent="0.25">
      <c r="B922" t="s">
        <v>134</v>
      </c>
      <c r="C922" s="2">
        <v>1.5968</v>
      </c>
      <c r="D922" s="2">
        <v>1.7266999999999999</v>
      </c>
      <c r="E922" s="2">
        <v>1.8567</v>
      </c>
      <c r="F922" s="2">
        <v>2.0424000000000002</v>
      </c>
      <c r="G922" s="2">
        <v>2.1722999999999999</v>
      </c>
      <c r="H922" s="2">
        <v>2.3209</v>
      </c>
      <c r="I922" s="2">
        <v>2.5251000000000001</v>
      </c>
      <c r="J922" s="2">
        <v>2.7292999999999998</v>
      </c>
      <c r="K922" s="2">
        <v>2.9336000000000002</v>
      </c>
      <c r="L922" s="2">
        <v>3.1564000000000001</v>
      </c>
      <c r="M922" s="2">
        <v>3.3792</v>
      </c>
      <c r="N922" s="2">
        <v>3.6019999999999999</v>
      </c>
      <c r="O922" s="2">
        <v>3.8248000000000002</v>
      </c>
      <c r="P922" s="2">
        <v>4.0476000000000001</v>
      </c>
      <c r="Q922" s="2">
        <v>4.2704000000000004</v>
      </c>
      <c r="R922" t="s">
        <v>3</v>
      </c>
      <c r="S922" t="s">
        <v>3</v>
      </c>
      <c r="T922" t="s">
        <v>125</v>
      </c>
    </row>
    <row r="923" spans="2:20" x14ac:dyDescent="0.25">
      <c r="B923" t="s">
        <v>320</v>
      </c>
      <c r="C923" s="2">
        <v>0.72</v>
      </c>
      <c r="D923" s="2">
        <v>0.77400000000000002</v>
      </c>
      <c r="E923" s="2">
        <v>0.82799999999999996</v>
      </c>
      <c r="F923" s="2">
        <v>0.9</v>
      </c>
      <c r="G923" s="2">
        <v>0.95399999999999996</v>
      </c>
      <c r="H923" s="2">
        <v>1.008</v>
      </c>
      <c r="I923" s="2">
        <v>1.08</v>
      </c>
      <c r="J923" s="2">
        <v>1.1519999999999999</v>
      </c>
      <c r="K923" s="2">
        <v>1.224</v>
      </c>
      <c r="L923" s="2">
        <v>1.296</v>
      </c>
      <c r="M923" s="2">
        <v>1.3680000000000001</v>
      </c>
      <c r="N923" s="2">
        <v>1.44</v>
      </c>
      <c r="O923" s="2">
        <v>1.53</v>
      </c>
      <c r="P923" s="2">
        <v>1.62</v>
      </c>
      <c r="Q923" s="2">
        <v>1.71</v>
      </c>
      <c r="R923" t="s">
        <v>19</v>
      </c>
      <c r="S923" t="s">
        <v>19</v>
      </c>
      <c r="T923" t="s">
        <v>125</v>
      </c>
    </row>
    <row r="924" spans="2:20" x14ac:dyDescent="0.25">
      <c r="B924" t="s">
        <v>174</v>
      </c>
      <c r="C924" s="2">
        <v>0.38869999999999999</v>
      </c>
      <c r="D924" s="2">
        <v>0.4204</v>
      </c>
      <c r="E924" s="2">
        <v>0.45200000000000001</v>
      </c>
      <c r="F924" s="2">
        <v>0.49719999999999998</v>
      </c>
      <c r="G924" s="2">
        <v>0.52880000000000005</v>
      </c>
      <c r="H924" s="2">
        <v>0.56499999999999995</v>
      </c>
      <c r="I924" s="2">
        <v>0.61470000000000002</v>
      </c>
      <c r="J924" s="2">
        <v>0.66439999999999999</v>
      </c>
      <c r="K924" s="2">
        <v>0.71419999999999995</v>
      </c>
      <c r="L924" s="2">
        <v>0.76839999999999997</v>
      </c>
      <c r="M924" s="2">
        <v>0.8226</v>
      </c>
      <c r="N924" s="2">
        <v>0.87690000000000001</v>
      </c>
      <c r="O924" s="2">
        <v>0.93110000000000004</v>
      </c>
      <c r="P924" s="2">
        <v>0.98540000000000005</v>
      </c>
      <c r="Q924" s="2">
        <v>1.0396000000000001</v>
      </c>
      <c r="R924" t="s">
        <v>6</v>
      </c>
      <c r="S924" t="s">
        <v>19</v>
      </c>
      <c r="T924" t="s">
        <v>125</v>
      </c>
    </row>
    <row r="925" spans="2:20" x14ac:dyDescent="0.25">
      <c r="B925" t="s">
        <v>321</v>
      </c>
      <c r="C925" s="2">
        <v>0.41620000000000001</v>
      </c>
      <c r="D925" s="2">
        <v>0.4501</v>
      </c>
      <c r="E925" s="2">
        <v>0.48399999999999999</v>
      </c>
      <c r="F925" s="2">
        <v>0.53239999999999998</v>
      </c>
      <c r="G925" s="2">
        <v>0.56630000000000003</v>
      </c>
      <c r="H925" s="2">
        <v>0.60499999999999998</v>
      </c>
      <c r="I925" s="2">
        <v>0.65820000000000001</v>
      </c>
      <c r="J925" s="2">
        <v>0.71150000000000002</v>
      </c>
      <c r="K925" s="2">
        <v>0.76470000000000005</v>
      </c>
      <c r="L925" s="2">
        <v>0.82279999999999998</v>
      </c>
      <c r="M925" s="2">
        <v>0.88090000000000002</v>
      </c>
      <c r="N925" s="2">
        <v>0.93899999999999995</v>
      </c>
      <c r="O925" s="2">
        <v>0.997</v>
      </c>
      <c r="P925" s="2">
        <v>1.0550999999999999</v>
      </c>
      <c r="Q925" s="2">
        <v>1.1132</v>
      </c>
      <c r="R925" t="s">
        <v>6</v>
      </c>
      <c r="S925" t="s">
        <v>19</v>
      </c>
      <c r="T925" t="s">
        <v>125</v>
      </c>
    </row>
    <row r="926" spans="2:20" x14ac:dyDescent="0.25">
      <c r="B926" t="s">
        <v>322</v>
      </c>
      <c r="C926" s="2">
        <v>0.56330000000000002</v>
      </c>
      <c r="D926" s="2">
        <v>0.60919999999999996</v>
      </c>
      <c r="E926" s="2">
        <v>0.65500000000000003</v>
      </c>
      <c r="F926" s="2">
        <v>0.72050000000000003</v>
      </c>
      <c r="G926" s="2">
        <v>0.76639999999999997</v>
      </c>
      <c r="H926" s="2">
        <v>0.81879999999999997</v>
      </c>
      <c r="I926" s="2">
        <v>0.89080000000000004</v>
      </c>
      <c r="J926" s="2">
        <v>0.96289999999999998</v>
      </c>
      <c r="K926" s="2">
        <v>1.0348999999999999</v>
      </c>
      <c r="L926" s="2">
        <v>1.1134999999999999</v>
      </c>
      <c r="M926" s="2">
        <v>1.1920999999999999</v>
      </c>
      <c r="N926" s="2">
        <v>1.2706999999999999</v>
      </c>
      <c r="O926" s="2">
        <v>1.3492999999999999</v>
      </c>
      <c r="P926" s="2">
        <v>1.4278999999999999</v>
      </c>
      <c r="Q926" s="2">
        <v>1.5065</v>
      </c>
      <c r="R926" t="s">
        <v>6</v>
      </c>
      <c r="S926" t="s">
        <v>19</v>
      </c>
      <c r="T926" t="s">
        <v>125</v>
      </c>
    </row>
    <row r="927" spans="2:20" x14ac:dyDescent="0.25">
      <c r="B927" t="s">
        <v>323</v>
      </c>
      <c r="C927" s="2">
        <v>0.59940000000000004</v>
      </c>
      <c r="D927" s="2">
        <v>0.6482</v>
      </c>
      <c r="E927" s="2">
        <v>0.69699999999999995</v>
      </c>
      <c r="F927" s="2">
        <v>0.76670000000000005</v>
      </c>
      <c r="G927" s="2">
        <v>0.8155</v>
      </c>
      <c r="H927" s="2">
        <v>0.87129999999999996</v>
      </c>
      <c r="I927" s="2">
        <v>0.94789999999999996</v>
      </c>
      <c r="J927" s="2">
        <v>1.0246</v>
      </c>
      <c r="K927" s="2">
        <v>1.1012999999999999</v>
      </c>
      <c r="L927" s="2">
        <v>1.1849000000000001</v>
      </c>
      <c r="M927" s="2">
        <v>1.2685</v>
      </c>
      <c r="N927" s="2">
        <v>1.3522000000000001</v>
      </c>
      <c r="O927" s="2">
        <v>1.4358</v>
      </c>
      <c r="P927" s="2">
        <v>1.5195000000000001</v>
      </c>
      <c r="Q927" s="2">
        <v>1.6031</v>
      </c>
      <c r="R927" t="s">
        <v>6</v>
      </c>
      <c r="S927" t="s">
        <v>19</v>
      </c>
      <c r="T927" t="s">
        <v>125</v>
      </c>
    </row>
    <row r="928" spans="2:20" x14ac:dyDescent="0.25">
      <c r="B928" t="s">
        <v>324</v>
      </c>
      <c r="C928" s="2">
        <v>0.55300000000000005</v>
      </c>
      <c r="D928" s="2">
        <v>0.59799999999999998</v>
      </c>
      <c r="E928" s="2">
        <v>0.64300000000000002</v>
      </c>
      <c r="F928" s="2">
        <v>0.70730000000000004</v>
      </c>
      <c r="G928" s="2">
        <v>0.75229999999999997</v>
      </c>
      <c r="H928" s="2">
        <v>0.80379999999999996</v>
      </c>
      <c r="I928" s="2">
        <v>0.87450000000000006</v>
      </c>
      <c r="J928" s="2">
        <v>0.94520000000000004</v>
      </c>
      <c r="K928" s="2">
        <v>1.0159</v>
      </c>
      <c r="L928" s="2">
        <v>1.0931</v>
      </c>
      <c r="M928" s="2">
        <v>1.1702999999999999</v>
      </c>
      <c r="N928" s="2">
        <v>1.2474000000000001</v>
      </c>
      <c r="O928" s="2">
        <v>1.3246</v>
      </c>
      <c r="P928" s="2">
        <v>1.4016999999999999</v>
      </c>
      <c r="Q928" s="2">
        <v>1.4789000000000001</v>
      </c>
      <c r="R928" t="s">
        <v>6</v>
      </c>
      <c r="S928" t="s">
        <v>19</v>
      </c>
      <c r="T928" t="s">
        <v>125</v>
      </c>
    </row>
    <row r="929" spans="2:20" x14ac:dyDescent="0.25">
      <c r="B929" t="s">
        <v>325</v>
      </c>
      <c r="C929" s="2">
        <v>0.3543</v>
      </c>
      <c r="D929" s="2">
        <v>0.38319999999999999</v>
      </c>
      <c r="E929" s="2">
        <v>0.41199999999999998</v>
      </c>
      <c r="F929" s="2">
        <v>0.45319999999999999</v>
      </c>
      <c r="G929" s="2">
        <v>0.48199999999999998</v>
      </c>
      <c r="H929" s="2">
        <v>0.51500000000000001</v>
      </c>
      <c r="I929" s="2">
        <v>0.56030000000000002</v>
      </c>
      <c r="J929" s="2">
        <v>0.60560000000000003</v>
      </c>
      <c r="K929" s="2">
        <v>0.65100000000000002</v>
      </c>
      <c r="L929" s="2">
        <v>0.70040000000000002</v>
      </c>
      <c r="M929" s="2">
        <v>0.74980000000000002</v>
      </c>
      <c r="N929" s="2">
        <v>0.79930000000000001</v>
      </c>
      <c r="O929" s="2">
        <v>0.84870000000000001</v>
      </c>
      <c r="P929" s="2">
        <v>0.8982</v>
      </c>
      <c r="Q929" s="2">
        <v>0.9476</v>
      </c>
      <c r="R929" t="s">
        <v>6</v>
      </c>
      <c r="S929" t="s">
        <v>19</v>
      </c>
      <c r="T929" t="s">
        <v>125</v>
      </c>
    </row>
    <row r="930" spans="2:20" x14ac:dyDescent="0.25">
      <c r="B930" t="s">
        <v>326</v>
      </c>
      <c r="C930" s="2">
        <v>0.37669999999999998</v>
      </c>
      <c r="D930" s="2">
        <v>0.4073</v>
      </c>
      <c r="E930" s="2">
        <v>0.438</v>
      </c>
      <c r="F930" s="2">
        <v>0.48180000000000001</v>
      </c>
      <c r="G930" s="2">
        <v>0.51249999999999996</v>
      </c>
      <c r="H930" s="2">
        <v>0.54749999999999999</v>
      </c>
      <c r="I930" s="2">
        <v>0.59570000000000001</v>
      </c>
      <c r="J930" s="2">
        <v>0.64390000000000003</v>
      </c>
      <c r="K930" s="2">
        <v>0.69199999999999995</v>
      </c>
      <c r="L930" s="2">
        <v>0.74460000000000004</v>
      </c>
      <c r="M930" s="2">
        <v>0.79720000000000002</v>
      </c>
      <c r="N930" s="2">
        <v>0.84970000000000001</v>
      </c>
      <c r="O930" s="2">
        <v>0.90229999999999999</v>
      </c>
      <c r="P930" s="2">
        <v>0.95479999999999998</v>
      </c>
      <c r="Q930" s="2">
        <v>1.0074000000000001</v>
      </c>
      <c r="R930" t="s">
        <v>6</v>
      </c>
      <c r="S930" t="s">
        <v>19</v>
      </c>
      <c r="T930" t="s">
        <v>125</v>
      </c>
    </row>
    <row r="931" spans="2:20" x14ac:dyDescent="0.25">
      <c r="B931" t="s">
        <v>327</v>
      </c>
      <c r="C931" s="2">
        <v>0.60199999999999998</v>
      </c>
      <c r="D931" s="2">
        <v>0.65100000000000002</v>
      </c>
      <c r="E931" s="2">
        <v>0.7</v>
      </c>
      <c r="F931" s="2">
        <v>0.77</v>
      </c>
      <c r="G931" s="2">
        <v>0.81899999999999995</v>
      </c>
      <c r="H931" s="2">
        <v>0.875</v>
      </c>
      <c r="I931" s="2">
        <v>0.95199999999999996</v>
      </c>
      <c r="J931" s="2">
        <v>1.0289999999999999</v>
      </c>
      <c r="K931" s="2">
        <v>1.1060000000000001</v>
      </c>
      <c r="L931" s="2">
        <v>1.19</v>
      </c>
      <c r="M931" s="2">
        <v>1.274</v>
      </c>
      <c r="N931" s="2">
        <v>1.3580000000000001</v>
      </c>
      <c r="O931" s="2">
        <v>1.4419999999999999</v>
      </c>
      <c r="P931" s="2">
        <v>1.526</v>
      </c>
      <c r="Q931" s="2">
        <v>1.61</v>
      </c>
      <c r="R931" t="s">
        <v>5</v>
      </c>
      <c r="S931" t="s">
        <v>19</v>
      </c>
      <c r="T931" t="s">
        <v>125</v>
      </c>
    </row>
    <row r="932" spans="2:20" x14ac:dyDescent="0.25">
      <c r="B932" t="s">
        <v>328</v>
      </c>
      <c r="C932" s="2">
        <v>0.7198</v>
      </c>
      <c r="D932" s="2">
        <v>0.77839999999999998</v>
      </c>
      <c r="E932" s="2">
        <v>0.83699999999999997</v>
      </c>
      <c r="F932" s="2">
        <v>0.92069999999999996</v>
      </c>
      <c r="G932" s="2">
        <v>0.97929999999999995</v>
      </c>
      <c r="H932" s="2">
        <v>1.0462</v>
      </c>
      <c r="I932" s="2">
        <v>1.1383000000000001</v>
      </c>
      <c r="J932" s="2">
        <v>1.2303999999999999</v>
      </c>
      <c r="K932" s="2">
        <v>1.3225</v>
      </c>
      <c r="L932" s="2">
        <v>1.4229000000000001</v>
      </c>
      <c r="M932" s="2">
        <v>1.5233000000000001</v>
      </c>
      <c r="N932" s="2">
        <v>1.6237999999999999</v>
      </c>
      <c r="O932" s="2">
        <v>1.7242</v>
      </c>
      <c r="P932" s="2">
        <v>1.8247</v>
      </c>
      <c r="Q932" s="2">
        <v>1.9251</v>
      </c>
      <c r="R932" t="s">
        <v>5</v>
      </c>
      <c r="S932" t="s">
        <v>19</v>
      </c>
      <c r="T932" t="s">
        <v>125</v>
      </c>
    </row>
    <row r="933" spans="2:20" x14ac:dyDescent="0.25">
      <c r="B933" t="s">
        <v>329</v>
      </c>
      <c r="C933" s="2">
        <v>0.60199999999999998</v>
      </c>
      <c r="D933" s="2">
        <v>0.65100000000000002</v>
      </c>
      <c r="E933" s="2">
        <v>0.7</v>
      </c>
      <c r="F933" s="2">
        <v>0.77</v>
      </c>
      <c r="G933" s="2">
        <v>0.81899999999999995</v>
      </c>
      <c r="H933" s="2">
        <v>0.875</v>
      </c>
      <c r="I933" s="2">
        <v>0.95199999999999996</v>
      </c>
      <c r="J933" s="2">
        <v>1.0289999999999999</v>
      </c>
      <c r="K933" s="2">
        <v>1.1060000000000001</v>
      </c>
      <c r="L933" s="2">
        <v>1.19</v>
      </c>
      <c r="M933" s="2">
        <v>1.274</v>
      </c>
      <c r="N933" s="2">
        <v>1.3580000000000001</v>
      </c>
      <c r="O933" s="2">
        <v>1.4419999999999999</v>
      </c>
      <c r="P933" s="2">
        <v>1.526</v>
      </c>
      <c r="Q933" s="2">
        <v>1.61</v>
      </c>
      <c r="R933" t="s">
        <v>19</v>
      </c>
      <c r="S933" t="s">
        <v>19</v>
      </c>
      <c r="T933" t="s">
        <v>125</v>
      </c>
    </row>
    <row r="934" spans="2:20" x14ac:dyDescent="0.25">
      <c r="B934" t="s">
        <v>331</v>
      </c>
      <c r="C934" s="2">
        <v>4.6399999999999997</v>
      </c>
      <c r="D934" s="2">
        <v>4.9880000000000004</v>
      </c>
      <c r="E934" s="2">
        <v>5.3360000000000003</v>
      </c>
      <c r="F934" s="2">
        <v>5.8</v>
      </c>
      <c r="G934" s="2">
        <v>6.1479999999999997</v>
      </c>
      <c r="H934" s="2">
        <v>6.4960000000000004</v>
      </c>
      <c r="I934" s="2">
        <v>6.96</v>
      </c>
      <c r="J934" s="2">
        <v>7.4240000000000004</v>
      </c>
      <c r="K934" s="2">
        <v>7.8879999999999999</v>
      </c>
      <c r="L934" s="2">
        <v>8.3520000000000003</v>
      </c>
      <c r="M934" s="2">
        <v>8.8160000000000007</v>
      </c>
      <c r="N934" s="2">
        <v>9.2799999999999994</v>
      </c>
      <c r="O934" s="2">
        <v>9.86</v>
      </c>
      <c r="P934" s="2">
        <v>10.44</v>
      </c>
      <c r="Q934" s="2">
        <v>11.02</v>
      </c>
      <c r="R934" t="s">
        <v>0</v>
      </c>
      <c r="S934" t="s">
        <v>0</v>
      </c>
      <c r="T934" t="s">
        <v>125</v>
      </c>
    </row>
    <row r="935" spans="2:20" x14ac:dyDescent="0.25">
      <c r="B935" t="s">
        <v>332</v>
      </c>
      <c r="C935" s="2">
        <v>3.7839999999999998</v>
      </c>
      <c r="D935" s="2">
        <v>4.0678000000000001</v>
      </c>
      <c r="E935" s="2">
        <v>4.3516000000000004</v>
      </c>
      <c r="F935" s="2">
        <v>4.7300000000000004</v>
      </c>
      <c r="G935" s="2">
        <v>5.0137999999999998</v>
      </c>
      <c r="H935" s="2">
        <v>5.2976000000000001</v>
      </c>
      <c r="I935" s="2">
        <v>5.6760000000000002</v>
      </c>
      <c r="J935" s="2">
        <v>6.0544000000000002</v>
      </c>
      <c r="K935" s="2">
        <v>6.4328000000000003</v>
      </c>
      <c r="L935" s="2">
        <v>6.8112000000000004</v>
      </c>
      <c r="M935" s="2">
        <v>7.1896000000000004</v>
      </c>
      <c r="N935" s="2">
        <v>7.5679999999999996</v>
      </c>
      <c r="O935" s="2">
        <v>8.0410000000000004</v>
      </c>
      <c r="P935" s="2">
        <v>8.5139999999999993</v>
      </c>
      <c r="Q935" s="2">
        <v>8.9870000000000001</v>
      </c>
      <c r="R935" t="s">
        <v>0</v>
      </c>
      <c r="S935" t="s">
        <v>0</v>
      </c>
      <c r="T935" t="s">
        <v>125</v>
      </c>
    </row>
    <row r="936" spans="2:20" x14ac:dyDescent="0.25">
      <c r="B936" t="s">
        <v>330</v>
      </c>
      <c r="C936" s="2">
        <v>1.2</v>
      </c>
      <c r="D936" s="2">
        <v>1.29</v>
      </c>
      <c r="E936" s="2">
        <v>1.38</v>
      </c>
      <c r="F936" s="2">
        <v>1.5</v>
      </c>
      <c r="G936" s="2">
        <v>1.59</v>
      </c>
      <c r="H936" s="2">
        <v>1.68</v>
      </c>
      <c r="I936" s="2">
        <v>1.8</v>
      </c>
      <c r="J936" s="2">
        <v>1.92</v>
      </c>
      <c r="K936" s="2">
        <v>2.04</v>
      </c>
      <c r="L936" s="2">
        <v>2.16</v>
      </c>
      <c r="M936" s="2">
        <v>2.2799999999999998</v>
      </c>
      <c r="N936" s="2">
        <v>2.4</v>
      </c>
      <c r="O936" s="2">
        <v>2.5499999999999998</v>
      </c>
      <c r="P936" s="2">
        <v>2.7</v>
      </c>
      <c r="Q936" s="2">
        <v>2.85</v>
      </c>
      <c r="R936" t="s">
        <v>0</v>
      </c>
      <c r="S936" t="s">
        <v>0</v>
      </c>
      <c r="T936" t="s">
        <v>125</v>
      </c>
    </row>
    <row r="937" spans="2:20" x14ac:dyDescent="0.25">
      <c r="B937" s="3" t="s">
        <v>763</v>
      </c>
      <c r="C937" s="23"/>
      <c r="D937" s="23"/>
      <c r="E937" s="23"/>
      <c r="F937" s="23"/>
      <c r="G937" s="23"/>
      <c r="H937" s="23"/>
      <c r="I937" s="23"/>
      <c r="J937" s="23"/>
      <c r="K937" s="23"/>
      <c r="L937" s="23"/>
      <c r="M937" s="23"/>
      <c r="N937" s="23"/>
      <c r="O937" s="23"/>
      <c r="P937" s="23"/>
      <c r="Q937" s="23"/>
      <c r="R937" s="5" t="s">
        <v>763</v>
      </c>
      <c r="S937" s="5" t="s">
        <v>763</v>
      </c>
      <c r="T937" t="s">
        <v>764</v>
      </c>
    </row>
    <row r="938" spans="2:20" x14ac:dyDescent="0.25">
      <c r="B938" s="3" t="s">
        <v>386</v>
      </c>
      <c r="C938" s="23"/>
      <c r="D938" s="23"/>
      <c r="E938" s="23"/>
      <c r="F938" s="23"/>
      <c r="G938" s="23"/>
      <c r="H938" s="23"/>
      <c r="I938" s="23"/>
      <c r="J938" s="23"/>
      <c r="K938" s="23"/>
      <c r="L938" s="23"/>
      <c r="M938" s="23"/>
      <c r="N938" s="23"/>
      <c r="O938" s="23"/>
      <c r="P938" s="23"/>
      <c r="Q938" s="23"/>
      <c r="R938" s="5" t="s">
        <v>392</v>
      </c>
      <c r="S938" s="5" t="s">
        <v>392</v>
      </c>
      <c r="T938" t="s">
        <v>69</v>
      </c>
    </row>
    <row r="939" spans="2:20" x14ac:dyDescent="0.25">
      <c r="B939" s="3" t="s">
        <v>388</v>
      </c>
      <c r="C939" s="23"/>
      <c r="D939" s="23"/>
      <c r="E939" s="23"/>
      <c r="F939" s="23"/>
      <c r="G939" s="23"/>
      <c r="H939" s="23"/>
      <c r="I939" s="23"/>
      <c r="J939" s="23"/>
      <c r="K939" s="23"/>
      <c r="L939" s="23"/>
      <c r="M939" s="23"/>
      <c r="N939" s="23"/>
      <c r="O939" s="23"/>
      <c r="P939" s="23"/>
      <c r="Q939" s="23"/>
      <c r="R939" s="5" t="s">
        <v>392</v>
      </c>
      <c r="S939" s="5" t="s">
        <v>392</v>
      </c>
      <c r="T939" t="s">
        <v>69</v>
      </c>
    </row>
    <row r="940" spans="2:20" x14ac:dyDescent="0.25">
      <c r="B940" s="3" t="s">
        <v>389</v>
      </c>
      <c r="C940" s="23"/>
      <c r="D940" s="23"/>
      <c r="E940" s="23"/>
      <c r="F940" s="23"/>
      <c r="G940" s="23"/>
      <c r="H940" s="23"/>
      <c r="I940" s="23"/>
      <c r="J940" s="23"/>
      <c r="K940" s="23"/>
      <c r="L940" s="23"/>
      <c r="M940" s="23"/>
      <c r="N940" s="23"/>
      <c r="O940" s="23"/>
      <c r="P940" s="23"/>
      <c r="Q940" s="23"/>
      <c r="R940" s="5" t="s">
        <v>392</v>
      </c>
      <c r="S940" s="5" t="s">
        <v>392</v>
      </c>
      <c r="T940" t="s">
        <v>69</v>
      </c>
    </row>
    <row r="941" spans="2:20" x14ac:dyDescent="0.25">
      <c r="B941" s="3" t="s">
        <v>385</v>
      </c>
      <c r="C941" s="23"/>
      <c r="D941" s="23"/>
      <c r="E941" s="23"/>
      <c r="F941" s="23"/>
      <c r="G941" s="23"/>
      <c r="H941" s="23"/>
      <c r="I941" s="23"/>
      <c r="J941" s="23"/>
      <c r="K941" s="23"/>
      <c r="L941" s="23"/>
      <c r="M941" s="23"/>
      <c r="N941" s="23"/>
      <c r="O941" s="23"/>
      <c r="P941" s="23"/>
      <c r="Q941" s="23"/>
      <c r="R941" s="5" t="s">
        <v>392</v>
      </c>
      <c r="S941" s="5" t="s">
        <v>392</v>
      </c>
      <c r="T941" t="s">
        <v>69</v>
      </c>
    </row>
    <row r="942" spans="2:20" x14ac:dyDescent="0.25">
      <c r="B942" s="3" t="s">
        <v>387</v>
      </c>
      <c r="C942" s="23"/>
      <c r="D942" s="23"/>
      <c r="E942" s="23"/>
      <c r="F942" s="23"/>
      <c r="G942" s="23"/>
      <c r="H942" s="23"/>
      <c r="I942" s="23"/>
      <c r="J942" s="23"/>
      <c r="K942" s="23"/>
      <c r="L942" s="23"/>
      <c r="M942" s="23"/>
      <c r="N942" s="23"/>
      <c r="O942" s="23"/>
      <c r="P942" s="23"/>
      <c r="Q942" s="23"/>
      <c r="R942" s="5" t="s">
        <v>392</v>
      </c>
      <c r="S942" s="5" t="s">
        <v>392</v>
      </c>
      <c r="T942" t="s">
        <v>69</v>
      </c>
    </row>
    <row r="943" spans="2:20" x14ac:dyDescent="0.25">
      <c r="B943" s="3" t="s">
        <v>390</v>
      </c>
      <c r="C943" s="23"/>
      <c r="D943" s="23"/>
      <c r="E943" s="23"/>
      <c r="F943" s="23"/>
      <c r="G943" s="23"/>
      <c r="H943" s="23"/>
      <c r="I943" s="23"/>
      <c r="J943" s="23"/>
      <c r="K943" s="23"/>
      <c r="L943" s="23"/>
      <c r="M943" s="23"/>
      <c r="N943" s="23"/>
      <c r="O943" s="23"/>
      <c r="P943" s="23"/>
      <c r="Q943" s="23"/>
      <c r="R943" s="5" t="s">
        <v>392</v>
      </c>
      <c r="S943" s="5" t="s">
        <v>392</v>
      </c>
      <c r="T943" t="s">
        <v>69</v>
      </c>
    </row>
    <row r="944" spans="2:20" x14ac:dyDescent="0.25">
      <c r="B944" s="3" t="s">
        <v>391</v>
      </c>
      <c r="C944" s="23"/>
      <c r="D944" s="23"/>
      <c r="E944" s="23"/>
      <c r="F944" s="23"/>
      <c r="G944" s="23"/>
      <c r="H944" s="23"/>
      <c r="I944" s="23"/>
      <c r="J944" s="23"/>
      <c r="K944" s="23"/>
      <c r="L944" s="23"/>
      <c r="M944" s="23"/>
      <c r="N944" s="23"/>
      <c r="O944" s="23"/>
      <c r="P944" s="23"/>
      <c r="Q944" s="23"/>
      <c r="R944" s="5" t="s">
        <v>392</v>
      </c>
      <c r="S944" s="5" t="s">
        <v>392</v>
      </c>
      <c r="T944" t="s">
        <v>69</v>
      </c>
    </row>
    <row r="945" spans="1:20" x14ac:dyDescent="0.25">
      <c r="A945" t="s">
        <v>886</v>
      </c>
      <c r="B945" s="3" t="s">
        <v>393</v>
      </c>
      <c r="C945" s="23"/>
      <c r="D945" s="23"/>
      <c r="E945" s="23"/>
      <c r="F945" s="23"/>
      <c r="G945" s="23"/>
      <c r="H945" s="23"/>
      <c r="I945" s="23"/>
      <c r="J945" s="23"/>
      <c r="K945" s="23"/>
      <c r="L945" s="23"/>
      <c r="M945" s="23"/>
      <c r="N945" s="23"/>
      <c r="O945" s="23"/>
      <c r="P945" s="23"/>
      <c r="Q945" s="23"/>
      <c r="R945" s="5" t="s">
        <v>392</v>
      </c>
      <c r="S945" s="5" t="s">
        <v>392</v>
      </c>
      <c r="T945" t="s">
        <v>69</v>
      </c>
    </row>
    <row r="946" spans="1:20" x14ac:dyDescent="0.25">
      <c r="B946" s="3" t="s">
        <v>749</v>
      </c>
      <c r="C946" s="21">
        <v>1</v>
      </c>
      <c r="D946" s="21">
        <v>2</v>
      </c>
      <c r="E946" s="21">
        <v>3</v>
      </c>
      <c r="F946" s="21">
        <v>4</v>
      </c>
      <c r="G946" s="21">
        <v>5</v>
      </c>
      <c r="H946" s="21">
        <v>6</v>
      </c>
      <c r="I946" s="21">
        <v>7</v>
      </c>
      <c r="J946" s="21">
        <v>8</v>
      </c>
      <c r="K946" s="21">
        <v>9</v>
      </c>
      <c r="L946" s="21">
        <v>10</v>
      </c>
      <c r="M946" s="21">
        <v>11</v>
      </c>
      <c r="N946" s="21">
        <v>12</v>
      </c>
      <c r="O946" s="21">
        <v>13</v>
      </c>
      <c r="P946" s="21">
        <v>14</v>
      </c>
      <c r="Q946" s="21">
        <v>15</v>
      </c>
      <c r="R946" s="5" t="s">
        <v>11</v>
      </c>
      <c r="S946" s="5" t="s">
        <v>1024</v>
      </c>
      <c r="T946" t="s">
        <v>124</v>
      </c>
    </row>
    <row r="947" spans="1:20" x14ac:dyDescent="0.25">
      <c r="A947" t="s">
        <v>1035</v>
      </c>
      <c r="B947" t="s">
        <v>10</v>
      </c>
      <c r="C947" s="2">
        <v>0.44390000000000002</v>
      </c>
      <c r="D947" s="2">
        <v>0.48010000000000003</v>
      </c>
      <c r="E947" s="2">
        <v>0.51619999999999999</v>
      </c>
      <c r="F947" s="2">
        <v>0.56779999999999997</v>
      </c>
      <c r="G947" s="2">
        <v>0.60399999999999998</v>
      </c>
      <c r="H947" s="2">
        <v>0.64529999999999998</v>
      </c>
      <c r="I947" s="2">
        <v>0.70199999999999996</v>
      </c>
      <c r="J947" s="2">
        <v>0.75880000000000003</v>
      </c>
      <c r="K947" s="2">
        <v>0.81559999999999999</v>
      </c>
      <c r="L947" s="2">
        <v>0.87749999999999995</v>
      </c>
      <c r="M947" s="2">
        <v>0.9395</v>
      </c>
      <c r="N947" s="2">
        <v>1.0014000000000001</v>
      </c>
      <c r="O947" s="2">
        <v>1.0633999999999999</v>
      </c>
      <c r="P947" s="2">
        <v>1.1253</v>
      </c>
      <c r="Q947" s="2">
        <v>1.1873</v>
      </c>
      <c r="R947" s="5" t="s">
        <v>6</v>
      </c>
      <c r="S947" s="5" t="s">
        <v>6</v>
      </c>
      <c r="T947" t="s">
        <v>125</v>
      </c>
    </row>
    <row r="948" spans="1:20" x14ac:dyDescent="0.25">
      <c r="B948" t="s">
        <v>9</v>
      </c>
      <c r="C948" s="2">
        <v>0.43630000000000002</v>
      </c>
      <c r="D948" s="2">
        <v>0.4718</v>
      </c>
      <c r="E948" s="2">
        <v>0.50729999999999997</v>
      </c>
      <c r="F948" s="2">
        <v>0.55800000000000005</v>
      </c>
      <c r="G948" s="2">
        <v>0.59350000000000003</v>
      </c>
      <c r="H948" s="2">
        <v>0.6341</v>
      </c>
      <c r="I948" s="2">
        <v>0.68989999999999996</v>
      </c>
      <c r="J948" s="2">
        <v>0.74570000000000003</v>
      </c>
      <c r="K948" s="2">
        <v>0.80149999999999999</v>
      </c>
      <c r="L948" s="2">
        <v>0.86240000000000006</v>
      </c>
      <c r="M948" s="2">
        <v>0.92330000000000001</v>
      </c>
      <c r="N948" s="2">
        <v>0.98419999999999996</v>
      </c>
      <c r="O948" s="2">
        <v>1.0449999999999999</v>
      </c>
      <c r="P948" s="2">
        <v>1.1059000000000001</v>
      </c>
      <c r="Q948" s="2">
        <v>1.1668000000000001</v>
      </c>
      <c r="R948" s="5" t="s">
        <v>6</v>
      </c>
      <c r="S948" s="5" t="s">
        <v>6</v>
      </c>
      <c r="T948" t="s">
        <v>125</v>
      </c>
    </row>
    <row r="949" spans="1:20" x14ac:dyDescent="0.25">
      <c r="B949" t="s">
        <v>275</v>
      </c>
      <c r="C949" s="2">
        <v>0.26790000000000003</v>
      </c>
      <c r="D949" s="2">
        <v>0.28970000000000001</v>
      </c>
      <c r="E949" s="2">
        <v>0.3115</v>
      </c>
      <c r="F949" s="2">
        <v>0.3427</v>
      </c>
      <c r="G949" s="2">
        <v>0.36449999999999999</v>
      </c>
      <c r="H949" s="2">
        <v>0.38940000000000002</v>
      </c>
      <c r="I949" s="2">
        <v>0.42359999999999998</v>
      </c>
      <c r="J949" s="2">
        <v>0.45789999999999997</v>
      </c>
      <c r="K949" s="2">
        <v>0.49220000000000003</v>
      </c>
      <c r="L949" s="2">
        <v>0.52959999999999996</v>
      </c>
      <c r="M949" s="2">
        <v>0.56689999999999996</v>
      </c>
      <c r="N949" s="2">
        <v>0.60429999999999995</v>
      </c>
      <c r="O949" s="2">
        <v>0.64170000000000005</v>
      </c>
      <c r="P949" s="2">
        <v>0.67910000000000004</v>
      </c>
      <c r="Q949" s="2">
        <v>0.71650000000000003</v>
      </c>
      <c r="R949" s="5" t="s">
        <v>6</v>
      </c>
      <c r="S949" s="5" t="s">
        <v>6</v>
      </c>
      <c r="T949" t="s">
        <v>125</v>
      </c>
    </row>
    <row r="950" spans="1:20" x14ac:dyDescent="0.25">
      <c r="B950" t="s">
        <v>13</v>
      </c>
      <c r="C950" s="2">
        <v>0.67359999999999998</v>
      </c>
      <c r="D950" s="2">
        <v>0.72840000000000005</v>
      </c>
      <c r="E950" s="2">
        <v>0.78320000000000001</v>
      </c>
      <c r="F950" s="2">
        <v>0.86150000000000004</v>
      </c>
      <c r="G950" s="2">
        <v>0.9163</v>
      </c>
      <c r="H950" s="2">
        <v>0.97899999999999998</v>
      </c>
      <c r="I950" s="2">
        <v>1.0651999999999999</v>
      </c>
      <c r="J950" s="2">
        <v>1.1513</v>
      </c>
      <c r="K950" s="2">
        <v>1.2375</v>
      </c>
      <c r="L950" s="2">
        <v>1.3313999999999999</v>
      </c>
      <c r="M950" s="2">
        <v>1.4254</v>
      </c>
      <c r="N950" s="2">
        <v>1.5194000000000001</v>
      </c>
      <c r="O950" s="2">
        <v>1.6133999999999999</v>
      </c>
      <c r="P950" s="2">
        <v>1.7074</v>
      </c>
      <c r="Q950" s="2">
        <v>1.8013999999999999</v>
      </c>
      <c r="R950" s="5" t="s">
        <v>6</v>
      </c>
      <c r="S950" s="5" t="s">
        <v>6</v>
      </c>
      <c r="T950" t="s">
        <v>125</v>
      </c>
    </row>
    <row r="951" spans="1:20" x14ac:dyDescent="0.25">
      <c r="B951" t="s">
        <v>14</v>
      </c>
      <c r="C951" s="2">
        <v>1.1274999999999999</v>
      </c>
      <c r="D951" s="2">
        <v>1.2192000000000001</v>
      </c>
      <c r="E951" s="2">
        <v>1.3109999999999999</v>
      </c>
      <c r="F951" s="2">
        <v>1.4420999999999999</v>
      </c>
      <c r="G951" s="2">
        <v>1.5339</v>
      </c>
      <c r="H951" s="2">
        <v>1.6388</v>
      </c>
      <c r="I951" s="2">
        <v>1.7829999999999999</v>
      </c>
      <c r="J951" s="2">
        <v>1.9272</v>
      </c>
      <c r="K951" s="2">
        <v>2.0714000000000001</v>
      </c>
      <c r="L951" s="2">
        <v>2.2286999999999999</v>
      </c>
      <c r="M951" s="2">
        <v>2.3860000000000001</v>
      </c>
      <c r="N951" s="2">
        <v>2.5432999999999999</v>
      </c>
      <c r="O951" s="2">
        <v>2.7006999999999999</v>
      </c>
      <c r="P951" s="2">
        <v>2.8580000000000001</v>
      </c>
      <c r="Q951" s="2">
        <v>3.0152999999999999</v>
      </c>
      <c r="R951" s="5" t="s">
        <v>5</v>
      </c>
      <c r="S951" s="5" t="s">
        <v>5</v>
      </c>
      <c r="T951" t="s">
        <v>125</v>
      </c>
    </row>
    <row r="952" spans="1:20" x14ac:dyDescent="0.25">
      <c r="B952" t="s">
        <v>152</v>
      </c>
      <c r="C952" s="2">
        <v>0.63929999999999998</v>
      </c>
      <c r="D952" s="2">
        <v>0.69140000000000001</v>
      </c>
      <c r="E952" s="2">
        <v>0.74339999999999995</v>
      </c>
      <c r="F952" s="2">
        <v>0.81769999999999998</v>
      </c>
      <c r="G952" s="2">
        <v>0.86980000000000002</v>
      </c>
      <c r="H952" s="2">
        <v>0.92930000000000001</v>
      </c>
      <c r="I952" s="2">
        <v>1.0109999999999999</v>
      </c>
      <c r="J952" s="2">
        <v>1.0928</v>
      </c>
      <c r="K952" s="2">
        <v>1.1746000000000001</v>
      </c>
      <c r="L952" s="2">
        <v>1.2638</v>
      </c>
      <c r="M952" s="2">
        <v>1.353</v>
      </c>
      <c r="N952" s="2">
        <v>1.4421999999999999</v>
      </c>
      <c r="O952" s="2">
        <v>1.5314000000000001</v>
      </c>
      <c r="P952" s="2">
        <v>1.6206</v>
      </c>
      <c r="Q952" s="2">
        <v>1.7098</v>
      </c>
      <c r="R952" s="5" t="s">
        <v>3</v>
      </c>
      <c r="S952" s="5" t="s">
        <v>3</v>
      </c>
      <c r="T952" t="s">
        <v>125</v>
      </c>
    </row>
    <row r="953" spans="1:20" x14ac:dyDescent="0.25">
      <c r="B953" t="s">
        <v>133</v>
      </c>
      <c r="C953" s="2">
        <v>1.2784</v>
      </c>
      <c r="D953" s="2">
        <v>1.3824000000000001</v>
      </c>
      <c r="E953" s="2">
        <v>1.4864999999999999</v>
      </c>
      <c r="F953" s="2">
        <v>1.6351</v>
      </c>
      <c r="G953" s="2">
        <v>1.7392000000000001</v>
      </c>
      <c r="H953" s="2">
        <v>1.8581000000000001</v>
      </c>
      <c r="I953" s="2">
        <v>2.0215999999999998</v>
      </c>
      <c r="J953" s="2">
        <v>2.1850999999999998</v>
      </c>
      <c r="K953" s="2">
        <v>2.3485999999999998</v>
      </c>
      <c r="L953" s="2">
        <v>2.5270000000000001</v>
      </c>
      <c r="M953" s="2">
        <v>2.7054</v>
      </c>
      <c r="N953" s="2">
        <v>2.8837999999999999</v>
      </c>
      <c r="O953" s="2">
        <v>3.0621999999999998</v>
      </c>
      <c r="P953" s="2">
        <v>3.2404999999999999</v>
      </c>
      <c r="Q953" s="2">
        <v>3.4188999999999998</v>
      </c>
      <c r="R953" s="5" t="s">
        <v>3</v>
      </c>
      <c r="S953" s="5" t="s">
        <v>3</v>
      </c>
      <c r="T953" t="s">
        <v>125</v>
      </c>
    </row>
    <row r="954" spans="1:20" x14ac:dyDescent="0.25">
      <c r="B954" t="s">
        <v>134</v>
      </c>
      <c r="C954" s="2">
        <v>1.5968</v>
      </c>
      <c r="D954" s="2">
        <v>1.7266999999999999</v>
      </c>
      <c r="E954" s="2">
        <v>1.8567</v>
      </c>
      <c r="F954" s="2">
        <v>2.0424000000000002</v>
      </c>
      <c r="G954" s="2">
        <v>2.1722999999999999</v>
      </c>
      <c r="H954" s="2">
        <v>2.3209</v>
      </c>
      <c r="I954" s="2">
        <v>2.5251000000000001</v>
      </c>
      <c r="J954" s="2">
        <v>2.7292999999999998</v>
      </c>
      <c r="K954" s="2">
        <v>2.9336000000000002</v>
      </c>
      <c r="L954" s="2">
        <v>3.1564000000000001</v>
      </c>
      <c r="M954" s="2">
        <v>3.3792</v>
      </c>
      <c r="N954" s="2">
        <v>3.6019999999999999</v>
      </c>
      <c r="O954" s="2">
        <v>3.8248000000000002</v>
      </c>
      <c r="P954" s="2">
        <v>4.0476000000000001</v>
      </c>
      <c r="Q954" s="2">
        <v>4.2704000000000004</v>
      </c>
      <c r="R954" s="5" t="s">
        <v>3</v>
      </c>
      <c r="S954" s="5" t="s">
        <v>3</v>
      </c>
      <c r="T954" t="s">
        <v>125</v>
      </c>
    </row>
    <row r="955" spans="1:20" x14ac:dyDescent="0.25">
      <c r="B955" t="s">
        <v>4</v>
      </c>
      <c r="C955" s="2">
        <v>1.464</v>
      </c>
      <c r="D955" s="2">
        <v>1.5738000000000001</v>
      </c>
      <c r="E955" s="2">
        <v>1.6836</v>
      </c>
      <c r="F955" s="2">
        <v>1.83</v>
      </c>
      <c r="G955" s="2">
        <v>1.9398</v>
      </c>
      <c r="H955" s="2">
        <v>2.0495999999999999</v>
      </c>
      <c r="I955" s="2">
        <v>2.1960000000000002</v>
      </c>
      <c r="J955" s="2">
        <v>2.3424</v>
      </c>
      <c r="K955" s="2">
        <v>2.4887999999999999</v>
      </c>
      <c r="L955" s="2">
        <v>2.6352000000000002</v>
      </c>
      <c r="M955" s="2">
        <v>2.7816000000000001</v>
      </c>
      <c r="N955" s="2">
        <v>2.9279999999999999</v>
      </c>
      <c r="O955" s="2">
        <v>3.1110000000000002</v>
      </c>
      <c r="P955" s="2">
        <v>3.294</v>
      </c>
      <c r="Q955" s="2">
        <v>3.4769999999999999</v>
      </c>
      <c r="R955" s="5" t="s">
        <v>19</v>
      </c>
      <c r="S955" s="5" t="s">
        <v>19</v>
      </c>
      <c r="T955" t="s">
        <v>125</v>
      </c>
    </row>
    <row r="956" spans="1:20" x14ac:dyDescent="0.25">
      <c r="B956" t="s">
        <v>170</v>
      </c>
      <c r="C956">
        <v>0.88</v>
      </c>
      <c r="D956">
        <v>0.94599999999999995</v>
      </c>
      <c r="E956">
        <v>1.012</v>
      </c>
      <c r="F956">
        <v>1.1000000000000001</v>
      </c>
      <c r="G956">
        <v>1.1659999999999999</v>
      </c>
      <c r="H956">
        <v>1.232</v>
      </c>
      <c r="I956">
        <v>1.32</v>
      </c>
      <c r="J956">
        <v>1.4079999999999999</v>
      </c>
      <c r="K956">
        <v>1.496</v>
      </c>
      <c r="L956">
        <v>1.5840000000000001</v>
      </c>
      <c r="M956">
        <v>1.6719999999999999</v>
      </c>
      <c r="N956">
        <v>1.76</v>
      </c>
      <c r="O956">
        <v>1.87</v>
      </c>
      <c r="P956">
        <v>1.98</v>
      </c>
      <c r="Q956">
        <v>2.09</v>
      </c>
      <c r="R956" s="5" t="s">
        <v>0</v>
      </c>
      <c r="S956" s="5" t="s">
        <v>0</v>
      </c>
      <c r="T956" t="s">
        <v>125</v>
      </c>
    </row>
    <row r="957" spans="1:20" x14ac:dyDescent="0.25">
      <c r="B957" t="s">
        <v>1036</v>
      </c>
      <c r="C957">
        <v>0.57999999999999996</v>
      </c>
      <c r="D957">
        <v>0.62350000000000005</v>
      </c>
      <c r="E957">
        <v>0.66700000000000004</v>
      </c>
      <c r="F957">
        <v>0.72499999999999998</v>
      </c>
      <c r="G957">
        <v>0.76849999999999996</v>
      </c>
      <c r="H957">
        <v>0.81200000000000006</v>
      </c>
      <c r="I957">
        <v>0.87</v>
      </c>
      <c r="J957">
        <v>0.92800000000000005</v>
      </c>
      <c r="K957">
        <v>0.98599999999999999</v>
      </c>
      <c r="L957">
        <v>1.044</v>
      </c>
      <c r="M957">
        <v>1.1020000000000001</v>
      </c>
      <c r="N957">
        <v>1.1599999999999999</v>
      </c>
      <c r="O957">
        <v>1.2324999999999999</v>
      </c>
      <c r="P957">
        <v>1.3049999999999999</v>
      </c>
      <c r="Q957">
        <v>1.3774999999999999</v>
      </c>
      <c r="R957" s="5" t="s">
        <v>0</v>
      </c>
      <c r="S957" s="5" t="s">
        <v>0</v>
      </c>
      <c r="T957" t="s">
        <v>125</v>
      </c>
    </row>
    <row r="958" spans="1:20" x14ac:dyDescent="0.25">
      <c r="B958" t="s">
        <v>1037</v>
      </c>
      <c r="C958" s="29">
        <v>2.1999999999999999E-2</v>
      </c>
      <c r="D958" s="29">
        <v>2.1999999999999999E-2</v>
      </c>
      <c r="E958" s="29">
        <v>2.1999999999999999E-2</v>
      </c>
      <c r="F958" s="29">
        <v>2.1999999999999999E-2</v>
      </c>
      <c r="G958" s="29">
        <v>2.1999999999999999E-2</v>
      </c>
      <c r="H958" s="29">
        <v>2.1999999999999999E-2</v>
      </c>
      <c r="I958" s="29">
        <v>2.1999999999999999E-2</v>
      </c>
      <c r="J958" s="29">
        <v>2.1999999999999999E-2</v>
      </c>
      <c r="K958" s="29">
        <v>2.1999999999999999E-2</v>
      </c>
      <c r="L958" s="29">
        <v>2.1999999999999999E-2</v>
      </c>
      <c r="M958" s="29">
        <v>2.1999999999999999E-2</v>
      </c>
      <c r="N958" s="29">
        <v>2.1999999999999999E-2</v>
      </c>
      <c r="O958" s="29">
        <v>2.1999999999999999E-2</v>
      </c>
      <c r="P958" s="29">
        <v>2.1999999999999999E-2</v>
      </c>
      <c r="Q958" s="29">
        <v>2.1999999999999999E-2</v>
      </c>
      <c r="R958" s="5" t="s">
        <v>0</v>
      </c>
      <c r="S958" s="5" t="s">
        <v>0</v>
      </c>
      <c r="T958" t="s">
        <v>223</v>
      </c>
    </row>
    <row r="959" spans="1:20" x14ac:dyDescent="0.25">
      <c r="B959" s="3" t="s">
        <v>763</v>
      </c>
      <c r="C959" s="23"/>
      <c r="D959" s="23"/>
      <c r="E959" s="23"/>
      <c r="F959" s="23"/>
      <c r="G959" s="23"/>
      <c r="H959" s="23"/>
      <c r="I959" s="23"/>
      <c r="J959" s="23"/>
      <c r="K959" s="23"/>
      <c r="L959" s="23"/>
      <c r="M959" s="23"/>
      <c r="N959" s="23"/>
      <c r="O959" s="23"/>
      <c r="P959" s="23"/>
      <c r="Q959" s="23"/>
      <c r="R959" s="5" t="s">
        <v>763</v>
      </c>
      <c r="S959" s="5" t="s">
        <v>763</v>
      </c>
      <c r="T959" t="s">
        <v>764</v>
      </c>
    </row>
    <row r="960" spans="1:20" x14ac:dyDescent="0.25">
      <c r="B960" s="3" t="s">
        <v>386</v>
      </c>
      <c r="C960" s="23"/>
      <c r="D960" s="23"/>
      <c r="E960" s="23"/>
      <c r="F960" s="23"/>
      <c r="G960" s="23"/>
      <c r="H960" s="23"/>
      <c r="I960" s="23"/>
      <c r="J960" s="23"/>
      <c r="K960" s="23"/>
      <c r="L960" s="23"/>
      <c r="M960" s="23"/>
      <c r="N960" s="23"/>
      <c r="O960" s="23"/>
      <c r="P960" s="23"/>
      <c r="Q960" s="23"/>
      <c r="R960" s="5" t="s">
        <v>392</v>
      </c>
      <c r="S960" s="5" t="s">
        <v>392</v>
      </c>
      <c r="T960" t="s">
        <v>69</v>
      </c>
    </row>
    <row r="961" spans="1:20" x14ac:dyDescent="0.25">
      <c r="B961" s="3" t="s">
        <v>388</v>
      </c>
      <c r="C961" s="23"/>
      <c r="D961" s="23"/>
      <c r="E961" s="23"/>
      <c r="F961" s="23"/>
      <c r="G961" s="23"/>
      <c r="H961" s="23"/>
      <c r="I961" s="23"/>
      <c r="J961" s="23"/>
      <c r="K961" s="23"/>
      <c r="L961" s="23"/>
      <c r="M961" s="23"/>
      <c r="N961" s="23"/>
      <c r="O961" s="23"/>
      <c r="P961" s="23"/>
      <c r="Q961" s="23"/>
      <c r="R961" s="5" t="s">
        <v>392</v>
      </c>
      <c r="S961" s="5" t="s">
        <v>392</v>
      </c>
      <c r="T961" t="s">
        <v>69</v>
      </c>
    </row>
    <row r="962" spans="1:20" x14ac:dyDescent="0.25">
      <c r="B962" s="3" t="s">
        <v>389</v>
      </c>
      <c r="C962" s="23"/>
      <c r="D962" s="23"/>
      <c r="E962" s="23"/>
      <c r="F962" s="23"/>
      <c r="G962" s="23"/>
      <c r="H962" s="23"/>
      <c r="I962" s="23"/>
      <c r="J962" s="23"/>
      <c r="K962" s="23"/>
      <c r="L962" s="23"/>
      <c r="M962" s="23"/>
      <c r="N962" s="23"/>
      <c r="O962" s="23"/>
      <c r="P962" s="23"/>
      <c r="Q962" s="23"/>
      <c r="R962" s="5" t="s">
        <v>392</v>
      </c>
      <c r="S962" s="5" t="s">
        <v>392</v>
      </c>
      <c r="T962" t="s">
        <v>69</v>
      </c>
    </row>
    <row r="963" spans="1:20" x14ac:dyDescent="0.25">
      <c r="B963" s="3" t="s">
        <v>385</v>
      </c>
      <c r="C963" s="23"/>
      <c r="D963" s="23"/>
      <c r="E963" s="23"/>
      <c r="F963" s="23"/>
      <c r="G963" s="23"/>
      <c r="H963" s="23"/>
      <c r="I963" s="23"/>
      <c r="J963" s="23"/>
      <c r="K963" s="23"/>
      <c r="L963" s="23"/>
      <c r="M963" s="23"/>
      <c r="N963" s="23"/>
      <c r="O963" s="23"/>
      <c r="P963" s="23"/>
      <c r="Q963" s="23"/>
      <c r="R963" s="5" t="s">
        <v>392</v>
      </c>
      <c r="S963" s="5" t="s">
        <v>392</v>
      </c>
      <c r="T963" t="s">
        <v>69</v>
      </c>
    </row>
    <row r="964" spans="1:20" x14ac:dyDescent="0.25">
      <c r="B964" s="3" t="s">
        <v>387</v>
      </c>
      <c r="C964" s="23"/>
      <c r="D964" s="23"/>
      <c r="E964" s="23"/>
      <c r="F964" s="23"/>
      <c r="G964" s="23"/>
      <c r="H964" s="23"/>
      <c r="I964" s="23"/>
      <c r="J964" s="23"/>
      <c r="K964" s="23"/>
      <c r="L964" s="23"/>
      <c r="M964" s="23"/>
      <c r="N964" s="23"/>
      <c r="O964" s="23"/>
      <c r="P964" s="23"/>
      <c r="Q964" s="23"/>
      <c r="R964" s="5" t="s">
        <v>392</v>
      </c>
      <c r="S964" s="5" t="s">
        <v>392</v>
      </c>
      <c r="T964" t="s">
        <v>69</v>
      </c>
    </row>
    <row r="965" spans="1:20" x14ac:dyDescent="0.25">
      <c r="B965" s="3" t="s">
        <v>390</v>
      </c>
      <c r="C965" s="23"/>
      <c r="D965" s="23"/>
      <c r="E965" s="23"/>
      <c r="F965" s="23"/>
      <c r="G965" s="23"/>
      <c r="H965" s="23"/>
      <c r="I965" s="23"/>
      <c r="J965" s="23"/>
      <c r="K965" s="23"/>
      <c r="L965" s="23"/>
      <c r="M965" s="23"/>
      <c r="N965" s="23"/>
      <c r="O965" s="23"/>
      <c r="P965" s="23"/>
      <c r="Q965" s="23"/>
      <c r="R965" s="5" t="s">
        <v>392</v>
      </c>
      <c r="S965" s="5" t="s">
        <v>392</v>
      </c>
      <c r="T965" t="s">
        <v>69</v>
      </c>
    </row>
    <row r="966" spans="1:20" x14ac:dyDescent="0.25">
      <c r="B966" s="3" t="s">
        <v>391</v>
      </c>
      <c r="C966" s="23"/>
      <c r="D966" s="23"/>
      <c r="E966" s="23"/>
      <c r="F966" s="23"/>
      <c r="G966" s="23"/>
      <c r="H966" s="23"/>
      <c r="I966" s="23"/>
      <c r="J966" s="23"/>
      <c r="K966" s="23"/>
      <c r="L966" s="23"/>
      <c r="M966" s="23"/>
      <c r="N966" s="23"/>
      <c r="O966" s="23"/>
      <c r="P966" s="23"/>
      <c r="Q966" s="23"/>
      <c r="R966" s="5" t="s">
        <v>392</v>
      </c>
      <c r="S966" s="5" t="s">
        <v>392</v>
      </c>
      <c r="T966" t="s">
        <v>69</v>
      </c>
    </row>
    <row r="967" spans="1:20" x14ac:dyDescent="0.25">
      <c r="A967" t="s">
        <v>1038</v>
      </c>
      <c r="B967" s="3" t="s">
        <v>393</v>
      </c>
      <c r="C967" s="23"/>
      <c r="D967" s="23"/>
      <c r="E967" s="23"/>
      <c r="F967" s="23"/>
      <c r="G967" s="23"/>
      <c r="H967" s="23"/>
      <c r="I967" s="23"/>
      <c r="J967" s="23"/>
      <c r="K967" s="23"/>
      <c r="L967" s="23"/>
      <c r="M967" s="23"/>
      <c r="N967" s="23"/>
      <c r="O967" s="23"/>
      <c r="P967" s="23"/>
      <c r="Q967" s="23"/>
      <c r="R967" s="5" t="s">
        <v>392</v>
      </c>
      <c r="S967" s="5" t="s">
        <v>392</v>
      </c>
      <c r="T967" t="s">
        <v>69</v>
      </c>
    </row>
    <row r="968" spans="1:20" x14ac:dyDescent="0.25">
      <c r="B968" t="s">
        <v>333</v>
      </c>
      <c r="C968" s="21">
        <v>1</v>
      </c>
      <c r="D968" s="21">
        <v>2</v>
      </c>
      <c r="E968" s="21">
        <v>3</v>
      </c>
      <c r="F968" s="21">
        <v>4</v>
      </c>
      <c r="G968" s="21">
        <v>5</v>
      </c>
      <c r="H968" s="21">
        <v>6</v>
      </c>
      <c r="I968" s="21">
        <v>7</v>
      </c>
      <c r="J968" s="21">
        <v>8</v>
      </c>
      <c r="K968" s="21">
        <v>9</v>
      </c>
      <c r="L968" s="21">
        <v>10</v>
      </c>
      <c r="M968" s="21">
        <v>11</v>
      </c>
      <c r="N968" s="21">
        <v>12</v>
      </c>
      <c r="O968" s="21">
        <v>13</v>
      </c>
      <c r="P968" s="21">
        <v>14</v>
      </c>
      <c r="Q968" s="21">
        <v>15</v>
      </c>
      <c r="R968" s="5" t="s">
        <v>11</v>
      </c>
      <c r="S968" s="5" t="s">
        <v>1024</v>
      </c>
      <c r="T968" t="s">
        <v>124</v>
      </c>
    </row>
    <row r="969" spans="1:20" x14ac:dyDescent="0.25">
      <c r="A969" t="s">
        <v>887</v>
      </c>
      <c r="B969" t="s">
        <v>334</v>
      </c>
      <c r="C969" s="2">
        <v>0.20380000000000001</v>
      </c>
      <c r="D969" s="2">
        <v>0.22040000000000001</v>
      </c>
      <c r="E969" s="2">
        <v>0.23699999999999999</v>
      </c>
      <c r="F969" s="2">
        <v>0.26069999999999999</v>
      </c>
      <c r="G969" s="2">
        <v>0.27729999999999999</v>
      </c>
      <c r="H969" s="2">
        <v>0.29630000000000001</v>
      </c>
      <c r="I969" s="2">
        <v>0.32229999999999998</v>
      </c>
      <c r="J969" s="2">
        <v>0.34839999999999999</v>
      </c>
      <c r="K969" s="2">
        <v>0.3745</v>
      </c>
      <c r="L969" s="2">
        <v>0.40289999999999998</v>
      </c>
      <c r="M969" s="2">
        <v>0.4355</v>
      </c>
      <c r="N969" s="2">
        <v>0.4738</v>
      </c>
      <c r="O969" s="2">
        <v>0.5121</v>
      </c>
      <c r="P969" s="2">
        <v>0.55049999999999999</v>
      </c>
      <c r="Q969" s="2">
        <v>0.59230000000000005</v>
      </c>
      <c r="R969" t="s">
        <v>6</v>
      </c>
      <c r="S969" t="s">
        <v>6</v>
      </c>
      <c r="T969" t="s">
        <v>125</v>
      </c>
    </row>
    <row r="970" spans="1:20" x14ac:dyDescent="0.25">
      <c r="B970" t="s">
        <v>335</v>
      </c>
      <c r="C970" s="2">
        <v>0.20380000000000001</v>
      </c>
      <c r="D970" s="2">
        <v>0.22040000000000001</v>
      </c>
      <c r="E970" s="2">
        <v>0.23699999999999999</v>
      </c>
      <c r="F970" s="2">
        <v>0.26069999999999999</v>
      </c>
      <c r="G970" s="2">
        <v>0.27729999999999999</v>
      </c>
      <c r="H970" s="2">
        <v>0.29630000000000001</v>
      </c>
      <c r="I970" s="2">
        <v>0.32229999999999998</v>
      </c>
      <c r="J970" s="2">
        <v>0.34839999999999999</v>
      </c>
      <c r="K970" s="2">
        <v>0.3745</v>
      </c>
      <c r="L970" s="2">
        <v>0.40289999999999998</v>
      </c>
      <c r="M970" s="2">
        <v>0.4355</v>
      </c>
      <c r="N970" s="2">
        <v>0.4738</v>
      </c>
      <c r="O970" s="2">
        <v>0.5121</v>
      </c>
      <c r="P970" s="2">
        <v>0.55049999999999999</v>
      </c>
      <c r="Q970" s="2">
        <v>0.59230000000000005</v>
      </c>
      <c r="R970" t="s">
        <v>6</v>
      </c>
      <c r="S970" t="s">
        <v>6</v>
      </c>
      <c r="T970" t="s">
        <v>125</v>
      </c>
    </row>
    <row r="971" spans="1:20" x14ac:dyDescent="0.25">
      <c r="B971" t="s">
        <v>9</v>
      </c>
      <c r="C971" s="2">
        <v>0.44379999999999997</v>
      </c>
      <c r="D971" s="2">
        <v>0.47989999999999999</v>
      </c>
      <c r="E971" s="2">
        <v>0.51600000000000001</v>
      </c>
      <c r="F971" s="2">
        <v>0.56759999999999999</v>
      </c>
      <c r="G971" s="2">
        <v>0.60370000000000001</v>
      </c>
      <c r="H971" s="2">
        <v>0.64500000000000002</v>
      </c>
      <c r="I971" s="2">
        <v>0.70179999999999998</v>
      </c>
      <c r="J971" s="2">
        <v>0.75849999999999995</v>
      </c>
      <c r="K971" s="2">
        <v>0.81530000000000002</v>
      </c>
      <c r="L971" s="2">
        <v>0.87719999999999998</v>
      </c>
      <c r="M971" s="2">
        <v>0.94820000000000004</v>
      </c>
      <c r="N971" s="2">
        <v>1.0316000000000001</v>
      </c>
      <c r="O971" s="2">
        <v>1.115</v>
      </c>
      <c r="P971" s="2">
        <v>1.1984999999999999</v>
      </c>
      <c r="Q971" s="2">
        <v>1.2895000000000001</v>
      </c>
      <c r="R971" t="s">
        <v>6</v>
      </c>
      <c r="S971" t="s">
        <v>6</v>
      </c>
      <c r="T971" t="s">
        <v>125</v>
      </c>
    </row>
    <row r="972" spans="1:20" x14ac:dyDescent="0.25">
      <c r="B972" t="s">
        <v>8</v>
      </c>
      <c r="C972" s="2">
        <v>0.52370000000000005</v>
      </c>
      <c r="D972" s="2">
        <v>0.56640000000000001</v>
      </c>
      <c r="E972" s="2">
        <v>0.60899999999999999</v>
      </c>
      <c r="F972" s="2">
        <v>0.66990000000000005</v>
      </c>
      <c r="G972" s="2">
        <v>0.71250000000000002</v>
      </c>
      <c r="H972" s="2">
        <v>0.76129999999999998</v>
      </c>
      <c r="I972" s="2">
        <v>0.82820000000000005</v>
      </c>
      <c r="J972" s="2">
        <v>0.8952</v>
      </c>
      <c r="K972" s="2">
        <v>0.96220000000000006</v>
      </c>
      <c r="L972" s="2">
        <v>1.0353000000000001</v>
      </c>
      <c r="M972" s="2">
        <v>1.119</v>
      </c>
      <c r="N972" s="2">
        <v>1.2175</v>
      </c>
      <c r="O972" s="2">
        <v>1.3160000000000001</v>
      </c>
      <c r="P972" s="2">
        <v>1.4145000000000001</v>
      </c>
      <c r="Q972" s="2">
        <v>1.5219</v>
      </c>
      <c r="R972" t="s">
        <v>6</v>
      </c>
      <c r="S972" t="s">
        <v>6</v>
      </c>
      <c r="T972" t="s">
        <v>125</v>
      </c>
    </row>
    <row r="973" spans="1:20" x14ac:dyDescent="0.25">
      <c r="B973" t="s">
        <v>237</v>
      </c>
      <c r="C973" s="2">
        <v>0.2606</v>
      </c>
      <c r="D973" s="2">
        <v>0.28179999999999999</v>
      </c>
      <c r="E973" s="2">
        <v>0.30299999999999999</v>
      </c>
      <c r="F973" s="2">
        <v>0.33329999999999999</v>
      </c>
      <c r="G973" s="2">
        <v>0.35449999999999998</v>
      </c>
      <c r="H973" s="2">
        <v>0.37869999999999998</v>
      </c>
      <c r="I973" s="2">
        <v>0.41210000000000002</v>
      </c>
      <c r="J973" s="2">
        <v>0.44540000000000002</v>
      </c>
      <c r="K973" s="2">
        <v>0.47870000000000001</v>
      </c>
      <c r="L973" s="2">
        <v>0.5151</v>
      </c>
      <c r="M973" s="2">
        <v>0.55679999999999996</v>
      </c>
      <c r="N973" s="2">
        <v>0.60580000000000001</v>
      </c>
      <c r="O973" s="2">
        <v>0.65480000000000005</v>
      </c>
      <c r="P973" s="2">
        <v>0.70369999999999999</v>
      </c>
      <c r="Q973" s="2">
        <v>0.75719999999999998</v>
      </c>
      <c r="R973" t="s">
        <v>6</v>
      </c>
      <c r="S973" t="s">
        <v>6</v>
      </c>
      <c r="T973" t="s">
        <v>125</v>
      </c>
    </row>
    <row r="974" spans="1:20" x14ac:dyDescent="0.25">
      <c r="B974" t="s">
        <v>238</v>
      </c>
      <c r="C974" s="2">
        <v>0.2606</v>
      </c>
      <c r="D974" s="2">
        <v>0.28179999999999999</v>
      </c>
      <c r="E974" s="2">
        <v>0.30299999999999999</v>
      </c>
      <c r="F974" s="2">
        <v>0.33329999999999999</v>
      </c>
      <c r="G974" s="2">
        <v>0.35449999999999998</v>
      </c>
      <c r="H974" s="2">
        <v>0.37869999999999998</v>
      </c>
      <c r="I974" s="2">
        <v>0.41210000000000002</v>
      </c>
      <c r="J974" s="2">
        <v>0.44540000000000002</v>
      </c>
      <c r="K974" s="2">
        <v>0.47870000000000001</v>
      </c>
      <c r="L974" s="2">
        <v>0.5151</v>
      </c>
      <c r="M974" s="2">
        <v>0.55679999999999996</v>
      </c>
      <c r="N974" s="2">
        <v>0.60580000000000001</v>
      </c>
      <c r="O974" s="2">
        <v>0.65480000000000005</v>
      </c>
      <c r="P974" s="2">
        <v>0.70369999999999999</v>
      </c>
      <c r="Q974" s="2">
        <v>0.75719999999999998</v>
      </c>
      <c r="R974" t="s">
        <v>6</v>
      </c>
      <c r="S974" t="s">
        <v>6</v>
      </c>
      <c r="T974" t="s">
        <v>125</v>
      </c>
    </row>
    <row r="975" spans="1:20" x14ac:dyDescent="0.25">
      <c r="B975" t="s">
        <v>7</v>
      </c>
      <c r="C975" s="2">
        <v>0.50649999999999995</v>
      </c>
      <c r="D975" s="2">
        <v>0.54779999999999995</v>
      </c>
      <c r="E975" s="2">
        <v>0.58899999999999997</v>
      </c>
      <c r="F975" s="2">
        <v>0.64790000000000003</v>
      </c>
      <c r="G975" s="2">
        <v>0.68910000000000005</v>
      </c>
      <c r="H975" s="2">
        <v>0.73629999999999995</v>
      </c>
      <c r="I975" s="2">
        <v>0.80100000000000005</v>
      </c>
      <c r="J975" s="2">
        <v>0.86580000000000001</v>
      </c>
      <c r="K975" s="2">
        <v>0.93059999999999998</v>
      </c>
      <c r="L975" s="2">
        <v>1.0013000000000001</v>
      </c>
      <c r="M975" s="2">
        <v>1.0823</v>
      </c>
      <c r="N975" s="2">
        <v>1.1775</v>
      </c>
      <c r="O975" s="2">
        <v>1.2727999999999999</v>
      </c>
      <c r="P975" s="2">
        <v>1.3680000000000001</v>
      </c>
      <c r="Q975" s="2">
        <v>1.4719</v>
      </c>
      <c r="R975" t="s">
        <v>6</v>
      </c>
      <c r="S975" t="s">
        <v>6</v>
      </c>
      <c r="T975" t="s">
        <v>125</v>
      </c>
    </row>
    <row r="976" spans="1:20" x14ac:dyDescent="0.25">
      <c r="B976" t="s">
        <v>214</v>
      </c>
      <c r="C976" s="2">
        <v>0.70950000000000002</v>
      </c>
      <c r="D976" s="2">
        <v>0.76729999999999998</v>
      </c>
      <c r="E976" s="2">
        <v>0.82499999999999996</v>
      </c>
      <c r="F976" s="2">
        <v>0.90749999999999997</v>
      </c>
      <c r="G976" s="2">
        <v>0.96530000000000005</v>
      </c>
      <c r="H976" s="2">
        <v>1.0313000000000001</v>
      </c>
      <c r="I976" s="2">
        <v>1.1220000000000001</v>
      </c>
      <c r="J976" s="2">
        <v>1.2128000000000001</v>
      </c>
      <c r="K976" s="2">
        <v>1.3035000000000001</v>
      </c>
      <c r="L976" s="2">
        <v>1.4025000000000001</v>
      </c>
      <c r="M976" s="2">
        <v>1.5159</v>
      </c>
      <c r="N976" s="2">
        <v>1.6493</v>
      </c>
      <c r="O976" s="2">
        <v>1.7827</v>
      </c>
      <c r="P976" s="2">
        <v>1.9160999999999999</v>
      </c>
      <c r="Q976" s="2">
        <v>2.0617000000000001</v>
      </c>
      <c r="R976" t="s">
        <v>6</v>
      </c>
      <c r="S976" t="s">
        <v>6</v>
      </c>
      <c r="T976" t="s">
        <v>125</v>
      </c>
    </row>
    <row r="977" spans="2:20" x14ac:dyDescent="0.25">
      <c r="B977" t="s">
        <v>131</v>
      </c>
      <c r="C977" s="2">
        <v>0.43859999999999999</v>
      </c>
      <c r="D977" s="2">
        <v>0.4743</v>
      </c>
      <c r="E977" s="2">
        <v>0.51</v>
      </c>
      <c r="F977" s="2">
        <v>0.56100000000000005</v>
      </c>
      <c r="G977" s="2">
        <v>0.59670000000000001</v>
      </c>
      <c r="H977" s="2">
        <v>0.63749999999999996</v>
      </c>
      <c r="I977" s="2">
        <v>0.69359999999999999</v>
      </c>
      <c r="J977" s="2">
        <v>0.74970000000000003</v>
      </c>
      <c r="K977" s="2">
        <v>0.80579999999999996</v>
      </c>
      <c r="L977" s="2">
        <v>0.86699999999999999</v>
      </c>
      <c r="M977" s="2">
        <v>0.93710000000000004</v>
      </c>
      <c r="N977" s="2">
        <v>1.0196000000000001</v>
      </c>
      <c r="O977" s="2">
        <v>1.1021000000000001</v>
      </c>
      <c r="P977" s="2">
        <v>1.1845000000000001</v>
      </c>
      <c r="Q977" s="2">
        <v>1.2745</v>
      </c>
      <c r="R977" t="s">
        <v>5</v>
      </c>
      <c r="S977" t="s">
        <v>5</v>
      </c>
      <c r="T977" t="s">
        <v>125</v>
      </c>
    </row>
    <row r="978" spans="2:20" x14ac:dyDescent="0.25">
      <c r="B978" t="s">
        <v>132</v>
      </c>
      <c r="C978" s="2">
        <v>1.24</v>
      </c>
      <c r="D978" s="2">
        <v>1.333</v>
      </c>
      <c r="E978" s="2">
        <v>1.4259999999999999</v>
      </c>
      <c r="F978" s="2">
        <v>1.55</v>
      </c>
      <c r="G978" s="2">
        <v>1.643</v>
      </c>
      <c r="H978" s="2">
        <v>1.736</v>
      </c>
      <c r="I978" s="2">
        <v>1.86</v>
      </c>
      <c r="J978" s="2">
        <v>1.984</v>
      </c>
      <c r="K978" s="2">
        <v>2.1080000000000001</v>
      </c>
      <c r="L978" s="2">
        <v>2.2320000000000002</v>
      </c>
      <c r="M978" s="2">
        <v>2.3610000000000002</v>
      </c>
      <c r="N978" s="2">
        <v>2.5295999999999998</v>
      </c>
      <c r="O978" s="2">
        <v>2.6981999999999999</v>
      </c>
      <c r="P978" s="2">
        <v>2.8668999999999998</v>
      </c>
      <c r="Q978" s="2">
        <v>3.0354999999999999</v>
      </c>
      <c r="R978" t="s">
        <v>5</v>
      </c>
      <c r="S978" t="s">
        <v>5</v>
      </c>
      <c r="T978" t="s">
        <v>125</v>
      </c>
    </row>
    <row r="979" spans="2:20" x14ac:dyDescent="0.25">
      <c r="B979" t="s">
        <v>152</v>
      </c>
      <c r="C979" s="2">
        <v>0.56830000000000003</v>
      </c>
      <c r="D979" s="2">
        <v>0.61450000000000005</v>
      </c>
      <c r="E979" s="2">
        <v>0.66080000000000005</v>
      </c>
      <c r="F979" s="2">
        <v>0.72689999999999999</v>
      </c>
      <c r="G979" s="2">
        <v>0.77310000000000001</v>
      </c>
      <c r="H979" s="2">
        <v>0.82599999999999996</v>
      </c>
      <c r="I979" s="2">
        <v>0.89870000000000005</v>
      </c>
      <c r="J979" s="2">
        <v>0.97140000000000004</v>
      </c>
      <c r="K979" s="2">
        <v>1.0441</v>
      </c>
      <c r="L979" s="2">
        <v>1.1234</v>
      </c>
      <c r="M979" s="2">
        <v>1.2027000000000001</v>
      </c>
      <c r="N979" s="2">
        <v>1.282</v>
      </c>
      <c r="O979" s="2">
        <v>1.3612</v>
      </c>
      <c r="P979" s="2">
        <v>1.4404999999999999</v>
      </c>
      <c r="Q979" s="2">
        <v>1.5198</v>
      </c>
      <c r="R979" t="s">
        <v>3</v>
      </c>
      <c r="S979" t="s">
        <v>3</v>
      </c>
      <c r="T979" t="s">
        <v>125</v>
      </c>
    </row>
    <row r="980" spans="2:20" x14ac:dyDescent="0.25">
      <c r="B980" t="s">
        <v>133</v>
      </c>
      <c r="C980" s="2">
        <v>1.1363000000000001</v>
      </c>
      <c r="D980" s="2">
        <v>1.2287999999999999</v>
      </c>
      <c r="E980" s="2">
        <v>1.3212999999999999</v>
      </c>
      <c r="F980" s="2">
        <v>1.4535</v>
      </c>
      <c r="G980" s="2">
        <v>1.5459000000000001</v>
      </c>
      <c r="H980" s="2">
        <v>1.6516999999999999</v>
      </c>
      <c r="I980" s="2">
        <v>1.7969999999999999</v>
      </c>
      <c r="J980" s="2">
        <v>1.9422999999999999</v>
      </c>
      <c r="K980" s="2">
        <v>2.0876999999999999</v>
      </c>
      <c r="L980" s="2">
        <v>2.2462</v>
      </c>
      <c r="M980" s="2">
        <v>2.4047999999999998</v>
      </c>
      <c r="N980" s="2">
        <v>2.5634000000000001</v>
      </c>
      <c r="O980" s="2">
        <v>2.7219000000000002</v>
      </c>
      <c r="P980" s="2">
        <v>2.8805000000000001</v>
      </c>
      <c r="Q980" s="2">
        <v>3.0390000000000001</v>
      </c>
      <c r="R980" t="s">
        <v>3</v>
      </c>
      <c r="S980" t="s">
        <v>3</v>
      </c>
      <c r="T980" t="s">
        <v>125</v>
      </c>
    </row>
    <row r="981" spans="2:20" x14ac:dyDescent="0.25">
      <c r="B981" t="s">
        <v>134</v>
      </c>
      <c r="C981" s="2">
        <v>1.4193</v>
      </c>
      <c r="D981" s="2">
        <v>1.5348999999999999</v>
      </c>
      <c r="E981" s="2">
        <v>1.6504000000000001</v>
      </c>
      <c r="F981" s="2">
        <v>1.8153999999999999</v>
      </c>
      <c r="G981" s="2">
        <v>1.931</v>
      </c>
      <c r="H981" s="2">
        <v>2.0630000000000002</v>
      </c>
      <c r="I981" s="2">
        <v>2.2444999999999999</v>
      </c>
      <c r="J981" s="2">
        <v>2.4260999999999999</v>
      </c>
      <c r="K981" s="2">
        <v>2.6076000000000001</v>
      </c>
      <c r="L981" s="2">
        <v>2.8056999999999999</v>
      </c>
      <c r="M981" s="2">
        <v>3.0036999999999998</v>
      </c>
      <c r="N981" s="2">
        <v>3.2018</v>
      </c>
      <c r="O981" s="2">
        <v>3.3997999999999999</v>
      </c>
      <c r="P981" s="2">
        <v>3.5979000000000001</v>
      </c>
      <c r="Q981" s="2">
        <v>3.7959000000000001</v>
      </c>
      <c r="R981" t="s">
        <v>3</v>
      </c>
      <c r="S981" t="s">
        <v>3</v>
      </c>
      <c r="T981" t="s">
        <v>125</v>
      </c>
    </row>
    <row r="982" spans="2:20" x14ac:dyDescent="0.25">
      <c r="B982" t="s">
        <v>198</v>
      </c>
      <c r="C982" s="2">
        <v>2.76</v>
      </c>
      <c r="D982" s="2">
        <v>2.9670000000000001</v>
      </c>
      <c r="E982" s="2">
        <v>3.1739999999999999</v>
      </c>
      <c r="F982" s="2">
        <v>3.45</v>
      </c>
      <c r="G982" s="2">
        <v>3.657</v>
      </c>
      <c r="H982" s="2">
        <v>3.8639999999999999</v>
      </c>
      <c r="I982" s="2">
        <v>4.1399999999999997</v>
      </c>
      <c r="J982" s="2">
        <v>4.4160000000000004</v>
      </c>
      <c r="K982" s="2">
        <v>4.6920000000000002</v>
      </c>
      <c r="L982" s="2">
        <v>4.968</v>
      </c>
      <c r="M982" s="2">
        <v>5.2439999999999998</v>
      </c>
      <c r="N982" s="2">
        <v>5.52</v>
      </c>
      <c r="O982" s="2">
        <v>5.8650000000000002</v>
      </c>
      <c r="P982" s="2">
        <v>6.21</v>
      </c>
      <c r="Q982" s="2">
        <v>6.5549999999999997</v>
      </c>
      <c r="R982" t="s">
        <v>19</v>
      </c>
      <c r="S982" t="s">
        <v>19</v>
      </c>
      <c r="T982" t="s">
        <v>125</v>
      </c>
    </row>
    <row r="983" spans="2:20" x14ac:dyDescent="0.25">
      <c r="B983" t="s">
        <v>200</v>
      </c>
      <c r="C983" s="2">
        <v>3.8</v>
      </c>
      <c r="D983" s="2">
        <v>4.085</v>
      </c>
      <c r="E983" s="2">
        <v>4.37</v>
      </c>
      <c r="F983" s="2">
        <v>4.75</v>
      </c>
      <c r="G983" s="2">
        <v>5.0350000000000001</v>
      </c>
      <c r="H983" s="2">
        <v>5.32</v>
      </c>
      <c r="I983" s="2">
        <v>5.7</v>
      </c>
      <c r="J983" s="2">
        <v>6.08</v>
      </c>
      <c r="K983" s="2">
        <v>6.46</v>
      </c>
      <c r="L983" s="2">
        <v>6.84</v>
      </c>
      <c r="M983" s="2">
        <v>7.22</v>
      </c>
      <c r="N983" s="2">
        <v>7.6</v>
      </c>
      <c r="O983" s="2">
        <v>8.0749999999999993</v>
      </c>
      <c r="P983" s="2">
        <v>8.5500000000000007</v>
      </c>
      <c r="Q983" s="2">
        <v>9.0250000000000004</v>
      </c>
      <c r="R983" t="s">
        <v>19</v>
      </c>
      <c r="S983" t="s">
        <v>19</v>
      </c>
      <c r="T983" t="s">
        <v>125</v>
      </c>
    </row>
    <row r="984" spans="2:20" x14ac:dyDescent="0.25">
      <c r="B984" t="s">
        <v>181</v>
      </c>
      <c r="C984" s="2">
        <v>0.376</v>
      </c>
      <c r="D984" s="2">
        <v>0.4042</v>
      </c>
      <c r="E984" s="2">
        <v>0.43240000000000001</v>
      </c>
      <c r="F984" s="2">
        <v>0.47</v>
      </c>
      <c r="G984" s="2">
        <v>0.49819999999999998</v>
      </c>
      <c r="H984" s="2">
        <v>0.52639999999999998</v>
      </c>
      <c r="I984" s="2">
        <v>0.56399999999999995</v>
      </c>
      <c r="J984" s="2">
        <v>0.60160000000000002</v>
      </c>
      <c r="K984" s="2">
        <v>0.63919999999999999</v>
      </c>
      <c r="L984" s="2">
        <v>0.67679999999999996</v>
      </c>
      <c r="M984" s="2">
        <v>0.71440000000000003</v>
      </c>
      <c r="N984" s="2">
        <v>0.752</v>
      </c>
      <c r="O984" s="2">
        <v>0.79900000000000004</v>
      </c>
      <c r="P984" s="2">
        <v>0.84599999999999997</v>
      </c>
      <c r="Q984" s="2">
        <v>0.89300000000000002</v>
      </c>
      <c r="R984" t="s">
        <v>0</v>
      </c>
      <c r="S984" t="s">
        <v>0</v>
      </c>
      <c r="T984" t="s">
        <v>125</v>
      </c>
    </row>
    <row r="985" spans="2:20" x14ac:dyDescent="0.25">
      <c r="B985" t="s">
        <v>336</v>
      </c>
      <c r="C985" s="2">
        <v>0.188</v>
      </c>
      <c r="D985" s="2">
        <v>0.2021</v>
      </c>
      <c r="E985" s="2">
        <v>0.2162</v>
      </c>
      <c r="F985" s="2">
        <v>0.23499999999999999</v>
      </c>
      <c r="G985" s="2">
        <v>0.24909999999999999</v>
      </c>
      <c r="H985" s="2">
        <v>0.26319999999999999</v>
      </c>
      <c r="I985" s="2">
        <v>0.28199999999999997</v>
      </c>
      <c r="J985" s="2">
        <v>0.30080000000000001</v>
      </c>
      <c r="K985" s="2">
        <v>0.3196</v>
      </c>
      <c r="L985" s="2">
        <v>0.33839999999999998</v>
      </c>
      <c r="M985" s="2">
        <v>0.35720000000000002</v>
      </c>
      <c r="N985" s="2">
        <v>0.376</v>
      </c>
      <c r="O985" s="2">
        <v>0.39950000000000002</v>
      </c>
      <c r="P985" s="2">
        <v>0.42299999999999999</v>
      </c>
      <c r="Q985" s="2">
        <v>0.44650000000000001</v>
      </c>
      <c r="R985" t="s">
        <v>0</v>
      </c>
      <c r="S985" t="s">
        <v>0</v>
      </c>
      <c r="T985" t="s">
        <v>125</v>
      </c>
    </row>
    <row r="986" spans="2:20" x14ac:dyDescent="0.25">
      <c r="B986" s="3" t="s">
        <v>763</v>
      </c>
      <c r="C986" s="23"/>
      <c r="D986" s="23"/>
      <c r="E986" s="23"/>
      <c r="F986" s="23"/>
      <c r="G986" s="23"/>
      <c r="H986" s="23"/>
      <c r="I986" s="23"/>
      <c r="J986" s="23"/>
      <c r="K986" s="23"/>
      <c r="L986" s="23"/>
      <c r="M986" s="23"/>
      <c r="N986" s="23"/>
      <c r="O986" s="23"/>
      <c r="P986" s="23"/>
      <c r="Q986" s="23"/>
      <c r="R986" s="5" t="s">
        <v>763</v>
      </c>
      <c r="S986" s="5" t="s">
        <v>763</v>
      </c>
      <c r="T986" t="s">
        <v>764</v>
      </c>
    </row>
    <row r="987" spans="2:20" x14ac:dyDescent="0.25">
      <c r="B987" s="3" t="s">
        <v>386</v>
      </c>
      <c r="C987" s="23"/>
      <c r="D987" s="23"/>
      <c r="E987" s="23"/>
      <c r="F987" s="23"/>
      <c r="G987" s="23"/>
      <c r="H987" s="23"/>
      <c r="I987" s="23"/>
      <c r="J987" s="23"/>
      <c r="K987" s="23"/>
      <c r="L987" s="23"/>
      <c r="M987" s="23"/>
      <c r="N987" s="23"/>
      <c r="O987" s="23"/>
      <c r="P987" s="23"/>
      <c r="Q987" s="23"/>
      <c r="R987" s="5" t="s">
        <v>392</v>
      </c>
      <c r="S987" s="5" t="s">
        <v>392</v>
      </c>
      <c r="T987" t="s">
        <v>69</v>
      </c>
    </row>
    <row r="988" spans="2:20" x14ac:dyDescent="0.25">
      <c r="B988" s="3" t="s">
        <v>388</v>
      </c>
      <c r="C988" s="23"/>
      <c r="D988" s="23"/>
      <c r="E988" s="23"/>
      <c r="F988" s="23"/>
      <c r="G988" s="23"/>
      <c r="H988" s="23"/>
      <c r="I988" s="23"/>
      <c r="J988" s="23"/>
      <c r="K988" s="23"/>
      <c r="L988" s="23"/>
      <c r="M988" s="23"/>
      <c r="N988" s="23"/>
      <c r="O988" s="23"/>
      <c r="P988" s="23"/>
      <c r="Q988" s="23"/>
      <c r="R988" s="5" t="s">
        <v>392</v>
      </c>
      <c r="S988" s="5" t="s">
        <v>392</v>
      </c>
      <c r="T988" t="s">
        <v>69</v>
      </c>
    </row>
    <row r="989" spans="2:20" x14ac:dyDescent="0.25">
      <c r="B989" s="3" t="s">
        <v>389</v>
      </c>
      <c r="C989" s="23"/>
      <c r="D989" s="23"/>
      <c r="E989" s="23"/>
      <c r="F989" s="23"/>
      <c r="G989" s="23"/>
      <c r="H989" s="23"/>
      <c r="I989" s="23"/>
      <c r="J989" s="23"/>
      <c r="K989" s="23"/>
      <c r="L989" s="23"/>
      <c r="M989" s="23"/>
      <c r="N989" s="23"/>
      <c r="O989" s="23"/>
      <c r="P989" s="23"/>
      <c r="Q989" s="23"/>
      <c r="R989" s="5" t="s">
        <v>392</v>
      </c>
      <c r="S989" s="5" t="s">
        <v>392</v>
      </c>
      <c r="T989" t="s">
        <v>69</v>
      </c>
    </row>
    <row r="990" spans="2:20" x14ac:dyDescent="0.25">
      <c r="B990" s="3" t="s">
        <v>385</v>
      </c>
      <c r="C990" s="23"/>
      <c r="D990" s="23"/>
      <c r="E990" s="23"/>
      <c r="F990" s="23"/>
      <c r="G990" s="23"/>
      <c r="H990" s="23"/>
      <c r="I990" s="23"/>
      <c r="J990" s="23"/>
      <c r="K990" s="23"/>
      <c r="L990" s="23"/>
      <c r="M990" s="23"/>
      <c r="N990" s="23"/>
      <c r="O990" s="23"/>
      <c r="P990" s="23"/>
      <c r="Q990" s="23"/>
      <c r="R990" s="5" t="s">
        <v>392</v>
      </c>
      <c r="S990" s="5" t="s">
        <v>392</v>
      </c>
      <c r="T990" t="s">
        <v>69</v>
      </c>
    </row>
    <row r="991" spans="2:20" x14ac:dyDescent="0.25">
      <c r="B991" s="3" t="s">
        <v>387</v>
      </c>
      <c r="C991" s="23"/>
      <c r="D991" s="23"/>
      <c r="E991" s="23"/>
      <c r="F991" s="23"/>
      <c r="G991" s="23"/>
      <c r="H991" s="23"/>
      <c r="I991" s="23"/>
      <c r="J991" s="23"/>
      <c r="K991" s="23"/>
      <c r="L991" s="23"/>
      <c r="M991" s="23"/>
      <c r="N991" s="23"/>
      <c r="O991" s="23"/>
      <c r="P991" s="23"/>
      <c r="Q991" s="23"/>
      <c r="R991" s="5" t="s">
        <v>392</v>
      </c>
      <c r="S991" s="5" t="s">
        <v>392</v>
      </c>
      <c r="T991" t="s">
        <v>69</v>
      </c>
    </row>
    <row r="992" spans="2:20" x14ac:dyDescent="0.25">
      <c r="B992" s="3" t="s">
        <v>390</v>
      </c>
      <c r="C992" s="23"/>
      <c r="D992" s="23"/>
      <c r="E992" s="23"/>
      <c r="F992" s="23"/>
      <c r="G992" s="23"/>
      <c r="H992" s="23"/>
      <c r="I992" s="23"/>
      <c r="J992" s="23"/>
      <c r="K992" s="23"/>
      <c r="L992" s="23"/>
      <c r="M992" s="23"/>
      <c r="N992" s="23"/>
      <c r="O992" s="23"/>
      <c r="P992" s="23"/>
      <c r="Q992" s="23"/>
      <c r="R992" s="5" t="s">
        <v>392</v>
      </c>
      <c r="S992" s="5" t="s">
        <v>392</v>
      </c>
      <c r="T992" t="s">
        <v>69</v>
      </c>
    </row>
    <row r="993" spans="1:20" x14ac:dyDescent="0.25">
      <c r="B993" s="3" t="s">
        <v>391</v>
      </c>
      <c r="C993" s="23"/>
      <c r="D993" s="23"/>
      <c r="E993" s="23"/>
      <c r="F993" s="23"/>
      <c r="G993" s="23"/>
      <c r="H993" s="23"/>
      <c r="I993" s="23"/>
      <c r="J993" s="23"/>
      <c r="K993" s="23"/>
      <c r="L993" s="23"/>
      <c r="M993" s="23"/>
      <c r="N993" s="23"/>
      <c r="O993" s="23"/>
      <c r="P993" s="23"/>
      <c r="Q993" s="23"/>
      <c r="R993" s="5" t="s">
        <v>392</v>
      </c>
      <c r="S993" s="5" t="s">
        <v>392</v>
      </c>
      <c r="T993" t="s">
        <v>69</v>
      </c>
    </row>
    <row r="994" spans="1:20" x14ac:dyDescent="0.25">
      <c r="A994" t="s">
        <v>888</v>
      </c>
      <c r="B994" s="3" t="s">
        <v>393</v>
      </c>
      <c r="C994" s="23"/>
      <c r="D994" s="23"/>
      <c r="E994" s="23"/>
      <c r="F994" s="23"/>
      <c r="G994" s="23"/>
      <c r="H994" s="23"/>
      <c r="I994" s="23"/>
      <c r="J994" s="23"/>
      <c r="K994" s="23"/>
      <c r="L994" s="23"/>
      <c r="M994" s="23"/>
      <c r="N994" s="23"/>
      <c r="O994" s="23"/>
      <c r="P994" s="23"/>
      <c r="Q994" s="23"/>
      <c r="R994" s="5" t="s">
        <v>392</v>
      </c>
      <c r="S994" s="5" t="s">
        <v>392</v>
      </c>
      <c r="T994" t="s">
        <v>69</v>
      </c>
    </row>
    <row r="995" spans="1:20" x14ac:dyDescent="0.25">
      <c r="B995" t="s">
        <v>337</v>
      </c>
      <c r="C995" s="21">
        <v>1</v>
      </c>
      <c r="D995" s="21">
        <v>2</v>
      </c>
      <c r="E995" s="21">
        <v>3</v>
      </c>
      <c r="F995" s="21">
        <v>4</v>
      </c>
      <c r="G995" s="21">
        <v>5</v>
      </c>
      <c r="H995" s="21">
        <v>6</v>
      </c>
      <c r="I995" s="21">
        <v>7</v>
      </c>
      <c r="J995" s="21">
        <v>8</v>
      </c>
      <c r="K995" s="21">
        <v>9</v>
      </c>
      <c r="L995" s="21">
        <v>10</v>
      </c>
      <c r="M995" s="21">
        <v>11</v>
      </c>
      <c r="N995" s="21">
        <v>12</v>
      </c>
      <c r="O995" s="21">
        <v>13</v>
      </c>
      <c r="P995" s="21">
        <v>14</v>
      </c>
      <c r="Q995" s="21">
        <v>15</v>
      </c>
      <c r="R995" s="5" t="s">
        <v>11</v>
      </c>
      <c r="S995" s="5" t="s">
        <v>1024</v>
      </c>
      <c r="T995" t="s">
        <v>124</v>
      </c>
    </row>
    <row r="996" spans="1:20" x14ac:dyDescent="0.25">
      <c r="A996" t="s">
        <v>889</v>
      </c>
      <c r="B996" t="s">
        <v>10</v>
      </c>
      <c r="C996" s="2">
        <v>0.42049999999999998</v>
      </c>
      <c r="D996" s="2">
        <v>0.45479999999999998</v>
      </c>
      <c r="E996" s="2">
        <v>0.48899999999999999</v>
      </c>
      <c r="F996" s="2">
        <v>0.53790000000000004</v>
      </c>
      <c r="G996" s="2">
        <v>0.57210000000000005</v>
      </c>
      <c r="H996" s="2">
        <v>0.61129999999999995</v>
      </c>
      <c r="I996" s="2">
        <v>0.66500000000000004</v>
      </c>
      <c r="J996" s="2">
        <v>0.71879999999999999</v>
      </c>
      <c r="K996" s="2">
        <v>0.77259999999999995</v>
      </c>
      <c r="L996" s="2">
        <v>0.83130000000000004</v>
      </c>
      <c r="M996" s="2">
        <v>0.89849999999999997</v>
      </c>
      <c r="N996" s="2">
        <v>0.97760000000000002</v>
      </c>
      <c r="O996" s="2">
        <v>1.0567</v>
      </c>
      <c r="P996" s="2">
        <v>1.1357999999999999</v>
      </c>
      <c r="Q996" s="2">
        <v>1.222</v>
      </c>
      <c r="R996" t="s">
        <v>6</v>
      </c>
      <c r="S996" t="s">
        <v>6</v>
      </c>
      <c r="T996" t="s">
        <v>125</v>
      </c>
    </row>
    <row r="997" spans="1:20" x14ac:dyDescent="0.25">
      <c r="B997" t="s">
        <v>9</v>
      </c>
      <c r="C997" s="2">
        <v>0.4214</v>
      </c>
      <c r="D997" s="2">
        <v>0.45569999999999999</v>
      </c>
      <c r="E997" s="2">
        <v>0.49</v>
      </c>
      <c r="F997" s="2">
        <v>0.53900000000000003</v>
      </c>
      <c r="G997" s="2">
        <v>0.57330000000000003</v>
      </c>
      <c r="H997" s="2">
        <v>0.61250000000000004</v>
      </c>
      <c r="I997" s="2">
        <v>0.66639999999999999</v>
      </c>
      <c r="J997" s="2">
        <v>0.72030000000000005</v>
      </c>
      <c r="K997" s="2">
        <v>0.7742</v>
      </c>
      <c r="L997" s="2">
        <v>0.83299999999999996</v>
      </c>
      <c r="M997" s="2">
        <v>0.90039999999999998</v>
      </c>
      <c r="N997" s="2">
        <v>0.97960000000000003</v>
      </c>
      <c r="O997" s="2">
        <v>1.0588</v>
      </c>
      <c r="P997" s="2">
        <v>1.1380999999999999</v>
      </c>
      <c r="Q997" s="2">
        <v>1.2244999999999999</v>
      </c>
      <c r="R997" t="s">
        <v>6</v>
      </c>
      <c r="S997" t="s">
        <v>6</v>
      </c>
      <c r="T997" t="s">
        <v>125</v>
      </c>
    </row>
    <row r="998" spans="1:20" x14ac:dyDescent="0.25">
      <c r="B998" t="s">
        <v>275</v>
      </c>
      <c r="C998" s="2">
        <v>0.2606</v>
      </c>
      <c r="D998" s="2">
        <v>0.28179999999999999</v>
      </c>
      <c r="E998" s="2">
        <v>0.30299999999999999</v>
      </c>
      <c r="F998" s="2">
        <v>0.33329999999999999</v>
      </c>
      <c r="G998" s="2">
        <v>0.35449999999999998</v>
      </c>
      <c r="H998" s="2">
        <v>0.37869999999999998</v>
      </c>
      <c r="I998" s="2">
        <v>0.41210000000000002</v>
      </c>
      <c r="J998" s="2">
        <v>0.44540000000000002</v>
      </c>
      <c r="K998" s="2">
        <v>0.47870000000000001</v>
      </c>
      <c r="L998" s="2">
        <v>0.5151</v>
      </c>
      <c r="M998" s="2">
        <v>0.55679999999999996</v>
      </c>
      <c r="N998" s="2">
        <v>0.60580000000000001</v>
      </c>
      <c r="O998" s="2">
        <v>0.65480000000000005</v>
      </c>
      <c r="P998" s="2">
        <v>0.70369999999999999</v>
      </c>
      <c r="Q998" s="2">
        <v>0.75719999999999998</v>
      </c>
      <c r="R998" t="s">
        <v>6</v>
      </c>
      <c r="S998" t="s">
        <v>6</v>
      </c>
      <c r="T998" t="s">
        <v>125</v>
      </c>
    </row>
    <row r="999" spans="1:20" x14ac:dyDescent="0.25">
      <c r="B999" t="s">
        <v>338</v>
      </c>
      <c r="C999" s="2">
        <v>0.14099999999999999</v>
      </c>
      <c r="D999" s="2">
        <v>0.1525</v>
      </c>
      <c r="E999" s="2">
        <v>0.16400000000000001</v>
      </c>
      <c r="F999" s="2">
        <v>0.1804</v>
      </c>
      <c r="G999" s="2">
        <v>0.19189999999999999</v>
      </c>
      <c r="H999" s="2">
        <v>0.20499999999999999</v>
      </c>
      <c r="I999" s="2">
        <v>0.223</v>
      </c>
      <c r="J999" s="2">
        <v>0.24110000000000001</v>
      </c>
      <c r="K999" s="2">
        <v>0.2591</v>
      </c>
      <c r="L999" s="2">
        <v>0.27879999999999999</v>
      </c>
      <c r="M999" s="2">
        <v>0.3014</v>
      </c>
      <c r="N999" s="2">
        <v>0.32790000000000002</v>
      </c>
      <c r="O999" s="2">
        <v>0.35439999999999999</v>
      </c>
      <c r="P999" s="2">
        <v>0.38090000000000002</v>
      </c>
      <c r="Q999" s="2">
        <v>0.4098</v>
      </c>
      <c r="R999" t="s">
        <v>6</v>
      </c>
      <c r="S999" t="s">
        <v>6</v>
      </c>
      <c r="T999" t="s">
        <v>125</v>
      </c>
    </row>
    <row r="1000" spans="1:20" x14ac:dyDescent="0.25">
      <c r="B1000" t="s">
        <v>7</v>
      </c>
      <c r="C1000" s="2">
        <v>0.71040000000000003</v>
      </c>
      <c r="D1000" s="2">
        <v>0.76819999999999999</v>
      </c>
      <c r="E1000" s="2">
        <v>0.82599999999999996</v>
      </c>
      <c r="F1000" s="2">
        <v>0.90859999999999996</v>
      </c>
      <c r="G1000" s="2">
        <v>0.96640000000000004</v>
      </c>
      <c r="H1000" s="2">
        <v>1.0325</v>
      </c>
      <c r="I1000" s="2">
        <v>1.1234</v>
      </c>
      <c r="J1000" s="2">
        <v>1.2141999999999999</v>
      </c>
      <c r="K1000" s="2">
        <v>1.3050999999999999</v>
      </c>
      <c r="L1000" s="2">
        <v>1.4041999999999999</v>
      </c>
      <c r="M1000" s="2">
        <v>1.5178</v>
      </c>
      <c r="N1000" s="2">
        <v>1.6513</v>
      </c>
      <c r="O1000" s="2">
        <v>1.7848999999999999</v>
      </c>
      <c r="P1000" s="2">
        <v>1.9185000000000001</v>
      </c>
      <c r="Q1000" s="2">
        <v>2.0642</v>
      </c>
      <c r="R1000" t="s">
        <v>6</v>
      </c>
      <c r="S1000" t="s">
        <v>6</v>
      </c>
      <c r="T1000" t="s">
        <v>125</v>
      </c>
    </row>
    <row r="1001" spans="1:20" x14ac:dyDescent="0.25">
      <c r="B1001" t="s">
        <v>14</v>
      </c>
      <c r="C1001" s="2">
        <v>1.2169000000000001</v>
      </c>
      <c r="D1001" s="2">
        <v>1.3160000000000001</v>
      </c>
      <c r="E1001" s="2">
        <v>1.415</v>
      </c>
      <c r="F1001" s="2">
        <v>1.5565</v>
      </c>
      <c r="G1001" s="2">
        <v>1.6556</v>
      </c>
      <c r="H1001" s="2">
        <v>1.7687999999999999</v>
      </c>
      <c r="I1001" s="2">
        <v>1.9244000000000001</v>
      </c>
      <c r="J1001" s="2">
        <v>2.0800999999999998</v>
      </c>
      <c r="K1001" s="2">
        <v>2.2357</v>
      </c>
      <c r="L1001" s="2">
        <v>2.4055</v>
      </c>
      <c r="M1001" s="2">
        <v>2.6000999999999999</v>
      </c>
      <c r="N1001" s="2">
        <v>2.8289</v>
      </c>
      <c r="O1001" s="2">
        <v>3.0577000000000001</v>
      </c>
      <c r="P1001" s="2">
        <v>3.2865000000000002</v>
      </c>
      <c r="Q1001" s="2">
        <v>3.5360999999999998</v>
      </c>
      <c r="R1001" t="s">
        <v>5</v>
      </c>
      <c r="S1001" t="s">
        <v>5</v>
      </c>
      <c r="T1001" t="s">
        <v>125</v>
      </c>
    </row>
    <row r="1002" spans="1:20" x14ac:dyDescent="0.25">
      <c r="B1002" t="s">
        <v>152</v>
      </c>
      <c r="C1002" s="2">
        <v>0.63929999999999998</v>
      </c>
      <c r="D1002" s="2">
        <v>0.69140000000000001</v>
      </c>
      <c r="E1002" s="2">
        <v>0.74339999999999995</v>
      </c>
      <c r="F1002" s="2">
        <v>0.81769999999999998</v>
      </c>
      <c r="G1002" s="2">
        <v>0.86980000000000002</v>
      </c>
      <c r="H1002" s="2">
        <v>0.92930000000000001</v>
      </c>
      <c r="I1002" s="2">
        <v>1.0109999999999999</v>
      </c>
      <c r="J1002" s="2">
        <v>1.0928</v>
      </c>
      <c r="K1002" s="2">
        <v>1.1746000000000001</v>
      </c>
      <c r="L1002" s="2">
        <v>1.2638</v>
      </c>
      <c r="M1002" s="2">
        <v>1.353</v>
      </c>
      <c r="N1002" s="2">
        <v>1.4421999999999999</v>
      </c>
      <c r="O1002" s="2">
        <v>1.5314000000000001</v>
      </c>
      <c r="P1002" s="2">
        <v>1.6206</v>
      </c>
      <c r="Q1002" s="2">
        <v>1.7098</v>
      </c>
      <c r="R1002" t="s">
        <v>3</v>
      </c>
      <c r="S1002" t="s">
        <v>3</v>
      </c>
      <c r="T1002" t="s">
        <v>125</v>
      </c>
    </row>
    <row r="1003" spans="1:20" x14ac:dyDescent="0.25">
      <c r="B1003" t="s">
        <v>133</v>
      </c>
      <c r="C1003" s="2">
        <v>1.2784</v>
      </c>
      <c r="D1003" s="2">
        <v>1.3824000000000001</v>
      </c>
      <c r="E1003" s="2">
        <v>1.4864999999999999</v>
      </c>
      <c r="F1003" s="2">
        <v>1.6351</v>
      </c>
      <c r="G1003" s="2">
        <v>1.7392000000000001</v>
      </c>
      <c r="H1003" s="2">
        <v>1.8581000000000001</v>
      </c>
      <c r="I1003" s="2">
        <v>2.0215999999999998</v>
      </c>
      <c r="J1003" s="2">
        <v>2.1850999999999998</v>
      </c>
      <c r="K1003" s="2">
        <v>2.3485999999999998</v>
      </c>
      <c r="L1003" s="2">
        <v>2.5270000000000001</v>
      </c>
      <c r="M1003" s="2">
        <v>2.7054</v>
      </c>
      <c r="N1003" s="2">
        <v>2.8837999999999999</v>
      </c>
      <c r="O1003" s="2">
        <v>3.0621999999999998</v>
      </c>
      <c r="P1003" s="2">
        <v>3.2404999999999999</v>
      </c>
      <c r="Q1003" s="2">
        <v>3.4188999999999998</v>
      </c>
      <c r="R1003" t="s">
        <v>3</v>
      </c>
      <c r="S1003" t="s">
        <v>3</v>
      </c>
      <c r="T1003" t="s">
        <v>125</v>
      </c>
    </row>
    <row r="1004" spans="1:20" x14ac:dyDescent="0.25">
      <c r="B1004" t="s">
        <v>134</v>
      </c>
      <c r="C1004" s="2">
        <v>1.5968</v>
      </c>
      <c r="D1004" s="2">
        <v>1.7266999999999999</v>
      </c>
      <c r="E1004" s="2">
        <v>1.8567</v>
      </c>
      <c r="F1004" s="2">
        <v>2.0424000000000002</v>
      </c>
      <c r="G1004" s="2">
        <v>2.1722999999999999</v>
      </c>
      <c r="H1004" s="2">
        <v>2.3209</v>
      </c>
      <c r="I1004" s="2">
        <v>2.5251000000000001</v>
      </c>
      <c r="J1004" s="2">
        <v>2.7292999999999998</v>
      </c>
      <c r="K1004" s="2">
        <v>2.9336000000000002</v>
      </c>
      <c r="L1004" s="2">
        <v>3.1564000000000001</v>
      </c>
      <c r="M1004" s="2">
        <v>3.3792</v>
      </c>
      <c r="N1004" s="2">
        <v>3.6019999999999999</v>
      </c>
      <c r="O1004" s="2">
        <v>3.8248000000000002</v>
      </c>
      <c r="P1004" s="2">
        <v>4.0476000000000001</v>
      </c>
      <c r="Q1004" s="2">
        <v>4.2704000000000004</v>
      </c>
      <c r="R1004" t="s">
        <v>3</v>
      </c>
      <c r="S1004" t="s">
        <v>3</v>
      </c>
      <c r="T1004" t="s">
        <v>125</v>
      </c>
    </row>
    <row r="1005" spans="1:20" x14ac:dyDescent="0.25">
      <c r="B1005" t="s">
        <v>339</v>
      </c>
      <c r="C1005" s="2">
        <v>1.1128</v>
      </c>
      <c r="D1005" s="2">
        <v>1.1962999999999999</v>
      </c>
      <c r="E1005" s="2">
        <v>1.2797000000000001</v>
      </c>
      <c r="F1005" s="2">
        <v>1.391</v>
      </c>
      <c r="G1005" s="2">
        <v>1.4744999999999999</v>
      </c>
      <c r="H1005" s="2">
        <v>1.5579000000000001</v>
      </c>
      <c r="I1005" s="2">
        <v>1.6692</v>
      </c>
      <c r="J1005" s="2">
        <v>1.7805</v>
      </c>
      <c r="K1005" s="2">
        <v>1.8917999999999999</v>
      </c>
      <c r="L1005" s="2">
        <v>2.0030000000000001</v>
      </c>
      <c r="M1005" s="2">
        <v>2.1143000000000001</v>
      </c>
      <c r="N1005" s="2">
        <v>2.2256</v>
      </c>
      <c r="O1005" s="2">
        <v>2.3647</v>
      </c>
      <c r="P1005" s="2">
        <v>2.5038</v>
      </c>
      <c r="Q1005" s="2">
        <v>2.6429</v>
      </c>
      <c r="R1005" t="s">
        <v>19</v>
      </c>
      <c r="S1005" t="s">
        <v>19</v>
      </c>
      <c r="T1005" t="s">
        <v>125</v>
      </c>
    </row>
    <row r="1006" spans="1:20" x14ac:dyDescent="0.25">
      <c r="B1006" t="s">
        <v>1004</v>
      </c>
      <c r="C1006" s="2">
        <v>0.75</v>
      </c>
      <c r="D1006" s="2">
        <v>0.75</v>
      </c>
      <c r="E1006" s="2">
        <v>0.75</v>
      </c>
      <c r="F1006" s="2">
        <v>0.75</v>
      </c>
      <c r="G1006" s="2">
        <v>0.75</v>
      </c>
      <c r="H1006" s="2">
        <v>0.75</v>
      </c>
      <c r="I1006" s="2">
        <v>0.75</v>
      </c>
      <c r="J1006" s="2">
        <v>0.75</v>
      </c>
      <c r="K1006" s="2">
        <v>0.75</v>
      </c>
      <c r="L1006" s="2">
        <v>0.75</v>
      </c>
      <c r="M1006" s="2">
        <v>0.75</v>
      </c>
      <c r="N1006" s="2">
        <v>0.75</v>
      </c>
      <c r="O1006" s="2">
        <v>0.75</v>
      </c>
      <c r="P1006" s="2">
        <v>0.75</v>
      </c>
      <c r="Q1006" s="2">
        <v>0.75</v>
      </c>
      <c r="R1006" t="s">
        <v>246</v>
      </c>
      <c r="S1006" t="s">
        <v>246</v>
      </c>
      <c r="T1006" t="s">
        <v>125</v>
      </c>
    </row>
    <row r="1007" spans="1:20" x14ac:dyDescent="0.25">
      <c r="B1007" t="s">
        <v>341</v>
      </c>
      <c r="C1007" s="2">
        <v>0.72</v>
      </c>
      <c r="D1007" s="2">
        <v>0.77400000000000002</v>
      </c>
      <c r="E1007" s="2">
        <v>0.82799999999999996</v>
      </c>
      <c r="F1007" s="2">
        <v>0.9</v>
      </c>
      <c r="G1007" s="2">
        <v>0.95399999999999996</v>
      </c>
      <c r="H1007" s="2">
        <v>1.008</v>
      </c>
      <c r="I1007" s="2">
        <v>1.08</v>
      </c>
      <c r="J1007" s="2">
        <v>1.1519999999999999</v>
      </c>
      <c r="K1007" s="2">
        <v>1.224</v>
      </c>
      <c r="L1007" s="2">
        <v>1.296</v>
      </c>
      <c r="M1007" s="2">
        <v>1.3680000000000001</v>
      </c>
      <c r="N1007" s="2">
        <v>1.44</v>
      </c>
      <c r="O1007" s="2">
        <v>1.53</v>
      </c>
      <c r="P1007" s="2">
        <v>1.62</v>
      </c>
      <c r="Q1007" s="2">
        <v>1.71</v>
      </c>
      <c r="R1007" t="s">
        <v>0</v>
      </c>
      <c r="S1007" t="s">
        <v>0</v>
      </c>
      <c r="T1007" t="s">
        <v>125</v>
      </c>
    </row>
    <row r="1008" spans="1:20" x14ac:dyDescent="0.25">
      <c r="B1008" t="s">
        <v>342</v>
      </c>
      <c r="C1008" s="2">
        <v>0.88</v>
      </c>
      <c r="D1008" s="2">
        <v>0.94599999999999995</v>
      </c>
      <c r="E1008" s="2">
        <v>1.012</v>
      </c>
      <c r="F1008" s="2">
        <v>1.1000000000000001</v>
      </c>
      <c r="G1008" s="2">
        <v>1.1659999999999999</v>
      </c>
      <c r="H1008" s="2">
        <v>1.232</v>
      </c>
      <c r="I1008" s="2">
        <v>1.32</v>
      </c>
      <c r="J1008" s="2">
        <v>1.4079999999999999</v>
      </c>
      <c r="K1008" s="2">
        <v>1.496</v>
      </c>
      <c r="L1008" s="2">
        <v>1.5840000000000001</v>
      </c>
      <c r="M1008" s="2">
        <v>1.6719999999999999</v>
      </c>
      <c r="N1008" s="2">
        <v>1.76</v>
      </c>
      <c r="O1008" s="2">
        <v>1.87</v>
      </c>
      <c r="P1008" s="2">
        <v>1.98</v>
      </c>
      <c r="Q1008" s="2">
        <v>2.09</v>
      </c>
      <c r="R1008" t="s">
        <v>0</v>
      </c>
      <c r="S1008" t="s">
        <v>0</v>
      </c>
      <c r="T1008" t="s">
        <v>125</v>
      </c>
    </row>
    <row r="1009" spans="1:20" x14ac:dyDescent="0.25">
      <c r="B1009" t="s">
        <v>343</v>
      </c>
      <c r="C1009" s="2">
        <v>1.0960000000000001</v>
      </c>
      <c r="D1009" s="2">
        <v>1.1781999999999999</v>
      </c>
      <c r="E1009" s="2">
        <v>1.2604</v>
      </c>
      <c r="F1009" s="2">
        <v>1.37</v>
      </c>
      <c r="G1009" s="2">
        <v>1.4521999999999999</v>
      </c>
      <c r="H1009" s="2">
        <v>1.5344</v>
      </c>
      <c r="I1009" s="2">
        <v>1.6439999999999999</v>
      </c>
      <c r="J1009" s="2">
        <v>1.7536</v>
      </c>
      <c r="K1009" s="2">
        <v>1.8632</v>
      </c>
      <c r="L1009" s="2">
        <v>1.9728000000000001</v>
      </c>
      <c r="M1009" s="2">
        <v>2.0823999999999998</v>
      </c>
      <c r="N1009" s="2">
        <v>2.1920000000000002</v>
      </c>
      <c r="O1009" s="2">
        <v>2.3290000000000002</v>
      </c>
      <c r="P1009" s="2">
        <v>2.4660000000000002</v>
      </c>
      <c r="Q1009" s="2">
        <v>2.6030000000000002</v>
      </c>
      <c r="R1009" t="s">
        <v>0</v>
      </c>
      <c r="S1009" t="s">
        <v>0</v>
      </c>
      <c r="T1009" t="s">
        <v>125</v>
      </c>
    </row>
    <row r="1010" spans="1:20" x14ac:dyDescent="0.25">
      <c r="B1010" t="s">
        <v>340</v>
      </c>
      <c r="C1010" s="2">
        <v>1.1200000000000001</v>
      </c>
      <c r="D1010" s="2">
        <v>1.204</v>
      </c>
      <c r="E1010" s="2">
        <v>1.288</v>
      </c>
      <c r="F1010" s="2">
        <v>1.4</v>
      </c>
      <c r="G1010" s="2">
        <v>1.484</v>
      </c>
      <c r="H1010" s="2">
        <v>1.5680000000000001</v>
      </c>
      <c r="I1010" s="2">
        <v>1.68</v>
      </c>
      <c r="J1010" s="2">
        <v>1.792</v>
      </c>
      <c r="K1010" s="2">
        <v>1.9039999999999999</v>
      </c>
      <c r="L1010" s="2">
        <v>2.016</v>
      </c>
      <c r="M1010" s="2">
        <v>2.1280000000000001</v>
      </c>
      <c r="N1010" s="2">
        <v>2.2400000000000002</v>
      </c>
      <c r="O1010" s="2">
        <v>2.38</v>
      </c>
      <c r="P1010" s="2">
        <v>2.52</v>
      </c>
      <c r="Q1010" s="2">
        <v>2.66</v>
      </c>
      <c r="R1010" t="s">
        <v>0</v>
      </c>
      <c r="S1010" t="s">
        <v>0</v>
      </c>
      <c r="T1010" t="s">
        <v>125</v>
      </c>
    </row>
    <row r="1011" spans="1:20" x14ac:dyDescent="0.25">
      <c r="B1011" s="3" t="s">
        <v>763</v>
      </c>
      <c r="C1011" s="23"/>
      <c r="D1011" s="23"/>
      <c r="E1011" s="23"/>
      <c r="F1011" s="23"/>
      <c r="G1011" s="23"/>
      <c r="H1011" s="23"/>
      <c r="I1011" s="23"/>
      <c r="J1011" s="23"/>
      <c r="K1011" s="23"/>
      <c r="L1011" s="23"/>
      <c r="M1011" s="23"/>
      <c r="N1011" s="23"/>
      <c r="O1011" s="23"/>
      <c r="P1011" s="23"/>
      <c r="Q1011" s="23"/>
      <c r="R1011" s="5" t="s">
        <v>763</v>
      </c>
      <c r="S1011" s="5" t="s">
        <v>763</v>
      </c>
      <c r="T1011" t="s">
        <v>764</v>
      </c>
    </row>
    <row r="1012" spans="1:20" x14ac:dyDescent="0.25">
      <c r="B1012" s="3" t="s">
        <v>386</v>
      </c>
      <c r="C1012" s="23"/>
      <c r="D1012" s="23"/>
      <c r="E1012" s="23"/>
      <c r="F1012" s="23"/>
      <c r="G1012" s="23"/>
      <c r="H1012" s="23"/>
      <c r="I1012" s="23"/>
      <c r="J1012" s="23"/>
      <c r="K1012" s="23"/>
      <c r="L1012" s="23"/>
      <c r="M1012" s="23"/>
      <c r="N1012" s="23"/>
      <c r="O1012" s="23"/>
      <c r="P1012" s="23"/>
      <c r="Q1012" s="23"/>
      <c r="R1012" s="5" t="s">
        <v>392</v>
      </c>
      <c r="S1012" s="5" t="s">
        <v>392</v>
      </c>
      <c r="T1012" t="s">
        <v>69</v>
      </c>
    </row>
    <row r="1013" spans="1:20" x14ac:dyDescent="0.25">
      <c r="B1013" s="3" t="s">
        <v>388</v>
      </c>
      <c r="C1013" s="23"/>
      <c r="D1013" s="23"/>
      <c r="E1013" s="23"/>
      <c r="F1013" s="23"/>
      <c r="G1013" s="23"/>
      <c r="H1013" s="23"/>
      <c r="I1013" s="23"/>
      <c r="J1013" s="23"/>
      <c r="K1013" s="23"/>
      <c r="L1013" s="23"/>
      <c r="M1013" s="23"/>
      <c r="N1013" s="23"/>
      <c r="O1013" s="23"/>
      <c r="P1013" s="23"/>
      <c r="Q1013" s="23"/>
      <c r="R1013" s="5" t="s">
        <v>392</v>
      </c>
      <c r="S1013" s="5" t="s">
        <v>392</v>
      </c>
      <c r="T1013" t="s">
        <v>69</v>
      </c>
    </row>
    <row r="1014" spans="1:20" x14ac:dyDescent="0.25">
      <c r="B1014" s="3" t="s">
        <v>389</v>
      </c>
      <c r="C1014" s="23"/>
      <c r="D1014" s="23"/>
      <c r="E1014" s="23"/>
      <c r="F1014" s="23"/>
      <c r="G1014" s="23"/>
      <c r="H1014" s="23"/>
      <c r="I1014" s="23"/>
      <c r="J1014" s="23"/>
      <c r="K1014" s="23"/>
      <c r="L1014" s="23"/>
      <c r="M1014" s="23"/>
      <c r="N1014" s="23"/>
      <c r="O1014" s="23"/>
      <c r="P1014" s="23"/>
      <c r="Q1014" s="23"/>
      <c r="R1014" s="5" t="s">
        <v>392</v>
      </c>
      <c r="S1014" s="5" t="s">
        <v>392</v>
      </c>
      <c r="T1014" t="s">
        <v>69</v>
      </c>
    </row>
    <row r="1015" spans="1:20" x14ac:dyDescent="0.25">
      <c r="B1015" s="3" t="s">
        <v>385</v>
      </c>
      <c r="C1015" s="23"/>
      <c r="D1015" s="23"/>
      <c r="E1015" s="23"/>
      <c r="F1015" s="23"/>
      <c r="G1015" s="23"/>
      <c r="H1015" s="23"/>
      <c r="I1015" s="23"/>
      <c r="J1015" s="23"/>
      <c r="K1015" s="23"/>
      <c r="L1015" s="23"/>
      <c r="M1015" s="23"/>
      <c r="N1015" s="23"/>
      <c r="O1015" s="23"/>
      <c r="P1015" s="23"/>
      <c r="Q1015" s="23"/>
      <c r="R1015" s="5" t="s">
        <v>392</v>
      </c>
      <c r="S1015" s="5" t="s">
        <v>392</v>
      </c>
      <c r="T1015" t="s">
        <v>69</v>
      </c>
    </row>
    <row r="1016" spans="1:20" x14ac:dyDescent="0.25">
      <c r="B1016" s="3" t="s">
        <v>387</v>
      </c>
      <c r="C1016" s="23"/>
      <c r="D1016" s="23"/>
      <c r="E1016" s="23"/>
      <c r="F1016" s="23"/>
      <c r="G1016" s="23"/>
      <c r="H1016" s="23"/>
      <c r="I1016" s="23"/>
      <c r="J1016" s="23"/>
      <c r="K1016" s="23"/>
      <c r="L1016" s="23"/>
      <c r="M1016" s="23"/>
      <c r="N1016" s="23"/>
      <c r="O1016" s="23"/>
      <c r="P1016" s="23"/>
      <c r="Q1016" s="23"/>
      <c r="R1016" s="5" t="s">
        <v>392</v>
      </c>
      <c r="S1016" s="5" t="s">
        <v>392</v>
      </c>
      <c r="T1016" t="s">
        <v>69</v>
      </c>
    </row>
    <row r="1017" spans="1:20" x14ac:dyDescent="0.25">
      <c r="B1017" s="3" t="s">
        <v>390</v>
      </c>
      <c r="C1017" s="23"/>
      <c r="D1017" s="23"/>
      <c r="E1017" s="23"/>
      <c r="F1017" s="23"/>
      <c r="G1017" s="23"/>
      <c r="H1017" s="23"/>
      <c r="I1017" s="23"/>
      <c r="J1017" s="23"/>
      <c r="K1017" s="23"/>
      <c r="L1017" s="23"/>
      <c r="M1017" s="23"/>
      <c r="N1017" s="23"/>
      <c r="O1017" s="23"/>
      <c r="P1017" s="23"/>
      <c r="Q1017" s="23"/>
      <c r="R1017" s="5" t="s">
        <v>392</v>
      </c>
      <c r="S1017" s="5" t="s">
        <v>392</v>
      </c>
      <c r="T1017" t="s">
        <v>69</v>
      </c>
    </row>
    <row r="1018" spans="1:20" x14ac:dyDescent="0.25">
      <c r="B1018" s="3" t="s">
        <v>391</v>
      </c>
      <c r="C1018" s="23"/>
      <c r="D1018" s="23"/>
      <c r="E1018" s="23"/>
      <c r="F1018" s="23"/>
      <c r="G1018" s="23"/>
      <c r="H1018" s="23"/>
      <c r="I1018" s="23"/>
      <c r="J1018" s="23"/>
      <c r="K1018" s="23"/>
      <c r="L1018" s="23"/>
      <c r="M1018" s="23"/>
      <c r="N1018" s="23"/>
      <c r="O1018" s="23"/>
      <c r="P1018" s="23"/>
      <c r="Q1018" s="23"/>
      <c r="R1018" s="5" t="s">
        <v>392</v>
      </c>
      <c r="S1018" s="5" t="s">
        <v>392</v>
      </c>
      <c r="T1018" t="s">
        <v>69</v>
      </c>
    </row>
    <row r="1019" spans="1:20" x14ac:dyDescent="0.25">
      <c r="A1019" t="s">
        <v>890</v>
      </c>
      <c r="B1019" s="3" t="s">
        <v>393</v>
      </c>
      <c r="C1019" s="23"/>
      <c r="D1019" s="23"/>
      <c r="E1019" s="23"/>
      <c r="F1019" s="23"/>
      <c r="G1019" s="23"/>
      <c r="H1019" s="23"/>
      <c r="I1019" s="23"/>
      <c r="J1019" s="23"/>
      <c r="K1019" s="23"/>
      <c r="L1019" s="23"/>
      <c r="M1019" s="23"/>
      <c r="N1019" s="23"/>
      <c r="O1019" s="23"/>
      <c r="P1019" s="23"/>
      <c r="Q1019" s="23"/>
      <c r="R1019" s="5" t="s">
        <v>392</v>
      </c>
      <c r="S1019" s="5" t="s">
        <v>392</v>
      </c>
      <c r="T1019" t="s">
        <v>69</v>
      </c>
    </row>
    <row r="1020" spans="1:20" x14ac:dyDescent="0.25">
      <c r="B1020" t="s">
        <v>344</v>
      </c>
      <c r="C1020" s="21">
        <v>1</v>
      </c>
      <c r="D1020" s="21">
        <v>2</v>
      </c>
      <c r="E1020" s="21">
        <v>3</v>
      </c>
      <c r="F1020" s="21">
        <v>4</v>
      </c>
      <c r="G1020" s="21">
        <v>5</v>
      </c>
      <c r="H1020" s="21">
        <v>6</v>
      </c>
      <c r="I1020" s="21">
        <v>7</v>
      </c>
      <c r="J1020" s="21">
        <v>8</v>
      </c>
      <c r="K1020" s="21">
        <v>9</v>
      </c>
      <c r="L1020" s="21">
        <v>10</v>
      </c>
      <c r="M1020" s="21">
        <v>11</v>
      </c>
      <c r="N1020" s="21">
        <v>12</v>
      </c>
      <c r="O1020" s="21">
        <v>13</v>
      </c>
      <c r="P1020" s="21">
        <v>14</v>
      </c>
      <c r="Q1020" s="21">
        <v>15</v>
      </c>
      <c r="R1020" s="5" t="s">
        <v>11</v>
      </c>
      <c r="S1020" s="5" t="s">
        <v>1024</v>
      </c>
      <c r="T1020" t="s">
        <v>124</v>
      </c>
    </row>
    <row r="1021" spans="1:20" x14ac:dyDescent="0.25">
      <c r="A1021" t="s">
        <v>891</v>
      </c>
      <c r="B1021" t="s">
        <v>345</v>
      </c>
      <c r="C1021" s="2">
        <v>0.27539999999999998</v>
      </c>
      <c r="D1021" s="2">
        <v>0.29420000000000002</v>
      </c>
      <c r="E1021" s="2">
        <v>0.313</v>
      </c>
      <c r="F1021" s="2">
        <v>0.33800000000000002</v>
      </c>
      <c r="G1021" s="2">
        <v>0.35680000000000001</v>
      </c>
      <c r="H1021" s="2">
        <v>0.37869999999999998</v>
      </c>
      <c r="I1021" s="2">
        <v>0.40689999999999998</v>
      </c>
      <c r="J1021" s="2">
        <v>0.43509999999999999</v>
      </c>
      <c r="K1021" s="2">
        <v>0.4632</v>
      </c>
      <c r="L1021" s="2">
        <v>0.4914</v>
      </c>
      <c r="M1021" s="2">
        <v>0.51959999999999995</v>
      </c>
      <c r="N1021" s="2">
        <v>0.54779999999999995</v>
      </c>
      <c r="O1021" s="2">
        <v>0.57589999999999997</v>
      </c>
      <c r="P1021" s="2">
        <v>0.60409999999999997</v>
      </c>
      <c r="Q1021" s="2">
        <v>0.63229999999999997</v>
      </c>
      <c r="R1021" t="s">
        <v>6</v>
      </c>
      <c r="S1021" t="s">
        <v>6</v>
      </c>
      <c r="T1021" t="s">
        <v>125</v>
      </c>
    </row>
    <row r="1022" spans="1:20" x14ac:dyDescent="0.25">
      <c r="B1022" t="s">
        <v>9</v>
      </c>
      <c r="C1022" s="2">
        <v>0.56940000000000002</v>
      </c>
      <c r="D1022" s="2">
        <v>0.60819999999999996</v>
      </c>
      <c r="E1022" s="2">
        <v>0.64700000000000002</v>
      </c>
      <c r="F1022" s="2">
        <v>0.69879999999999998</v>
      </c>
      <c r="G1022" s="2">
        <v>0.73760000000000003</v>
      </c>
      <c r="H1022" s="2">
        <v>0.78290000000000004</v>
      </c>
      <c r="I1022" s="2">
        <v>0.84109999999999996</v>
      </c>
      <c r="J1022" s="2">
        <v>0.89929999999999999</v>
      </c>
      <c r="K1022" s="2">
        <v>0.95760000000000001</v>
      </c>
      <c r="L1022" s="2">
        <v>1.0158</v>
      </c>
      <c r="M1022" s="2">
        <v>1.0740000000000001</v>
      </c>
      <c r="N1022" s="2">
        <v>1.1323000000000001</v>
      </c>
      <c r="O1022" s="2">
        <v>1.1904999999999999</v>
      </c>
      <c r="P1022" s="2">
        <v>1.2486999999999999</v>
      </c>
      <c r="Q1022" s="2">
        <v>1.3069</v>
      </c>
      <c r="R1022" t="s">
        <v>6</v>
      </c>
      <c r="S1022" t="s">
        <v>6</v>
      </c>
      <c r="T1022" t="s">
        <v>125</v>
      </c>
    </row>
    <row r="1023" spans="1:20" x14ac:dyDescent="0.25">
      <c r="B1023" t="s">
        <v>8</v>
      </c>
      <c r="C1023" s="2">
        <v>0.6855</v>
      </c>
      <c r="D1023" s="2">
        <v>0.73229999999999995</v>
      </c>
      <c r="E1023" s="2">
        <v>0.77900000000000003</v>
      </c>
      <c r="F1023" s="2">
        <v>0.84130000000000005</v>
      </c>
      <c r="G1023" s="2">
        <v>0.8881</v>
      </c>
      <c r="H1023" s="2">
        <v>0.94259999999999999</v>
      </c>
      <c r="I1023" s="2">
        <v>1.0126999999999999</v>
      </c>
      <c r="J1023" s="2">
        <v>1.0828</v>
      </c>
      <c r="K1023" s="2">
        <v>1.1529</v>
      </c>
      <c r="L1023" s="2">
        <v>1.2230000000000001</v>
      </c>
      <c r="M1023" s="2">
        <v>1.2930999999999999</v>
      </c>
      <c r="N1023" s="2">
        <v>1.3633</v>
      </c>
      <c r="O1023" s="2">
        <v>1.4334</v>
      </c>
      <c r="P1023" s="2">
        <v>1.5035000000000001</v>
      </c>
      <c r="Q1023" s="2">
        <v>1.5736000000000001</v>
      </c>
      <c r="R1023" t="s">
        <v>6</v>
      </c>
      <c r="S1023" t="s">
        <v>6</v>
      </c>
      <c r="T1023" t="s">
        <v>125</v>
      </c>
    </row>
    <row r="1024" spans="1:20" x14ac:dyDescent="0.25">
      <c r="B1024" t="s">
        <v>274</v>
      </c>
      <c r="C1024" s="2">
        <v>0.37659999999999999</v>
      </c>
      <c r="D1024" s="2">
        <v>0.40229999999999999</v>
      </c>
      <c r="E1024" s="2">
        <v>0.42799999999999999</v>
      </c>
      <c r="F1024" s="2">
        <v>0.4622</v>
      </c>
      <c r="G1024" s="2">
        <v>0.4879</v>
      </c>
      <c r="H1024" s="2">
        <v>0.51790000000000003</v>
      </c>
      <c r="I1024" s="2">
        <v>0.55640000000000001</v>
      </c>
      <c r="J1024" s="2">
        <v>0.59489999999999998</v>
      </c>
      <c r="K1024" s="2">
        <v>0.63339999999999996</v>
      </c>
      <c r="L1024" s="2">
        <v>0.67200000000000004</v>
      </c>
      <c r="M1024" s="2">
        <v>0.71050000000000002</v>
      </c>
      <c r="N1024" s="2">
        <v>0.749</v>
      </c>
      <c r="O1024" s="2">
        <v>0.78749999999999998</v>
      </c>
      <c r="P1024" s="2">
        <v>0.82599999999999996</v>
      </c>
      <c r="Q1024" s="2">
        <v>0.86460000000000004</v>
      </c>
      <c r="R1024" t="s">
        <v>6</v>
      </c>
      <c r="S1024" t="s">
        <v>6</v>
      </c>
      <c r="T1024" t="s">
        <v>125</v>
      </c>
    </row>
    <row r="1025" spans="1:20" x14ac:dyDescent="0.25">
      <c r="B1025" t="s">
        <v>7</v>
      </c>
      <c r="C1025" s="2">
        <v>0.71540000000000004</v>
      </c>
      <c r="D1025" s="2">
        <v>0.76419999999999999</v>
      </c>
      <c r="E1025" s="2">
        <v>0.81299999999999994</v>
      </c>
      <c r="F1025" s="2">
        <v>0.878</v>
      </c>
      <c r="G1025" s="2">
        <v>0.92679999999999996</v>
      </c>
      <c r="H1025" s="2">
        <v>0.98370000000000002</v>
      </c>
      <c r="I1025" s="2">
        <v>1.0569</v>
      </c>
      <c r="J1025" s="2">
        <v>1.1301000000000001</v>
      </c>
      <c r="K1025" s="2">
        <v>1.2032</v>
      </c>
      <c r="L1025" s="2">
        <v>1.2764</v>
      </c>
      <c r="M1025" s="2">
        <v>1.3495999999999999</v>
      </c>
      <c r="N1025" s="2">
        <v>1.4228000000000001</v>
      </c>
      <c r="O1025" s="2">
        <v>1.4959</v>
      </c>
      <c r="P1025" s="2">
        <v>1.5690999999999999</v>
      </c>
      <c r="Q1025" s="2">
        <v>1.6423000000000001</v>
      </c>
      <c r="R1025" t="s">
        <v>6</v>
      </c>
      <c r="S1025" t="s">
        <v>6</v>
      </c>
      <c r="T1025" t="s">
        <v>125</v>
      </c>
    </row>
    <row r="1026" spans="1:20" x14ac:dyDescent="0.25">
      <c r="B1026" t="s">
        <v>214</v>
      </c>
      <c r="C1026" s="2">
        <v>0.95830000000000004</v>
      </c>
      <c r="D1026" s="2">
        <v>1.0237000000000001</v>
      </c>
      <c r="E1026" s="2">
        <v>1.089</v>
      </c>
      <c r="F1026" s="2">
        <v>1.1760999999999999</v>
      </c>
      <c r="G1026" s="2">
        <v>1.2415</v>
      </c>
      <c r="H1026" s="2">
        <v>1.3177000000000001</v>
      </c>
      <c r="I1026" s="2">
        <v>1.4157</v>
      </c>
      <c r="J1026" s="2">
        <v>1.5137</v>
      </c>
      <c r="K1026" s="2">
        <v>1.6116999999999999</v>
      </c>
      <c r="L1026" s="2">
        <v>1.7097</v>
      </c>
      <c r="M1026" s="2">
        <v>1.8077000000000001</v>
      </c>
      <c r="N1026" s="2">
        <v>1.9057999999999999</v>
      </c>
      <c r="O1026" s="2">
        <v>2.0038</v>
      </c>
      <c r="P1026" s="2">
        <v>2.1017999999999999</v>
      </c>
      <c r="Q1026" s="2">
        <v>2.1998000000000002</v>
      </c>
      <c r="R1026" t="s">
        <v>6</v>
      </c>
      <c r="S1026" t="s">
        <v>6</v>
      </c>
      <c r="T1026" t="s">
        <v>125</v>
      </c>
    </row>
    <row r="1027" spans="1:20" x14ac:dyDescent="0.25">
      <c r="B1027" t="s">
        <v>14</v>
      </c>
      <c r="C1027" s="2">
        <v>1.2109000000000001</v>
      </c>
      <c r="D1027" s="2">
        <v>1.2934000000000001</v>
      </c>
      <c r="E1027" s="2">
        <v>1.3759999999999999</v>
      </c>
      <c r="F1027" s="2">
        <v>1.4861</v>
      </c>
      <c r="G1027" s="2">
        <v>1.5686</v>
      </c>
      <c r="H1027" s="2">
        <v>1.665</v>
      </c>
      <c r="I1027" s="2">
        <v>1.7887999999999999</v>
      </c>
      <c r="J1027" s="2">
        <v>1.9126000000000001</v>
      </c>
      <c r="K1027" s="2">
        <v>2.0365000000000002</v>
      </c>
      <c r="L1027" s="2">
        <v>2.1602999999999999</v>
      </c>
      <c r="M1027" s="2">
        <v>2.2841999999999998</v>
      </c>
      <c r="N1027" s="2">
        <v>2.4079999999999999</v>
      </c>
      <c r="O1027" s="2">
        <v>2.5318000000000001</v>
      </c>
      <c r="P1027" s="2">
        <v>2.6556999999999999</v>
      </c>
      <c r="Q1027" s="2">
        <v>2.7795000000000001</v>
      </c>
      <c r="R1027" t="s">
        <v>5</v>
      </c>
      <c r="S1027" t="s">
        <v>5</v>
      </c>
      <c r="T1027" t="s">
        <v>125</v>
      </c>
    </row>
    <row r="1028" spans="1:20" x14ac:dyDescent="0.25">
      <c r="B1028" t="s">
        <v>152</v>
      </c>
      <c r="C1028" s="2">
        <v>0.81830000000000003</v>
      </c>
      <c r="D1028" s="2">
        <v>0.88490000000000002</v>
      </c>
      <c r="E1028" s="2">
        <v>0.9516</v>
      </c>
      <c r="F1028" s="2">
        <v>1.0467</v>
      </c>
      <c r="G1028" s="2">
        <v>1.1133</v>
      </c>
      <c r="H1028" s="2">
        <v>1.1894</v>
      </c>
      <c r="I1028" s="2">
        <v>1.2941</v>
      </c>
      <c r="J1028" s="2">
        <v>1.3988</v>
      </c>
      <c r="K1028" s="2">
        <v>1.5035000000000001</v>
      </c>
      <c r="L1028" s="2">
        <v>1.6175999999999999</v>
      </c>
      <c r="M1028" s="2">
        <v>1.7318</v>
      </c>
      <c r="N1028" s="2">
        <v>1.8460000000000001</v>
      </c>
      <c r="O1028" s="2">
        <v>1.9601999999999999</v>
      </c>
      <c r="P1028" s="2">
        <v>2.0743999999999998</v>
      </c>
      <c r="Q1028" s="2">
        <v>2.1886000000000001</v>
      </c>
      <c r="R1028" t="s">
        <v>3</v>
      </c>
      <c r="S1028" t="s">
        <v>3</v>
      </c>
      <c r="T1028" t="s">
        <v>125</v>
      </c>
    </row>
    <row r="1029" spans="1:20" x14ac:dyDescent="0.25">
      <c r="B1029" t="s">
        <v>133</v>
      </c>
      <c r="C1029" s="2">
        <v>1.6363000000000001</v>
      </c>
      <c r="D1029" s="2">
        <v>1.7695000000000001</v>
      </c>
      <c r="E1029" s="2">
        <v>1.9027000000000001</v>
      </c>
      <c r="F1029" s="2">
        <v>2.093</v>
      </c>
      <c r="G1029" s="2">
        <v>2.2262</v>
      </c>
      <c r="H1029" s="2">
        <v>2.3784000000000001</v>
      </c>
      <c r="I1029" s="2">
        <v>2.5876999999999999</v>
      </c>
      <c r="J1029" s="2">
        <v>2.7970000000000002</v>
      </c>
      <c r="K1029" s="2">
        <v>3.0063</v>
      </c>
      <c r="L1029" s="2">
        <v>3.2345999999999999</v>
      </c>
      <c r="M1029" s="2">
        <v>3.4628999999999999</v>
      </c>
      <c r="N1029" s="2">
        <v>3.6911999999999998</v>
      </c>
      <c r="O1029" s="2">
        <v>3.9196</v>
      </c>
      <c r="P1029" s="2">
        <v>4.1478999999999999</v>
      </c>
      <c r="Q1029" s="2">
        <v>4.3761999999999999</v>
      </c>
      <c r="R1029" t="s">
        <v>3</v>
      </c>
      <c r="S1029" t="s">
        <v>3</v>
      </c>
      <c r="T1029" t="s">
        <v>125</v>
      </c>
    </row>
    <row r="1030" spans="1:20" x14ac:dyDescent="0.25">
      <c r="B1030" t="s">
        <v>134</v>
      </c>
      <c r="C1030" s="2">
        <v>2.0438999999999998</v>
      </c>
      <c r="D1030" s="2">
        <v>2.2101999999999999</v>
      </c>
      <c r="E1030" s="2">
        <v>2.3765999999999998</v>
      </c>
      <c r="F1030" s="2">
        <v>2.6141999999999999</v>
      </c>
      <c r="G1030" s="2">
        <v>2.7806000000000002</v>
      </c>
      <c r="H1030" s="2">
        <v>2.9706999999999999</v>
      </c>
      <c r="I1030" s="2">
        <v>3.2321</v>
      </c>
      <c r="J1030" s="2">
        <v>3.4935999999999998</v>
      </c>
      <c r="K1030" s="2">
        <v>3.7549999999999999</v>
      </c>
      <c r="L1030" s="2">
        <v>4.0401999999999996</v>
      </c>
      <c r="M1030" s="2">
        <v>4.3254000000000001</v>
      </c>
      <c r="N1030" s="2">
        <v>4.6105999999999998</v>
      </c>
      <c r="O1030" s="2">
        <v>4.8956999999999997</v>
      </c>
      <c r="P1030" s="2">
        <v>5.1809000000000003</v>
      </c>
      <c r="Q1030" s="2">
        <v>5.4661</v>
      </c>
      <c r="R1030" t="s">
        <v>3</v>
      </c>
      <c r="S1030" t="s">
        <v>3</v>
      </c>
      <c r="T1030" t="s">
        <v>125</v>
      </c>
    </row>
    <row r="1031" spans="1:20" x14ac:dyDescent="0.25">
      <c r="B1031" t="s">
        <v>4</v>
      </c>
      <c r="C1031" s="2">
        <v>2.528</v>
      </c>
      <c r="D1031" s="2">
        <v>2.7176</v>
      </c>
      <c r="E1031" s="2">
        <v>2.9072</v>
      </c>
      <c r="F1031" s="2">
        <v>3.16</v>
      </c>
      <c r="G1031" s="2">
        <v>3.3496000000000001</v>
      </c>
      <c r="H1031" s="2">
        <v>3.5392000000000001</v>
      </c>
      <c r="I1031" s="2">
        <v>3.7919999999999998</v>
      </c>
      <c r="J1031" s="2">
        <v>4.0448000000000004</v>
      </c>
      <c r="K1031" s="2">
        <v>4.2976000000000001</v>
      </c>
      <c r="L1031" s="2">
        <v>4.5503999999999998</v>
      </c>
      <c r="M1031" s="2">
        <v>4.8032000000000004</v>
      </c>
      <c r="N1031" s="2">
        <v>5.056</v>
      </c>
      <c r="O1031" s="2">
        <v>5.3719999999999999</v>
      </c>
      <c r="P1031" s="2">
        <v>5.6879999999999997</v>
      </c>
      <c r="Q1031" s="2">
        <v>6.0039999999999996</v>
      </c>
      <c r="R1031" t="s">
        <v>19</v>
      </c>
      <c r="S1031" t="s">
        <v>19</v>
      </c>
      <c r="T1031" t="s">
        <v>125</v>
      </c>
    </row>
    <row r="1032" spans="1:20" x14ac:dyDescent="0.25">
      <c r="B1032" s="3" t="s">
        <v>763</v>
      </c>
      <c r="C1032" s="23"/>
      <c r="D1032" s="23"/>
      <c r="E1032" s="23"/>
      <c r="F1032" s="23"/>
      <c r="G1032" s="23"/>
      <c r="H1032" s="23"/>
      <c r="I1032" s="23"/>
      <c r="J1032" s="23"/>
      <c r="K1032" s="23"/>
      <c r="L1032" s="23"/>
      <c r="M1032" s="23"/>
      <c r="N1032" s="23"/>
      <c r="O1032" s="23"/>
      <c r="P1032" s="23"/>
      <c r="Q1032" s="23"/>
      <c r="R1032" s="5" t="s">
        <v>763</v>
      </c>
      <c r="S1032" s="5" t="s">
        <v>763</v>
      </c>
      <c r="T1032" t="s">
        <v>764</v>
      </c>
    </row>
    <row r="1033" spans="1:20" x14ac:dyDescent="0.25">
      <c r="B1033" s="3" t="s">
        <v>386</v>
      </c>
      <c r="C1033" s="23"/>
      <c r="D1033" s="23"/>
      <c r="E1033" s="23"/>
      <c r="F1033" s="23"/>
      <c r="G1033" s="23"/>
      <c r="H1033" s="23"/>
      <c r="I1033" s="23"/>
      <c r="J1033" s="23"/>
      <c r="K1033" s="23"/>
      <c r="L1033" s="23"/>
      <c r="M1033" s="23"/>
      <c r="N1033" s="23"/>
      <c r="O1033" s="23"/>
      <c r="P1033" s="23"/>
      <c r="Q1033" s="23"/>
      <c r="R1033" s="5" t="s">
        <v>392</v>
      </c>
      <c r="S1033" s="5" t="s">
        <v>392</v>
      </c>
      <c r="T1033" t="s">
        <v>69</v>
      </c>
    </row>
    <row r="1034" spans="1:20" x14ac:dyDescent="0.25">
      <c r="B1034" s="3" t="s">
        <v>388</v>
      </c>
      <c r="C1034" s="23"/>
      <c r="D1034" s="23"/>
      <c r="E1034" s="23"/>
      <c r="F1034" s="23"/>
      <c r="G1034" s="23"/>
      <c r="H1034" s="23"/>
      <c r="I1034" s="23"/>
      <c r="J1034" s="23"/>
      <c r="K1034" s="23"/>
      <c r="L1034" s="23"/>
      <c r="M1034" s="23"/>
      <c r="N1034" s="23"/>
      <c r="O1034" s="23"/>
      <c r="P1034" s="23"/>
      <c r="Q1034" s="23"/>
      <c r="R1034" s="5" t="s">
        <v>392</v>
      </c>
      <c r="S1034" s="5" t="s">
        <v>392</v>
      </c>
      <c r="T1034" t="s">
        <v>69</v>
      </c>
    </row>
    <row r="1035" spans="1:20" x14ac:dyDescent="0.25">
      <c r="B1035" s="3" t="s">
        <v>389</v>
      </c>
      <c r="C1035" s="23"/>
      <c r="D1035" s="23"/>
      <c r="E1035" s="23"/>
      <c r="F1035" s="23"/>
      <c r="G1035" s="23"/>
      <c r="H1035" s="23"/>
      <c r="I1035" s="23"/>
      <c r="J1035" s="23"/>
      <c r="K1035" s="23"/>
      <c r="L1035" s="23"/>
      <c r="M1035" s="23"/>
      <c r="N1035" s="23"/>
      <c r="O1035" s="23"/>
      <c r="P1035" s="23"/>
      <c r="Q1035" s="23"/>
      <c r="R1035" s="5" t="s">
        <v>392</v>
      </c>
      <c r="S1035" s="5" t="s">
        <v>392</v>
      </c>
      <c r="T1035" t="s">
        <v>69</v>
      </c>
    </row>
    <row r="1036" spans="1:20" x14ac:dyDescent="0.25">
      <c r="B1036" s="3" t="s">
        <v>385</v>
      </c>
      <c r="C1036" s="23"/>
      <c r="D1036" s="23"/>
      <c r="E1036" s="23"/>
      <c r="F1036" s="23"/>
      <c r="G1036" s="23"/>
      <c r="H1036" s="23"/>
      <c r="I1036" s="23"/>
      <c r="J1036" s="23"/>
      <c r="K1036" s="23"/>
      <c r="L1036" s="23"/>
      <c r="M1036" s="23"/>
      <c r="N1036" s="23"/>
      <c r="O1036" s="23"/>
      <c r="P1036" s="23"/>
      <c r="Q1036" s="23"/>
      <c r="R1036" s="5" t="s">
        <v>392</v>
      </c>
      <c r="S1036" s="5" t="s">
        <v>392</v>
      </c>
      <c r="T1036" t="s">
        <v>69</v>
      </c>
    </row>
    <row r="1037" spans="1:20" x14ac:dyDescent="0.25">
      <c r="B1037" s="3" t="s">
        <v>387</v>
      </c>
      <c r="C1037" s="23"/>
      <c r="D1037" s="23"/>
      <c r="E1037" s="23"/>
      <c r="F1037" s="23"/>
      <c r="G1037" s="23"/>
      <c r="H1037" s="23"/>
      <c r="I1037" s="23"/>
      <c r="J1037" s="23"/>
      <c r="K1037" s="23"/>
      <c r="L1037" s="23"/>
      <c r="M1037" s="23"/>
      <c r="N1037" s="23"/>
      <c r="O1037" s="23"/>
      <c r="P1037" s="23"/>
      <c r="Q1037" s="23"/>
      <c r="R1037" s="5" t="s">
        <v>392</v>
      </c>
      <c r="S1037" s="5" t="s">
        <v>392</v>
      </c>
      <c r="T1037" t="s">
        <v>69</v>
      </c>
    </row>
    <row r="1038" spans="1:20" x14ac:dyDescent="0.25">
      <c r="B1038" s="3" t="s">
        <v>390</v>
      </c>
      <c r="C1038" s="23"/>
      <c r="D1038" s="23"/>
      <c r="E1038" s="23"/>
      <c r="F1038" s="23"/>
      <c r="G1038" s="23"/>
      <c r="H1038" s="23"/>
      <c r="I1038" s="23"/>
      <c r="J1038" s="23"/>
      <c r="K1038" s="23"/>
      <c r="L1038" s="23"/>
      <c r="M1038" s="23"/>
      <c r="N1038" s="23"/>
      <c r="O1038" s="23"/>
      <c r="P1038" s="23"/>
      <c r="Q1038" s="23"/>
      <c r="R1038" s="5" t="s">
        <v>392</v>
      </c>
      <c r="S1038" s="5" t="s">
        <v>392</v>
      </c>
      <c r="T1038" t="s">
        <v>69</v>
      </c>
    </row>
    <row r="1039" spans="1:20" x14ac:dyDescent="0.25">
      <c r="B1039" s="3" t="s">
        <v>391</v>
      </c>
      <c r="C1039" s="23"/>
      <c r="D1039" s="23"/>
      <c r="E1039" s="23"/>
      <c r="F1039" s="23"/>
      <c r="G1039" s="23"/>
      <c r="H1039" s="23"/>
      <c r="I1039" s="23"/>
      <c r="J1039" s="23"/>
      <c r="K1039" s="23"/>
      <c r="L1039" s="23"/>
      <c r="M1039" s="23"/>
      <c r="N1039" s="23"/>
      <c r="O1039" s="23"/>
      <c r="P1039" s="23"/>
      <c r="Q1039" s="23"/>
      <c r="R1039" s="5" t="s">
        <v>392</v>
      </c>
      <c r="S1039" s="5" t="s">
        <v>392</v>
      </c>
      <c r="T1039" t="s">
        <v>69</v>
      </c>
    </row>
    <row r="1040" spans="1:20" x14ac:dyDescent="0.25">
      <c r="A1040" t="s">
        <v>892</v>
      </c>
      <c r="B1040" s="3" t="s">
        <v>393</v>
      </c>
      <c r="C1040" s="23"/>
      <c r="D1040" s="23"/>
      <c r="E1040" s="23"/>
      <c r="F1040" s="23"/>
      <c r="G1040" s="23"/>
      <c r="H1040" s="23"/>
      <c r="I1040" s="23"/>
      <c r="J1040" s="23"/>
      <c r="K1040" s="23"/>
      <c r="L1040" s="23"/>
      <c r="M1040" s="23"/>
      <c r="N1040" s="23"/>
      <c r="O1040" s="23"/>
      <c r="P1040" s="23"/>
      <c r="Q1040" s="23"/>
      <c r="R1040" s="5" t="s">
        <v>392</v>
      </c>
      <c r="S1040" s="5" t="s">
        <v>392</v>
      </c>
      <c r="T1040" t="s">
        <v>69</v>
      </c>
    </row>
    <row r="1041" spans="1:20" x14ac:dyDescent="0.25">
      <c r="B1041" t="s">
        <v>346</v>
      </c>
      <c r="C1041" s="21">
        <v>1</v>
      </c>
      <c r="D1041" s="21">
        <v>2</v>
      </c>
      <c r="E1041" s="21">
        <v>3</v>
      </c>
      <c r="F1041" s="21">
        <v>4</v>
      </c>
      <c r="G1041" s="21">
        <v>5</v>
      </c>
      <c r="H1041" s="21">
        <v>6</v>
      </c>
      <c r="I1041" s="21">
        <v>7</v>
      </c>
      <c r="J1041" s="21">
        <v>8</v>
      </c>
      <c r="K1041" s="21">
        <v>9</v>
      </c>
      <c r="L1041" s="21">
        <v>10</v>
      </c>
      <c r="M1041" s="21">
        <v>11</v>
      </c>
      <c r="N1041" s="21">
        <v>12</v>
      </c>
      <c r="O1041" s="21">
        <v>13</v>
      </c>
      <c r="P1041" s="21">
        <v>14</v>
      </c>
      <c r="Q1041" s="21">
        <v>15</v>
      </c>
      <c r="R1041" s="5" t="s">
        <v>11</v>
      </c>
      <c r="S1041" s="5" t="s">
        <v>1024</v>
      </c>
      <c r="T1041" t="s">
        <v>124</v>
      </c>
    </row>
    <row r="1042" spans="1:20" x14ac:dyDescent="0.25">
      <c r="A1042" t="s">
        <v>893</v>
      </c>
      <c r="B1042" t="s">
        <v>10</v>
      </c>
      <c r="C1042" s="2">
        <v>0.46610000000000001</v>
      </c>
      <c r="D1042" s="2">
        <v>0.50409999999999999</v>
      </c>
      <c r="E1042" s="2">
        <v>0.54200000000000004</v>
      </c>
      <c r="F1042" s="2">
        <v>0.59619999999999995</v>
      </c>
      <c r="G1042" s="2">
        <v>0.6341</v>
      </c>
      <c r="H1042" s="2">
        <v>0.67749999999999999</v>
      </c>
      <c r="I1042" s="2">
        <v>0.73709999999999998</v>
      </c>
      <c r="J1042" s="2">
        <v>0.79669999999999996</v>
      </c>
      <c r="K1042" s="2">
        <v>0.85640000000000005</v>
      </c>
      <c r="L1042" s="2">
        <v>0.9214</v>
      </c>
      <c r="M1042" s="2">
        <v>0.99590000000000001</v>
      </c>
      <c r="N1042" s="2">
        <v>1.0835999999999999</v>
      </c>
      <c r="O1042" s="2">
        <v>1.1712</v>
      </c>
      <c r="P1042" s="2">
        <v>1.2587999999999999</v>
      </c>
      <c r="Q1042" s="2">
        <v>1.3545</v>
      </c>
      <c r="R1042" t="s">
        <v>6</v>
      </c>
      <c r="S1042" t="s">
        <v>6</v>
      </c>
      <c r="T1042" t="s">
        <v>125</v>
      </c>
    </row>
    <row r="1043" spans="1:20" x14ac:dyDescent="0.25">
      <c r="B1043" t="s">
        <v>9</v>
      </c>
      <c r="C1043" s="2">
        <v>0.47639999999999999</v>
      </c>
      <c r="D1043" s="2">
        <v>0.51519999999999999</v>
      </c>
      <c r="E1043" s="2">
        <v>0.55400000000000005</v>
      </c>
      <c r="F1043" s="2">
        <v>0.60940000000000005</v>
      </c>
      <c r="G1043" s="2">
        <v>0.6482</v>
      </c>
      <c r="H1043" s="2">
        <v>0.6925</v>
      </c>
      <c r="I1043" s="2">
        <v>0.75339999999999996</v>
      </c>
      <c r="J1043" s="2">
        <v>0.81440000000000001</v>
      </c>
      <c r="K1043" s="2">
        <v>0.87529999999999997</v>
      </c>
      <c r="L1043" s="2">
        <v>0.94179999999999997</v>
      </c>
      <c r="M1043" s="2">
        <v>1.018</v>
      </c>
      <c r="N1043" s="2">
        <v>1.1075999999999999</v>
      </c>
      <c r="O1043" s="2">
        <v>1.1971000000000001</v>
      </c>
      <c r="P1043" s="2">
        <v>1.2867</v>
      </c>
      <c r="Q1043" s="2">
        <v>1.3844000000000001</v>
      </c>
      <c r="R1043" t="s">
        <v>6</v>
      </c>
      <c r="S1043" t="s">
        <v>6</v>
      </c>
      <c r="T1043" t="s">
        <v>125</v>
      </c>
    </row>
    <row r="1044" spans="1:20" x14ac:dyDescent="0.25">
      <c r="B1044" t="s">
        <v>275</v>
      </c>
      <c r="C1044" s="2">
        <v>0.28549999999999998</v>
      </c>
      <c r="D1044" s="2">
        <v>0.30880000000000002</v>
      </c>
      <c r="E1044" s="2">
        <v>0.33200000000000002</v>
      </c>
      <c r="F1044" s="2">
        <v>0.36520000000000002</v>
      </c>
      <c r="G1044" s="2">
        <v>0.38840000000000002</v>
      </c>
      <c r="H1044" s="2">
        <v>0.41499999999999998</v>
      </c>
      <c r="I1044" s="2">
        <v>0.45150000000000001</v>
      </c>
      <c r="J1044" s="2">
        <v>0.48799999999999999</v>
      </c>
      <c r="K1044" s="2">
        <v>0.52459999999999996</v>
      </c>
      <c r="L1044" s="2">
        <v>0.56440000000000001</v>
      </c>
      <c r="M1044" s="2">
        <v>0.61009999999999998</v>
      </c>
      <c r="N1044" s="2">
        <v>0.66369999999999996</v>
      </c>
      <c r="O1044" s="2">
        <v>0.71740000000000004</v>
      </c>
      <c r="P1044" s="2">
        <v>0.77110000000000001</v>
      </c>
      <c r="Q1044" s="2">
        <v>0.82969999999999999</v>
      </c>
      <c r="R1044" t="s">
        <v>6</v>
      </c>
      <c r="S1044" t="s">
        <v>6</v>
      </c>
      <c r="T1044" t="s">
        <v>125</v>
      </c>
    </row>
    <row r="1045" spans="1:20" x14ac:dyDescent="0.25">
      <c r="B1045" t="s">
        <v>13</v>
      </c>
      <c r="C1045" s="2">
        <v>0.55989999999999995</v>
      </c>
      <c r="D1045" s="2">
        <v>0.60540000000000005</v>
      </c>
      <c r="E1045" s="2">
        <v>0.65100000000000002</v>
      </c>
      <c r="F1045" s="2">
        <v>0.71609999999999996</v>
      </c>
      <c r="G1045" s="2">
        <v>0.76170000000000004</v>
      </c>
      <c r="H1045" s="2">
        <v>0.81379999999999997</v>
      </c>
      <c r="I1045" s="2">
        <v>0.88539999999999996</v>
      </c>
      <c r="J1045" s="2">
        <v>0.95699999999999996</v>
      </c>
      <c r="K1045" s="2">
        <v>1.0286</v>
      </c>
      <c r="L1045" s="2">
        <v>1.1067</v>
      </c>
      <c r="M1045" s="2">
        <v>1.1961999999999999</v>
      </c>
      <c r="N1045" s="2">
        <v>1.3015000000000001</v>
      </c>
      <c r="O1045" s="2">
        <v>1.4067000000000001</v>
      </c>
      <c r="P1045" s="2">
        <v>1.512</v>
      </c>
      <c r="Q1045" s="2">
        <v>1.6268</v>
      </c>
      <c r="R1045" t="s">
        <v>6</v>
      </c>
      <c r="S1045" t="s">
        <v>6</v>
      </c>
      <c r="T1045" t="s">
        <v>125</v>
      </c>
    </row>
    <row r="1046" spans="1:20" x14ac:dyDescent="0.25">
      <c r="B1046" t="s">
        <v>196</v>
      </c>
      <c r="C1046" s="2">
        <v>0.35859999999999997</v>
      </c>
      <c r="D1046" s="2">
        <v>0.38779999999999998</v>
      </c>
      <c r="E1046" s="2">
        <v>0.41699999999999998</v>
      </c>
      <c r="F1046" s="2">
        <v>0.4587</v>
      </c>
      <c r="G1046" s="2">
        <v>0.4879</v>
      </c>
      <c r="H1046" s="2">
        <v>0.52129999999999999</v>
      </c>
      <c r="I1046" s="2">
        <v>0.56710000000000005</v>
      </c>
      <c r="J1046" s="2">
        <v>0.61299999999999999</v>
      </c>
      <c r="K1046" s="2">
        <v>0.65890000000000004</v>
      </c>
      <c r="L1046" s="2">
        <v>0.70889999999999997</v>
      </c>
      <c r="M1046" s="2">
        <v>0.76619999999999999</v>
      </c>
      <c r="N1046" s="2">
        <v>0.8337</v>
      </c>
      <c r="O1046" s="2">
        <v>0.90110000000000001</v>
      </c>
      <c r="P1046" s="2">
        <v>0.96850000000000003</v>
      </c>
      <c r="Q1046" s="2">
        <v>1.0421</v>
      </c>
      <c r="R1046" t="s">
        <v>6</v>
      </c>
      <c r="S1046" t="s">
        <v>6</v>
      </c>
      <c r="T1046" t="s">
        <v>125</v>
      </c>
    </row>
    <row r="1047" spans="1:20" x14ac:dyDescent="0.25">
      <c r="B1047" t="s">
        <v>138</v>
      </c>
      <c r="C1047" s="2">
        <v>0.47299999999999998</v>
      </c>
      <c r="D1047" s="2">
        <v>0.51149999999999995</v>
      </c>
      <c r="E1047" s="2">
        <v>0.55000000000000004</v>
      </c>
      <c r="F1047" s="2">
        <v>0.60499999999999998</v>
      </c>
      <c r="G1047" s="2">
        <v>0.64349999999999996</v>
      </c>
      <c r="H1047" s="2">
        <v>0.6875</v>
      </c>
      <c r="I1047" s="2">
        <v>0.748</v>
      </c>
      <c r="J1047" s="2">
        <v>0.8085</v>
      </c>
      <c r="K1047" s="2">
        <v>0.86899999999999999</v>
      </c>
      <c r="L1047" s="2">
        <v>0.93500000000000005</v>
      </c>
      <c r="M1047" s="2">
        <v>1.0105999999999999</v>
      </c>
      <c r="N1047" s="2">
        <v>1.0995999999999999</v>
      </c>
      <c r="O1047" s="2">
        <v>1.1884999999999999</v>
      </c>
      <c r="P1047" s="2">
        <v>1.2774000000000001</v>
      </c>
      <c r="Q1047" s="2">
        <v>1.3745000000000001</v>
      </c>
      <c r="R1047" t="s">
        <v>5</v>
      </c>
      <c r="S1047" t="s">
        <v>5</v>
      </c>
      <c r="T1047" t="s">
        <v>125</v>
      </c>
    </row>
    <row r="1048" spans="1:20" x14ac:dyDescent="0.25">
      <c r="B1048" t="s">
        <v>139</v>
      </c>
      <c r="C1048" s="2">
        <v>0.56159999999999999</v>
      </c>
      <c r="D1048" s="2">
        <v>0.60729999999999995</v>
      </c>
      <c r="E1048" s="2">
        <v>0.65300000000000002</v>
      </c>
      <c r="F1048" s="2">
        <v>0.71830000000000005</v>
      </c>
      <c r="G1048" s="2">
        <v>0.76400000000000001</v>
      </c>
      <c r="H1048" s="2">
        <v>0.81630000000000003</v>
      </c>
      <c r="I1048" s="2">
        <v>0.8881</v>
      </c>
      <c r="J1048" s="2">
        <v>0.95989999999999998</v>
      </c>
      <c r="K1048" s="2">
        <v>1.0317000000000001</v>
      </c>
      <c r="L1048" s="2">
        <v>1.1101000000000001</v>
      </c>
      <c r="M1048" s="2">
        <v>1.1999</v>
      </c>
      <c r="N1048" s="2">
        <v>1.3055000000000001</v>
      </c>
      <c r="O1048" s="2">
        <v>1.4111</v>
      </c>
      <c r="P1048" s="2">
        <v>1.5166999999999999</v>
      </c>
      <c r="Q1048" s="2">
        <v>1.6317999999999999</v>
      </c>
      <c r="R1048" t="s">
        <v>5</v>
      </c>
      <c r="S1048" t="s">
        <v>5</v>
      </c>
      <c r="T1048" t="s">
        <v>125</v>
      </c>
    </row>
    <row r="1049" spans="1:20" x14ac:dyDescent="0.25">
      <c r="B1049" t="s">
        <v>152</v>
      </c>
      <c r="C1049" s="2">
        <v>0.63929999999999998</v>
      </c>
      <c r="D1049" s="2">
        <v>0.69140000000000001</v>
      </c>
      <c r="E1049" s="2">
        <v>0.74339999999999995</v>
      </c>
      <c r="F1049" s="2">
        <v>0.81769999999999998</v>
      </c>
      <c r="G1049" s="2">
        <v>0.86980000000000002</v>
      </c>
      <c r="H1049" s="2">
        <v>0.92930000000000001</v>
      </c>
      <c r="I1049" s="2">
        <v>1.0109999999999999</v>
      </c>
      <c r="J1049" s="2">
        <v>1.0928</v>
      </c>
      <c r="K1049" s="2">
        <v>1.1746000000000001</v>
      </c>
      <c r="L1049" s="2">
        <v>1.2638</v>
      </c>
      <c r="M1049" s="2">
        <v>1.353</v>
      </c>
      <c r="N1049" s="2">
        <v>1.4421999999999999</v>
      </c>
      <c r="O1049" s="2">
        <v>1.5314000000000001</v>
      </c>
      <c r="P1049" s="2">
        <v>1.6206</v>
      </c>
      <c r="Q1049" s="2">
        <v>1.7098</v>
      </c>
      <c r="R1049" t="s">
        <v>3</v>
      </c>
      <c r="S1049" t="s">
        <v>3</v>
      </c>
      <c r="T1049" t="s">
        <v>125</v>
      </c>
    </row>
    <row r="1050" spans="1:20" x14ac:dyDescent="0.25">
      <c r="B1050" t="s">
        <v>133</v>
      </c>
      <c r="C1050" s="2">
        <v>1.2784</v>
      </c>
      <c r="D1050" s="2">
        <v>1.3824000000000001</v>
      </c>
      <c r="E1050" s="2">
        <v>1.4864999999999999</v>
      </c>
      <c r="F1050" s="2">
        <v>1.6351</v>
      </c>
      <c r="G1050" s="2">
        <v>1.7392000000000001</v>
      </c>
      <c r="H1050" s="2">
        <v>1.8581000000000001</v>
      </c>
      <c r="I1050" s="2">
        <v>2.0215999999999998</v>
      </c>
      <c r="J1050" s="2">
        <v>2.1850999999999998</v>
      </c>
      <c r="K1050" s="2">
        <v>2.3485999999999998</v>
      </c>
      <c r="L1050" s="2">
        <v>2.5270000000000001</v>
      </c>
      <c r="M1050" s="2">
        <v>2.7054</v>
      </c>
      <c r="N1050" s="2">
        <v>2.8837999999999999</v>
      </c>
      <c r="O1050" s="2">
        <v>3.0621999999999998</v>
      </c>
      <c r="P1050" s="2">
        <v>3.2404999999999999</v>
      </c>
      <c r="Q1050" s="2">
        <v>3.4188999999999998</v>
      </c>
      <c r="R1050" t="s">
        <v>3</v>
      </c>
      <c r="S1050" t="s">
        <v>3</v>
      </c>
      <c r="T1050" t="s">
        <v>125</v>
      </c>
    </row>
    <row r="1051" spans="1:20" x14ac:dyDescent="0.25">
      <c r="B1051" t="s">
        <v>134</v>
      </c>
      <c r="C1051" s="2">
        <v>1.5968</v>
      </c>
      <c r="D1051" s="2">
        <v>1.7266999999999999</v>
      </c>
      <c r="E1051" s="2">
        <v>1.8567</v>
      </c>
      <c r="F1051" s="2">
        <v>2.0424000000000002</v>
      </c>
      <c r="G1051" s="2">
        <v>2.1722999999999999</v>
      </c>
      <c r="H1051" s="2">
        <v>2.3209</v>
      </c>
      <c r="I1051" s="2">
        <v>2.5251000000000001</v>
      </c>
      <c r="J1051" s="2">
        <v>2.7292999999999998</v>
      </c>
      <c r="K1051" s="2">
        <v>2.9336000000000002</v>
      </c>
      <c r="L1051" s="2">
        <v>3.1564000000000001</v>
      </c>
      <c r="M1051" s="2">
        <v>3.3792</v>
      </c>
      <c r="N1051" s="2">
        <v>3.6019999999999999</v>
      </c>
      <c r="O1051" s="2">
        <v>3.8248000000000002</v>
      </c>
      <c r="P1051" s="2">
        <v>4.0476000000000001</v>
      </c>
      <c r="Q1051" s="2">
        <v>4.2704000000000004</v>
      </c>
      <c r="R1051" t="s">
        <v>3</v>
      </c>
      <c r="S1051" t="s">
        <v>3</v>
      </c>
      <c r="T1051" t="s">
        <v>125</v>
      </c>
    </row>
    <row r="1052" spans="1:20" x14ac:dyDescent="0.25">
      <c r="B1052" t="s">
        <v>298</v>
      </c>
      <c r="C1052" s="2">
        <v>1.68</v>
      </c>
      <c r="D1052" s="2">
        <v>1.806</v>
      </c>
      <c r="E1052" s="2">
        <v>1.9319999999999999</v>
      </c>
      <c r="F1052" s="2">
        <v>2.1</v>
      </c>
      <c r="G1052" s="2">
        <v>2.226</v>
      </c>
      <c r="H1052" s="2">
        <v>2.3519999999999999</v>
      </c>
      <c r="I1052" s="2">
        <v>2.52</v>
      </c>
      <c r="J1052" s="2">
        <v>2.6880000000000002</v>
      </c>
      <c r="K1052" s="2">
        <v>2.8559999999999999</v>
      </c>
      <c r="L1052" s="2">
        <v>3.024</v>
      </c>
      <c r="M1052" s="2">
        <v>3.1920000000000002</v>
      </c>
      <c r="N1052" s="2">
        <v>3.36</v>
      </c>
      <c r="O1052" s="2">
        <v>3.57</v>
      </c>
      <c r="P1052" s="2">
        <v>3.78</v>
      </c>
      <c r="Q1052" s="2">
        <v>3.99</v>
      </c>
      <c r="R1052" t="s">
        <v>19</v>
      </c>
      <c r="S1052" t="s">
        <v>19</v>
      </c>
      <c r="T1052" t="s">
        <v>125</v>
      </c>
    </row>
    <row r="1053" spans="1:20" x14ac:dyDescent="0.25">
      <c r="B1053" t="s">
        <v>347</v>
      </c>
      <c r="C1053" s="2">
        <v>1.9119999999999999</v>
      </c>
      <c r="D1053" s="2">
        <v>2.0554000000000001</v>
      </c>
      <c r="E1053" s="2">
        <v>2.1987999999999999</v>
      </c>
      <c r="F1053" s="2">
        <v>2.39</v>
      </c>
      <c r="G1053" s="2">
        <v>2.5333999999999999</v>
      </c>
      <c r="H1053" s="2">
        <v>2.6768000000000001</v>
      </c>
      <c r="I1053" s="2">
        <v>2.8679999999999999</v>
      </c>
      <c r="J1053" s="2">
        <v>3.0592000000000001</v>
      </c>
      <c r="K1053" s="2">
        <v>3.2504</v>
      </c>
      <c r="L1053" s="2">
        <v>3.4416000000000002</v>
      </c>
      <c r="M1053" s="2">
        <v>3.6328</v>
      </c>
      <c r="N1053" s="2">
        <v>3.8239999999999998</v>
      </c>
      <c r="O1053" s="2">
        <v>4.0629999999999997</v>
      </c>
      <c r="P1053" s="2">
        <v>4.3019999999999996</v>
      </c>
      <c r="Q1053" s="2">
        <v>4.5410000000000004</v>
      </c>
      <c r="R1053" t="s">
        <v>19</v>
      </c>
      <c r="S1053" t="s">
        <v>19</v>
      </c>
      <c r="T1053" t="s">
        <v>125</v>
      </c>
    </row>
    <row r="1054" spans="1:20" x14ac:dyDescent="0.25">
      <c r="B1054" t="s">
        <v>957</v>
      </c>
      <c r="C1054" s="2">
        <v>2.52</v>
      </c>
      <c r="D1054" s="2">
        <v>2.7090000000000001</v>
      </c>
      <c r="E1054" s="2">
        <v>2.8979999999999997</v>
      </c>
      <c r="F1054" s="2">
        <v>3.1500000000000004</v>
      </c>
      <c r="G1054" s="2">
        <v>3.339</v>
      </c>
      <c r="H1054" s="2">
        <v>3.5279999999999996</v>
      </c>
      <c r="I1054" s="2">
        <v>3.7800000000000002</v>
      </c>
      <c r="J1054" s="2">
        <v>4.032</v>
      </c>
      <c r="K1054" s="2">
        <v>4.2839999999999998</v>
      </c>
      <c r="L1054" s="2">
        <v>4.5359999999999996</v>
      </c>
      <c r="M1054" s="2">
        <v>4.7880000000000003</v>
      </c>
      <c r="N1054" s="2">
        <v>5.04</v>
      </c>
      <c r="O1054" s="2">
        <v>5.3549999999999995</v>
      </c>
      <c r="P1054" s="2">
        <v>5.67</v>
      </c>
      <c r="Q1054" s="2">
        <v>5.9850000000000003</v>
      </c>
      <c r="R1054" t="s">
        <v>19</v>
      </c>
      <c r="S1054" t="s">
        <v>19</v>
      </c>
      <c r="T1054" t="s">
        <v>125</v>
      </c>
    </row>
    <row r="1055" spans="1:20" x14ac:dyDescent="0.25">
      <c r="B1055" t="s">
        <v>958</v>
      </c>
      <c r="C1055" s="2">
        <v>2.8679999999999999</v>
      </c>
      <c r="D1055" s="2">
        <v>3.0831</v>
      </c>
      <c r="E1055" s="2">
        <v>3.2981999999999996</v>
      </c>
      <c r="F1055" s="2">
        <v>3.585</v>
      </c>
      <c r="G1055" s="2">
        <v>3.8000999999999996</v>
      </c>
      <c r="H1055" s="2">
        <v>4.0152000000000001</v>
      </c>
      <c r="I1055" s="2">
        <v>4.3019999999999996</v>
      </c>
      <c r="J1055" s="2">
        <v>4.5888</v>
      </c>
      <c r="K1055" s="2">
        <v>4.8756000000000004</v>
      </c>
      <c r="L1055" s="2">
        <v>5.1623999999999999</v>
      </c>
      <c r="M1055" s="2">
        <v>5.4492000000000003</v>
      </c>
      <c r="N1055" s="2">
        <v>5.7359999999999998</v>
      </c>
      <c r="O1055" s="2">
        <v>6.0945</v>
      </c>
      <c r="P1055" s="2">
        <v>6.4529999999999994</v>
      </c>
      <c r="Q1055" s="2">
        <v>6.8115000000000006</v>
      </c>
      <c r="R1055" t="s">
        <v>19</v>
      </c>
      <c r="S1055" t="s">
        <v>19</v>
      </c>
      <c r="T1055" t="s">
        <v>125</v>
      </c>
    </row>
    <row r="1056" spans="1:20" x14ac:dyDescent="0.25">
      <c r="B1056" t="s">
        <v>348</v>
      </c>
      <c r="C1056" s="2">
        <v>0.54269999999999996</v>
      </c>
      <c r="D1056" s="2">
        <v>0.58340000000000003</v>
      </c>
      <c r="E1056" s="2">
        <v>0.62409999999999999</v>
      </c>
      <c r="F1056" s="2">
        <v>0.6784</v>
      </c>
      <c r="G1056" s="2">
        <v>0.71909999999999996</v>
      </c>
      <c r="H1056" s="2">
        <v>0.75980000000000003</v>
      </c>
      <c r="I1056" s="2">
        <v>0.81410000000000005</v>
      </c>
      <c r="J1056" s="2">
        <v>0.86839999999999995</v>
      </c>
      <c r="K1056" s="2">
        <v>0.92259999999999998</v>
      </c>
      <c r="L1056" s="2">
        <v>0.97689999999999999</v>
      </c>
      <c r="M1056" s="2">
        <v>1.0311999999999999</v>
      </c>
      <c r="N1056" s="2">
        <v>1.0853999999999999</v>
      </c>
      <c r="O1056" s="2">
        <v>1.1533</v>
      </c>
      <c r="P1056" s="2">
        <v>1.2211000000000001</v>
      </c>
      <c r="Q1056" s="2">
        <v>1.2889999999999999</v>
      </c>
      <c r="R1056" t="s">
        <v>0</v>
      </c>
      <c r="S1056" t="s">
        <v>0</v>
      </c>
      <c r="T1056" t="s">
        <v>125</v>
      </c>
    </row>
    <row r="1057" spans="1:21" x14ac:dyDescent="0.25">
      <c r="B1057" t="s">
        <v>940</v>
      </c>
      <c r="C1057" s="2">
        <v>0.06</v>
      </c>
      <c r="D1057" s="2">
        <v>0.06</v>
      </c>
      <c r="E1057" s="2">
        <v>0.06</v>
      </c>
      <c r="F1057" s="2">
        <v>0.06</v>
      </c>
      <c r="G1057" s="2">
        <v>0.06</v>
      </c>
      <c r="H1057" s="2">
        <v>0.06</v>
      </c>
      <c r="I1057" s="2">
        <v>0.06</v>
      </c>
      <c r="J1057" s="2">
        <v>0.06</v>
      </c>
      <c r="K1057" s="2">
        <v>0.06</v>
      </c>
      <c r="L1057" s="2">
        <v>0.06</v>
      </c>
      <c r="M1057" s="2">
        <v>0.06</v>
      </c>
      <c r="N1057" s="2">
        <v>0.06</v>
      </c>
      <c r="O1057" s="2">
        <v>0.06</v>
      </c>
      <c r="P1057" s="2">
        <v>0.06</v>
      </c>
      <c r="Q1057" s="2">
        <v>0.06</v>
      </c>
      <c r="R1057" t="s">
        <v>246</v>
      </c>
      <c r="S1057" t="s">
        <v>246</v>
      </c>
      <c r="T1057" t="s">
        <v>223</v>
      </c>
      <c r="U1057" t="s">
        <v>944</v>
      </c>
    </row>
    <row r="1058" spans="1:21" x14ac:dyDescent="0.25">
      <c r="B1058" s="3" t="s">
        <v>763</v>
      </c>
      <c r="C1058" s="23"/>
      <c r="D1058" s="23"/>
      <c r="E1058" s="23"/>
      <c r="F1058" s="23"/>
      <c r="G1058" s="23"/>
      <c r="H1058" s="23"/>
      <c r="I1058" s="23"/>
      <c r="J1058" s="23"/>
      <c r="K1058" s="23"/>
      <c r="L1058" s="23"/>
      <c r="M1058" s="23"/>
      <c r="N1058" s="23"/>
      <c r="O1058" s="23"/>
      <c r="P1058" s="23"/>
      <c r="Q1058" s="23"/>
      <c r="R1058" s="5" t="s">
        <v>763</v>
      </c>
      <c r="S1058" s="5" t="s">
        <v>763</v>
      </c>
      <c r="T1058" t="s">
        <v>764</v>
      </c>
    </row>
    <row r="1059" spans="1:21" x14ac:dyDescent="0.25">
      <c r="B1059" s="3" t="s">
        <v>386</v>
      </c>
      <c r="C1059" s="23"/>
      <c r="D1059" s="23"/>
      <c r="E1059" s="23"/>
      <c r="F1059" s="23"/>
      <c r="G1059" s="23"/>
      <c r="H1059" s="23"/>
      <c r="I1059" s="23"/>
      <c r="J1059" s="23"/>
      <c r="K1059" s="23"/>
      <c r="L1059" s="23"/>
      <c r="M1059" s="23"/>
      <c r="N1059" s="23"/>
      <c r="O1059" s="23"/>
      <c r="P1059" s="23"/>
      <c r="Q1059" s="23"/>
      <c r="R1059" s="5" t="s">
        <v>392</v>
      </c>
      <c r="S1059" s="5" t="s">
        <v>392</v>
      </c>
      <c r="T1059" t="s">
        <v>69</v>
      </c>
    </row>
    <row r="1060" spans="1:21" x14ac:dyDescent="0.25">
      <c r="B1060" s="3" t="s">
        <v>388</v>
      </c>
      <c r="C1060" s="23"/>
      <c r="D1060" s="23"/>
      <c r="E1060" s="23"/>
      <c r="F1060" s="23"/>
      <c r="G1060" s="23"/>
      <c r="H1060" s="23"/>
      <c r="I1060" s="23"/>
      <c r="J1060" s="23"/>
      <c r="K1060" s="23"/>
      <c r="L1060" s="23"/>
      <c r="M1060" s="23"/>
      <c r="N1060" s="23"/>
      <c r="O1060" s="23"/>
      <c r="P1060" s="23"/>
      <c r="Q1060" s="23"/>
      <c r="R1060" s="5" t="s">
        <v>392</v>
      </c>
      <c r="S1060" s="5" t="s">
        <v>392</v>
      </c>
      <c r="T1060" t="s">
        <v>69</v>
      </c>
    </row>
    <row r="1061" spans="1:21" x14ac:dyDescent="0.25">
      <c r="B1061" s="3" t="s">
        <v>389</v>
      </c>
      <c r="C1061" s="23"/>
      <c r="D1061" s="23"/>
      <c r="E1061" s="23"/>
      <c r="F1061" s="23"/>
      <c r="G1061" s="23"/>
      <c r="H1061" s="23"/>
      <c r="I1061" s="23"/>
      <c r="J1061" s="23"/>
      <c r="K1061" s="23"/>
      <c r="L1061" s="23"/>
      <c r="M1061" s="23"/>
      <c r="N1061" s="23"/>
      <c r="O1061" s="23"/>
      <c r="P1061" s="23"/>
      <c r="Q1061" s="23"/>
      <c r="R1061" s="5" t="s">
        <v>392</v>
      </c>
      <c r="S1061" s="5" t="s">
        <v>392</v>
      </c>
      <c r="T1061" t="s">
        <v>69</v>
      </c>
    </row>
    <row r="1062" spans="1:21" x14ac:dyDescent="0.25">
      <c r="B1062" s="3" t="s">
        <v>385</v>
      </c>
      <c r="C1062" s="23"/>
      <c r="D1062" s="23"/>
      <c r="E1062" s="23"/>
      <c r="F1062" s="23"/>
      <c r="G1062" s="23"/>
      <c r="H1062" s="23"/>
      <c r="I1062" s="23"/>
      <c r="J1062" s="23"/>
      <c r="K1062" s="23"/>
      <c r="L1062" s="23"/>
      <c r="M1062" s="23"/>
      <c r="N1062" s="23"/>
      <c r="O1062" s="23"/>
      <c r="P1062" s="23"/>
      <c r="Q1062" s="23"/>
      <c r="R1062" s="5" t="s">
        <v>392</v>
      </c>
      <c r="S1062" s="5" t="s">
        <v>392</v>
      </c>
      <c r="T1062" t="s">
        <v>69</v>
      </c>
    </row>
    <row r="1063" spans="1:21" x14ac:dyDescent="0.25">
      <c r="B1063" s="3" t="s">
        <v>387</v>
      </c>
      <c r="C1063" s="23"/>
      <c r="D1063" s="23"/>
      <c r="E1063" s="23"/>
      <c r="F1063" s="23"/>
      <c r="G1063" s="23"/>
      <c r="H1063" s="23"/>
      <c r="I1063" s="23"/>
      <c r="J1063" s="23"/>
      <c r="K1063" s="23"/>
      <c r="L1063" s="23"/>
      <c r="M1063" s="23"/>
      <c r="N1063" s="23"/>
      <c r="O1063" s="23"/>
      <c r="P1063" s="23"/>
      <c r="Q1063" s="23"/>
      <c r="R1063" s="5" t="s">
        <v>392</v>
      </c>
      <c r="S1063" s="5" t="s">
        <v>392</v>
      </c>
      <c r="T1063" t="s">
        <v>69</v>
      </c>
    </row>
    <row r="1064" spans="1:21" x14ac:dyDescent="0.25">
      <c r="B1064" s="3" t="s">
        <v>390</v>
      </c>
      <c r="C1064" s="23"/>
      <c r="D1064" s="23"/>
      <c r="E1064" s="23"/>
      <c r="F1064" s="23"/>
      <c r="G1064" s="23"/>
      <c r="H1064" s="23"/>
      <c r="I1064" s="23"/>
      <c r="J1064" s="23"/>
      <c r="K1064" s="23"/>
      <c r="L1064" s="23"/>
      <c r="M1064" s="23"/>
      <c r="N1064" s="23"/>
      <c r="O1064" s="23"/>
      <c r="P1064" s="23"/>
      <c r="Q1064" s="23"/>
      <c r="R1064" s="5" t="s">
        <v>392</v>
      </c>
      <c r="S1064" s="5" t="s">
        <v>392</v>
      </c>
      <c r="T1064" t="s">
        <v>69</v>
      </c>
    </row>
    <row r="1065" spans="1:21" x14ac:dyDescent="0.25">
      <c r="B1065" s="3" t="s">
        <v>391</v>
      </c>
      <c r="C1065" s="23"/>
      <c r="D1065" s="23"/>
      <c r="E1065" s="23"/>
      <c r="F1065" s="23"/>
      <c r="G1065" s="23"/>
      <c r="H1065" s="23"/>
      <c r="I1065" s="23"/>
      <c r="J1065" s="23"/>
      <c r="K1065" s="23"/>
      <c r="L1065" s="23"/>
      <c r="M1065" s="23"/>
      <c r="N1065" s="23"/>
      <c r="O1065" s="23"/>
      <c r="P1065" s="23"/>
      <c r="Q1065" s="23"/>
      <c r="R1065" s="5" t="s">
        <v>392</v>
      </c>
      <c r="S1065" s="5" t="s">
        <v>392</v>
      </c>
      <c r="T1065" t="s">
        <v>69</v>
      </c>
    </row>
    <row r="1066" spans="1:21" x14ac:dyDescent="0.25">
      <c r="A1066" t="s">
        <v>894</v>
      </c>
      <c r="B1066" s="3" t="s">
        <v>393</v>
      </c>
      <c r="C1066" s="23"/>
      <c r="D1066" s="23"/>
      <c r="E1066" s="23"/>
      <c r="F1066" s="23"/>
      <c r="G1066" s="23"/>
      <c r="H1066" s="23"/>
      <c r="I1066" s="23"/>
      <c r="J1066" s="23"/>
      <c r="K1066" s="23"/>
      <c r="L1066" s="23"/>
      <c r="M1066" s="23"/>
      <c r="N1066" s="23"/>
      <c r="O1066" s="23"/>
      <c r="P1066" s="23"/>
      <c r="Q1066" s="23"/>
      <c r="R1066" s="5" t="s">
        <v>392</v>
      </c>
      <c r="S1066" s="5" t="s">
        <v>392</v>
      </c>
      <c r="T1066" t="s">
        <v>69</v>
      </c>
    </row>
    <row r="1067" spans="1:21" x14ac:dyDescent="0.25">
      <c r="B1067" t="s">
        <v>349</v>
      </c>
      <c r="C1067" s="21">
        <v>1</v>
      </c>
      <c r="D1067" s="21">
        <v>2</v>
      </c>
      <c r="E1067" s="21">
        <v>3</v>
      </c>
      <c r="F1067" s="21">
        <v>4</v>
      </c>
      <c r="G1067" s="21">
        <v>5</v>
      </c>
      <c r="H1067" s="21">
        <v>6</v>
      </c>
      <c r="I1067" s="21">
        <v>7</v>
      </c>
      <c r="J1067" s="21">
        <v>8</v>
      </c>
      <c r="K1067" s="21">
        <v>9</v>
      </c>
      <c r="L1067" s="21">
        <v>10</v>
      </c>
      <c r="M1067" s="21">
        <v>11</v>
      </c>
      <c r="N1067" s="21">
        <v>12</v>
      </c>
      <c r="O1067" s="21">
        <v>13</v>
      </c>
      <c r="P1067" s="21">
        <v>14</v>
      </c>
      <c r="Q1067" s="21">
        <v>15</v>
      </c>
      <c r="R1067" s="5" t="s">
        <v>11</v>
      </c>
      <c r="S1067" s="5" t="s">
        <v>1024</v>
      </c>
      <c r="T1067" t="s">
        <v>124</v>
      </c>
    </row>
    <row r="1068" spans="1:21" x14ac:dyDescent="0.25">
      <c r="A1068" t="s">
        <v>895</v>
      </c>
      <c r="B1068" t="s">
        <v>10</v>
      </c>
      <c r="C1068" s="2">
        <v>0.76539999999999997</v>
      </c>
      <c r="D1068" s="2">
        <v>0.82769999999999999</v>
      </c>
      <c r="E1068" s="2">
        <v>0.89</v>
      </c>
      <c r="F1068" s="2">
        <v>0.97899999999999998</v>
      </c>
      <c r="G1068" s="2">
        <v>1.0412999999999999</v>
      </c>
      <c r="H1068" s="2">
        <v>1.1125</v>
      </c>
      <c r="I1068" s="2">
        <v>1.2103999999999999</v>
      </c>
      <c r="J1068" s="2">
        <v>1.3083</v>
      </c>
      <c r="K1068" s="2">
        <v>1.4061999999999999</v>
      </c>
      <c r="L1068" s="2">
        <v>1.5129999999999999</v>
      </c>
      <c r="M1068" s="2">
        <v>1.6197999999999999</v>
      </c>
      <c r="N1068" s="2">
        <v>1.7265999999999999</v>
      </c>
      <c r="O1068" s="2">
        <v>1.8333999999999999</v>
      </c>
      <c r="P1068" s="2">
        <v>1.9401999999999999</v>
      </c>
      <c r="Q1068" s="2">
        <v>2.0470000000000002</v>
      </c>
      <c r="R1068" t="s">
        <v>6</v>
      </c>
      <c r="S1068" t="s">
        <v>6</v>
      </c>
      <c r="T1068" t="s">
        <v>125</v>
      </c>
    </row>
    <row r="1069" spans="1:21" x14ac:dyDescent="0.25">
      <c r="B1069" t="s">
        <v>9</v>
      </c>
      <c r="C1069" s="2">
        <v>0.73960000000000004</v>
      </c>
      <c r="D1069" s="2">
        <v>0.79979999999999996</v>
      </c>
      <c r="E1069" s="2">
        <v>0.86</v>
      </c>
      <c r="F1069" s="2">
        <v>0.94599999999999995</v>
      </c>
      <c r="G1069" s="2">
        <v>1.0062</v>
      </c>
      <c r="H1069" s="2">
        <v>1.075</v>
      </c>
      <c r="I1069" s="2">
        <v>1.1696</v>
      </c>
      <c r="J1069" s="2">
        <v>1.2642</v>
      </c>
      <c r="K1069" s="2">
        <v>1.3588</v>
      </c>
      <c r="L1069" s="2">
        <v>1.462</v>
      </c>
      <c r="M1069" s="2">
        <v>1.5651999999999999</v>
      </c>
      <c r="N1069" s="2">
        <v>1.6684000000000001</v>
      </c>
      <c r="O1069" s="2">
        <v>1.7716000000000001</v>
      </c>
      <c r="P1069" s="2">
        <v>1.8748</v>
      </c>
      <c r="Q1069" s="2">
        <v>1.978</v>
      </c>
      <c r="R1069" t="s">
        <v>6</v>
      </c>
      <c r="S1069" t="s">
        <v>6</v>
      </c>
      <c r="T1069" t="s">
        <v>125</v>
      </c>
    </row>
    <row r="1070" spans="1:21" x14ac:dyDescent="0.25">
      <c r="B1070" t="s">
        <v>8</v>
      </c>
      <c r="C1070" s="2">
        <v>0.9546</v>
      </c>
      <c r="D1070" s="2">
        <v>1.0323</v>
      </c>
      <c r="E1070" s="2">
        <v>1.1100000000000001</v>
      </c>
      <c r="F1070" s="2">
        <v>1.2210000000000001</v>
      </c>
      <c r="G1070" s="2">
        <v>1.2987</v>
      </c>
      <c r="H1070" s="2">
        <v>1.3875</v>
      </c>
      <c r="I1070" s="2">
        <v>1.5096000000000001</v>
      </c>
      <c r="J1070" s="2">
        <v>1.6316999999999999</v>
      </c>
      <c r="K1070" s="2">
        <v>1.7538</v>
      </c>
      <c r="L1070" s="2">
        <v>1.887</v>
      </c>
      <c r="M1070" s="2">
        <v>2.0202</v>
      </c>
      <c r="N1070" s="2">
        <v>2.1534</v>
      </c>
      <c r="O1070" s="2">
        <v>2.2866</v>
      </c>
      <c r="P1070" s="2">
        <v>2.4198</v>
      </c>
      <c r="Q1070" s="2">
        <v>2.5529999999999999</v>
      </c>
      <c r="R1070" t="s">
        <v>6</v>
      </c>
      <c r="S1070" t="s">
        <v>6</v>
      </c>
      <c r="T1070" t="s">
        <v>125</v>
      </c>
    </row>
    <row r="1071" spans="1:21" x14ac:dyDescent="0.25">
      <c r="B1071" t="s">
        <v>13</v>
      </c>
      <c r="C1071" s="2">
        <v>1.1584000000000001</v>
      </c>
      <c r="D1071" s="2">
        <v>1.2526999999999999</v>
      </c>
      <c r="E1071" s="2">
        <v>1.347</v>
      </c>
      <c r="F1071" s="2">
        <v>1.4817</v>
      </c>
      <c r="G1071" s="2">
        <v>1.5760000000000001</v>
      </c>
      <c r="H1071" s="2">
        <v>1.6838</v>
      </c>
      <c r="I1071" s="2">
        <v>1.8319000000000001</v>
      </c>
      <c r="J1071" s="2">
        <v>1.9801</v>
      </c>
      <c r="K1071" s="2">
        <v>2.1282999999999999</v>
      </c>
      <c r="L1071" s="2">
        <v>2.2898999999999998</v>
      </c>
      <c r="M1071" s="2">
        <v>2.4514999999999998</v>
      </c>
      <c r="N1071" s="2">
        <v>2.6132</v>
      </c>
      <c r="O1071" s="2">
        <v>2.7747999999999999</v>
      </c>
      <c r="P1071" s="2">
        <v>2.9365000000000001</v>
      </c>
      <c r="Q1071" s="2">
        <v>3.0981000000000001</v>
      </c>
      <c r="R1071" t="s">
        <v>6</v>
      </c>
      <c r="S1071" t="s">
        <v>6</v>
      </c>
      <c r="T1071" t="s">
        <v>125</v>
      </c>
    </row>
    <row r="1072" spans="1:21" x14ac:dyDescent="0.25">
      <c r="B1072" t="s">
        <v>154</v>
      </c>
      <c r="C1072" s="2">
        <v>0.62549999999999994</v>
      </c>
      <c r="D1072" s="2">
        <v>0.6764</v>
      </c>
      <c r="E1072" s="2">
        <v>0.72729999999999995</v>
      </c>
      <c r="F1072" s="2">
        <v>0.8</v>
      </c>
      <c r="G1072" s="2">
        <v>0.85089999999999999</v>
      </c>
      <c r="H1072" s="2">
        <v>0.90910000000000002</v>
      </c>
      <c r="I1072" s="2">
        <v>0.98909999999999998</v>
      </c>
      <c r="J1072" s="2">
        <v>1.0690999999999999</v>
      </c>
      <c r="K1072" s="2">
        <v>1.1491</v>
      </c>
      <c r="L1072" s="2">
        <v>1.2363999999999999</v>
      </c>
      <c r="M1072" s="2">
        <v>1.3236000000000001</v>
      </c>
      <c r="N1072" s="2">
        <v>1.4109</v>
      </c>
      <c r="O1072" s="2">
        <v>1.4982</v>
      </c>
      <c r="P1072" s="2">
        <v>1.5854999999999999</v>
      </c>
      <c r="Q1072" s="2">
        <v>1.6727000000000001</v>
      </c>
      <c r="R1072" t="s">
        <v>5</v>
      </c>
      <c r="S1072" t="s">
        <v>5</v>
      </c>
      <c r="T1072" t="s">
        <v>125</v>
      </c>
    </row>
    <row r="1073" spans="2:20" x14ac:dyDescent="0.25">
      <c r="B1073" t="s">
        <v>155</v>
      </c>
      <c r="C1073" s="2">
        <v>1.1309</v>
      </c>
      <c r="D1073" s="2">
        <v>1.2230000000000001</v>
      </c>
      <c r="E1073" s="2">
        <v>1.3149999999999999</v>
      </c>
      <c r="F1073" s="2">
        <v>1.4464999999999999</v>
      </c>
      <c r="G1073" s="2">
        <v>1.5386</v>
      </c>
      <c r="H1073" s="2">
        <v>1.6437999999999999</v>
      </c>
      <c r="I1073" s="2">
        <v>1.7884</v>
      </c>
      <c r="J1073" s="2">
        <v>1.9331</v>
      </c>
      <c r="K1073" s="2">
        <v>2.0777000000000001</v>
      </c>
      <c r="L1073" s="2">
        <v>2.2355</v>
      </c>
      <c r="M1073" s="2">
        <v>2.3933</v>
      </c>
      <c r="N1073" s="2">
        <v>2.5510999999999999</v>
      </c>
      <c r="O1073" s="2">
        <v>2.7088999999999999</v>
      </c>
      <c r="P1073" s="2">
        <v>2.8666999999999998</v>
      </c>
      <c r="Q1073" s="2">
        <v>3.0245000000000002</v>
      </c>
      <c r="R1073" t="s">
        <v>5</v>
      </c>
      <c r="S1073" t="s">
        <v>5</v>
      </c>
      <c r="T1073" t="s">
        <v>125</v>
      </c>
    </row>
    <row r="1074" spans="2:20" x14ac:dyDescent="0.25">
      <c r="B1074" t="s">
        <v>152</v>
      </c>
      <c r="C1074" s="2">
        <v>0.74590000000000001</v>
      </c>
      <c r="D1074" s="2">
        <v>0.80659999999999998</v>
      </c>
      <c r="E1074" s="2">
        <v>0.86729999999999996</v>
      </c>
      <c r="F1074" s="2">
        <v>0.95399999999999996</v>
      </c>
      <c r="G1074" s="2">
        <v>1.0146999999999999</v>
      </c>
      <c r="H1074" s="2">
        <v>1.0841000000000001</v>
      </c>
      <c r="I1074" s="2">
        <v>1.1795</v>
      </c>
      <c r="J1074" s="2">
        <v>1.2748999999999999</v>
      </c>
      <c r="K1074" s="2">
        <v>1.3703000000000001</v>
      </c>
      <c r="L1074" s="2">
        <v>1.4743999999999999</v>
      </c>
      <c r="M1074" s="2">
        <v>1.5785</v>
      </c>
      <c r="N1074" s="2">
        <v>1.6826000000000001</v>
      </c>
      <c r="O1074" s="2">
        <v>1.7866</v>
      </c>
      <c r="P1074" s="2">
        <v>1.8907</v>
      </c>
      <c r="Q1074" s="2">
        <v>1.9947999999999999</v>
      </c>
      <c r="R1074" t="s">
        <v>3</v>
      </c>
      <c r="S1074" t="s">
        <v>3</v>
      </c>
      <c r="T1074" t="s">
        <v>125</v>
      </c>
    </row>
    <row r="1075" spans="2:20" x14ac:dyDescent="0.25">
      <c r="B1075" t="s">
        <v>133</v>
      </c>
      <c r="C1075" s="2">
        <v>1.4914000000000001</v>
      </c>
      <c r="D1075" s="2">
        <v>1.6128</v>
      </c>
      <c r="E1075" s="2">
        <v>1.7342</v>
      </c>
      <c r="F1075" s="2">
        <v>1.9077</v>
      </c>
      <c r="G1075" s="2">
        <v>2.0291000000000001</v>
      </c>
      <c r="H1075" s="2">
        <v>2.1678000000000002</v>
      </c>
      <c r="I1075" s="2">
        <v>2.3586</v>
      </c>
      <c r="J1075" s="2">
        <v>2.5493000000000001</v>
      </c>
      <c r="K1075" s="2">
        <v>2.7401</v>
      </c>
      <c r="L1075" s="2">
        <v>2.9481999999999999</v>
      </c>
      <c r="M1075" s="2">
        <v>3.1562999999999999</v>
      </c>
      <c r="N1075" s="2">
        <v>3.3643999999999998</v>
      </c>
      <c r="O1075" s="2">
        <v>3.5724999999999998</v>
      </c>
      <c r="P1075" s="2">
        <v>3.7806000000000002</v>
      </c>
      <c r="Q1075" s="2">
        <v>3.9887000000000001</v>
      </c>
      <c r="R1075" t="s">
        <v>3</v>
      </c>
      <c r="S1075" t="s">
        <v>3</v>
      </c>
      <c r="T1075" t="s">
        <v>125</v>
      </c>
    </row>
    <row r="1076" spans="2:20" x14ac:dyDescent="0.25">
      <c r="B1076" t="s">
        <v>134</v>
      </c>
      <c r="C1076" s="2">
        <v>1.8629</v>
      </c>
      <c r="D1076" s="2">
        <v>2.0145</v>
      </c>
      <c r="E1076" s="2">
        <v>2.1661999999999999</v>
      </c>
      <c r="F1076" s="2">
        <v>2.3828</v>
      </c>
      <c r="G1076" s="2">
        <v>2.5344000000000002</v>
      </c>
      <c r="H1076" s="2">
        <v>2.7077</v>
      </c>
      <c r="I1076" s="2">
        <v>2.9460000000000002</v>
      </c>
      <c r="J1076" s="2">
        <v>3.1842000000000001</v>
      </c>
      <c r="K1076" s="2">
        <v>3.4224999999999999</v>
      </c>
      <c r="L1076" s="2">
        <v>3.6825000000000001</v>
      </c>
      <c r="M1076" s="2">
        <v>3.9424000000000001</v>
      </c>
      <c r="N1076" s="2">
        <v>4.2023000000000001</v>
      </c>
      <c r="O1076" s="2">
        <v>4.4622999999999999</v>
      </c>
      <c r="P1076" s="2">
        <v>4.7222</v>
      </c>
      <c r="Q1076" s="2">
        <v>4.9821</v>
      </c>
      <c r="R1076" t="s">
        <v>3</v>
      </c>
      <c r="S1076" t="s">
        <v>3</v>
      </c>
      <c r="T1076" t="s">
        <v>125</v>
      </c>
    </row>
    <row r="1077" spans="2:20" x14ac:dyDescent="0.25">
      <c r="B1077" t="s">
        <v>350</v>
      </c>
      <c r="C1077" s="2">
        <v>1.696</v>
      </c>
      <c r="D1077" s="2">
        <v>1.8231999999999999</v>
      </c>
      <c r="E1077" s="2">
        <v>1.9503999999999999</v>
      </c>
      <c r="F1077" s="2">
        <v>2.12</v>
      </c>
      <c r="G1077" s="2">
        <v>2.2471999999999999</v>
      </c>
      <c r="H1077" s="2">
        <v>2.3744000000000001</v>
      </c>
      <c r="I1077" s="2">
        <v>2.544</v>
      </c>
      <c r="J1077" s="2">
        <v>2.7136</v>
      </c>
      <c r="K1077" s="2">
        <v>2.8832</v>
      </c>
      <c r="L1077" s="2">
        <v>3.0528</v>
      </c>
      <c r="M1077" s="2">
        <v>3.2223999999999999</v>
      </c>
      <c r="N1077" s="2">
        <v>3.3919999999999999</v>
      </c>
      <c r="O1077" s="2">
        <v>3.6040000000000001</v>
      </c>
      <c r="P1077" s="2">
        <v>3.8159999999999998</v>
      </c>
      <c r="Q1077" s="2">
        <v>4.0279999999999996</v>
      </c>
      <c r="R1077" t="s">
        <v>19</v>
      </c>
      <c r="S1077" t="s">
        <v>19</v>
      </c>
      <c r="T1077" t="s">
        <v>125</v>
      </c>
    </row>
    <row r="1078" spans="2:20" x14ac:dyDescent="0.25">
      <c r="B1078" t="s">
        <v>262</v>
      </c>
      <c r="C1078" s="2">
        <v>0.33600000000000002</v>
      </c>
      <c r="D1078" s="2">
        <v>0.36120000000000002</v>
      </c>
      <c r="E1078" s="2">
        <v>0.38640000000000002</v>
      </c>
      <c r="F1078" s="2">
        <v>0.42</v>
      </c>
      <c r="G1078" s="2">
        <v>0.44519999999999998</v>
      </c>
      <c r="H1078" s="2">
        <v>0.47039999999999998</v>
      </c>
      <c r="I1078" s="2">
        <v>0.504</v>
      </c>
      <c r="J1078" s="2">
        <v>0.53759999999999997</v>
      </c>
      <c r="K1078" s="2">
        <v>0.57120000000000004</v>
      </c>
      <c r="L1078" s="2">
        <v>0.6048</v>
      </c>
      <c r="M1078" s="2">
        <v>0.63839999999999997</v>
      </c>
      <c r="N1078" s="2">
        <v>0.67200000000000004</v>
      </c>
      <c r="O1078" s="2">
        <v>0.71399999999999997</v>
      </c>
      <c r="P1078" s="2">
        <v>0.75600000000000001</v>
      </c>
      <c r="Q1078" s="2">
        <v>0.79800000000000004</v>
      </c>
      <c r="R1078" t="s">
        <v>19</v>
      </c>
      <c r="S1078" t="s">
        <v>19</v>
      </c>
      <c r="T1078" t="s">
        <v>125</v>
      </c>
    </row>
    <row r="1079" spans="2:20" x14ac:dyDescent="0.25">
      <c r="B1079" t="s">
        <v>170</v>
      </c>
      <c r="C1079" s="2">
        <v>3.4079999999999999</v>
      </c>
      <c r="D1079" s="2">
        <v>3.6636000000000002</v>
      </c>
      <c r="E1079" s="2">
        <v>3.9192</v>
      </c>
      <c r="F1079" s="2">
        <v>4.26</v>
      </c>
      <c r="G1079" s="2">
        <v>4.5156000000000001</v>
      </c>
      <c r="H1079" s="2">
        <v>4.7712000000000003</v>
      </c>
      <c r="I1079" s="2">
        <v>5.1120000000000001</v>
      </c>
      <c r="J1079" s="2">
        <v>5.4527999999999999</v>
      </c>
      <c r="K1079" s="2">
        <v>5.7935999999999996</v>
      </c>
      <c r="L1079" s="2">
        <v>6.1344000000000003</v>
      </c>
      <c r="M1079" s="2">
        <v>6.4752000000000001</v>
      </c>
      <c r="N1079" s="2">
        <v>6.8159999999999998</v>
      </c>
      <c r="O1079" s="2">
        <v>7.242</v>
      </c>
      <c r="P1079" s="2">
        <v>7.6680000000000001</v>
      </c>
      <c r="Q1079" s="2">
        <v>8.0939999999999994</v>
      </c>
      <c r="R1079" t="s">
        <v>0</v>
      </c>
      <c r="S1079" t="s">
        <v>0</v>
      </c>
      <c r="T1079" t="s">
        <v>125</v>
      </c>
    </row>
    <row r="1080" spans="2:20" x14ac:dyDescent="0.25">
      <c r="B1080" t="s">
        <v>351</v>
      </c>
      <c r="C1080" s="2">
        <v>0.4</v>
      </c>
      <c r="D1080" s="2">
        <v>0.43</v>
      </c>
      <c r="E1080" s="2">
        <v>0.46</v>
      </c>
      <c r="F1080" s="2">
        <v>0.5</v>
      </c>
      <c r="G1080" s="2">
        <v>0.53</v>
      </c>
      <c r="H1080" s="2">
        <v>0.56000000000000005</v>
      </c>
      <c r="I1080" s="2">
        <v>0.6</v>
      </c>
      <c r="J1080" s="2">
        <v>0.64</v>
      </c>
      <c r="K1080" s="2">
        <v>0.68</v>
      </c>
      <c r="L1080" s="2">
        <v>0.72</v>
      </c>
      <c r="M1080" s="2">
        <v>0.76</v>
      </c>
      <c r="N1080" s="2">
        <v>0.8</v>
      </c>
      <c r="O1080" s="2">
        <v>0.85</v>
      </c>
      <c r="P1080" s="2">
        <v>0.9</v>
      </c>
      <c r="Q1080" s="2">
        <v>0.95</v>
      </c>
      <c r="R1080" t="s">
        <v>0</v>
      </c>
      <c r="S1080" t="s">
        <v>0</v>
      </c>
      <c r="T1080" t="s">
        <v>125</v>
      </c>
    </row>
    <row r="1081" spans="2:20" x14ac:dyDescent="0.25">
      <c r="B1081" t="s">
        <v>352</v>
      </c>
      <c r="C1081" s="29">
        <v>0.5</v>
      </c>
      <c r="D1081" s="29">
        <v>0.5</v>
      </c>
      <c r="E1081" s="29">
        <v>0.5</v>
      </c>
      <c r="F1081" s="29">
        <v>0.5</v>
      </c>
      <c r="G1081" s="29">
        <v>0.5</v>
      </c>
      <c r="H1081" s="29">
        <v>0.5</v>
      </c>
      <c r="I1081" s="29">
        <v>0.5</v>
      </c>
      <c r="J1081" s="29">
        <v>0.5</v>
      </c>
      <c r="K1081" s="29">
        <v>0.5</v>
      </c>
      <c r="L1081" s="29">
        <v>0.5</v>
      </c>
      <c r="M1081" s="29">
        <v>0.5</v>
      </c>
      <c r="N1081" s="29">
        <v>0.5</v>
      </c>
      <c r="O1081" s="29">
        <v>0.5</v>
      </c>
      <c r="P1081" s="29">
        <v>0.5</v>
      </c>
      <c r="Q1081" s="29">
        <v>0.5</v>
      </c>
      <c r="R1081" t="s">
        <v>5</v>
      </c>
      <c r="S1081" t="s">
        <v>5</v>
      </c>
      <c r="T1081" t="s">
        <v>128</v>
      </c>
    </row>
    <row r="1082" spans="2:20" x14ac:dyDescent="0.25">
      <c r="B1082" s="3" t="s">
        <v>763</v>
      </c>
      <c r="C1082" s="23"/>
      <c r="D1082" s="23"/>
      <c r="E1082" s="23"/>
      <c r="F1082" s="23"/>
      <c r="G1082" s="23"/>
      <c r="H1082" s="23"/>
      <c r="I1082" s="23"/>
      <c r="J1082" s="23"/>
      <c r="K1082" s="23"/>
      <c r="L1082" s="23"/>
      <c r="M1082" s="23"/>
      <c r="N1082" s="23"/>
      <c r="O1082" s="23"/>
      <c r="P1082" s="23"/>
      <c r="Q1082" s="23"/>
      <c r="R1082" s="5" t="s">
        <v>763</v>
      </c>
      <c r="S1082" s="5" t="s">
        <v>763</v>
      </c>
      <c r="T1082" t="s">
        <v>764</v>
      </c>
    </row>
    <row r="1083" spans="2:20" x14ac:dyDescent="0.25">
      <c r="B1083" s="3" t="s">
        <v>386</v>
      </c>
      <c r="C1083" s="23"/>
      <c r="D1083" s="23"/>
      <c r="E1083" s="23"/>
      <c r="F1083" s="23"/>
      <c r="G1083" s="23"/>
      <c r="H1083" s="23"/>
      <c r="I1083" s="23"/>
      <c r="J1083" s="23"/>
      <c r="K1083" s="23"/>
      <c r="L1083" s="23"/>
      <c r="M1083" s="23"/>
      <c r="N1083" s="23"/>
      <c r="O1083" s="23"/>
      <c r="P1083" s="23"/>
      <c r="Q1083" s="23"/>
      <c r="R1083" s="5" t="s">
        <v>392</v>
      </c>
      <c r="S1083" s="5" t="s">
        <v>392</v>
      </c>
      <c r="T1083" t="s">
        <v>69</v>
      </c>
    </row>
    <row r="1084" spans="2:20" x14ac:dyDescent="0.25">
      <c r="B1084" s="3" t="s">
        <v>388</v>
      </c>
      <c r="C1084" s="23"/>
      <c r="D1084" s="23"/>
      <c r="E1084" s="23"/>
      <c r="F1084" s="23"/>
      <c r="G1084" s="23"/>
      <c r="H1084" s="23"/>
      <c r="I1084" s="23"/>
      <c r="J1084" s="23"/>
      <c r="K1084" s="23"/>
      <c r="L1084" s="23"/>
      <c r="M1084" s="23"/>
      <c r="N1084" s="23"/>
      <c r="O1084" s="23"/>
      <c r="P1084" s="23"/>
      <c r="Q1084" s="23"/>
      <c r="R1084" s="5" t="s">
        <v>392</v>
      </c>
      <c r="S1084" s="5" t="s">
        <v>392</v>
      </c>
      <c r="T1084" t="s">
        <v>69</v>
      </c>
    </row>
    <row r="1085" spans="2:20" x14ac:dyDescent="0.25">
      <c r="B1085" s="3" t="s">
        <v>389</v>
      </c>
      <c r="C1085" s="23"/>
      <c r="D1085" s="23"/>
      <c r="E1085" s="23"/>
      <c r="F1085" s="23"/>
      <c r="G1085" s="23"/>
      <c r="H1085" s="23"/>
      <c r="I1085" s="23"/>
      <c r="J1085" s="23"/>
      <c r="K1085" s="23"/>
      <c r="L1085" s="23"/>
      <c r="M1085" s="23"/>
      <c r="N1085" s="23"/>
      <c r="O1085" s="23"/>
      <c r="P1085" s="23"/>
      <c r="Q1085" s="23"/>
      <c r="R1085" s="5" t="s">
        <v>392</v>
      </c>
      <c r="S1085" s="5" t="s">
        <v>392</v>
      </c>
      <c r="T1085" t="s">
        <v>69</v>
      </c>
    </row>
    <row r="1086" spans="2:20" x14ac:dyDescent="0.25">
      <c r="B1086" s="3" t="s">
        <v>385</v>
      </c>
      <c r="C1086" s="23"/>
      <c r="D1086" s="23"/>
      <c r="E1086" s="23"/>
      <c r="F1086" s="23"/>
      <c r="G1086" s="23"/>
      <c r="H1086" s="23"/>
      <c r="I1086" s="23"/>
      <c r="J1086" s="23"/>
      <c r="K1086" s="23"/>
      <c r="L1086" s="23"/>
      <c r="M1086" s="23"/>
      <c r="N1086" s="23"/>
      <c r="O1086" s="23"/>
      <c r="P1086" s="23"/>
      <c r="Q1086" s="23"/>
      <c r="R1086" s="5" t="s">
        <v>392</v>
      </c>
      <c r="S1086" s="5" t="s">
        <v>392</v>
      </c>
      <c r="T1086" t="s">
        <v>69</v>
      </c>
    </row>
    <row r="1087" spans="2:20" x14ac:dyDescent="0.25">
      <c r="B1087" s="3" t="s">
        <v>387</v>
      </c>
      <c r="C1087" s="23"/>
      <c r="D1087" s="23"/>
      <c r="E1087" s="23"/>
      <c r="F1087" s="23"/>
      <c r="G1087" s="23"/>
      <c r="H1087" s="23"/>
      <c r="I1087" s="23"/>
      <c r="J1087" s="23"/>
      <c r="K1087" s="23"/>
      <c r="L1087" s="23"/>
      <c r="M1087" s="23"/>
      <c r="N1087" s="23"/>
      <c r="O1087" s="23"/>
      <c r="P1087" s="23"/>
      <c r="Q1087" s="23"/>
      <c r="R1087" s="5" t="s">
        <v>392</v>
      </c>
      <c r="S1087" s="5" t="s">
        <v>392</v>
      </c>
      <c r="T1087" t="s">
        <v>69</v>
      </c>
    </row>
    <row r="1088" spans="2:20" x14ac:dyDescent="0.25">
      <c r="B1088" s="3" t="s">
        <v>390</v>
      </c>
      <c r="C1088" s="23"/>
      <c r="D1088" s="23"/>
      <c r="E1088" s="23"/>
      <c r="F1088" s="23"/>
      <c r="G1088" s="23"/>
      <c r="H1088" s="23"/>
      <c r="I1088" s="23"/>
      <c r="J1088" s="23"/>
      <c r="K1088" s="23"/>
      <c r="L1088" s="23"/>
      <c r="M1088" s="23"/>
      <c r="N1088" s="23"/>
      <c r="O1088" s="23"/>
      <c r="P1088" s="23"/>
      <c r="Q1088" s="23"/>
      <c r="R1088" s="5" t="s">
        <v>392</v>
      </c>
      <c r="S1088" s="5" t="s">
        <v>392</v>
      </c>
      <c r="T1088" t="s">
        <v>69</v>
      </c>
    </row>
    <row r="1089" spans="1:20" x14ac:dyDescent="0.25">
      <c r="B1089" s="3" t="s">
        <v>391</v>
      </c>
      <c r="C1089" s="23"/>
      <c r="D1089" s="23"/>
      <c r="E1089" s="23"/>
      <c r="F1089" s="23"/>
      <c r="G1089" s="23"/>
      <c r="H1089" s="23"/>
      <c r="I1089" s="23"/>
      <c r="J1089" s="23"/>
      <c r="K1089" s="23"/>
      <c r="L1089" s="23"/>
      <c r="M1089" s="23"/>
      <c r="N1089" s="23"/>
      <c r="O1089" s="23"/>
      <c r="P1089" s="23"/>
      <c r="Q1089" s="23"/>
      <c r="R1089" s="5" t="s">
        <v>392</v>
      </c>
      <c r="S1089" s="5" t="s">
        <v>392</v>
      </c>
      <c r="T1089" t="s">
        <v>69</v>
      </c>
    </row>
    <row r="1090" spans="1:20" x14ac:dyDescent="0.25">
      <c r="A1090" t="s">
        <v>896</v>
      </c>
      <c r="B1090" s="3" t="s">
        <v>393</v>
      </c>
      <c r="C1090" s="23"/>
      <c r="D1090" s="23"/>
      <c r="E1090" s="23"/>
      <c r="F1090" s="23"/>
      <c r="G1090" s="23"/>
      <c r="H1090" s="23"/>
      <c r="I1090" s="23"/>
      <c r="J1090" s="23"/>
      <c r="K1090" s="23"/>
      <c r="L1090" s="23"/>
      <c r="M1090" s="23"/>
      <c r="N1090" s="23"/>
      <c r="O1090" s="23"/>
      <c r="P1090" s="23"/>
      <c r="Q1090" s="23"/>
      <c r="R1090" s="5" t="s">
        <v>392</v>
      </c>
      <c r="S1090" s="5" t="s">
        <v>392</v>
      </c>
      <c r="T1090" t="s">
        <v>69</v>
      </c>
    </row>
    <row r="1091" spans="1:20" x14ac:dyDescent="0.25">
      <c r="B1091" s="3" t="s">
        <v>1145</v>
      </c>
      <c r="C1091" s="21">
        <v>1</v>
      </c>
      <c r="D1091" s="21">
        <v>2</v>
      </c>
      <c r="E1091" s="21">
        <v>3</v>
      </c>
      <c r="F1091" s="21">
        <v>4</v>
      </c>
      <c r="G1091" s="21">
        <v>5</v>
      </c>
      <c r="H1091" s="21">
        <v>6</v>
      </c>
      <c r="I1091" s="21">
        <v>7</v>
      </c>
      <c r="J1091" s="21">
        <v>8</v>
      </c>
      <c r="K1091" s="21">
        <v>9</v>
      </c>
      <c r="L1091" s="21">
        <v>10</v>
      </c>
      <c r="M1091" s="21">
        <v>11</v>
      </c>
      <c r="N1091" s="21">
        <v>12</v>
      </c>
      <c r="O1091" s="21">
        <v>13</v>
      </c>
      <c r="P1091" s="21">
        <v>14</v>
      </c>
      <c r="Q1091" s="21">
        <v>15</v>
      </c>
      <c r="R1091" s="5" t="s">
        <v>11</v>
      </c>
      <c r="S1091" s="5" t="s">
        <v>1024</v>
      </c>
      <c r="T1091" t="s">
        <v>124</v>
      </c>
    </row>
    <row r="1092" spans="1:20" x14ac:dyDescent="0.25">
      <c r="A1092" t="s">
        <v>1146</v>
      </c>
      <c r="B1092" s="3" t="s">
        <v>10</v>
      </c>
      <c r="C1092" s="2">
        <v>0.39660000000000001</v>
      </c>
      <c r="D1092" s="2">
        <v>0.42630000000000001</v>
      </c>
      <c r="E1092" s="2">
        <v>0.45610000000000001</v>
      </c>
      <c r="F1092" s="2">
        <v>0.49569999999999997</v>
      </c>
      <c r="G1092" s="2">
        <v>0.52549999999999997</v>
      </c>
      <c r="H1092" s="2">
        <v>0.55520000000000003</v>
      </c>
      <c r="I1092" s="2">
        <v>0.59489999999999998</v>
      </c>
      <c r="J1092" s="2">
        <v>0.63449999999999995</v>
      </c>
      <c r="K1092" s="2">
        <v>0.67420000000000002</v>
      </c>
      <c r="L1092" s="2">
        <v>0.71389999999999998</v>
      </c>
      <c r="M1092" s="2">
        <v>0.75349999999999995</v>
      </c>
      <c r="N1092" s="2">
        <v>0.79320000000000002</v>
      </c>
      <c r="O1092" s="2">
        <v>0.8427</v>
      </c>
      <c r="P1092" s="2">
        <v>0.89229999999999998</v>
      </c>
      <c r="Q1092" s="2">
        <v>0.94189999999999996</v>
      </c>
      <c r="R1092" s="5" t="s">
        <v>6</v>
      </c>
      <c r="S1092" s="5" t="s">
        <v>6</v>
      </c>
      <c r="T1092" t="s">
        <v>125</v>
      </c>
    </row>
    <row r="1093" spans="1:20" x14ac:dyDescent="0.25">
      <c r="B1093" s="3" t="s">
        <v>9</v>
      </c>
      <c r="C1093" s="2">
        <v>0.38519999999999999</v>
      </c>
      <c r="D1093" s="2">
        <v>0.41410000000000002</v>
      </c>
      <c r="E1093" s="2">
        <v>0.443</v>
      </c>
      <c r="F1093" s="2">
        <v>0.48149999999999998</v>
      </c>
      <c r="G1093" s="2">
        <v>0.51039999999999996</v>
      </c>
      <c r="H1093" s="2">
        <v>0.5393</v>
      </c>
      <c r="I1093" s="2">
        <v>0.57779999999999998</v>
      </c>
      <c r="J1093" s="2">
        <v>0.61629999999999996</v>
      </c>
      <c r="K1093" s="2">
        <v>0.65480000000000005</v>
      </c>
      <c r="L1093" s="2">
        <v>0.69330000000000003</v>
      </c>
      <c r="M1093" s="2">
        <v>0.7319</v>
      </c>
      <c r="N1093" s="2">
        <v>0.77039999999999997</v>
      </c>
      <c r="O1093" s="2">
        <v>0.81850000000000001</v>
      </c>
      <c r="P1093" s="2">
        <v>0.86670000000000003</v>
      </c>
      <c r="Q1093" s="2">
        <v>0.91479999999999995</v>
      </c>
      <c r="R1093" s="5" t="s">
        <v>6</v>
      </c>
      <c r="S1093" s="5" t="s">
        <v>6</v>
      </c>
      <c r="T1093" t="s">
        <v>125</v>
      </c>
    </row>
    <row r="1094" spans="1:20" x14ac:dyDescent="0.25">
      <c r="B1094" s="3" t="s">
        <v>8</v>
      </c>
      <c r="C1094" s="2">
        <v>0.56889999999999996</v>
      </c>
      <c r="D1094" s="2">
        <v>0.61160000000000003</v>
      </c>
      <c r="E1094" s="2">
        <v>0.6542</v>
      </c>
      <c r="F1094" s="2">
        <v>0.71109999999999995</v>
      </c>
      <c r="G1094" s="2">
        <v>0.75380000000000003</v>
      </c>
      <c r="H1094" s="2">
        <v>0.7964</v>
      </c>
      <c r="I1094" s="2">
        <v>0.85329999999999995</v>
      </c>
      <c r="J1094" s="2">
        <v>0.91020000000000001</v>
      </c>
      <c r="K1094" s="2">
        <v>0.96709999999999996</v>
      </c>
      <c r="L1094" s="2">
        <v>1.024</v>
      </c>
      <c r="M1094" s="2">
        <v>1.0809</v>
      </c>
      <c r="N1094" s="2">
        <v>1.1377999999999999</v>
      </c>
      <c r="O1094" s="2">
        <v>1.2089000000000001</v>
      </c>
      <c r="P1094" s="2">
        <v>1.28</v>
      </c>
      <c r="Q1094" s="2">
        <v>1.3511</v>
      </c>
      <c r="R1094" s="5" t="s">
        <v>6</v>
      </c>
      <c r="S1094" s="5" t="s">
        <v>6</v>
      </c>
      <c r="T1094" t="s">
        <v>125</v>
      </c>
    </row>
    <row r="1095" spans="1:20" x14ac:dyDescent="0.25">
      <c r="B1095" s="3" t="s">
        <v>1147</v>
      </c>
      <c r="C1095" s="2">
        <v>1.4289000000000001</v>
      </c>
      <c r="D1095" s="2">
        <v>1.5361</v>
      </c>
      <c r="E1095" s="2">
        <v>1.6433</v>
      </c>
      <c r="F1095" s="2">
        <v>1.7862</v>
      </c>
      <c r="G1095" s="2">
        <v>1.8934</v>
      </c>
      <c r="H1095" s="2">
        <v>2.0005000000000002</v>
      </c>
      <c r="I1095" s="2">
        <v>2.1434000000000002</v>
      </c>
      <c r="J1095" s="2">
        <v>2.2863000000000002</v>
      </c>
      <c r="K1095" s="2">
        <v>2.4291999999999998</v>
      </c>
      <c r="L1095" s="2">
        <v>2.5720999999999998</v>
      </c>
      <c r="M1095" s="2">
        <v>2.7149999999999999</v>
      </c>
      <c r="N1095" s="2">
        <v>2.8578999999999999</v>
      </c>
      <c r="O1095" s="2">
        <v>3.0365000000000002</v>
      </c>
      <c r="P1095" s="2">
        <v>3.2151000000000001</v>
      </c>
      <c r="Q1095" s="2">
        <v>3.3938000000000001</v>
      </c>
      <c r="R1095" s="5" t="s">
        <v>5</v>
      </c>
      <c r="S1095" s="5" t="s">
        <v>5</v>
      </c>
      <c r="T1095" t="s">
        <v>125</v>
      </c>
    </row>
    <row r="1096" spans="1:20" x14ac:dyDescent="0.25">
      <c r="B1096" s="3" t="s">
        <v>152</v>
      </c>
      <c r="C1096" s="2">
        <v>0.56830000000000003</v>
      </c>
      <c r="D1096" s="2">
        <v>0.61450000000000005</v>
      </c>
      <c r="E1096" s="2">
        <v>0.66080000000000005</v>
      </c>
      <c r="F1096" s="2">
        <v>0.72689999999999999</v>
      </c>
      <c r="G1096" s="2">
        <v>0.77310000000000001</v>
      </c>
      <c r="H1096" s="2">
        <v>0.82599999999999996</v>
      </c>
      <c r="I1096" s="2">
        <v>0.89870000000000005</v>
      </c>
      <c r="J1096" s="2">
        <v>0.97140000000000004</v>
      </c>
      <c r="K1096" s="2">
        <v>1.0441</v>
      </c>
      <c r="L1096" s="2">
        <v>1.1234</v>
      </c>
      <c r="M1096" s="2">
        <v>1.2027000000000001</v>
      </c>
      <c r="N1096" s="2">
        <v>1.282</v>
      </c>
      <c r="O1096" s="2">
        <v>1.3612</v>
      </c>
      <c r="P1096" s="2">
        <v>1.4404999999999999</v>
      </c>
      <c r="Q1096" s="2">
        <v>1.5198</v>
      </c>
      <c r="R1096" s="5" t="s">
        <v>3</v>
      </c>
      <c r="S1096" s="5" t="s">
        <v>3</v>
      </c>
      <c r="T1096" t="s">
        <v>125</v>
      </c>
    </row>
    <row r="1097" spans="1:20" x14ac:dyDescent="0.25">
      <c r="B1097" s="3" t="s">
        <v>133</v>
      </c>
      <c r="C1097" s="2">
        <v>1.1363000000000001</v>
      </c>
      <c r="D1097" s="2">
        <v>1.2287999999999999</v>
      </c>
      <c r="E1097" s="2">
        <v>1.3212999999999999</v>
      </c>
      <c r="F1097" s="2">
        <v>1.4535</v>
      </c>
      <c r="G1097" s="2">
        <v>1.5459000000000001</v>
      </c>
      <c r="H1097" s="2">
        <v>1.6516999999999999</v>
      </c>
      <c r="I1097" s="2">
        <v>1.7969999999999999</v>
      </c>
      <c r="J1097" s="2">
        <v>1.9422999999999999</v>
      </c>
      <c r="K1097" s="2">
        <v>2.0876999999999999</v>
      </c>
      <c r="L1097" s="2">
        <v>2.2462</v>
      </c>
      <c r="M1097" s="2">
        <v>2.4047999999999998</v>
      </c>
      <c r="N1097" s="2">
        <v>2.5634000000000001</v>
      </c>
      <c r="O1097" s="2">
        <v>2.7219000000000002</v>
      </c>
      <c r="P1097" s="2">
        <v>2.8805000000000001</v>
      </c>
      <c r="Q1097" s="2">
        <v>3.0390000000000001</v>
      </c>
      <c r="R1097" s="5" t="s">
        <v>3</v>
      </c>
      <c r="S1097" s="5" t="s">
        <v>3</v>
      </c>
      <c r="T1097" t="s">
        <v>125</v>
      </c>
    </row>
    <row r="1098" spans="1:20" x14ac:dyDescent="0.25">
      <c r="B1098" s="3" t="s">
        <v>134</v>
      </c>
      <c r="C1098" s="2">
        <v>1.4193</v>
      </c>
      <c r="D1098" s="2">
        <v>1.5348999999999999</v>
      </c>
      <c r="E1098" s="2">
        <v>1.6504000000000001</v>
      </c>
      <c r="F1098" s="2">
        <v>1.8153999999999999</v>
      </c>
      <c r="G1098" s="2">
        <v>1.931</v>
      </c>
      <c r="H1098" s="2">
        <v>2.0630000000000002</v>
      </c>
      <c r="I1098" s="2">
        <v>2.2444999999999999</v>
      </c>
      <c r="J1098" s="2">
        <v>2.4260999999999999</v>
      </c>
      <c r="K1098" s="2">
        <v>2.6076000000000001</v>
      </c>
      <c r="L1098" s="2">
        <v>2.8056999999999999</v>
      </c>
      <c r="M1098" s="2">
        <v>3.0036999999999998</v>
      </c>
      <c r="N1098" s="2">
        <v>3.2018</v>
      </c>
      <c r="O1098" s="2">
        <v>3.3997999999999999</v>
      </c>
      <c r="P1098" s="2">
        <v>3.5979000000000001</v>
      </c>
      <c r="Q1098" s="2">
        <v>3.7959000000000001</v>
      </c>
      <c r="R1098" s="5" t="s">
        <v>3</v>
      </c>
      <c r="S1098" s="5" t="s">
        <v>3</v>
      </c>
      <c r="T1098" t="s">
        <v>125</v>
      </c>
    </row>
    <row r="1099" spans="1:20" x14ac:dyDescent="0.25">
      <c r="B1099" t="s">
        <v>1150</v>
      </c>
      <c r="C1099" s="2">
        <v>0.60670000000000002</v>
      </c>
      <c r="D1099" s="2">
        <v>0.6522</v>
      </c>
      <c r="E1099" s="2">
        <v>0.69769999999999999</v>
      </c>
      <c r="F1099" s="2">
        <v>0.75839999999999996</v>
      </c>
      <c r="G1099" s="2">
        <v>0.80389999999999995</v>
      </c>
      <c r="H1099" s="2">
        <v>0.84940000000000004</v>
      </c>
      <c r="I1099" s="2">
        <v>0.91010000000000002</v>
      </c>
      <c r="J1099" s="2">
        <v>0.9708</v>
      </c>
      <c r="K1099" s="2">
        <v>1.0314000000000001</v>
      </c>
      <c r="L1099" s="2">
        <v>1.0921000000000001</v>
      </c>
      <c r="M1099" s="2">
        <v>1.1528</v>
      </c>
      <c r="N1099" s="2">
        <v>1.2134</v>
      </c>
      <c r="O1099" s="2">
        <v>1.2892999999999999</v>
      </c>
      <c r="P1099" s="2">
        <v>1.3651</v>
      </c>
      <c r="Q1099" s="2">
        <v>1.4410000000000001</v>
      </c>
      <c r="R1099" s="5" t="s">
        <v>19</v>
      </c>
      <c r="S1099" s="5" t="s">
        <v>19</v>
      </c>
      <c r="T1099" t="s">
        <v>125</v>
      </c>
    </row>
    <row r="1100" spans="1:20" x14ac:dyDescent="0.25">
      <c r="B1100" t="s">
        <v>1151</v>
      </c>
      <c r="C1100" s="2">
        <v>0.75839999999999996</v>
      </c>
      <c r="D1100" s="2">
        <v>0.81530000000000002</v>
      </c>
      <c r="E1100" s="2">
        <v>0.87219999999999998</v>
      </c>
      <c r="F1100" s="2">
        <v>0.94799999999999995</v>
      </c>
      <c r="G1100" s="2">
        <v>1.0048999999999999</v>
      </c>
      <c r="H1100" s="2">
        <v>1.0618000000000001</v>
      </c>
      <c r="I1100" s="2">
        <v>1.1375999999999999</v>
      </c>
      <c r="J1100" s="2">
        <v>1.2134</v>
      </c>
      <c r="K1100" s="2">
        <v>1.2892999999999999</v>
      </c>
      <c r="L1100" s="2">
        <v>1.3651</v>
      </c>
      <c r="M1100" s="2">
        <v>1.4410000000000001</v>
      </c>
      <c r="N1100" s="2">
        <v>1.5167999999999999</v>
      </c>
      <c r="O1100" s="2">
        <v>1.6115999999999999</v>
      </c>
      <c r="P1100" s="2">
        <v>1.7063999999999999</v>
      </c>
      <c r="Q1100" s="2">
        <v>1.8011999999999999</v>
      </c>
      <c r="R1100" s="5" t="s">
        <v>19</v>
      </c>
      <c r="S1100" s="5" t="s">
        <v>19</v>
      </c>
      <c r="T1100" t="s">
        <v>125</v>
      </c>
    </row>
    <row r="1101" spans="1:20" x14ac:dyDescent="0.25">
      <c r="B1101" t="s">
        <v>1152</v>
      </c>
      <c r="C1101" s="2">
        <v>0.94799999999999995</v>
      </c>
      <c r="D1101" s="2">
        <v>1.0190999999999999</v>
      </c>
      <c r="E1101" s="2">
        <v>1.0902000000000001</v>
      </c>
      <c r="F1101" s="2">
        <v>1.1850000000000001</v>
      </c>
      <c r="G1101" s="2">
        <v>1.2561</v>
      </c>
      <c r="H1101" s="2">
        <v>1.3271999999999999</v>
      </c>
      <c r="I1101" s="2">
        <v>1.4219999999999999</v>
      </c>
      <c r="J1101" s="2">
        <v>1.5167999999999999</v>
      </c>
      <c r="K1101" s="2">
        <v>1.6115999999999999</v>
      </c>
      <c r="L1101" s="2">
        <v>1.7063999999999999</v>
      </c>
      <c r="M1101" s="2">
        <v>1.8011999999999999</v>
      </c>
      <c r="N1101" s="2">
        <v>1.8959999999999999</v>
      </c>
      <c r="O1101" s="2">
        <v>2.0145</v>
      </c>
      <c r="P1101" s="2">
        <v>2.133</v>
      </c>
      <c r="Q1101" s="2">
        <v>2.2515000000000001</v>
      </c>
      <c r="R1101" s="5" t="s">
        <v>19</v>
      </c>
      <c r="S1101" s="5" t="s">
        <v>19</v>
      </c>
      <c r="T1101" t="s">
        <v>125</v>
      </c>
    </row>
    <row r="1102" spans="1:20" x14ac:dyDescent="0.25">
      <c r="B1102" t="s">
        <v>1153</v>
      </c>
      <c r="C1102" s="2">
        <v>1.1850000000000001</v>
      </c>
      <c r="D1102" s="2">
        <v>1.2739</v>
      </c>
      <c r="E1102" s="2">
        <v>1.3628</v>
      </c>
      <c r="F1102" s="2">
        <v>1.4813000000000001</v>
      </c>
      <c r="G1102" s="2">
        <v>1.5701000000000001</v>
      </c>
      <c r="H1102" s="2">
        <v>1.659</v>
      </c>
      <c r="I1102" s="2">
        <v>1.7775000000000001</v>
      </c>
      <c r="J1102" s="2">
        <v>1.8959999999999999</v>
      </c>
      <c r="K1102" s="2">
        <v>2.0145</v>
      </c>
      <c r="L1102" s="2">
        <v>2.133</v>
      </c>
      <c r="M1102" s="2">
        <v>2.2515000000000001</v>
      </c>
      <c r="N1102" s="2">
        <v>2.37</v>
      </c>
      <c r="O1102" s="2">
        <v>2.5181</v>
      </c>
      <c r="P1102" s="2">
        <v>2.6663000000000001</v>
      </c>
      <c r="Q1102" s="2">
        <v>2.8144</v>
      </c>
      <c r="R1102" s="5" t="s">
        <v>19</v>
      </c>
      <c r="S1102" s="5" t="s">
        <v>19</v>
      </c>
      <c r="T1102" t="s">
        <v>125</v>
      </c>
    </row>
    <row r="1103" spans="1:20" x14ac:dyDescent="0.25">
      <c r="B1103" t="s">
        <v>170</v>
      </c>
      <c r="C1103" s="2">
        <v>2.6</v>
      </c>
      <c r="D1103" s="2">
        <v>2.7949999999999999</v>
      </c>
      <c r="E1103" s="2">
        <v>2.99</v>
      </c>
      <c r="F1103" s="2">
        <v>3.25</v>
      </c>
      <c r="G1103" s="2">
        <v>3.4449999999999998</v>
      </c>
      <c r="H1103" s="2">
        <v>3.64</v>
      </c>
      <c r="I1103" s="2">
        <v>3.9</v>
      </c>
      <c r="J1103" s="2">
        <v>4.16</v>
      </c>
      <c r="K1103" s="2">
        <v>4.42</v>
      </c>
      <c r="L1103" s="2">
        <v>4.68</v>
      </c>
      <c r="M1103" s="2">
        <v>4.9400000000000004</v>
      </c>
      <c r="N1103" s="2">
        <v>5.2</v>
      </c>
      <c r="O1103" s="2">
        <v>5.5250000000000004</v>
      </c>
      <c r="P1103" s="2">
        <v>5.85</v>
      </c>
      <c r="Q1103" s="2">
        <v>6.1749999999999998</v>
      </c>
      <c r="R1103" s="5" t="s">
        <v>0</v>
      </c>
      <c r="S1103" s="5" t="s">
        <v>0</v>
      </c>
      <c r="T1103" t="s">
        <v>125</v>
      </c>
    </row>
    <row r="1104" spans="1:20" x14ac:dyDescent="0.25">
      <c r="B1104" t="s">
        <v>1154</v>
      </c>
      <c r="C1104" s="2">
        <v>2.9376000000000002</v>
      </c>
      <c r="D1104" s="2">
        <v>3.1579000000000002</v>
      </c>
      <c r="E1104" s="2">
        <v>3.3782000000000001</v>
      </c>
      <c r="F1104" s="2">
        <v>3.6720000000000002</v>
      </c>
      <c r="G1104" s="2">
        <v>3.8923000000000001</v>
      </c>
      <c r="H1104" s="2">
        <v>4.1125999999999996</v>
      </c>
      <c r="I1104" s="2">
        <v>4.4063999999999997</v>
      </c>
      <c r="J1104" s="2">
        <v>4.7001999999999997</v>
      </c>
      <c r="K1104" s="2">
        <v>4.9939</v>
      </c>
      <c r="L1104" s="2">
        <v>5.2877000000000001</v>
      </c>
      <c r="M1104" s="2">
        <v>5.5814000000000004</v>
      </c>
      <c r="N1104" s="2">
        <v>5.8752000000000004</v>
      </c>
      <c r="O1104" s="2">
        <v>6.2423999999999999</v>
      </c>
      <c r="P1104" s="2">
        <v>6.6096000000000004</v>
      </c>
      <c r="Q1104" s="2">
        <v>6.9767999999999999</v>
      </c>
      <c r="R1104" s="5" t="s">
        <v>0</v>
      </c>
      <c r="S1104" s="5" t="s">
        <v>0</v>
      </c>
      <c r="T1104" t="s">
        <v>125</v>
      </c>
    </row>
    <row r="1105" spans="1:20" x14ac:dyDescent="0.25">
      <c r="B1105" s="3" t="s">
        <v>763</v>
      </c>
      <c r="C1105" s="23"/>
      <c r="D1105" s="23"/>
      <c r="E1105" s="23"/>
      <c r="F1105" s="23"/>
      <c r="G1105" s="23"/>
      <c r="H1105" s="23"/>
      <c r="I1105" s="23"/>
      <c r="J1105" s="23"/>
      <c r="K1105" s="23"/>
      <c r="L1105" s="23"/>
      <c r="M1105" s="23"/>
      <c r="N1105" s="23"/>
      <c r="O1105" s="23"/>
      <c r="P1105" s="23"/>
      <c r="Q1105" s="23"/>
      <c r="R1105" s="5" t="s">
        <v>763</v>
      </c>
      <c r="S1105" s="5" t="s">
        <v>763</v>
      </c>
      <c r="T1105" t="s">
        <v>764</v>
      </c>
    </row>
    <row r="1106" spans="1:20" x14ac:dyDescent="0.25">
      <c r="B1106" s="3" t="s">
        <v>386</v>
      </c>
      <c r="C1106" s="23"/>
      <c r="D1106" s="23"/>
      <c r="E1106" s="23"/>
      <c r="F1106" s="23"/>
      <c r="G1106" s="23"/>
      <c r="H1106" s="23"/>
      <c r="I1106" s="23"/>
      <c r="J1106" s="23"/>
      <c r="K1106" s="23"/>
      <c r="L1106" s="23"/>
      <c r="M1106" s="23"/>
      <c r="N1106" s="23"/>
      <c r="O1106" s="23"/>
      <c r="P1106" s="23"/>
      <c r="Q1106" s="23"/>
      <c r="R1106" s="5" t="s">
        <v>392</v>
      </c>
      <c r="S1106" s="5" t="s">
        <v>392</v>
      </c>
      <c r="T1106" t="s">
        <v>69</v>
      </c>
    </row>
    <row r="1107" spans="1:20" x14ac:dyDescent="0.25">
      <c r="B1107" s="3" t="s">
        <v>388</v>
      </c>
      <c r="C1107" s="23"/>
      <c r="D1107" s="23"/>
      <c r="E1107" s="23"/>
      <c r="F1107" s="23"/>
      <c r="G1107" s="23"/>
      <c r="H1107" s="23"/>
      <c r="I1107" s="23"/>
      <c r="J1107" s="23"/>
      <c r="K1107" s="23"/>
      <c r="L1107" s="23"/>
      <c r="M1107" s="23"/>
      <c r="N1107" s="23"/>
      <c r="O1107" s="23"/>
      <c r="P1107" s="23"/>
      <c r="Q1107" s="23"/>
      <c r="R1107" s="5" t="s">
        <v>392</v>
      </c>
      <c r="S1107" s="5" t="s">
        <v>392</v>
      </c>
      <c r="T1107" t="s">
        <v>69</v>
      </c>
    </row>
    <row r="1108" spans="1:20" x14ac:dyDescent="0.25">
      <c r="B1108" s="3" t="s">
        <v>389</v>
      </c>
      <c r="C1108" s="23"/>
      <c r="D1108" s="23"/>
      <c r="E1108" s="23"/>
      <c r="F1108" s="23"/>
      <c r="G1108" s="23"/>
      <c r="H1108" s="23"/>
      <c r="I1108" s="23"/>
      <c r="J1108" s="23"/>
      <c r="K1108" s="23"/>
      <c r="L1108" s="23"/>
      <c r="M1108" s="23"/>
      <c r="N1108" s="23"/>
      <c r="O1108" s="23"/>
      <c r="P1108" s="23"/>
      <c r="Q1108" s="23"/>
      <c r="R1108" s="5" t="s">
        <v>392</v>
      </c>
      <c r="S1108" s="5" t="s">
        <v>392</v>
      </c>
      <c r="T1108" t="s">
        <v>69</v>
      </c>
    </row>
    <row r="1109" spans="1:20" x14ac:dyDescent="0.25">
      <c r="B1109" s="3" t="s">
        <v>385</v>
      </c>
      <c r="C1109" s="23"/>
      <c r="D1109" s="23"/>
      <c r="E1109" s="23"/>
      <c r="F1109" s="23"/>
      <c r="G1109" s="23"/>
      <c r="H1109" s="23"/>
      <c r="I1109" s="23"/>
      <c r="J1109" s="23"/>
      <c r="K1109" s="23"/>
      <c r="L1109" s="23"/>
      <c r="M1109" s="23"/>
      <c r="N1109" s="23"/>
      <c r="O1109" s="23"/>
      <c r="P1109" s="23"/>
      <c r="Q1109" s="23"/>
      <c r="R1109" s="5" t="s">
        <v>392</v>
      </c>
      <c r="S1109" s="5" t="s">
        <v>392</v>
      </c>
      <c r="T1109" t="s">
        <v>69</v>
      </c>
    </row>
    <row r="1110" spans="1:20" x14ac:dyDescent="0.25">
      <c r="B1110" s="3" t="s">
        <v>387</v>
      </c>
      <c r="C1110" s="23"/>
      <c r="D1110" s="23"/>
      <c r="E1110" s="23"/>
      <c r="F1110" s="23"/>
      <c r="G1110" s="23"/>
      <c r="H1110" s="23"/>
      <c r="I1110" s="23"/>
      <c r="J1110" s="23"/>
      <c r="K1110" s="23"/>
      <c r="L1110" s="23"/>
      <c r="M1110" s="23"/>
      <c r="N1110" s="23"/>
      <c r="O1110" s="23"/>
      <c r="P1110" s="23"/>
      <c r="Q1110" s="23"/>
      <c r="R1110" s="5" t="s">
        <v>392</v>
      </c>
      <c r="S1110" s="5" t="s">
        <v>392</v>
      </c>
      <c r="T1110" t="s">
        <v>69</v>
      </c>
    </row>
    <row r="1111" spans="1:20" x14ac:dyDescent="0.25">
      <c r="B1111" s="3" t="s">
        <v>390</v>
      </c>
      <c r="C1111" s="23"/>
      <c r="D1111" s="23"/>
      <c r="E1111" s="23"/>
      <c r="F1111" s="23"/>
      <c r="G1111" s="23"/>
      <c r="H1111" s="23"/>
      <c r="I1111" s="23"/>
      <c r="J1111" s="23"/>
      <c r="K1111" s="23"/>
      <c r="L1111" s="23"/>
      <c r="M1111" s="23"/>
      <c r="N1111" s="23"/>
      <c r="O1111" s="23"/>
      <c r="P1111" s="23"/>
      <c r="Q1111" s="23"/>
      <c r="R1111" s="5" t="s">
        <v>392</v>
      </c>
      <c r="S1111" s="5" t="s">
        <v>392</v>
      </c>
      <c r="T1111" t="s">
        <v>69</v>
      </c>
    </row>
    <row r="1112" spans="1:20" x14ac:dyDescent="0.25">
      <c r="B1112" s="3" t="s">
        <v>391</v>
      </c>
      <c r="C1112" s="23"/>
      <c r="D1112" s="23"/>
      <c r="E1112" s="23"/>
      <c r="F1112" s="23"/>
      <c r="G1112" s="23"/>
      <c r="H1112" s="23"/>
      <c r="I1112" s="23"/>
      <c r="J1112" s="23"/>
      <c r="K1112" s="23"/>
      <c r="L1112" s="23"/>
      <c r="M1112" s="23"/>
      <c r="N1112" s="23"/>
      <c r="O1112" s="23"/>
      <c r="P1112" s="23"/>
      <c r="Q1112" s="23"/>
      <c r="R1112" s="5" t="s">
        <v>392</v>
      </c>
      <c r="S1112" s="5" t="s">
        <v>392</v>
      </c>
      <c r="T1112" t="s">
        <v>69</v>
      </c>
    </row>
    <row r="1113" spans="1:20" x14ac:dyDescent="0.25">
      <c r="A1113" t="s">
        <v>1149</v>
      </c>
      <c r="B1113" s="3" t="s">
        <v>393</v>
      </c>
      <c r="C1113" s="23"/>
      <c r="D1113" s="23"/>
      <c r="E1113" s="23"/>
      <c r="F1113" s="23"/>
      <c r="G1113" s="23"/>
      <c r="H1113" s="23"/>
      <c r="I1113" s="23"/>
      <c r="J1113" s="23"/>
      <c r="K1113" s="23"/>
      <c r="L1113" s="23"/>
      <c r="M1113" s="23"/>
      <c r="N1113" s="23"/>
      <c r="O1113" s="23"/>
      <c r="P1113" s="23"/>
      <c r="Q1113" s="23"/>
      <c r="R1113" s="5" t="s">
        <v>392</v>
      </c>
      <c r="S1113" s="5" t="s">
        <v>392</v>
      </c>
      <c r="T1113" t="s">
        <v>69</v>
      </c>
    </row>
    <row r="1114" spans="1:20" x14ac:dyDescent="0.25">
      <c r="B1114" t="s">
        <v>353</v>
      </c>
      <c r="C1114" s="21">
        <v>1</v>
      </c>
      <c r="D1114" s="21">
        <v>2</v>
      </c>
      <c r="E1114" s="21">
        <v>3</v>
      </c>
      <c r="F1114" s="21">
        <v>4</v>
      </c>
      <c r="G1114" s="21">
        <v>5</v>
      </c>
      <c r="H1114" s="21">
        <v>6</v>
      </c>
      <c r="I1114" s="21">
        <v>7</v>
      </c>
      <c r="J1114" s="21">
        <v>8</v>
      </c>
      <c r="K1114" s="21">
        <v>9</v>
      </c>
      <c r="L1114" s="21">
        <v>10</v>
      </c>
      <c r="M1114" s="21">
        <v>11</v>
      </c>
      <c r="N1114" s="21">
        <v>12</v>
      </c>
      <c r="O1114" s="21">
        <v>13</v>
      </c>
      <c r="P1114" s="21">
        <v>14</v>
      </c>
      <c r="Q1114" s="21">
        <v>15</v>
      </c>
      <c r="R1114" s="5" t="s">
        <v>11</v>
      </c>
      <c r="S1114" s="5" t="s">
        <v>1024</v>
      </c>
      <c r="T1114" t="s">
        <v>124</v>
      </c>
    </row>
    <row r="1115" spans="1:20" x14ac:dyDescent="0.25">
      <c r="A1115" t="s">
        <v>897</v>
      </c>
      <c r="B1115" t="s">
        <v>10</v>
      </c>
      <c r="C1115" s="2">
        <v>0.58340000000000003</v>
      </c>
      <c r="D1115" s="2">
        <v>0.62719999999999998</v>
      </c>
      <c r="E1115" s="2">
        <v>0.67090000000000005</v>
      </c>
      <c r="F1115" s="2">
        <v>0.72929999999999995</v>
      </c>
      <c r="G1115" s="2">
        <v>0.77300000000000002</v>
      </c>
      <c r="H1115" s="2">
        <v>0.81679999999999997</v>
      </c>
      <c r="I1115" s="2">
        <v>0.87509999999999999</v>
      </c>
      <c r="J1115" s="2">
        <v>0.9335</v>
      </c>
      <c r="K1115" s="2">
        <v>0.99180000000000001</v>
      </c>
      <c r="L1115" s="2">
        <v>1.0501</v>
      </c>
      <c r="M1115" s="2">
        <v>1.1085</v>
      </c>
      <c r="N1115" s="2">
        <v>1.1668000000000001</v>
      </c>
      <c r="O1115" s="2">
        <v>1.2398</v>
      </c>
      <c r="P1115" s="2">
        <v>1.3127</v>
      </c>
      <c r="Q1115" s="2">
        <v>1.3855999999999999</v>
      </c>
      <c r="R1115" t="s">
        <v>6</v>
      </c>
      <c r="S1115" t="s">
        <v>6</v>
      </c>
      <c r="T1115" t="s">
        <v>125</v>
      </c>
    </row>
    <row r="1116" spans="1:20" x14ac:dyDescent="0.25">
      <c r="B1116" t="s">
        <v>9</v>
      </c>
      <c r="C1116" s="2">
        <v>0.52129999999999999</v>
      </c>
      <c r="D1116" s="2">
        <v>0.56040000000000001</v>
      </c>
      <c r="E1116" s="2">
        <v>0.59940000000000004</v>
      </c>
      <c r="F1116" s="2">
        <v>0.65159999999999996</v>
      </c>
      <c r="G1116" s="2">
        <v>0.69069999999999998</v>
      </c>
      <c r="H1116" s="2">
        <v>0.7298</v>
      </c>
      <c r="I1116" s="2">
        <v>0.78190000000000004</v>
      </c>
      <c r="J1116" s="2">
        <v>0.83399999999999996</v>
      </c>
      <c r="K1116" s="2">
        <v>0.8861</v>
      </c>
      <c r="L1116" s="2">
        <v>0.93830000000000002</v>
      </c>
      <c r="M1116" s="2">
        <v>0.99039999999999995</v>
      </c>
      <c r="N1116" s="2">
        <v>1.0425</v>
      </c>
      <c r="O1116" s="2">
        <v>1.1076999999999999</v>
      </c>
      <c r="P1116" s="2">
        <v>1.1728000000000001</v>
      </c>
      <c r="Q1116" s="2">
        <v>1.238</v>
      </c>
      <c r="R1116" t="s">
        <v>6</v>
      </c>
      <c r="S1116" t="s">
        <v>6</v>
      </c>
      <c r="T1116" t="s">
        <v>125</v>
      </c>
    </row>
    <row r="1117" spans="1:20" x14ac:dyDescent="0.25">
      <c r="B1117" t="s">
        <v>8</v>
      </c>
      <c r="C1117" s="2">
        <v>0.7601</v>
      </c>
      <c r="D1117" s="2">
        <v>0.81710000000000005</v>
      </c>
      <c r="E1117" s="2">
        <v>0.87409999999999999</v>
      </c>
      <c r="F1117" s="2">
        <v>0.95020000000000004</v>
      </c>
      <c r="G1117" s="2">
        <v>1.0072000000000001</v>
      </c>
      <c r="H1117" s="2">
        <v>1.0642</v>
      </c>
      <c r="I1117" s="2">
        <v>1.1402000000000001</v>
      </c>
      <c r="J1117" s="2">
        <v>1.2161999999999999</v>
      </c>
      <c r="K1117" s="2">
        <v>1.2922</v>
      </c>
      <c r="L1117" s="2">
        <v>1.3682000000000001</v>
      </c>
      <c r="M1117" s="2">
        <v>1.4441999999999999</v>
      </c>
      <c r="N1117" s="2">
        <v>1.5203</v>
      </c>
      <c r="O1117" s="2">
        <v>1.6153</v>
      </c>
      <c r="P1117" s="2">
        <v>1.7102999999999999</v>
      </c>
      <c r="Q1117" s="2">
        <v>1.8052999999999999</v>
      </c>
      <c r="R1117" t="s">
        <v>6</v>
      </c>
      <c r="S1117" t="s">
        <v>6</v>
      </c>
      <c r="T1117" t="s">
        <v>125</v>
      </c>
    </row>
    <row r="1118" spans="1:20" x14ac:dyDescent="0.25">
      <c r="B1118" t="s">
        <v>354</v>
      </c>
      <c r="C1118" s="2">
        <v>0.98229999999999995</v>
      </c>
      <c r="D1118" s="2">
        <v>1.0410999999999999</v>
      </c>
      <c r="E1118" s="2">
        <v>1.0999000000000001</v>
      </c>
      <c r="F1118" s="2">
        <v>1.1763999999999999</v>
      </c>
      <c r="G1118" s="2">
        <v>1.2352000000000001</v>
      </c>
      <c r="H1118" s="2">
        <v>1.294</v>
      </c>
      <c r="I1118" s="2">
        <v>1.3705000000000001</v>
      </c>
      <c r="J1118" s="2">
        <v>1.4470000000000001</v>
      </c>
      <c r="K1118" s="2">
        <v>1.5234000000000001</v>
      </c>
      <c r="L1118" s="2">
        <v>1.5999000000000001</v>
      </c>
      <c r="M1118" s="2">
        <v>1.6763999999999999</v>
      </c>
      <c r="N1118" s="2">
        <v>1.7527999999999999</v>
      </c>
      <c r="O1118" s="2">
        <v>1.8292999999999999</v>
      </c>
      <c r="P1118" s="2">
        <v>1.9057999999999999</v>
      </c>
      <c r="Q1118" s="2">
        <v>1.9822</v>
      </c>
      <c r="R1118" t="s">
        <v>5</v>
      </c>
      <c r="S1118" t="s">
        <v>5</v>
      </c>
      <c r="T1118" t="s">
        <v>125</v>
      </c>
    </row>
    <row r="1119" spans="1:20" x14ac:dyDescent="0.25">
      <c r="B1119" t="s">
        <v>355</v>
      </c>
      <c r="C1119" s="2">
        <v>1.1556</v>
      </c>
      <c r="D1119" s="2">
        <v>1.2248000000000001</v>
      </c>
      <c r="E1119" s="2">
        <v>1.294</v>
      </c>
      <c r="F1119" s="2">
        <v>1.3839999999999999</v>
      </c>
      <c r="G1119" s="2">
        <v>1.4532</v>
      </c>
      <c r="H1119" s="2">
        <v>1.5224</v>
      </c>
      <c r="I1119" s="2">
        <v>1.6124000000000001</v>
      </c>
      <c r="J1119" s="2">
        <v>1.7022999999999999</v>
      </c>
      <c r="K1119" s="2">
        <v>1.7923</v>
      </c>
      <c r="L1119" s="2">
        <v>1.8822000000000001</v>
      </c>
      <c r="M1119" s="2">
        <v>1.9722</v>
      </c>
      <c r="N1119" s="2">
        <v>2.0621999999999998</v>
      </c>
      <c r="O1119" s="2">
        <v>2.1520999999999999</v>
      </c>
      <c r="P1119" s="2">
        <v>2.2421000000000002</v>
      </c>
      <c r="Q1119" s="2">
        <v>2.3319999999999999</v>
      </c>
      <c r="R1119" t="s">
        <v>5</v>
      </c>
      <c r="S1119" t="s">
        <v>5</v>
      </c>
      <c r="T1119" t="s">
        <v>125</v>
      </c>
    </row>
    <row r="1120" spans="1:20" x14ac:dyDescent="0.25">
      <c r="B1120" t="s">
        <v>356</v>
      </c>
      <c r="C1120" s="2">
        <v>1.329</v>
      </c>
      <c r="D1120" s="2">
        <v>1.4086000000000001</v>
      </c>
      <c r="E1120" s="2">
        <v>1.4881</v>
      </c>
      <c r="F1120" s="2">
        <v>1.5915999999999999</v>
      </c>
      <c r="G1120" s="2">
        <v>1.6712</v>
      </c>
      <c r="H1120" s="2">
        <v>1.7507999999999999</v>
      </c>
      <c r="I1120" s="2">
        <v>1.8542000000000001</v>
      </c>
      <c r="J1120" s="2">
        <v>1.9577</v>
      </c>
      <c r="K1120" s="2">
        <v>2.0611000000000002</v>
      </c>
      <c r="L1120" s="2">
        <v>2.1646000000000001</v>
      </c>
      <c r="M1120" s="2">
        <v>2.2679999999999998</v>
      </c>
      <c r="N1120" s="2">
        <v>2.3715000000000002</v>
      </c>
      <c r="O1120" s="2">
        <v>2.4748999999999999</v>
      </c>
      <c r="P1120" s="2">
        <v>2.5783999999999998</v>
      </c>
      <c r="Q1120" s="2">
        <v>2.6818</v>
      </c>
      <c r="R1120" t="s">
        <v>5</v>
      </c>
      <c r="S1120" t="s">
        <v>5</v>
      </c>
      <c r="T1120" t="s">
        <v>125</v>
      </c>
    </row>
    <row r="1121" spans="2:20" x14ac:dyDescent="0.25">
      <c r="B1121" t="s">
        <v>357</v>
      </c>
      <c r="C1121" s="2">
        <v>1.5023</v>
      </c>
      <c r="D1121" s="2">
        <v>1.5923</v>
      </c>
      <c r="E1121" s="2">
        <v>1.6822999999999999</v>
      </c>
      <c r="F1121" s="2">
        <v>1.7991999999999999</v>
      </c>
      <c r="G1121" s="2">
        <v>1.8892</v>
      </c>
      <c r="H1121" s="2">
        <v>1.9791000000000001</v>
      </c>
      <c r="I1121" s="2">
        <v>2.0960999999999999</v>
      </c>
      <c r="J1121" s="2">
        <v>2.2130000000000001</v>
      </c>
      <c r="K1121" s="2">
        <v>2.33</v>
      </c>
      <c r="L1121" s="2">
        <v>2.4468999999999999</v>
      </c>
      <c r="M1121" s="2">
        <v>2.5638999999999998</v>
      </c>
      <c r="N1121" s="2">
        <v>2.6808000000000001</v>
      </c>
      <c r="O1121" s="2">
        <v>2.7978000000000001</v>
      </c>
      <c r="P1121" s="2">
        <v>2.9146999999999998</v>
      </c>
      <c r="Q1121" s="2">
        <v>3.0316999999999998</v>
      </c>
      <c r="R1121" t="s">
        <v>5</v>
      </c>
      <c r="S1121" t="s">
        <v>5</v>
      </c>
      <c r="T1121" t="s">
        <v>125</v>
      </c>
    </row>
    <row r="1122" spans="2:20" x14ac:dyDescent="0.25">
      <c r="B1122" t="s">
        <v>358</v>
      </c>
      <c r="C1122" s="2">
        <v>1.6757</v>
      </c>
      <c r="D1122" s="2">
        <v>1.776</v>
      </c>
      <c r="E1122" s="2">
        <v>1.8764000000000001</v>
      </c>
      <c r="F1122" s="2">
        <v>2.0068000000000001</v>
      </c>
      <c r="G1122" s="2">
        <v>2.1071</v>
      </c>
      <c r="H1122" s="2">
        <v>2.2075</v>
      </c>
      <c r="I1122" s="2">
        <v>2.3378999999999999</v>
      </c>
      <c r="J1122" s="2">
        <v>2.4683999999999999</v>
      </c>
      <c r="K1122" s="2">
        <v>2.5988000000000002</v>
      </c>
      <c r="L1122" s="2">
        <v>2.7292000000000001</v>
      </c>
      <c r="M1122" s="2">
        <v>2.8597000000000001</v>
      </c>
      <c r="N1122" s="2">
        <v>2.9901</v>
      </c>
      <c r="O1122" s="2">
        <v>3.1206</v>
      </c>
      <c r="P1122" s="2">
        <v>3.2509999999999999</v>
      </c>
      <c r="Q1122" s="2">
        <v>3.3815</v>
      </c>
      <c r="R1122" t="s">
        <v>5</v>
      </c>
      <c r="S1122" t="s">
        <v>5</v>
      </c>
      <c r="T1122" t="s">
        <v>125</v>
      </c>
    </row>
    <row r="1123" spans="2:20" x14ac:dyDescent="0.25">
      <c r="B1123" t="s">
        <v>152</v>
      </c>
      <c r="C1123" s="2">
        <v>0.56830000000000003</v>
      </c>
      <c r="D1123" s="2">
        <v>0.61450000000000005</v>
      </c>
      <c r="E1123" s="2">
        <v>0.66080000000000005</v>
      </c>
      <c r="F1123" s="2">
        <v>0.72689999999999999</v>
      </c>
      <c r="G1123" s="2">
        <v>0.77310000000000001</v>
      </c>
      <c r="H1123" s="2">
        <v>0.82599999999999996</v>
      </c>
      <c r="I1123" s="2">
        <v>0.89870000000000005</v>
      </c>
      <c r="J1123" s="2">
        <v>0.97140000000000004</v>
      </c>
      <c r="K1123" s="2">
        <v>1.0441</v>
      </c>
      <c r="L1123" s="2">
        <v>1.1234</v>
      </c>
      <c r="M1123" s="2">
        <v>1.2027000000000001</v>
      </c>
      <c r="N1123" s="2">
        <v>1.282</v>
      </c>
      <c r="O1123" s="2">
        <v>1.3612</v>
      </c>
      <c r="P1123" s="2">
        <v>1.4404999999999999</v>
      </c>
      <c r="Q1123" s="2">
        <v>1.5198</v>
      </c>
      <c r="R1123" t="s">
        <v>3</v>
      </c>
      <c r="S1123" t="s">
        <v>3</v>
      </c>
      <c r="T1123" t="s">
        <v>125</v>
      </c>
    </row>
    <row r="1124" spans="2:20" x14ac:dyDescent="0.25">
      <c r="B1124" t="s">
        <v>133</v>
      </c>
      <c r="C1124" s="2">
        <v>1.1363000000000001</v>
      </c>
      <c r="D1124" s="2">
        <v>1.2287999999999999</v>
      </c>
      <c r="E1124" s="2">
        <v>1.3212999999999999</v>
      </c>
      <c r="F1124" s="2">
        <v>1.4535</v>
      </c>
      <c r="G1124" s="2">
        <v>1.5459000000000001</v>
      </c>
      <c r="H1124" s="2">
        <v>1.6516999999999999</v>
      </c>
      <c r="I1124" s="2">
        <v>1.7969999999999999</v>
      </c>
      <c r="J1124" s="2">
        <v>1.9422999999999999</v>
      </c>
      <c r="K1124" s="2">
        <v>2.0876999999999999</v>
      </c>
      <c r="L1124" s="2">
        <v>2.2462</v>
      </c>
      <c r="M1124" s="2">
        <v>2.4047999999999998</v>
      </c>
      <c r="N1124" s="2">
        <v>2.5634000000000001</v>
      </c>
      <c r="O1124" s="2">
        <v>2.7219000000000002</v>
      </c>
      <c r="P1124" s="2">
        <v>2.8805000000000001</v>
      </c>
      <c r="Q1124" s="2">
        <v>3.0390000000000001</v>
      </c>
      <c r="R1124" t="s">
        <v>3</v>
      </c>
      <c r="S1124" t="s">
        <v>3</v>
      </c>
      <c r="T1124" t="s">
        <v>125</v>
      </c>
    </row>
    <row r="1125" spans="2:20" x14ac:dyDescent="0.25">
      <c r="B1125" t="s">
        <v>134</v>
      </c>
      <c r="C1125" s="2">
        <v>1.4193</v>
      </c>
      <c r="D1125" s="2">
        <v>1.5348999999999999</v>
      </c>
      <c r="E1125" s="2">
        <v>1.6504000000000001</v>
      </c>
      <c r="F1125" s="2">
        <v>1.8153999999999999</v>
      </c>
      <c r="G1125" s="2">
        <v>1.931</v>
      </c>
      <c r="H1125" s="2">
        <v>2.0630000000000002</v>
      </c>
      <c r="I1125" s="2">
        <v>2.2444999999999999</v>
      </c>
      <c r="J1125" s="2">
        <v>2.4260999999999999</v>
      </c>
      <c r="K1125" s="2">
        <v>2.6076000000000001</v>
      </c>
      <c r="L1125" s="2">
        <v>2.8056999999999999</v>
      </c>
      <c r="M1125" s="2">
        <v>3.0036999999999998</v>
      </c>
      <c r="N1125" s="2">
        <v>3.2018</v>
      </c>
      <c r="O1125" s="2">
        <v>3.3997999999999999</v>
      </c>
      <c r="P1125" s="2">
        <v>3.5979000000000001</v>
      </c>
      <c r="Q1125" s="2">
        <v>3.7959000000000001</v>
      </c>
      <c r="R1125" t="s">
        <v>3</v>
      </c>
      <c r="S1125" t="s">
        <v>3</v>
      </c>
      <c r="T1125" t="s">
        <v>125</v>
      </c>
    </row>
    <row r="1126" spans="2:20" x14ac:dyDescent="0.25">
      <c r="B1126" t="s">
        <v>4</v>
      </c>
      <c r="C1126" s="2">
        <v>1.696</v>
      </c>
      <c r="D1126" s="2">
        <v>1.8231999999999999</v>
      </c>
      <c r="E1126" s="2">
        <v>1.9503999999999999</v>
      </c>
      <c r="F1126" s="2">
        <v>2.12</v>
      </c>
      <c r="G1126" s="2">
        <v>2.2471999999999999</v>
      </c>
      <c r="H1126" s="2">
        <v>2.3744000000000001</v>
      </c>
      <c r="I1126" s="2">
        <v>2.544</v>
      </c>
      <c r="J1126" s="2">
        <v>2.7136</v>
      </c>
      <c r="K1126" s="2">
        <v>2.8832</v>
      </c>
      <c r="L1126" s="2">
        <v>3.0528</v>
      </c>
      <c r="M1126" s="2">
        <v>3.2223999999999999</v>
      </c>
      <c r="N1126" s="2">
        <v>3.3919999999999999</v>
      </c>
      <c r="O1126" s="2">
        <v>3.6040000000000001</v>
      </c>
      <c r="P1126" s="2">
        <v>3.8159999999999998</v>
      </c>
      <c r="Q1126" s="2">
        <v>4.0279999999999996</v>
      </c>
      <c r="R1126" t="s">
        <v>19</v>
      </c>
      <c r="S1126" t="s">
        <v>19</v>
      </c>
      <c r="T1126" t="s">
        <v>125</v>
      </c>
    </row>
    <row r="1127" spans="2:20" x14ac:dyDescent="0.25">
      <c r="B1127" t="s">
        <v>170</v>
      </c>
      <c r="C1127" s="2">
        <v>1.8240000000000001</v>
      </c>
      <c r="D1127" s="2">
        <v>1.9608000000000001</v>
      </c>
      <c r="E1127" s="2">
        <v>2.0975999999999999</v>
      </c>
      <c r="F1127" s="2">
        <v>2.2799999999999998</v>
      </c>
      <c r="G1127" s="2">
        <v>2.4167999999999998</v>
      </c>
      <c r="H1127" s="2">
        <v>2.5535999999999999</v>
      </c>
      <c r="I1127" s="2">
        <v>2.7360000000000002</v>
      </c>
      <c r="J1127" s="2">
        <v>2.9184000000000001</v>
      </c>
      <c r="K1127" s="2">
        <v>3.1008</v>
      </c>
      <c r="L1127" s="2">
        <v>3.2831999999999999</v>
      </c>
      <c r="M1127" s="2">
        <v>3.4655999999999998</v>
      </c>
      <c r="N1127" s="2">
        <v>3.6480000000000001</v>
      </c>
      <c r="O1127" s="2">
        <v>3.8759999999999999</v>
      </c>
      <c r="P1127" s="2">
        <v>4.1040000000000001</v>
      </c>
      <c r="Q1127" s="2">
        <v>4.3319999999999999</v>
      </c>
      <c r="R1127" t="s">
        <v>0</v>
      </c>
      <c r="S1127" t="s">
        <v>0</v>
      </c>
      <c r="T1127" t="s">
        <v>125</v>
      </c>
    </row>
    <row r="1128" spans="2:20" x14ac:dyDescent="0.25">
      <c r="B1128" t="s">
        <v>359</v>
      </c>
      <c r="C1128" s="2">
        <v>0.8</v>
      </c>
      <c r="D1128" s="2">
        <v>0.8</v>
      </c>
      <c r="E1128" s="2">
        <v>0.8</v>
      </c>
      <c r="F1128" s="2">
        <v>0.8</v>
      </c>
      <c r="G1128" s="2">
        <v>0.8</v>
      </c>
      <c r="H1128" s="2">
        <v>0.8</v>
      </c>
      <c r="I1128" s="2">
        <v>0.8</v>
      </c>
      <c r="J1128" s="2">
        <v>0.8</v>
      </c>
      <c r="K1128" s="2">
        <v>0.8</v>
      </c>
      <c r="L1128" s="2">
        <v>0.8</v>
      </c>
      <c r="M1128" s="2">
        <v>0.8</v>
      </c>
      <c r="N1128" s="2">
        <v>0.8</v>
      </c>
      <c r="O1128" s="2">
        <v>0.8</v>
      </c>
      <c r="P1128" s="2">
        <v>0.8</v>
      </c>
      <c r="Q1128" s="2">
        <v>0.8</v>
      </c>
      <c r="R1128" t="s">
        <v>5</v>
      </c>
      <c r="S1128" t="s">
        <v>5</v>
      </c>
      <c r="T1128" t="s">
        <v>125</v>
      </c>
    </row>
    <row r="1129" spans="2:20" x14ac:dyDescent="0.25">
      <c r="B1129" s="3" t="s">
        <v>763</v>
      </c>
      <c r="C1129" s="23"/>
      <c r="D1129" s="23"/>
      <c r="E1129" s="23"/>
      <c r="F1129" s="23"/>
      <c r="G1129" s="23"/>
      <c r="H1129" s="23"/>
      <c r="I1129" s="23"/>
      <c r="J1129" s="23"/>
      <c r="K1129" s="23"/>
      <c r="L1129" s="23"/>
      <c r="M1129" s="23"/>
      <c r="N1129" s="23"/>
      <c r="O1129" s="23"/>
      <c r="P1129" s="23"/>
      <c r="Q1129" s="23"/>
      <c r="R1129" s="5" t="s">
        <v>763</v>
      </c>
      <c r="S1129" s="5" t="s">
        <v>763</v>
      </c>
      <c r="T1129" t="s">
        <v>764</v>
      </c>
    </row>
    <row r="1130" spans="2:20" x14ac:dyDescent="0.25">
      <c r="B1130" s="3" t="s">
        <v>386</v>
      </c>
      <c r="C1130" s="23"/>
      <c r="D1130" s="23"/>
      <c r="E1130" s="23"/>
      <c r="F1130" s="23"/>
      <c r="G1130" s="23"/>
      <c r="H1130" s="23"/>
      <c r="I1130" s="23"/>
      <c r="J1130" s="23"/>
      <c r="K1130" s="23"/>
      <c r="L1130" s="23"/>
      <c r="M1130" s="23"/>
      <c r="N1130" s="23"/>
      <c r="O1130" s="23"/>
      <c r="P1130" s="23"/>
      <c r="Q1130" s="23"/>
      <c r="R1130" s="5" t="s">
        <v>392</v>
      </c>
      <c r="S1130" s="5" t="s">
        <v>392</v>
      </c>
      <c r="T1130" t="s">
        <v>69</v>
      </c>
    </row>
    <row r="1131" spans="2:20" x14ac:dyDescent="0.25">
      <c r="B1131" s="3" t="s">
        <v>388</v>
      </c>
      <c r="C1131" s="23"/>
      <c r="D1131" s="23"/>
      <c r="E1131" s="23"/>
      <c r="F1131" s="23"/>
      <c r="G1131" s="23"/>
      <c r="H1131" s="23"/>
      <c r="I1131" s="23"/>
      <c r="J1131" s="23"/>
      <c r="K1131" s="23"/>
      <c r="L1131" s="23"/>
      <c r="M1131" s="23"/>
      <c r="N1131" s="23"/>
      <c r="O1131" s="23"/>
      <c r="P1131" s="23"/>
      <c r="Q1131" s="23"/>
      <c r="R1131" s="5" t="s">
        <v>392</v>
      </c>
      <c r="S1131" s="5" t="s">
        <v>392</v>
      </c>
      <c r="T1131" t="s">
        <v>69</v>
      </c>
    </row>
    <row r="1132" spans="2:20" x14ac:dyDescent="0.25">
      <c r="B1132" s="3" t="s">
        <v>389</v>
      </c>
      <c r="C1132" s="23"/>
      <c r="D1132" s="23"/>
      <c r="E1132" s="23"/>
      <c r="F1132" s="23"/>
      <c r="G1132" s="23"/>
      <c r="H1132" s="23"/>
      <c r="I1132" s="23"/>
      <c r="J1132" s="23"/>
      <c r="K1132" s="23"/>
      <c r="L1132" s="23"/>
      <c r="M1132" s="23"/>
      <c r="N1132" s="23"/>
      <c r="O1132" s="23"/>
      <c r="P1132" s="23"/>
      <c r="Q1132" s="23"/>
      <c r="R1132" s="5" t="s">
        <v>392</v>
      </c>
      <c r="S1132" s="5" t="s">
        <v>392</v>
      </c>
      <c r="T1132" t="s">
        <v>69</v>
      </c>
    </row>
    <row r="1133" spans="2:20" x14ac:dyDescent="0.25">
      <c r="B1133" s="3" t="s">
        <v>385</v>
      </c>
      <c r="C1133" s="23"/>
      <c r="D1133" s="23"/>
      <c r="E1133" s="23"/>
      <c r="F1133" s="23"/>
      <c r="G1133" s="23"/>
      <c r="H1133" s="23"/>
      <c r="I1133" s="23"/>
      <c r="J1133" s="23"/>
      <c r="K1133" s="23"/>
      <c r="L1133" s="23"/>
      <c r="M1133" s="23"/>
      <c r="N1133" s="23"/>
      <c r="O1133" s="23"/>
      <c r="P1133" s="23"/>
      <c r="Q1133" s="23"/>
      <c r="R1133" s="5" t="s">
        <v>392</v>
      </c>
      <c r="S1133" s="5" t="s">
        <v>392</v>
      </c>
      <c r="T1133" t="s">
        <v>69</v>
      </c>
    </row>
    <row r="1134" spans="2:20" x14ac:dyDescent="0.25">
      <c r="B1134" s="3" t="s">
        <v>387</v>
      </c>
      <c r="C1134" s="23"/>
      <c r="D1134" s="23"/>
      <c r="E1134" s="23"/>
      <c r="F1134" s="23"/>
      <c r="G1134" s="23"/>
      <c r="H1134" s="23"/>
      <c r="I1134" s="23"/>
      <c r="J1134" s="23"/>
      <c r="K1134" s="23"/>
      <c r="L1134" s="23"/>
      <c r="M1134" s="23"/>
      <c r="N1134" s="23"/>
      <c r="O1134" s="23"/>
      <c r="P1134" s="23"/>
      <c r="Q1134" s="23"/>
      <c r="R1134" s="5" t="s">
        <v>392</v>
      </c>
      <c r="S1134" s="5" t="s">
        <v>392</v>
      </c>
      <c r="T1134" t="s">
        <v>69</v>
      </c>
    </row>
    <row r="1135" spans="2:20" x14ac:dyDescent="0.25">
      <c r="B1135" s="3" t="s">
        <v>390</v>
      </c>
      <c r="C1135" s="23"/>
      <c r="D1135" s="23"/>
      <c r="E1135" s="23"/>
      <c r="F1135" s="23"/>
      <c r="G1135" s="23"/>
      <c r="H1135" s="23"/>
      <c r="I1135" s="23"/>
      <c r="J1135" s="23"/>
      <c r="K1135" s="23"/>
      <c r="L1135" s="23"/>
      <c r="M1135" s="23"/>
      <c r="N1135" s="23"/>
      <c r="O1135" s="23"/>
      <c r="P1135" s="23"/>
      <c r="Q1135" s="23"/>
      <c r="R1135" s="5" t="s">
        <v>392</v>
      </c>
      <c r="S1135" s="5" t="s">
        <v>392</v>
      </c>
      <c r="T1135" t="s">
        <v>69</v>
      </c>
    </row>
    <row r="1136" spans="2:20" x14ac:dyDescent="0.25">
      <c r="B1136" s="3" t="s">
        <v>391</v>
      </c>
      <c r="C1136" s="23"/>
      <c r="D1136" s="23"/>
      <c r="E1136" s="23"/>
      <c r="F1136" s="23"/>
      <c r="G1136" s="23"/>
      <c r="H1136" s="23"/>
      <c r="I1136" s="23"/>
      <c r="J1136" s="23"/>
      <c r="K1136" s="23"/>
      <c r="L1136" s="23"/>
      <c r="M1136" s="23"/>
      <c r="N1136" s="23"/>
      <c r="O1136" s="23"/>
      <c r="P1136" s="23"/>
      <c r="Q1136" s="23"/>
      <c r="R1136" s="5" t="s">
        <v>392</v>
      </c>
      <c r="S1136" s="5" t="s">
        <v>392</v>
      </c>
      <c r="T1136" t="s">
        <v>69</v>
      </c>
    </row>
    <row r="1137" spans="1:20" x14ac:dyDescent="0.25">
      <c r="A1137" t="s">
        <v>898</v>
      </c>
      <c r="B1137" s="3" t="s">
        <v>393</v>
      </c>
      <c r="C1137" s="23"/>
      <c r="D1137" s="23"/>
      <c r="E1137" s="23"/>
      <c r="F1137" s="23"/>
      <c r="G1137" s="23"/>
      <c r="H1137" s="23"/>
      <c r="I1137" s="23"/>
      <c r="J1137" s="23"/>
      <c r="K1137" s="23"/>
      <c r="L1137" s="23"/>
      <c r="M1137" s="23"/>
      <c r="N1137" s="23"/>
      <c r="O1137" s="23"/>
      <c r="P1137" s="23"/>
      <c r="Q1137" s="23"/>
      <c r="R1137" s="5" t="s">
        <v>392</v>
      </c>
      <c r="S1137" s="5" t="s">
        <v>392</v>
      </c>
      <c r="T1137" t="s">
        <v>69</v>
      </c>
    </row>
    <row r="1138" spans="1:20" x14ac:dyDescent="0.25">
      <c r="B1138" t="s">
        <v>360</v>
      </c>
      <c r="C1138" s="21">
        <v>1</v>
      </c>
      <c r="D1138" s="21">
        <v>2</v>
      </c>
      <c r="E1138" s="21">
        <v>3</v>
      </c>
      <c r="F1138" s="21">
        <v>4</v>
      </c>
      <c r="G1138" s="21">
        <v>5</v>
      </c>
      <c r="H1138" s="21">
        <v>6</v>
      </c>
      <c r="I1138" s="21">
        <v>7</v>
      </c>
      <c r="J1138" s="21">
        <v>8</v>
      </c>
      <c r="K1138" s="21">
        <v>9</v>
      </c>
      <c r="L1138" s="21">
        <v>10</v>
      </c>
      <c r="M1138" s="21">
        <v>11</v>
      </c>
      <c r="N1138" s="21">
        <v>12</v>
      </c>
      <c r="O1138" s="21">
        <v>13</v>
      </c>
      <c r="P1138" s="21">
        <v>14</v>
      </c>
      <c r="Q1138" s="21">
        <v>15</v>
      </c>
      <c r="R1138" s="5" t="s">
        <v>11</v>
      </c>
      <c r="S1138" s="5" t="s">
        <v>1024</v>
      </c>
      <c r="T1138" t="s">
        <v>124</v>
      </c>
    </row>
    <row r="1139" spans="1:20" x14ac:dyDescent="0.25">
      <c r="A1139" t="s">
        <v>899</v>
      </c>
      <c r="B1139" t="s">
        <v>345</v>
      </c>
      <c r="C1139" s="2">
        <v>0.35639999999999999</v>
      </c>
      <c r="D1139" s="2">
        <v>0.38069999999999998</v>
      </c>
      <c r="E1139" s="2">
        <v>0.40500000000000003</v>
      </c>
      <c r="F1139" s="2">
        <v>0.43740000000000001</v>
      </c>
      <c r="G1139" s="2">
        <v>0.4617</v>
      </c>
      <c r="H1139" s="2">
        <v>0.49009999999999998</v>
      </c>
      <c r="I1139" s="2">
        <v>0.52649999999999997</v>
      </c>
      <c r="J1139" s="2">
        <v>0.56289999999999996</v>
      </c>
      <c r="K1139" s="2">
        <v>0.59940000000000004</v>
      </c>
      <c r="L1139" s="2">
        <v>0.63590000000000002</v>
      </c>
      <c r="M1139" s="2">
        <v>0.67230000000000001</v>
      </c>
      <c r="N1139" s="2">
        <v>0.70879999999999999</v>
      </c>
      <c r="O1139" s="2">
        <v>0.74519999999999997</v>
      </c>
      <c r="P1139" s="2">
        <v>0.78169999999999995</v>
      </c>
      <c r="Q1139" s="2">
        <v>0.81810000000000005</v>
      </c>
      <c r="R1139" t="s">
        <v>6</v>
      </c>
      <c r="S1139" t="s">
        <v>6</v>
      </c>
      <c r="T1139" t="s">
        <v>125</v>
      </c>
    </row>
    <row r="1140" spans="1:20" x14ac:dyDescent="0.25">
      <c r="B1140" t="s">
        <v>9</v>
      </c>
      <c r="C1140" s="2">
        <v>0.68379999999999996</v>
      </c>
      <c r="D1140" s="2">
        <v>0.73040000000000005</v>
      </c>
      <c r="E1140" s="2">
        <v>0.77700000000000002</v>
      </c>
      <c r="F1140" s="2">
        <v>0.83919999999999995</v>
      </c>
      <c r="G1140" s="2">
        <v>0.88580000000000003</v>
      </c>
      <c r="H1140" s="2">
        <v>0.94020000000000004</v>
      </c>
      <c r="I1140" s="2">
        <v>1.0101</v>
      </c>
      <c r="J1140" s="2">
        <v>1.08</v>
      </c>
      <c r="K1140" s="2">
        <v>1.1499999999999999</v>
      </c>
      <c r="L1140" s="2">
        <v>1.2199</v>
      </c>
      <c r="M1140" s="2">
        <v>1.2898000000000001</v>
      </c>
      <c r="N1140" s="2">
        <v>1.3597999999999999</v>
      </c>
      <c r="O1140" s="2">
        <v>1.4297</v>
      </c>
      <c r="P1140" s="2">
        <v>1.4996</v>
      </c>
      <c r="Q1140" s="2">
        <v>1.5694999999999999</v>
      </c>
      <c r="R1140" t="s">
        <v>6</v>
      </c>
      <c r="S1140" t="s">
        <v>6</v>
      </c>
      <c r="T1140" t="s">
        <v>125</v>
      </c>
    </row>
    <row r="1141" spans="1:20" x14ac:dyDescent="0.25">
      <c r="B1141" t="s">
        <v>8</v>
      </c>
      <c r="C1141" s="2">
        <v>0.88890000000000002</v>
      </c>
      <c r="D1141" s="2">
        <v>0.94950000000000001</v>
      </c>
      <c r="E1141" s="2">
        <v>1.0101</v>
      </c>
      <c r="F1141" s="2">
        <v>1.0909</v>
      </c>
      <c r="G1141" s="2">
        <v>1.1515</v>
      </c>
      <c r="H1141" s="2">
        <v>1.2222</v>
      </c>
      <c r="I1141" s="2">
        <v>1.3130999999999999</v>
      </c>
      <c r="J1141" s="2">
        <v>1.4039999999999999</v>
      </c>
      <c r="K1141" s="2">
        <v>1.4948999999999999</v>
      </c>
      <c r="L1141" s="2">
        <v>1.5859000000000001</v>
      </c>
      <c r="M1141" s="2">
        <v>1.6768000000000001</v>
      </c>
      <c r="N1141" s="2">
        <v>1.7677</v>
      </c>
      <c r="O1141" s="2">
        <v>1.8586</v>
      </c>
      <c r="P1141" s="2">
        <v>1.9495</v>
      </c>
      <c r="Q1141" s="2">
        <v>2.0404</v>
      </c>
      <c r="R1141" t="s">
        <v>6</v>
      </c>
      <c r="S1141" t="s">
        <v>6</v>
      </c>
      <c r="T1141" t="s">
        <v>125</v>
      </c>
    </row>
    <row r="1142" spans="1:20" x14ac:dyDescent="0.25">
      <c r="B1142" t="s">
        <v>274</v>
      </c>
      <c r="C1142" s="2">
        <v>0.4642</v>
      </c>
      <c r="D1142" s="2">
        <v>0.49590000000000001</v>
      </c>
      <c r="E1142" s="2">
        <v>0.52749999999999997</v>
      </c>
      <c r="F1142" s="2">
        <v>0.56969999999999998</v>
      </c>
      <c r="G1142" s="2">
        <v>0.60140000000000005</v>
      </c>
      <c r="H1142" s="2">
        <v>0.63829999999999998</v>
      </c>
      <c r="I1142" s="2">
        <v>0.68579999999999997</v>
      </c>
      <c r="J1142" s="2">
        <v>0.73319999999999996</v>
      </c>
      <c r="K1142" s="2">
        <v>0.78069999999999995</v>
      </c>
      <c r="L1142" s="2">
        <v>0.82820000000000005</v>
      </c>
      <c r="M1142" s="2">
        <v>0.87570000000000003</v>
      </c>
      <c r="N1142" s="2">
        <v>0.92310000000000003</v>
      </c>
      <c r="O1142" s="2">
        <v>0.97060000000000002</v>
      </c>
      <c r="P1142" s="2">
        <v>1.0181</v>
      </c>
      <c r="Q1142" s="2">
        <v>1.0656000000000001</v>
      </c>
      <c r="R1142" t="s">
        <v>6</v>
      </c>
      <c r="S1142" t="s">
        <v>6</v>
      </c>
      <c r="T1142" t="s">
        <v>125</v>
      </c>
    </row>
    <row r="1143" spans="1:20" x14ac:dyDescent="0.25">
      <c r="B1143" t="s">
        <v>7</v>
      </c>
      <c r="C1143" s="2">
        <v>1.0586</v>
      </c>
      <c r="D1143" s="2">
        <v>1.1308</v>
      </c>
      <c r="E1143" s="2">
        <v>1.2030000000000001</v>
      </c>
      <c r="F1143" s="2">
        <v>1.2991999999999999</v>
      </c>
      <c r="G1143" s="2">
        <v>1.3714</v>
      </c>
      <c r="H1143" s="2">
        <v>1.4556</v>
      </c>
      <c r="I1143" s="2">
        <v>1.5639000000000001</v>
      </c>
      <c r="J1143" s="2">
        <v>1.6721999999999999</v>
      </c>
      <c r="K1143" s="2">
        <v>1.7804</v>
      </c>
      <c r="L1143" s="2">
        <v>1.8887</v>
      </c>
      <c r="M1143" s="2">
        <v>1.9970000000000001</v>
      </c>
      <c r="N1143" s="2">
        <v>2.1053000000000002</v>
      </c>
      <c r="O1143" s="2">
        <v>2.2134999999999998</v>
      </c>
      <c r="P1143" s="2">
        <v>2.3218000000000001</v>
      </c>
      <c r="Q1143" s="2">
        <v>2.4300999999999999</v>
      </c>
      <c r="R1143" t="s">
        <v>6</v>
      </c>
      <c r="S1143" t="s">
        <v>6</v>
      </c>
      <c r="T1143" t="s">
        <v>125</v>
      </c>
    </row>
    <row r="1144" spans="1:20" x14ac:dyDescent="0.25">
      <c r="B1144" t="s">
        <v>131</v>
      </c>
      <c r="C1144" s="2">
        <v>0.43859999999999999</v>
      </c>
      <c r="D1144" s="2">
        <v>0.4743</v>
      </c>
      <c r="E1144" s="2">
        <v>0.51</v>
      </c>
      <c r="F1144" s="2">
        <v>0.56100000000000005</v>
      </c>
      <c r="G1144" s="2">
        <v>0.59670000000000001</v>
      </c>
      <c r="H1144" s="2">
        <v>0.63749999999999996</v>
      </c>
      <c r="I1144" s="2">
        <v>0.69359999999999999</v>
      </c>
      <c r="J1144" s="2">
        <v>0.74970000000000003</v>
      </c>
      <c r="K1144" s="2">
        <v>0.80579999999999996</v>
      </c>
      <c r="L1144" s="2">
        <v>0.86699999999999999</v>
      </c>
      <c r="M1144" s="2">
        <v>0.92820000000000003</v>
      </c>
      <c r="N1144" s="2">
        <v>0.98939999999999995</v>
      </c>
      <c r="O1144" s="2">
        <v>1.0506</v>
      </c>
      <c r="P1144" s="2">
        <v>1.1117999999999999</v>
      </c>
      <c r="Q1144" s="2">
        <v>1.173</v>
      </c>
      <c r="R1144" t="s">
        <v>5</v>
      </c>
      <c r="S1144" t="s">
        <v>5</v>
      </c>
      <c r="T1144" t="s">
        <v>125</v>
      </c>
    </row>
    <row r="1145" spans="1:20" x14ac:dyDescent="0.25">
      <c r="B1145" t="s">
        <v>132</v>
      </c>
      <c r="C1145" s="2">
        <v>1.24</v>
      </c>
      <c r="D1145" s="2">
        <v>1.333</v>
      </c>
      <c r="E1145" s="2">
        <v>1.4259999999999999</v>
      </c>
      <c r="F1145" s="2">
        <v>1.55</v>
      </c>
      <c r="G1145" s="2">
        <v>1.643</v>
      </c>
      <c r="H1145" s="2">
        <v>1.736</v>
      </c>
      <c r="I1145" s="2">
        <v>1.86</v>
      </c>
      <c r="J1145" s="2">
        <v>1.984</v>
      </c>
      <c r="K1145" s="2">
        <v>2.1080000000000001</v>
      </c>
      <c r="L1145" s="2">
        <v>2.2320000000000002</v>
      </c>
      <c r="M1145" s="2">
        <v>2.3559999999999999</v>
      </c>
      <c r="N1145" s="2">
        <v>2.48</v>
      </c>
      <c r="O1145" s="2">
        <v>2.6349999999999998</v>
      </c>
      <c r="P1145" s="2">
        <v>2.79</v>
      </c>
      <c r="Q1145" s="2">
        <v>2.9449999999999998</v>
      </c>
      <c r="R1145" t="s">
        <v>5</v>
      </c>
      <c r="S1145" t="s">
        <v>5</v>
      </c>
      <c r="T1145" t="s">
        <v>125</v>
      </c>
    </row>
    <row r="1146" spans="1:20" x14ac:dyDescent="0.25">
      <c r="B1146" t="s">
        <v>361</v>
      </c>
      <c r="C1146" s="2">
        <v>0.16400000000000001</v>
      </c>
      <c r="D1146" s="2">
        <v>0.17630000000000001</v>
      </c>
      <c r="E1146" s="2">
        <v>0.18859999999999999</v>
      </c>
      <c r="F1146" s="2">
        <v>0.20499999999999999</v>
      </c>
      <c r="G1146" s="2">
        <v>0.21729999999999999</v>
      </c>
      <c r="H1146" s="2">
        <v>0.2296</v>
      </c>
      <c r="I1146" s="2">
        <v>0.246</v>
      </c>
      <c r="J1146" s="2">
        <v>0.26240000000000002</v>
      </c>
      <c r="K1146" s="2">
        <v>0.27879999999999999</v>
      </c>
      <c r="L1146" s="2">
        <v>0.29520000000000002</v>
      </c>
      <c r="M1146" s="2">
        <v>0.31159999999999999</v>
      </c>
      <c r="N1146" s="2">
        <v>0.32800000000000001</v>
      </c>
      <c r="O1146" s="2">
        <v>0.34849999999999998</v>
      </c>
      <c r="P1146" s="2">
        <v>0.36899999999999999</v>
      </c>
      <c r="Q1146" s="2">
        <v>0.38950000000000001</v>
      </c>
      <c r="R1146" t="s">
        <v>5</v>
      </c>
      <c r="S1146" t="s">
        <v>5</v>
      </c>
      <c r="T1146" t="s">
        <v>125</v>
      </c>
    </row>
    <row r="1147" spans="1:20" x14ac:dyDescent="0.25">
      <c r="B1147" t="s">
        <v>152</v>
      </c>
      <c r="C1147" s="2">
        <v>0.56830000000000003</v>
      </c>
      <c r="D1147" s="2">
        <v>0.61450000000000005</v>
      </c>
      <c r="E1147" s="2">
        <v>0.66080000000000005</v>
      </c>
      <c r="F1147" s="2">
        <v>0.72689999999999999</v>
      </c>
      <c r="G1147" s="2">
        <v>0.77310000000000001</v>
      </c>
      <c r="H1147" s="2">
        <v>0.82599999999999996</v>
      </c>
      <c r="I1147" s="2">
        <v>0.89870000000000005</v>
      </c>
      <c r="J1147" s="2">
        <v>0.97140000000000004</v>
      </c>
      <c r="K1147" s="2">
        <v>1.0441</v>
      </c>
      <c r="L1147" s="2">
        <v>1.1234</v>
      </c>
      <c r="M1147" s="2">
        <v>1.2027000000000001</v>
      </c>
      <c r="N1147" s="2">
        <v>1.282</v>
      </c>
      <c r="O1147" s="2">
        <v>1.3612</v>
      </c>
      <c r="P1147" s="2">
        <v>1.4404999999999999</v>
      </c>
      <c r="Q1147" s="2">
        <v>1.5198</v>
      </c>
      <c r="R1147" t="s">
        <v>3</v>
      </c>
      <c r="S1147" t="s">
        <v>3</v>
      </c>
      <c r="T1147" t="s">
        <v>125</v>
      </c>
    </row>
    <row r="1148" spans="1:20" x14ac:dyDescent="0.25">
      <c r="B1148" t="s">
        <v>133</v>
      </c>
      <c r="C1148" s="2">
        <v>1.1363000000000001</v>
      </c>
      <c r="D1148" s="2">
        <v>1.2287999999999999</v>
      </c>
      <c r="E1148" s="2">
        <v>1.3212999999999999</v>
      </c>
      <c r="F1148" s="2">
        <v>1.4535</v>
      </c>
      <c r="G1148" s="2">
        <v>1.5459000000000001</v>
      </c>
      <c r="H1148" s="2">
        <v>1.6516999999999999</v>
      </c>
      <c r="I1148" s="2">
        <v>1.7969999999999999</v>
      </c>
      <c r="J1148" s="2">
        <v>1.9422999999999999</v>
      </c>
      <c r="K1148" s="2">
        <v>2.0876999999999999</v>
      </c>
      <c r="L1148" s="2">
        <v>2.2462</v>
      </c>
      <c r="M1148" s="2">
        <v>2.4047999999999998</v>
      </c>
      <c r="N1148" s="2">
        <v>2.5634000000000001</v>
      </c>
      <c r="O1148" s="2">
        <v>2.7219000000000002</v>
      </c>
      <c r="P1148" s="2">
        <v>2.8805000000000001</v>
      </c>
      <c r="Q1148" s="2">
        <v>3.0390000000000001</v>
      </c>
      <c r="R1148" t="s">
        <v>3</v>
      </c>
      <c r="S1148" t="s">
        <v>3</v>
      </c>
      <c r="T1148" t="s">
        <v>125</v>
      </c>
    </row>
    <row r="1149" spans="1:20" x14ac:dyDescent="0.25">
      <c r="B1149" t="s">
        <v>134</v>
      </c>
      <c r="C1149" s="2">
        <v>1.4193</v>
      </c>
      <c r="D1149" s="2">
        <v>1.5348999999999999</v>
      </c>
      <c r="E1149" s="2">
        <v>1.6504000000000001</v>
      </c>
      <c r="F1149" s="2">
        <v>1.8153999999999999</v>
      </c>
      <c r="G1149" s="2">
        <v>1.931</v>
      </c>
      <c r="H1149" s="2">
        <v>2.0630000000000002</v>
      </c>
      <c r="I1149" s="2">
        <v>2.2444999999999999</v>
      </c>
      <c r="J1149" s="2">
        <v>2.4260999999999999</v>
      </c>
      <c r="K1149" s="2">
        <v>2.6076000000000001</v>
      </c>
      <c r="L1149" s="2">
        <v>2.8056999999999999</v>
      </c>
      <c r="M1149" s="2">
        <v>3.0036999999999998</v>
      </c>
      <c r="N1149" s="2">
        <v>3.2018</v>
      </c>
      <c r="O1149" s="2">
        <v>3.3997999999999999</v>
      </c>
      <c r="P1149" s="2">
        <v>3.5979000000000001</v>
      </c>
      <c r="Q1149" s="2">
        <v>3.7959000000000001</v>
      </c>
      <c r="R1149" t="s">
        <v>3</v>
      </c>
      <c r="S1149" t="s">
        <v>3</v>
      </c>
      <c r="T1149" t="s">
        <v>125</v>
      </c>
    </row>
    <row r="1150" spans="1:20" x14ac:dyDescent="0.25">
      <c r="B1150" t="s">
        <v>160</v>
      </c>
      <c r="C1150" s="2">
        <v>1.272</v>
      </c>
      <c r="D1150" s="2">
        <v>1.3673999999999999</v>
      </c>
      <c r="E1150" s="2">
        <v>1.4628000000000001</v>
      </c>
      <c r="F1150" s="2">
        <v>1.59</v>
      </c>
      <c r="G1150" s="2">
        <v>1.6854</v>
      </c>
      <c r="H1150" s="2">
        <v>1.7807999999999999</v>
      </c>
      <c r="I1150" s="2">
        <v>1.9079999999999999</v>
      </c>
      <c r="J1150" s="2">
        <v>2.0352000000000001</v>
      </c>
      <c r="K1150" s="2">
        <v>2.1623999999999999</v>
      </c>
      <c r="L1150" s="2">
        <v>2.2896000000000001</v>
      </c>
      <c r="M1150" s="2">
        <v>2.4167999999999998</v>
      </c>
      <c r="N1150" s="2">
        <v>2.544</v>
      </c>
      <c r="O1150" s="2">
        <v>2.7029999999999998</v>
      </c>
      <c r="P1150" s="2">
        <v>2.8620000000000001</v>
      </c>
      <c r="Q1150" s="2">
        <v>3.0209999999999999</v>
      </c>
      <c r="R1150" t="s">
        <v>0</v>
      </c>
      <c r="S1150" t="s">
        <v>0</v>
      </c>
      <c r="T1150" t="s">
        <v>125</v>
      </c>
    </row>
    <row r="1151" spans="1:20" x14ac:dyDescent="0.25">
      <c r="B1151" t="s">
        <v>362</v>
      </c>
      <c r="C1151" s="2">
        <v>1.22</v>
      </c>
      <c r="D1151" s="2">
        <v>1.3115000000000001</v>
      </c>
      <c r="E1151" s="2">
        <v>1.403</v>
      </c>
      <c r="F1151" s="2">
        <v>1.5249999999999999</v>
      </c>
      <c r="G1151" s="2">
        <v>1.6165</v>
      </c>
      <c r="H1151" s="2">
        <v>1.708</v>
      </c>
      <c r="I1151" s="2">
        <v>1.83</v>
      </c>
      <c r="J1151" s="2">
        <v>1.952</v>
      </c>
      <c r="K1151" s="2">
        <v>2.0739999999999998</v>
      </c>
      <c r="L1151" s="2">
        <v>2.1960000000000002</v>
      </c>
      <c r="M1151" s="2">
        <v>2.3180000000000001</v>
      </c>
      <c r="N1151" s="2">
        <v>2.44</v>
      </c>
      <c r="O1151" s="2">
        <v>2.5924999999999998</v>
      </c>
      <c r="P1151" s="2">
        <v>2.7450000000000001</v>
      </c>
      <c r="Q1151" s="2">
        <v>2.8975</v>
      </c>
      <c r="R1151" t="s">
        <v>0</v>
      </c>
      <c r="S1151" t="s">
        <v>0</v>
      </c>
      <c r="T1151" t="s">
        <v>125</v>
      </c>
    </row>
    <row r="1152" spans="1:20" x14ac:dyDescent="0.25">
      <c r="B1152" t="s">
        <v>373</v>
      </c>
      <c r="C1152" s="2">
        <v>0.42768</v>
      </c>
      <c r="D1152" s="2">
        <v>0.45683999999999997</v>
      </c>
      <c r="E1152" s="2">
        <v>0.48599999999999999</v>
      </c>
      <c r="F1152" s="2">
        <v>0.52488000000000001</v>
      </c>
      <c r="G1152" s="2">
        <v>0.55403999999999998</v>
      </c>
      <c r="H1152" s="2">
        <v>0.58811999999999998</v>
      </c>
      <c r="I1152" s="2">
        <v>0.63179999999999992</v>
      </c>
      <c r="J1152" s="2">
        <v>0.67547999999999997</v>
      </c>
      <c r="K1152" s="2">
        <v>0.71928000000000003</v>
      </c>
      <c r="L1152" s="2">
        <v>0.76307999999999998</v>
      </c>
      <c r="M1152" s="2">
        <v>0.80676000000000003</v>
      </c>
      <c r="N1152" s="2">
        <v>0.85055999999999998</v>
      </c>
      <c r="O1152" s="2">
        <v>0.89423999999999992</v>
      </c>
      <c r="P1152" s="2">
        <v>0.93803999999999987</v>
      </c>
      <c r="Q1152" s="2">
        <v>0.98172000000000004</v>
      </c>
      <c r="R1152" t="s">
        <v>6</v>
      </c>
      <c r="S1152" t="s">
        <v>6</v>
      </c>
      <c r="T1152" t="s">
        <v>125</v>
      </c>
    </row>
    <row r="1153" spans="1:20" x14ac:dyDescent="0.25">
      <c r="B1153" t="s">
        <v>374</v>
      </c>
      <c r="C1153" s="2">
        <v>0.41027999999999998</v>
      </c>
      <c r="D1153" s="2">
        <v>0.43824000000000002</v>
      </c>
      <c r="E1153" s="2">
        <v>0.4662</v>
      </c>
      <c r="F1153" s="2">
        <v>0.50351999999999997</v>
      </c>
      <c r="G1153" s="2">
        <v>0.53147999999999995</v>
      </c>
      <c r="H1153" s="2">
        <v>0.56411999999999995</v>
      </c>
      <c r="I1153" s="2">
        <v>0.60605999999999993</v>
      </c>
      <c r="J1153" s="2">
        <v>0.64800000000000002</v>
      </c>
      <c r="K1153" s="2">
        <v>0.69</v>
      </c>
      <c r="L1153" s="2">
        <v>0.73193999999999992</v>
      </c>
      <c r="M1153" s="2">
        <v>0.77388000000000001</v>
      </c>
      <c r="N1153" s="2">
        <v>0.81587999999999994</v>
      </c>
      <c r="O1153" s="2">
        <v>0.85781999999999992</v>
      </c>
      <c r="P1153" s="2">
        <v>0.89976</v>
      </c>
      <c r="Q1153" s="2">
        <v>0.94169999999999987</v>
      </c>
      <c r="R1153" t="s">
        <v>6</v>
      </c>
      <c r="S1153" t="s">
        <v>6</v>
      </c>
      <c r="T1153" t="s">
        <v>125</v>
      </c>
    </row>
    <row r="1154" spans="1:20" x14ac:dyDescent="0.25">
      <c r="B1154" t="s">
        <v>375</v>
      </c>
      <c r="C1154" s="2">
        <v>0.53334000000000004</v>
      </c>
      <c r="D1154" s="2">
        <v>0.56969999999999998</v>
      </c>
      <c r="E1154" s="2">
        <v>0.60605999999999993</v>
      </c>
      <c r="F1154" s="2">
        <v>0.65454000000000001</v>
      </c>
      <c r="G1154" s="2">
        <v>0.69089999999999996</v>
      </c>
      <c r="H1154" s="2">
        <v>0.73331999999999997</v>
      </c>
      <c r="I1154" s="2">
        <v>0.78785999999999989</v>
      </c>
      <c r="J1154" s="2">
        <v>0.84239999999999993</v>
      </c>
      <c r="K1154" s="2">
        <v>0.89693999999999996</v>
      </c>
      <c r="L1154" s="2">
        <v>0.95154000000000005</v>
      </c>
      <c r="M1154" s="2">
        <v>1.0060800000000001</v>
      </c>
      <c r="N1154" s="2">
        <v>1.0606199999999999</v>
      </c>
      <c r="O1154" s="2">
        <v>1.1151599999999999</v>
      </c>
      <c r="P1154" s="2">
        <v>1.1697</v>
      </c>
      <c r="Q1154" s="2">
        <v>1.22424</v>
      </c>
      <c r="R1154" t="s">
        <v>6</v>
      </c>
      <c r="S1154" t="s">
        <v>6</v>
      </c>
      <c r="T1154" t="s">
        <v>125</v>
      </c>
    </row>
    <row r="1155" spans="1:20" x14ac:dyDescent="0.25">
      <c r="B1155" t="s">
        <v>376</v>
      </c>
      <c r="C1155" s="2">
        <v>0.55703999999999998</v>
      </c>
      <c r="D1155" s="2">
        <v>0.59507999999999994</v>
      </c>
      <c r="E1155" s="2">
        <v>0.6329999999999999</v>
      </c>
      <c r="F1155" s="2">
        <v>0.68363999999999991</v>
      </c>
      <c r="G1155" s="2">
        <v>0.72167999999999999</v>
      </c>
      <c r="H1155" s="2">
        <v>0.76595999999999997</v>
      </c>
      <c r="I1155" s="2">
        <v>0.82295999999999991</v>
      </c>
      <c r="J1155" s="2">
        <v>0.87983999999999996</v>
      </c>
      <c r="K1155" s="2">
        <v>0.9368399999999999</v>
      </c>
      <c r="L1155" s="2">
        <v>0.99384000000000006</v>
      </c>
      <c r="M1155" s="2">
        <v>1.05084</v>
      </c>
      <c r="N1155" s="2">
        <v>1.10772</v>
      </c>
      <c r="O1155" s="2">
        <v>1.16472</v>
      </c>
      <c r="P1155" s="2">
        <v>1.2217199999999999</v>
      </c>
      <c r="Q1155" s="2">
        <v>1.2787200000000001</v>
      </c>
      <c r="R1155" t="s">
        <v>6</v>
      </c>
      <c r="S1155" t="s">
        <v>6</v>
      </c>
      <c r="T1155" t="s">
        <v>125</v>
      </c>
    </row>
    <row r="1156" spans="1:20" x14ac:dyDescent="0.25">
      <c r="B1156" t="s">
        <v>377</v>
      </c>
      <c r="C1156" s="2">
        <v>0.63515999999999995</v>
      </c>
      <c r="D1156" s="2">
        <v>0.67847999999999997</v>
      </c>
      <c r="E1156" s="2">
        <v>0.7218</v>
      </c>
      <c r="F1156" s="2">
        <v>0.77951999999999988</v>
      </c>
      <c r="G1156" s="2">
        <v>0.8228399999999999</v>
      </c>
      <c r="H1156" s="2">
        <v>0.87336000000000003</v>
      </c>
      <c r="I1156" s="2">
        <v>0.93833999999999995</v>
      </c>
      <c r="J1156" s="2">
        <v>1.00332</v>
      </c>
      <c r="K1156" s="2">
        <v>1.0682399999999999</v>
      </c>
      <c r="L1156" s="2">
        <v>1.1332199999999999</v>
      </c>
      <c r="M1156" s="2">
        <v>1.1981999999999999</v>
      </c>
      <c r="N1156" s="2">
        <v>1.26318</v>
      </c>
      <c r="O1156" s="2">
        <v>1.3280999999999998</v>
      </c>
      <c r="P1156" s="2">
        <v>1.3930800000000001</v>
      </c>
      <c r="Q1156" s="2">
        <v>1.4580599999999999</v>
      </c>
      <c r="R1156" t="s">
        <v>6</v>
      </c>
      <c r="S1156" t="s">
        <v>6</v>
      </c>
      <c r="T1156" t="s">
        <v>125</v>
      </c>
    </row>
    <row r="1157" spans="1:20" x14ac:dyDescent="0.25">
      <c r="B1157" s="3" t="s">
        <v>763</v>
      </c>
      <c r="C1157" s="23"/>
      <c r="D1157" s="23"/>
      <c r="E1157" s="23"/>
      <c r="F1157" s="23"/>
      <c r="G1157" s="23"/>
      <c r="H1157" s="23"/>
      <c r="I1157" s="23"/>
      <c r="J1157" s="23"/>
      <c r="K1157" s="23"/>
      <c r="L1157" s="23"/>
      <c r="M1157" s="23"/>
      <c r="N1157" s="23"/>
      <c r="O1157" s="23"/>
      <c r="P1157" s="23"/>
      <c r="Q1157" s="23"/>
      <c r="R1157" s="5" t="s">
        <v>763</v>
      </c>
      <c r="S1157" s="5" t="s">
        <v>763</v>
      </c>
      <c r="T1157" t="s">
        <v>764</v>
      </c>
    </row>
    <row r="1158" spans="1:20" x14ac:dyDescent="0.25">
      <c r="B1158" s="3" t="s">
        <v>386</v>
      </c>
      <c r="C1158" s="23"/>
      <c r="D1158" s="23"/>
      <c r="E1158" s="23"/>
      <c r="F1158" s="23"/>
      <c r="G1158" s="23"/>
      <c r="H1158" s="23"/>
      <c r="I1158" s="23"/>
      <c r="J1158" s="23"/>
      <c r="K1158" s="23"/>
      <c r="L1158" s="23"/>
      <c r="M1158" s="23"/>
      <c r="N1158" s="23"/>
      <c r="O1158" s="23"/>
      <c r="P1158" s="23"/>
      <c r="Q1158" s="23"/>
      <c r="R1158" s="5" t="s">
        <v>392</v>
      </c>
      <c r="S1158" s="5" t="s">
        <v>392</v>
      </c>
      <c r="T1158" t="s">
        <v>69</v>
      </c>
    </row>
    <row r="1159" spans="1:20" x14ac:dyDescent="0.25">
      <c r="B1159" s="3" t="s">
        <v>388</v>
      </c>
      <c r="C1159" s="23"/>
      <c r="D1159" s="23"/>
      <c r="E1159" s="23"/>
      <c r="F1159" s="23"/>
      <c r="G1159" s="23"/>
      <c r="H1159" s="23"/>
      <c r="I1159" s="23"/>
      <c r="J1159" s="23"/>
      <c r="K1159" s="23"/>
      <c r="L1159" s="23"/>
      <c r="M1159" s="23"/>
      <c r="N1159" s="23"/>
      <c r="O1159" s="23"/>
      <c r="P1159" s="23"/>
      <c r="Q1159" s="23"/>
      <c r="R1159" s="5" t="s">
        <v>392</v>
      </c>
      <c r="S1159" s="5" t="s">
        <v>392</v>
      </c>
      <c r="T1159" t="s">
        <v>69</v>
      </c>
    </row>
    <row r="1160" spans="1:20" x14ac:dyDescent="0.25">
      <c r="B1160" s="3" t="s">
        <v>389</v>
      </c>
      <c r="C1160" s="23"/>
      <c r="D1160" s="23"/>
      <c r="E1160" s="23"/>
      <c r="F1160" s="23"/>
      <c r="G1160" s="23"/>
      <c r="H1160" s="23"/>
      <c r="I1160" s="23"/>
      <c r="J1160" s="23"/>
      <c r="K1160" s="23"/>
      <c r="L1160" s="23"/>
      <c r="M1160" s="23"/>
      <c r="N1160" s="23"/>
      <c r="O1160" s="23"/>
      <c r="P1160" s="23"/>
      <c r="Q1160" s="23"/>
      <c r="R1160" s="5" t="s">
        <v>392</v>
      </c>
      <c r="S1160" s="5" t="s">
        <v>392</v>
      </c>
      <c r="T1160" t="s">
        <v>69</v>
      </c>
    </row>
    <row r="1161" spans="1:20" x14ac:dyDescent="0.25">
      <c r="B1161" s="3" t="s">
        <v>385</v>
      </c>
      <c r="C1161" s="23"/>
      <c r="D1161" s="23"/>
      <c r="E1161" s="23"/>
      <c r="F1161" s="23"/>
      <c r="G1161" s="23"/>
      <c r="H1161" s="23"/>
      <c r="I1161" s="23"/>
      <c r="J1161" s="23"/>
      <c r="K1161" s="23"/>
      <c r="L1161" s="23"/>
      <c r="M1161" s="23"/>
      <c r="N1161" s="23"/>
      <c r="O1161" s="23"/>
      <c r="P1161" s="23"/>
      <c r="Q1161" s="23"/>
      <c r="R1161" s="5" t="s">
        <v>392</v>
      </c>
      <c r="S1161" s="5" t="s">
        <v>392</v>
      </c>
      <c r="T1161" t="s">
        <v>69</v>
      </c>
    </row>
    <row r="1162" spans="1:20" x14ac:dyDescent="0.25">
      <c r="B1162" s="3" t="s">
        <v>387</v>
      </c>
      <c r="C1162" s="23"/>
      <c r="D1162" s="23"/>
      <c r="E1162" s="23"/>
      <c r="F1162" s="23"/>
      <c r="G1162" s="23"/>
      <c r="H1162" s="23"/>
      <c r="I1162" s="23"/>
      <c r="J1162" s="23"/>
      <c r="K1162" s="23"/>
      <c r="L1162" s="23"/>
      <c r="M1162" s="23"/>
      <c r="N1162" s="23"/>
      <c r="O1162" s="23"/>
      <c r="P1162" s="23"/>
      <c r="Q1162" s="23"/>
      <c r="R1162" s="5" t="s">
        <v>392</v>
      </c>
      <c r="S1162" s="5" t="s">
        <v>392</v>
      </c>
      <c r="T1162" t="s">
        <v>69</v>
      </c>
    </row>
    <row r="1163" spans="1:20" x14ac:dyDescent="0.25">
      <c r="B1163" s="3" t="s">
        <v>390</v>
      </c>
      <c r="C1163" s="23"/>
      <c r="D1163" s="23"/>
      <c r="E1163" s="23"/>
      <c r="F1163" s="23"/>
      <c r="G1163" s="23"/>
      <c r="H1163" s="23"/>
      <c r="I1163" s="23"/>
      <c r="J1163" s="23"/>
      <c r="K1163" s="23"/>
      <c r="L1163" s="23"/>
      <c r="M1163" s="23"/>
      <c r="N1163" s="23"/>
      <c r="O1163" s="23"/>
      <c r="P1163" s="23"/>
      <c r="Q1163" s="23"/>
      <c r="R1163" s="5" t="s">
        <v>392</v>
      </c>
      <c r="S1163" s="5" t="s">
        <v>392</v>
      </c>
      <c r="T1163" t="s">
        <v>69</v>
      </c>
    </row>
    <row r="1164" spans="1:20" x14ac:dyDescent="0.25">
      <c r="B1164" s="3" t="s">
        <v>391</v>
      </c>
      <c r="C1164" s="23"/>
      <c r="D1164" s="23"/>
      <c r="E1164" s="23"/>
      <c r="F1164" s="23"/>
      <c r="G1164" s="23"/>
      <c r="H1164" s="23"/>
      <c r="I1164" s="23"/>
      <c r="J1164" s="23"/>
      <c r="K1164" s="23"/>
      <c r="L1164" s="23"/>
      <c r="M1164" s="23"/>
      <c r="N1164" s="23"/>
      <c r="O1164" s="23"/>
      <c r="P1164" s="23"/>
      <c r="Q1164" s="23"/>
      <c r="R1164" s="5" t="s">
        <v>392</v>
      </c>
      <c r="S1164" s="5" t="s">
        <v>392</v>
      </c>
      <c r="T1164" t="s">
        <v>69</v>
      </c>
    </row>
    <row r="1165" spans="1:20" x14ac:dyDescent="0.25">
      <c r="A1165" t="s">
        <v>900</v>
      </c>
      <c r="B1165" s="3" t="s">
        <v>393</v>
      </c>
      <c r="C1165" s="23"/>
      <c r="D1165" s="23"/>
      <c r="E1165" s="23"/>
      <c r="F1165" s="23"/>
      <c r="G1165" s="23"/>
      <c r="H1165" s="23"/>
      <c r="I1165" s="23"/>
      <c r="J1165" s="23"/>
      <c r="K1165" s="23"/>
      <c r="L1165" s="23"/>
      <c r="M1165" s="23"/>
      <c r="N1165" s="23"/>
      <c r="O1165" s="23"/>
      <c r="P1165" s="23"/>
      <c r="Q1165" s="23"/>
      <c r="R1165" s="5" t="s">
        <v>392</v>
      </c>
      <c r="S1165" s="5" t="s">
        <v>392</v>
      </c>
      <c r="T1165" t="s">
        <v>69</v>
      </c>
    </row>
    <row r="1166" spans="1:20" x14ac:dyDescent="0.25">
      <c r="B1166" s="3" t="s">
        <v>1047</v>
      </c>
      <c r="C1166" s="23"/>
      <c r="D1166" s="23"/>
      <c r="E1166" s="23"/>
      <c r="F1166" s="23"/>
      <c r="G1166" s="23"/>
      <c r="H1166" s="23"/>
      <c r="I1166" s="23"/>
      <c r="J1166" s="23"/>
      <c r="K1166" s="23"/>
      <c r="L1166" s="23"/>
      <c r="M1166" s="23"/>
      <c r="N1166" s="23"/>
      <c r="O1166" s="23"/>
      <c r="P1166" s="23"/>
      <c r="Q1166" s="23"/>
      <c r="R1166" s="5" t="s">
        <v>11</v>
      </c>
      <c r="S1166" s="5" t="s">
        <v>1024</v>
      </c>
      <c r="T1166" t="s">
        <v>124</v>
      </c>
    </row>
    <row r="1167" spans="1:20" x14ac:dyDescent="0.25">
      <c r="A1167" t="s">
        <v>1057</v>
      </c>
      <c r="B1167" t="s">
        <v>10</v>
      </c>
      <c r="C1167" s="2">
        <v>0.40510000000000002</v>
      </c>
      <c r="D1167" s="2">
        <v>0.438</v>
      </c>
      <c r="E1167" s="2">
        <v>0.47099999999999997</v>
      </c>
      <c r="F1167" s="2">
        <v>0.5181</v>
      </c>
      <c r="G1167" s="2">
        <v>0.55110000000000003</v>
      </c>
      <c r="H1167" s="2">
        <v>0.58879999999999999</v>
      </c>
      <c r="I1167" s="2">
        <v>0.64059999999999995</v>
      </c>
      <c r="J1167" s="2">
        <v>0.69240000000000002</v>
      </c>
      <c r="K1167" s="2">
        <v>0.74419999999999997</v>
      </c>
      <c r="L1167" s="2">
        <v>0.80069999999999997</v>
      </c>
      <c r="M1167" s="2">
        <v>0.85719999999999996</v>
      </c>
      <c r="N1167" s="2">
        <v>0.91369999999999996</v>
      </c>
      <c r="O1167" s="2">
        <v>0.97030000000000005</v>
      </c>
      <c r="P1167" s="2">
        <v>1.0267999999999999</v>
      </c>
      <c r="Q1167" s="2">
        <v>1.0832999999999999</v>
      </c>
      <c r="R1167" s="5" t="s">
        <v>6</v>
      </c>
      <c r="S1167" s="5" t="s">
        <v>6</v>
      </c>
      <c r="T1167" t="s">
        <v>125</v>
      </c>
    </row>
    <row r="1168" spans="1:20" x14ac:dyDescent="0.25">
      <c r="B1168" t="s">
        <v>9</v>
      </c>
      <c r="C1168" s="2">
        <v>0.40250000000000002</v>
      </c>
      <c r="D1168" s="2">
        <v>0.43519999999999998</v>
      </c>
      <c r="E1168" s="2">
        <v>0.46800000000000003</v>
      </c>
      <c r="F1168" s="2">
        <v>0.51480000000000004</v>
      </c>
      <c r="G1168" s="2">
        <v>0.54759999999999998</v>
      </c>
      <c r="H1168" s="2">
        <v>0.58499999999999996</v>
      </c>
      <c r="I1168" s="2">
        <v>0.63649999999999995</v>
      </c>
      <c r="J1168" s="2">
        <v>0.68799999999999994</v>
      </c>
      <c r="K1168" s="2">
        <v>0.73939999999999995</v>
      </c>
      <c r="L1168" s="2">
        <v>0.79559999999999997</v>
      </c>
      <c r="M1168" s="2">
        <v>0.8518</v>
      </c>
      <c r="N1168" s="2">
        <v>0.90790000000000004</v>
      </c>
      <c r="O1168" s="2">
        <v>0.96409999999999996</v>
      </c>
      <c r="P1168" s="2">
        <v>1.0202</v>
      </c>
      <c r="Q1168" s="2">
        <v>1.0764</v>
      </c>
      <c r="R1168" s="5" t="s">
        <v>6</v>
      </c>
      <c r="S1168" s="5" t="s">
        <v>6</v>
      </c>
      <c r="T1168" t="s">
        <v>125</v>
      </c>
    </row>
    <row r="1169" spans="2:20" x14ac:dyDescent="0.25">
      <c r="B1169" t="s">
        <v>190</v>
      </c>
      <c r="C1169" s="2">
        <v>0.2296</v>
      </c>
      <c r="D1169" s="2">
        <v>0.24829999999999999</v>
      </c>
      <c r="E1169" s="2">
        <v>0.26700000000000002</v>
      </c>
      <c r="F1169" s="2">
        <v>0.29370000000000002</v>
      </c>
      <c r="G1169" s="2">
        <v>0.31240000000000001</v>
      </c>
      <c r="H1169" s="2">
        <v>0.33379999999999999</v>
      </c>
      <c r="I1169" s="2">
        <v>0.36309999999999998</v>
      </c>
      <c r="J1169" s="2">
        <v>0.39250000000000002</v>
      </c>
      <c r="K1169" s="2">
        <v>0.4219</v>
      </c>
      <c r="L1169" s="2">
        <v>0.45390000000000003</v>
      </c>
      <c r="M1169" s="2">
        <v>0.4859</v>
      </c>
      <c r="N1169" s="2">
        <v>0.51800000000000002</v>
      </c>
      <c r="O1169" s="2">
        <v>0.55000000000000004</v>
      </c>
      <c r="P1169" s="2">
        <v>0.58209999999999995</v>
      </c>
      <c r="Q1169" s="2">
        <v>0.61409999999999998</v>
      </c>
      <c r="R1169" s="5" t="s">
        <v>6</v>
      </c>
      <c r="S1169" s="5" t="s">
        <v>6</v>
      </c>
      <c r="T1169" t="s">
        <v>125</v>
      </c>
    </row>
    <row r="1170" spans="2:20" x14ac:dyDescent="0.25">
      <c r="B1170" t="s">
        <v>191</v>
      </c>
      <c r="C1170" s="2">
        <v>0.2752</v>
      </c>
      <c r="D1170" s="2">
        <v>0.29759999999999998</v>
      </c>
      <c r="E1170" s="2">
        <v>0.32</v>
      </c>
      <c r="F1170" s="2">
        <v>0.35199999999999998</v>
      </c>
      <c r="G1170" s="2">
        <v>0.37440000000000001</v>
      </c>
      <c r="H1170" s="2">
        <v>0.4</v>
      </c>
      <c r="I1170" s="2">
        <v>0.43519999999999998</v>
      </c>
      <c r="J1170" s="2">
        <v>0.47039999999999998</v>
      </c>
      <c r="K1170" s="2">
        <v>0.50560000000000005</v>
      </c>
      <c r="L1170" s="2">
        <v>0.54400000000000004</v>
      </c>
      <c r="M1170" s="2">
        <v>0.58240000000000003</v>
      </c>
      <c r="N1170" s="2">
        <v>0.62080000000000002</v>
      </c>
      <c r="O1170" s="2">
        <v>0.65920000000000001</v>
      </c>
      <c r="P1170" s="2">
        <v>0.6976</v>
      </c>
      <c r="Q1170" s="2">
        <v>0.73599999999999999</v>
      </c>
      <c r="R1170" s="5" t="s">
        <v>6</v>
      </c>
      <c r="S1170" s="5" t="s">
        <v>6</v>
      </c>
      <c r="T1170" t="s">
        <v>125</v>
      </c>
    </row>
    <row r="1171" spans="2:20" x14ac:dyDescent="0.25">
      <c r="B1171" t="s">
        <v>237</v>
      </c>
      <c r="C1171" s="2">
        <v>0.2399</v>
      </c>
      <c r="D1171" s="2">
        <v>0.25950000000000001</v>
      </c>
      <c r="E1171" s="2">
        <v>0.27900000000000003</v>
      </c>
      <c r="F1171" s="2">
        <v>0.30690000000000001</v>
      </c>
      <c r="G1171" s="2">
        <v>0.32640000000000002</v>
      </c>
      <c r="H1171" s="2">
        <v>0.3488</v>
      </c>
      <c r="I1171" s="2">
        <v>0.37940000000000002</v>
      </c>
      <c r="J1171" s="2">
        <v>0.41010000000000002</v>
      </c>
      <c r="K1171" s="2">
        <v>0.44080000000000003</v>
      </c>
      <c r="L1171" s="2">
        <v>0.4743</v>
      </c>
      <c r="M1171" s="2">
        <v>0.50780000000000003</v>
      </c>
      <c r="N1171" s="2">
        <v>0.5413</v>
      </c>
      <c r="O1171" s="2">
        <v>0.57469999999999999</v>
      </c>
      <c r="P1171" s="2">
        <v>0.60819999999999996</v>
      </c>
      <c r="Q1171" s="2">
        <v>0.64170000000000005</v>
      </c>
      <c r="R1171" s="5" t="s">
        <v>6</v>
      </c>
      <c r="S1171" s="5" t="s">
        <v>6</v>
      </c>
      <c r="T1171" t="s">
        <v>125</v>
      </c>
    </row>
    <row r="1172" spans="2:20" x14ac:dyDescent="0.25">
      <c r="B1172" t="s">
        <v>238</v>
      </c>
      <c r="C1172" s="2">
        <v>0.28810000000000002</v>
      </c>
      <c r="D1172" s="2">
        <v>0.31159999999999999</v>
      </c>
      <c r="E1172" s="2">
        <v>0.33500000000000002</v>
      </c>
      <c r="F1172" s="2">
        <v>0.36849999999999999</v>
      </c>
      <c r="G1172" s="2">
        <v>0.39200000000000002</v>
      </c>
      <c r="H1172" s="2">
        <v>0.41880000000000001</v>
      </c>
      <c r="I1172" s="2">
        <v>0.4556</v>
      </c>
      <c r="J1172" s="2">
        <v>0.49249999999999999</v>
      </c>
      <c r="K1172" s="2">
        <v>0.52929999999999999</v>
      </c>
      <c r="L1172" s="2">
        <v>0.56950000000000001</v>
      </c>
      <c r="M1172" s="2">
        <v>0.60970000000000002</v>
      </c>
      <c r="N1172" s="2">
        <v>0.64990000000000003</v>
      </c>
      <c r="O1172" s="2">
        <v>0.69010000000000005</v>
      </c>
      <c r="P1172" s="2">
        <v>0.73029999999999995</v>
      </c>
      <c r="Q1172" s="2">
        <v>0.77049999999999996</v>
      </c>
      <c r="R1172" s="5" t="s">
        <v>6</v>
      </c>
      <c r="S1172" s="5" t="s">
        <v>6</v>
      </c>
      <c r="T1172" t="s">
        <v>125</v>
      </c>
    </row>
    <row r="1173" spans="2:20" x14ac:dyDescent="0.25">
      <c r="B1173" t="s">
        <v>7</v>
      </c>
      <c r="C1173" s="2">
        <v>0.6734</v>
      </c>
      <c r="D1173" s="2">
        <v>0.72819999999999996</v>
      </c>
      <c r="E1173" s="2">
        <v>0.78300000000000003</v>
      </c>
      <c r="F1173" s="2">
        <v>0.86129999999999995</v>
      </c>
      <c r="G1173" s="2">
        <v>0.91610000000000003</v>
      </c>
      <c r="H1173" s="2">
        <v>0.9788</v>
      </c>
      <c r="I1173" s="2">
        <v>1.0649</v>
      </c>
      <c r="J1173" s="2">
        <v>1.151</v>
      </c>
      <c r="K1173" s="2">
        <v>1.2371000000000001</v>
      </c>
      <c r="L1173" s="2">
        <v>1.3310999999999999</v>
      </c>
      <c r="M1173" s="2">
        <v>1.4251</v>
      </c>
      <c r="N1173" s="2">
        <v>1.5189999999999999</v>
      </c>
      <c r="O1173" s="2">
        <v>1.613</v>
      </c>
      <c r="P1173" s="2">
        <v>1.7069000000000001</v>
      </c>
      <c r="Q1173" s="2">
        <v>1.8008999999999999</v>
      </c>
      <c r="R1173" s="5" t="s">
        <v>6</v>
      </c>
      <c r="S1173" s="5" t="s">
        <v>6</v>
      </c>
      <c r="T1173" t="s">
        <v>125</v>
      </c>
    </row>
    <row r="1174" spans="2:20" x14ac:dyDescent="0.25">
      <c r="B1174" t="s">
        <v>14</v>
      </c>
      <c r="C1174" s="2">
        <v>1.2169000000000001</v>
      </c>
      <c r="D1174" s="2">
        <v>1.3160000000000001</v>
      </c>
      <c r="E1174" s="2">
        <v>1.415</v>
      </c>
      <c r="F1174" s="2">
        <v>1.5565</v>
      </c>
      <c r="G1174" s="2">
        <v>1.6556</v>
      </c>
      <c r="H1174" s="2">
        <v>1.7687999999999999</v>
      </c>
      <c r="I1174" s="2">
        <v>1.9244000000000001</v>
      </c>
      <c r="J1174" s="2">
        <v>2.0800999999999998</v>
      </c>
      <c r="K1174" s="2">
        <v>2.2357</v>
      </c>
      <c r="L1174" s="2">
        <v>2.4055</v>
      </c>
      <c r="M1174" s="2">
        <v>2.6000999999999999</v>
      </c>
      <c r="N1174" s="2">
        <v>2.8289</v>
      </c>
      <c r="O1174" s="2">
        <v>3.0577000000000001</v>
      </c>
      <c r="P1174" s="2">
        <v>3.2865000000000002</v>
      </c>
      <c r="Q1174" s="2">
        <v>3.5360999999999998</v>
      </c>
      <c r="R1174" s="5" t="s">
        <v>5</v>
      </c>
      <c r="S1174" s="5" t="s">
        <v>5</v>
      </c>
      <c r="T1174" t="s">
        <v>125</v>
      </c>
    </row>
    <row r="1175" spans="2:20" x14ac:dyDescent="0.25">
      <c r="B1175" t="s">
        <v>152</v>
      </c>
      <c r="C1175" s="2">
        <v>0.63929999999999998</v>
      </c>
      <c r="D1175" s="2">
        <v>0.69140000000000001</v>
      </c>
      <c r="E1175" s="2">
        <v>0.74339999999999995</v>
      </c>
      <c r="F1175" s="2">
        <v>0.81769999999999998</v>
      </c>
      <c r="G1175" s="2">
        <v>0.86980000000000002</v>
      </c>
      <c r="H1175" s="2">
        <v>0.92930000000000001</v>
      </c>
      <c r="I1175" s="2">
        <v>1.0109999999999999</v>
      </c>
      <c r="J1175" s="2">
        <v>1.0928</v>
      </c>
      <c r="K1175" s="2">
        <v>1.1746000000000001</v>
      </c>
      <c r="L1175" s="2">
        <v>1.2638</v>
      </c>
      <c r="M1175" s="2">
        <v>1.353</v>
      </c>
      <c r="N1175" s="2">
        <v>1.4421999999999999</v>
      </c>
      <c r="O1175" s="2">
        <v>1.5314000000000001</v>
      </c>
      <c r="P1175" s="2">
        <v>1.6206</v>
      </c>
      <c r="Q1175" s="2">
        <v>1.7098</v>
      </c>
      <c r="R1175" s="5" t="s">
        <v>3</v>
      </c>
      <c r="S1175" s="5" t="s">
        <v>3</v>
      </c>
      <c r="T1175" t="s">
        <v>125</v>
      </c>
    </row>
    <row r="1176" spans="2:20" x14ac:dyDescent="0.25">
      <c r="B1176" t="s">
        <v>133</v>
      </c>
      <c r="C1176" s="2">
        <v>1.2784</v>
      </c>
      <c r="D1176" s="2">
        <v>1.3824000000000001</v>
      </c>
      <c r="E1176" s="2">
        <v>1.4864999999999999</v>
      </c>
      <c r="F1176" s="2">
        <v>1.6351</v>
      </c>
      <c r="G1176" s="2">
        <v>1.7392000000000001</v>
      </c>
      <c r="H1176" s="2">
        <v>1.8581000000000001</v>
      </c>
      <c r="I1176" s="2">
        <v>2.0215999999999998</v>
      </c>
      <c r="J1176" s="2">
        <v>2.1850999999999998</v>
      </c>
      <c r="K1176" s="2">
        <v>2.3485999999999998</v>
      </c>
      <c r="L1176" s="2">
        <v>2.5270000000000001</v>
      </c>
      <c r="M1176" s="2">
        <v>2.7054</v>
      </c>
      <c r="N1176" s="2">
        <v>2.8837999999999999</v>
      </c>
      <c r="O1176" s="2">
        <v>3.0621999999999998</v>
      </c>
      <c r="P1176" s="2">
        <v>3.2404999999999999</v>
      </c>
      <c r="Q1176" s="2">
        <v>3.4188999999999998</v>
      </c>
      <c r="R1176" s="5" t="s">
        <v>3</v>
      </c>
      <c r="S1176" s="5" t="s">
        <v>3</v>
      </c>
      <c r="T1176" t="s">
        <v>125</v>
      </c>
    </row>
    <row r="1177" spans="2:20" x14ac:dyDescent="0.25">
      <c r="B1177" s="3" t="s">
        <v>134</v>
      </c>
      <c r="C1177" s="25">
        <v>1.5968</v>
      </c>
      <c r="D1177" s="25">
        <v>1.7266999999999999</v>
      </c>
      <c r="E1177" s="25">
        <v>1.8567</v>
      </c>
      <c r="F1177" s="25">
        <v>2.0424000000000002</v>
      </c>
      <c r="G1177" s="25">
        <v>2.1722999999999999</v>
      </c>
      <c r="H1177" s="25">
        <v>2.3209</v>
      </c>
      <c r="I1177" s="25">
        <v>2.5251000000000001</v>
      </c>
      <c r="J1177" s="25">
        <v>2.7292999999999998</v>
      </c>
      <c r="K1177" s="25">
        <v>2.9336000000000002</v>
      </c>
      <c r="L1177" s="25">
        <v>3.1564000000000001</v>
      </c>
      <c r="M1177" s="25">
        <v>3.3792</v>
      </c>
      <c r="N1177" s="25">
        <v>3.6019999999999999</v>
      </c>
      <c r="O1177" s="25">
        <v>3.8248000000000002</v>
      </c>
      <c r="P1177" s="25">
        <v>4.0476000000000001</v>
      </c>
      <c r="Q1177" s="25">
        <v>4.2704000000000004</v>
      </c>
      <c r="R1177" s="5" t="s">
        <v>3</v>
      </c>
      <c r="S1177" s="5" t="s">
        <v>3</v>
      </c>
      <c r="T1177" t="s">
        <v>125</v>
      </c>
    </row>
    <row r="1178" spans="2:20" x14ac:dyDescent="0.25">
      <c r="B1178" t="s">
        <v>198</v>
      </c>
      <c r="C1178" s="2">
        <v>1.4912000000000001</v>
      </c>
      <c r="D1178" s="2">
        <v>1.603</v>
      </c>
      <c r="E1178" s="2">
        <v>1.7149000000000001</v>
      </c>
      <c r="F1178" s="2">
        <v>1.8640000000000001</v>
      </c>
      <c r="G1178" s="2">
        <v>1.9758</v>
      </c>
      <c r="H1178" s="2">
        <v>2.0876999999999999</v>
      </c>
      <c r="I1178" s="2">
        <v>2.2368000000000001</v>
      </c>
      <c r="J1178" s="2">
        <v>2.3858999999999999</v>
      </c>
      <c r="K1178" s="2">
        <v>2.5350000000000001</v>
      </c>
      <c r="L1178" s="2">
        <v>2.6842000000000001</v>
      </c>
      <c r="M1178" s="2">
        <v>2.8332999999999999</v>
      </c>
      <c r="N1178" s="2">
        <v>2.9824000000000002</v>
      </c>
      <c r="O1178" s="2">
        <v>3.1688000000000001</v>
      </c>
      <c r="P1178" s="2">
        <v>3.3552</v>
      </c>
      <c r="Q1178" s="2">
        <v>3.5415999999999999</v>
      </c>
      <c r="R1178" s="5" t="s">
        <v>19</v>
      </c>
      <c r="S1178" s="5" t="s">
        <v>19</v>
      </c>
      <c r="T1178" t="s">
        <v>128</v>
      </c>
    </row>
    <row r="1179" spans="2:20" x14ac:dyDescent="0.25">
      <c r="B1179" t="s">
        <v>1058</v>
      </c>
      <c r="C1179" s="2">
        <v>2.6095999999999999</v>
      </c>
      <c r="D1179" s="2">
        <v>2.8052999999999999</v>
      </c>
      <c r="E1179" s="2">
        <v>3.0009999999999999</v>
      </c>
      <c r="F1179" s="2">
        <v>3.262</v>
      </c>
      <c r="G1179" s="2">
        <v>3.4577</v>
      </c>
      <c r="H1179" s="2">
        <v>3.6534</v>
      </c>
      <c r="I1179" s="2">
        <v>3.9144000000000001</v>
      </c>
      <c r="J1179" s="2">
        <v>4.1753999999999998</v>
      </c>
      <c r="K1179" s="2">
        <v>4.4363000000000001</v>
      </c>
      <c r="L1179" s="2">
        <v>4.6973000000000003</v>
      </c>
      <c r="M1179" s="2">
        <v>4.9581999999999997</v>
      </c>
      <c r="N1179" s="2">
        <v>5.2191999999999998</v>
      </c>
      <c r="O1179" s="2">
        <v>5.5453999999999999</v>
      </c>
      <c r="P1179" s="2">
        <v>5.8715999999999999</v>
      </c>
      <c r="Q1179" s="2">
        <v>6.1978</v>
      </c>
      <c r="R1179" s="5" t="s">
        <v>19</v>
      </c>
      <c r="S1179" s="5" t="s">
        <v>19</v>
      </c>
      <c r="T1179" t="s">
        <v>128</v>
      </c>
    </row>
    <row r="1180" spans="2:20" x14ac:dyDescent="0.25">
      <c r="B1180" t="s">
        <v>1059</v>
      </c>
      <c r="C1180" s="2">
        <v>3.7280000000000002</v>
      </c>
      <c r="D1180" s="2">
        <v>4.0076000000000001</v>
      </c>
      <c r="E1180" s="2">
        <v>4.2872000000000003</v>
      </c>
      <c r="F1180" s="2">
        <v>4.66</v>
      </c>
      <c r="G1180" s="2">
        <v>4.9396000000000004</v>
      </c>
      <c r="H1180" s="2">
        <v>5.2191999999999998</v>
      </c>
      <c r="I1180" s="2">
        <v>5.5919999999999996</v>
      </c>
      <c r="J1180" s="2">
        <v>5.9648000000000003</v>
      </c>
      <c r="K1180" s="2">
        <v>6.3376000000000001</v>
      </c>
      <c r="L1180" s="2">
        <v>6.7103999999999999</v>
      </c>
      <c r="M1180" s="2">
        <v>7.0831999999999997</v>
      </c>
      <c r="N1180" s="2">
        <v>7.4560000000000004</v>
      </c>
      <c r="O1180" s="2">
        <v>7.9219999999999997</v>
      </c>
      <c r="P1180" s="2">
        <v>8.3879999999999999</v>
      </c>
      <c r="Q1180" s="2">
        <v>8.8539999999999992</v>
      </c>
      <c r="R1180" s="5" t="s">
        <v>19</v>
      </c>
      <c r="S1180" s="5" t="s">
        <v>19</v>
      </c>
      <c r="T1180" t="s">
        <v>128</v>
      </c>
    </row>
    <row r="1181" spans="2:20" x14ac:dyDescent="0.25">
      <c r="B1181" t="s">
        <v>170</v>
      </c>
      <c r="C1181" s="2">
        <v>2.44</v>
      </c>
      <c r="D1181" s="2">
        <v>2.6230000000000002</v>
      </c>
      <c r="E1181" s="2">
        <v>2.806</v>
      </c>
      <c r="F1181" s="2">
        <v>3.05</v>
      </c>
      <c r="G1181" s="2">
        <v>3.2330000000000001</v>
      </c>
      <c r="H1181" s="2">
        <v>3.4159999999999999</v>
      </c>
      <c r="I1181" s="2">
        <v>3.66</v>
      </c>
      <c r="J1181" s="2">
        <v>3.9039999999999999</v>
      </c>
      <c r="K1181" s="2">
        <v>4.1479999999999997</v>
      </c>
      <c r="L1181" s="2">
        <v>4.3920000000000003</v>
      </c>
      <c r="M1181" s="2">
        <v>4.6360000000000001</v>
      </c>
      <c r="N1181" s="2">
        <v>4.88</v>
      </c>
      <c r="O1181" s="2">
        <v>5.1849999999999996</v>
      </c>
      <c r="P1181" s="2">
        <v>5.49</v>
      </c>
      <c r="Q1181" s="2">
        <v>5.7949999999999999</v>
      </c>
      <c r="R1181" s="5" t="s">
        <v>0</v>
      </c>
      <c r="S1181" s="5" t="s">
        <v>0</v>
      </c>
      <c r="T1181" t="s">
        <v>125</v>
      </c>
    </row>
    <row r="1182" spans="2:20" x14ac:dyDescent="0.25">
      <c r="B1182" s="3" t="s">
        <v>763</v>
      </c>
      <c r="C1182" s="23"/>
      <c r="D1182" s="23"/>
      <c r="E1182" s="23"/>
      <c r="F1182" s="23"/>
      <c r="G1182" s="23"/>
      <c r="H1182" s="23"/>
      <c r="I1182" s="23"/>
      <c r="J1182" s="23"/>
      <c r="K1182" s="23"/>
      <c r="L1182" s="23"/>
      <c r="M1182" s="23"/>
      <c r="N1182" s="23"/>
      <c r="O1182" s="23"/>
      <c r="P1182" s="23"/>
      <c r="Q1182" s="23"/>
      <c r="R1182" s="5" t="s">
        <v>763</v>
      </c>
      <c r="S1182" s="5" t="s">
        <v>763</v>
      </c>
      <c r="T1182" t="s">
        <v>764</v>
      </c>
    </row>
    <row r="1183" spans="2:20" x14ac:dyDescent="0.25">
      <c r="B1183" s="3" t="s">
        <v>386</v>
      </c>
      <c r="C1183" s="23"/>
      <c r="D1183" s="23"/>
      <c r="E1183" s="23"/>
      <c r="F1183" s="23"/>
      <c r="G1183" s="23"/>
      <c r="H1183" s="23"/>
      <c r="I1183" s="23"/>
      <c r="J1183" s="23"/>
      <c r="K1183" s="23"/>
      <c r="L1183" s="23"/>
      <c r="M1183" s="23"/>
      <c r="N1183" s="23"/>
      <c r="O1183" s="23"/>
      <c r="P1183" s="23"/>
      <c r="Q1183" s="23"/>
      <c r="R1183" s="5" t="s">
        <v>392</v>
      </c>
      <c r="S1183" s="5" t="s">
        <v>392</v>
      </c>
      <c r="T1183" t="s">
        <v>69</v>
      </c>
    </row>
    <row r="1184" spans="2:20" x14ac:dyDescent="0.25">
      <c r="B1184" s="3" t="s">
        <v>388</v>
      </c>
      <c r="C1184" s="23"/>
      <c r="D1184" s="23"/>
      <c r="E1184" s="23"/>
      <c r="F1184" s="23"/>
      <c r="G1184" s="23"/>
      <c r="H1184" s="23"/>
      <c r="I1184" s="23"/>
      <c r="J1184" s="23"/>
      <c r="K1184" s="23"/>
      <c r="L1184" s="23"/>
      <c r="M1184" s="23"/>
      <c r="N1184" s="23"/>
      <c r="O1184" s="23"/>
      <c r="P1184" s="23"/>
      <c r="Q1184" s="23"/>
      <c r="R1184" s="5" t="s">
        <v>392</v>
      </c>
      <c r="S1184" s="5" t="s">
        <v>392</v>
      </c>
      <c r="T1184" t="s">
        <v>69</v>
      </c>
    </row>
    <row r="1185" spans="1:20" x14ac:dyDescent="0.25">
      <c r="B1185" s="3" t="s">
        <v>389</v>
      </c>
      <c r="C1185" s="23"/>
      <c r="D1185" s="23"/>
      <c r="E1185" s="23"/>
      <c r="F1185" s="23"/>
      <c r="G1185" s="23"/>
      <c r="H1185" s="23"/>
      <c r="I1185" s="23"/>
      <c r="J1185" s="23"/>
      <c r="K1185" s="23"/>
      <c r="L1185" s="23"/>
      <c r="M1185" s="23"/>
      <c r="N1185" s="23"/>
      <c r="O1185" s="23"/>
      <c r="P1185" s="23"/>
      <c r="Q1185" s="23"/>
      <c r="R1185" s="5" t="s">
        <v>392</v>
      </c>
      <c r="S1185" s="5" t="s">
        <v>392</v>
      </c>
      <c r="T1185" t="s">
        <v>69</v>
      </c>
    </row>
    <row r="1186" spans="1:20" x14ac:dyDescent="0.25">
      <c r="B1186" s="3" t="s">
        <v>385</v>
      </c>
      <c r="C1186" s="23"/>
      <c r="D1186" s="23"/>
      <c r="E1186" s="23"/>
      <c r="F1186" s="23"/>
      <c r="G1186" s="23"/>
      <c r="H1186" s="23"/>
      <c r="I1186" s="23"/>
      <c r="J1186" s="23"/>
      <c r="K1186" s="23"/>
      <c r="L1186" s="23"/>
      <c r="M1186" s="23"/>
      <c r="N1186" s="23"/>
      <c r="O1186" s="23"/>
      <c r="P1186" s="23"/>
      <c r="Q1186" s="23"/>
      <c r="R1186" s="5" t="s">
        <v>392</v>
      </c>
      <c r="S1186" s="5" t="s">
        <v>392</v>
      </c>
      <c r="T1186" t="s">
        <v>69</v>
      </c>
    </row>
    <row r="1187" spans="1:20" x14ac:dyDescent="0.25">
      <c r="B1187" s="3" t="s">
        <v>387</v>
      </c>
      <c r="C1187" s="23"/>
      <c r="D1187" s="23"/>
      <c r="E1187" s="23"/>
      <c r="F1187" s="23"/>
      <c r="G1187" s="23"/>
      <c r="H1187" s="23"/>
      <c r="I1187" s="23"/>
      <c r="J1187" s="23"/>
      <c r="K1187" s="23"/>
      <c r="L1187" s="23"/>
      <c r="M1187" s="23"/>
      <c r="N1187" s="23"/>
      <c r="O1187" s="23"/>
      <c r="P1187" s="23"/>
      <c r="Q1187" s="23"/>
      <c r="R1187" s="5" t="s">
        <v>392</v>
      </c>
      <c r="S1187" s="5" t="s">
        <v>392</v>
      </c>
      <c r="T1187" t="s">
        <v>69</v>
      </c>
    </row>
    <row r="1188" spans="1:20" x14ac:dyDescent="0.25">
      <c r="B1188" s="3" t="s">
        <v>390</v>
      </c>
      <c r="C1188" s="23"/>
      <c r="D1188" s="23"/>
      <c r="E1188" s="23"/>
      <c r="F1188" s="23"/>
      <c r="G1188" s="23"/>
      <c r="H1188" s="23"/>
      <c r="I1188" s="23"/>
      <c r="J1188" s="23"/>
      <c r="K1188" s="23"/>
      <c r="L1188" s="23"/>
      <c r="M1188" s="23"/>
      <c r="N1188" s="23"/>
      <c r="O1188" s="23"/>
      <c r="P1188" s="23"/>
      <c r="Q1188" s="23"/>
      <c r="R1188" s="5" t="s">
        <v>392</v>
      </c>
      <c r="S1188" s="5" t="s">
        <v>392</v>
      </c>
      <c r="T1188" t="s">
        <v>69</v>
      </c>
    </row>
    <row r="1189" spans="1:20" x14ac:dyDescent="0.25">
      <c r="B1189" s="3" t="s">
        <v>391</v>
      </c>
      <c r="C1189" s="23"/>
      <c r="D1189" s="23"/>
      <c r="E1189" s="23"/>
      <c r="F1189" s="23"/>
      <c r="G1189" s="23"/>
      <c r="H1189" s="23"/>
      <c r="I1189" s="23"/>
      <c r="J1189" s="23"/>
      <c r="K1189" s="23"/>
      <c r="L1189" s="23"/>
      <c r="M1189" s="23"/>
      <c r="N1189" s="23"/>
      <c r="O1189" s="23"/>
      <c r="P1189" s="23"/>
      <c r="Q1189" s="23"/>
      <c r="R1189" s="5" t="s">
        <v>392</v>
      </c>
      <c r="S1189" s="5" t="s">
        <v>392</v>
      </c>
      <c r="T1189" t="s">
        <v>69</v>
      </c>
    </row>
    <row r="1190" spans="1:20" x14ac:dyDescent="0.25">
      <c r="A1190" t="s">
        <v>1060</v>
      </c>
      <c r="B1190" s="3" t="s">
        <v>393</v>
      </c>
      <c r="C1190" s="23"/>
      <c r="D1190" s="23"/>
      <c r="E1190" s="23"/>
      <c r="F1190" s="23"/>
      <c r="G1190" s="23"/>
      <c r="H1190" s="23"/>
      <c r="I1190" s="23"/>
      <c r="J1190" s="23"/>
      <c r="K1190" s="23"/>
      <c r="L1190" s="23"/>
      <c r="M1190" s="23"/>
      <c r="N1190" s="23"/>
      <c r="O1190" s="23"/>
      <c r="P1190" s="23"/>
      <c r="Q1190" s="23"/>
      <c r="R1190" s="5" t="s">
        <v>392</v>
      </c>
      <c r="S1190" s="5" t="s">
        <v>392</v>
      </c>
      <c r="T1190" t="s">
        <v>69</v>
      </c>
    </row>
    <row r="1191" spans="1:20" x14ac:dyDescent="0.25">
      <c r="B1191" t="s">
        <v>363</v>
      </c>
      <c r="C1191" s="21">
        <v>1</v>
      </c>
      <c r="D1191" s="21">
        <v>2</v>
      </c>
      <c r="E1191" s="21">
        <v>3</v>
      </c>
      <c r="F1191" s="21">
        <v>4</v>
      </c>
      <c r="G1191" s="21">
        <v>5</v>
      </c>
      <c r="H1191" s="21">
        <v>6</v>
      </c>
      <c r="I1191" s="21">
        <v>7</v>
      </c>
      <c r="J1191" s="21">
        <v>8</v>
      </c>
      <c r="K1191" s="21">
        <v>9</v>
      </c>
      <c r="L1191" s="21">
        <v>10</v>
      </c>
      <c r="M1191" s="21">
        <v>11</v>
      </c>
      <c r="N1191" s="21">
        <v>12</v>
      </c>
      <c r="O1191" s="21">
        <v>13</v>
      </c>
      <c r="P1191" s="21">
        <v>14</v>
      </c>
      <c r="Q1191" s="21">
        <v>15</v>
      </c>
      <c r="R1191" s="5" t="s">
        <v>11</v>
      </c>
      <c r="S1191" s="5" t="s">
        <v>1024</v>
      </c>
      <c r="T1191" t="s">
        <v>124</v>
      </c>
    </row>
    <row r="1192" spans="1:20" x14ac:dyDescent="0.25">
      <c r="A1192" t="s">
        <v>901</v>
      </c>
      <c r="B1192" t="s">
        <v>10</v>
      </c>
      <c r="C1192" s="2">
        <v>0.30769999999999997</v>
      </c>
      <c r="D1192" s="2">
        <v>0.3327</v>
      </c>
      <c r="E1192" s="2">
        <v>0.35780000000000001</v>
      </c>
      <c r="F1192" s="2">
        <v>0.39360000000000001</v>
      </c>
      <c r="G1192" s="2">
        <v>0.41860000000000003</v>
      </c>
      <c r="H1192" s="2">
        <v>0.44719999999999999</v>
      </c>
      <c r="I1192" s="2">
        <v>0.48659999999999998</v>
      </c>
      <c r="J1192" s="2">
        <v>0.52590000000000003</v>
      </c>
      <c r="K1192" s="2">
        <v>0.56530000000000002</v>
      </c>
      <c r="L1192" s="2">
        <v>0.60819999999999996</v>
      </c>
      <c r="M1192" s="2">
        <v>0.65739999999999998</v>
      </c>
      <c r="N1192" s="2">
        <v>0.71530000000000005</v>
      </c>
      <c r="O1192" s="2">
        <v>0.77310000000000001</v>
      </c>
      <c r="P1192" s="2">
        <v>0.83099999999999996</v>
      </c>
      <c r="Q1192" s="2">
        <v>0.89410000000000001</v>
      </c>
      <c r="R1192" t="s">
        <v>6</v>
      </c>
      <c r="S1192" t="s">
        <v>6</v>
      </c>
      <c r="T1192" t="s">
        <v>125</v>
      </c>
    </row>
    <row r="1193" spans="1:20" x14ac:dyDescent="0.25">
      <c r="B1193" t="s">
        <v>9</v>
      </c>
      <c r="C1193" s="2">
        <v>0.3115</v>
      </c>
      <c r="D1193" s="2">
        <v>0.33689999999999998</v>
      </c>
      <c r="E1193" s="2">
        <v>0.36220000000000002</v>
      </c>
      <c r="F1193" s="2">
        <v>0.39850000000000002</v>
      </c>
      <c r="G1193" s="2">
        <v>0.42380000000000001</v>
      </c>
      <c r="H1193" s="2">
        <v>0.45279999999999998</v>
      </c>
      <c r="I1193" s="2">
        <v>0.49259999999999998</v>
      </c>
      <c r="J1193" s="2">
        <v>0.53249999999999997</v>
      </c>
      <c r="K1193" s="2">
        <v>0.57230000000000003</v>
      </c>
      <c r="L1193" s="2">
        <v>0.61580000000000001</v>
      </c>
      <c r="M1193" s="2">
        <v>0.66559999999999997</v>
      </c>
      <c r="N1193" s="2">
        <v>0.72419999999999995</v>
      </c>
      <c r="O1193" s="2">
        <v>0.78269999999999995</v>
      </c>
      <c r="P1193" s="2">
        <v>0.84130000000000005</v>
      </c>
      <c r="Q1193" s="2">
        <v>0.9052</v>
      </c>
      <c r="R1193" t="s">
        <v>6</v>
      </c>
      <c r="S1193" t="s">
        <v>6</v>
      </c>
      <c r="T1193" t="s">
        <v>125</v>
      </c>
    </row>
    <row r="1194" spans="1:20" x14ac:dyDescent="0.25">
      <c r="B1194" t="s">
        <v>8</v>
      </c>
      <c r="C1194" s="2">
        <v>0.38579999999999998</v>
      </c>
      <c r="D1194" s="2">
        <v>0.41720000000000002</v>
      </c>
      <c r="E1194" s="2">
        <v>0.4486</v>
      </c>
      <c r="F1194" s="2">
        <v>0.49340000000000001</v>
      </c>
      <c r="G1194" s="2">
        <v>0.52480000000000004</v>
      </c>
      <c r="H1194" s="2">
        <v>0.56069999999999998</v>
      </c>
      <c r="I1194" s="2">
        <v>0.61</v>
      </c>
      <c r="J1194" s="2">
        <v>0.65939999999999999</v>
      </c>
      <c r="K1194" s="2">
        <v>0.7087</v>
      </c>
      <c r="L1194" s="2">
        <v>0.76259999999999994</v>
      </c>
      <c r="M1194" s="2">
        <v>0.82420000000000004</v>
      </c>
      <c r="N1194" s="2">
        <v>0.89680000000000004</v>
      </c>
      <c r="O1194" s="2">
        <v>0.96930000000000005</v>
      </c>
      <c r="P1194" s="2">
        <v>1.0418000000000001</v>
      </c>
      <c r="Q1194" s="2">
        <v>1.121</v>
      </c>
      <c r="R1194" t="s">
        <v>6</v>
      </c>
      <c r="S1194" t="s">
        <v>6</v>
      </c>
      <c r="T1194" t="s">
        <v>125</v>
      </c>
    </row>
    <row r="1195" spans="1:20" x14ac:dyDescent="0.25">
      <c r="B1195" t="s">
        <v>13</v>
      </c>
      <c r="C1195" s="2">
        <v>0.4294</v>
      </c>
      <c r="D1195" s="2">
        <v>0.46429999999999999</v>
      </c>
      <c r="E1195" s="2">
        <v>0.49930000000000002</v>
      </c>
      <c r="F1195" s="2">
        <v>0.54920000000000002</v>
      </c>
      <c r="G1195" s="2">
        <v>0.58420000000000005</v>
      </c>
      <c r="H1195" s="2">
        <v>0.62409999999999999</v>
      </c>
      <c r="I1195" s="2">
        <v>0.67900000000000005</v>
      </c>
      <c r="J1195" s="2">
        <v>0.73399999999999999</v>
      </c>
      <c r="K1195" s="2">
        <v>0.78890000000000005</v>
      </c>
      <c r="L1195" s="2">
        <v>0.8488</v>
      </c>
      <c r="M1195" s="2">
        <v>0.91739999999999999</v>
      </c>
      <c r="N1195" s="2">
        <v>0.99819999999999998</v>
      </c>
      <c r="O1195" s="2">
        <v>1.0789</v>
      </c>
      <c r="P1195" s="2">
        <v>1.1597</v>
      </c>
      <c r="Q1195" s="2">
        <v>1.2477</v>
      </c>
      <c r="R1195" t="s">
        <v>6</v>
      </c>
      <c r="S1195" t="s">
        <v>6</v>
      </c>
      <c r="T1195" t="s">
        <v>125</v>
      </c>
    </row>
    <row r="1196" spans="1:20" x14ac:dyDescent="0.25">
      <c r="B1196" t="s">
        <v>364</v>
      </c>
      <c r="C1196" s="2">
        <v>0.1075</v>
      </c>
      <c r="D1196" s="2">
        <v>0.1163</v>
      </c>
      <c r="E1196" s="2">
        <v>0.125</v>
      </c>
      <c r="F1196" s="2">
        <v>0.13750000000000001</v>
      </c>
      <c r="G1196" s="2">
        <v>0.14630000000000001</v>
      </c>
      <c r="H1196" s="2">
        <v>0.15629999999999999</v>
      </c>
      <c r="I1196" s="2">
        <v>0.17</v>
      </c>
      <c r="J1196" s="2">
        <v>0.18379999999999999</v>
      </c>
      <c r="K1196" s="2">
        <v>0.19750000000000001</v>
      </c>
      <c r="L1196" s="2">
        <v>0.21249999999999999</v>
      </c>
      <c r="M1196" s="2">
        <v>0.22969999999999999</v>
      </c>
      <c r="N1196" s="2">
        <v>0.24990000000000001</v>
      </c>
      <c r="O1196" s="2">
        <v>0.27010000000000001</v>
      </c>
      <c r="P1196" s="2">
        <v>0.2903</v>
      </c>
      <c r="Q1196" s="2">
        <v>0.31240000000000001</v>
      </c>
      <c r="R1196" t="s">
        <v>6</v>
      </c>
      <c r="S1196" t="s">
        <v>6</v>
      </c>
      <c r="T1196" t="s">
        <v>125</v>
      </c>
    </row>
    <row r="1197" spans="1:20" x14ac:dyDescent="0.25">
      <c r="B1197" t="s">
        <v>214</v>
      </c>
      <c r="C1197" s="2">
        <v>0.54500000000000004</v>
      </c>
      <c r="D1197" s="2">
        <v>0.58930000000000005</v>
      </c>
      <c r="E1197" s="2">
        <v>0.63370000000000004</v>
      </c>
      <c r="F1197" s="2">
        <v>0.69699999999999995</v>
      </c>
      <c r="G1197" s="2">
        <v>0.74139999999999995</v>
      </c>
      <c r="H1197" s="2">
        <v>0.79210000000000003</v>
      </c>
      <c r="I1197" s="2">
        <v>0.86180000000000001</v>
      </c>
      <c r="J1197" s="2">
        <v>0.93149999999999999</v>
      </c>
      <c r="K1197" s="2">
        <v>1.0012000000000001</v>
      </c>
      <c r="L1197" s="2">
        <v>1.0772999999999999</v>
      </c>
      <c r="M1197" s="2">
        <v>1.1644000000000001</v>
      </c>
      <c r="N1197" s="2">
        <v>1.2668999999999999</v>
      </c>
      <c r="O1197" s="2">
        <v>1.3693</v>
      </c>
      <c r="P1197" s="2">
        <v>1.4718</v>
      </c>
      <c r="Q1197" s="2">
        <v>1.5835999999999999</v>
      </c>
      <c r="R1197" t="s">
        <v>6</v>
      </c>
      <c r="S1197" t="s">
        <v>6</v>
      </c>
      <c r="T1197" t="s">
        <v>125</v>
      </c>
    </row>
    <row r="1198" spans="1:20" x14ac:dyDescent="0.25">
      <c r="B1198" t="s">
        <v>14</v>
      </c>
      <c r="C1198" s="2">
        <v>1.1103000000000001</v>
      </c>
      <c r="D1198" s="2">
        <v>1.2005999999999999</v>
      </c>
      <c r="E1198" s="2">
        <v>1.2909999999999999</v>
      </c>
      <c r="F1198" s="2">
        <v>1.4200999999999999</v>
      </c>
      <c r="G1198" s="2">
        <v>1.5105</v>
      </c>
      <c r="H1198" s="2">
        <v>1.6137999999999999</v>
      </c>
      <c r="I1198" s="2">
        <v>1.7558</v>
      </c>
      <c r="J1198" s="2">
        <v>1.8977999999999999</v>
      </c>
      <c r="K1198" s="2">
        <v>2.0398000000000001</v>
      </c>
      <c r="L1198" s="2">
        <v>2.1947000000000001</v>
      </c>
      <c r="M1198" s="2">
        <v>2.3721999999999999</v>
      </c>
      <c r="N1198" s="2">
        <v>2.581</v>
      </c>
      <c r="O1198" s="2">
        <v>2.7896999999999998</v>
      </c>
      <c r="P1198" s="2">
        <v>2.9984999999999999</v>
      </c>
      <c r="Q1198" s="2">
        <v>3.2262</v>
      </c>
      <c r="R1198" t="s">
        <v>5</v>
      </c>
      <c r="S1198" t="s">
        <v>5</v>
      </c>
      <c r="T1198" t="s">
        <v>125</v>
      </c>
    </row>
    <row r="1199" spans="1:20" x14ac:dyDescent="0.25">
      <c r="B1199" t="s">
        <v>152</v>
      </c>
      <c r="C1199" s="2">
        <v>0.63929999999999998</v>
      </c>
      <c r="D1199" s="2">
        <v>0.69140000000000001</v>
      </c>
      <c r="E1199" s="2">
        <v>0.74339999999999995</v>
      </c>
      <c r="F1199" s="2">
        <v>0.81769999999999998</v>
      </c>
      <c r="G1199" s="2">
        <v>0.86980000000000002</v>
      </c>
      <c r="H1199" s="2">
        <v>0.92930000000000001</v>
      </c>
      <c r="I1199" s="2">
        <v>1.0109999999999999</v>
      </c>
      <c r="J1199" s="2">
        <v>1.0928</v>
      </c>
      <c r="K1199" s="2">
        <v>1.1746000000000001</v>
      </c>
      <c r="L1199" s="2">
        <v>1.2638</v>
      </c>
      <c r="M1199" s="2">
        <v>1.353</v>
      </c>
      <c r="N1199" s="2">
        <v>1.4421999999999999</v>
      </c>
      <c r="O1199" s="2">
        <v>1.5314000000000001</v>
      </c>
      <c r="P1199" s="2">
        <v>1.6206</v>
      </c>
      <c r="Q1199" s="2">
        <v>1.7098</v>
      </c>
      <c r="R1199" t="s">
        <v>3</v>
      </c>
      <c r="S1199" t="s">
        <v>3</v>
      </c>
      <c r="T1199" t="s">
        <v>125</v>
      </c>
    </row>
    <row r="1200" spans="1:20" x14ac:dyDescent="0.25">
      <c r="B1200" t="s">
        <v>133</v>
      </c>
      <c r="C1200" s="2">
        <v>1.2784</v>
      </c>
      <c r="D1200" s="2">
        <v>1.3824000000000001</v>
      </c>
      <c r="E1200" s="2">
        <v>1.4864999999999999</v>
      </c>
      <c r="F1200" s="2">
        <v>1.6351</v>
      </c>
      <c r="G1200" s="2">
        <v>1.7392000000000001</v>
      </c>
      <c r="H1200" s="2">
        <v>1.8581000000000001</v>
      </c>
      <c r="I1200" s="2">
        <v>2.0215999999999998</v>
      </c>
      <c r="J1200" s="2">
        <v>2.1850999999999998</v>
      </c>
      <c r="K1200" s="2">
        <v>2.3485999999999998</v>
      </c>
      <c r="L1200" s="2">
        <v>2.5270000000000001</v>
      </c>
      <c r="M1200" s="2">
        <v>2.7054</v>
      </c>
      <c r="N1200" s="2">
        <v>2.8837999999999999</v>
      </c>
      <c r="O1200" s="2">
        <v>3.0621999999999998</v>
      </c>
      <c r="P1200" s="2">
        <v>3.2404999999999999</v>
      </c>
      <c r="Q1200" s="2">
        <v>3.4188999999999998</v>
      </c>
      <c r="R1200" t="s">
        <v>3</v>
      </c>
      <c r="S1200" t="s">
        <v>3</v>
      </c>
      <c r="T1200" t="s">
        <v>125</v>
      </c>
    </row>
    <row r="1201" spans="2:20" x14ac:dyDescent="0.25">
      <c r="B1201" t="s">
        <v>134</v>
      </c>
      <c r="C1201" s="2">
        <v>1.5968</v>
      </c>
      <c r="D1201" s="2">
        <v>1.7266999999999999</v>
      </c>
      <c r="E1201" s="2">
        <v>1.8567</v>
      </c>
      <c r="F1201" s="2">
        <v>2.0424000000000002</v>
      </c>
      <c r="G1201" s="2">
        <v>2.1722999999999999</v>
      </c>
      <c r="H1201" s="2">
        <v>2.3209</v>
      </c>
      <c r="I1201" s="2">
        <v>2.5251000000000001</v>
      </c>
      <c r="J1201" s="2">
        <v>2.7292999999999998</v>
      </c>
      <c r="K1201" s="2">
        <v>2.9336000000000002</v>
      </c>
      <c r="L1201" s="2">
        <v>3.1564000000000001</v>
      </c>
      <c r="M1201" s="2">
        <v>3.3792</v>
      </c>
      <c r="N1201" s="2">
        <v>3.6019999999999999</v>
      </c>
      <c r="O1201" s="2">
        <v>3.8248000000000002</v>
      </c>
      <c r="P1201" s="2">
        <v>4.0476000000000001</v>
      </c>
      <c r="Q1201" s="2">
        <v>4.2704000000000004</v>
      </c>
      <c r="R1201" t="s">
        <v>3</v>
      </c>
      <c r="S1201" t="s">
        <v>3</v>
      </c>
      <c r="T1201" t="s">
        <v>125</v>
      </c>
    </row>
    <row r="1202" spans="2:20" x14ac:dyDescent="0.25">
      <c r="B1202" t="s">
        <v>974</v>
      </c>
      <c r="C1202" s="2">
        <v>0.8</v>
      </c>
      <c r="D1202" s="2">
        <v>0.86</v>
      </c>
      <c r="E1202" s="2">
        <v>0.92</v>
      </c>
      <c r="F1202" s="2">
        <v>1</v>
      </c>
      <c r="G1202" s="2">
        <v>1.06</v>
      </c>
      <c r="H1202" s="2">
        <v>1.1200000000000001</v>
      </c>
      <c r="I1202" s="2">
        <v>1.2</v>
      </c>
      <c r="J1202" s="2">
        <v>1.28</v>
      </c>
      <c r="K1202" s="2">
        <v>1.36</v>
      </c>
      <c r="L1202" s="2">
        <v>1.44</v>
      </c>
      <c r="M1202" s="2">
        <v>1.52</v>
      </c>
      <c r="N1202" s="2">
        <v>1.6</v>
      </c>
      <c r="O1202" s="2">
        <v>1.7</v>
      </c>
      <c r="P1202" s="2">
        <v>1.8</v>
      </c>
      <c r="Q1202" s="2">
        <v>1.9</v>
      </c>
      <c r="R1202" t="s">
        <v>19</v>
      </c>
      <c r="S1202" t="s">
        <v>19</v>
      </c>
      <c r="T1202" t="s">
        <v>125</v>
      </c>
    </row>
    <row r="1203" spans="2:20" x14ac:dyDescent="0.25">
      <c r="B1203" t="s">
        <v>365</v>
      </c>
      <c r="C1203" s="2">
        <v>0.16</v>
      </c>
      <c r="D1203" s="2">
        <v>0.17199999999999999</v>
      </c>
      <c r="E1203" s="2">
        <v>0.184</v>
      </c>
      <c r="F1203" s="2">
        <v>0.2</v>
      </c>
      <c r="G1203" s="2">
        <v>0.21199999999999999</v>
      </c>
      <c r="H1203" s="2">
        <v>0.224</v>
      </c>
      <c r="I1203" s="2">
        <v>0.24</v>
      </c>
      <c r="J1203" s="2">
        <v>0.25600000000000001</v>
      </c>
      <c r="K1203" s="2">
        <v>0.27200000000000002</v>
      </c>
      <c r="L1203" s="2">
        <v>0.28799999999999998</v>
      </c>
      <c r="M1203" s="2">
        <v>0.30399999999999999</v>
      </c>
      <c r="N1203" s="2">
        <v>0.32</v>
      </c>
      <c r="O1203" s="2">
        <v>0.34</v>
      </c>
      <c r="P1203" s="2">
        <v>0.36</v>
      </c>
      <c r="Q1203" s="2">
        <v>0.38</v>
      </c>
      <c r="R1203" t="s">
        <v>19</v>
      </c>
      <c r="S1203" t="s">
        <v>19</v>
      </c>
      <c r="T1203" t="s">
        <v>125</v>
      </c>
    </row>
    <row r="1204" spans="2:20" x14ac:dyDescent="0.25">
      <c r="B1204" t="s">
        <v>366</v>
      </c>
      <c r="C1204" s="2">
        <v>0.32</v>
      </c>
      <c r="D1204" s="2">
        <v>0.34399999999999997</v>
      </c>
      <c r="E1204" s="2">
        <v>0.36799999999999999</v>
      </c>
      <c r="F1204" s="2">
        <v>0.4</v>
      </c>
      <c r="G1204" s="2">
        <v>0.42399999999999999</v>
      </c>
      <c r="H1204" s="2">
        <v>0.44800000000000001</v>
      </c>
      <c r="I1204" s="2">
        <v>0.48</v>
      </c>
      <c r="J1204" s="2">
        <v>0.51200000000000001</v>
      </c>
      <c r="K1204" s="2">
        <v>0.54400000000000004</v>
      </c>
      <c r="L1204" s="2">
        <v>0.57599999999999996</v>
      </c>
      <c r="M1204" s="2">
        <v>0.60799999999999998</v>
      </c>
      <c r="N1204" s="2">
        <v>0.64</v>
      </c>
      <c r="O1204" s="2">
        <v>0.68</v>
      </c>
      <c r="P1204" s="2">
        <v>0.72</v>
      </c>
      <c r="Q1204" s="2">
        <v>0.76</v>
      </c>
      <c r="R1204" t="s">
        <v>19</v>
      </c>
      <c r="S1204" t="s">
        <v>19</v>
      </c>
      <c r="T1204" t="s">
        <v>125</v>
      </c>
    </row>
    <row r="1205" spans="2:20" x14ac:dyDescent="0.25">
      <c r="B1205" t="s">
        <v>170</v>
      </c>
      <c r="C1205" s="2">
        <v>4.0107999999999997</v>
      </c>
      <c r="D1205" s="2">
        <v>4.4443999999999999</v>
      </c>
      <c r="E1205" s="2">
        <v>4.8780000000000001</v>
      </c>
      <c r="F1205" s="2">
        <v>5.42</v>
      </c>
      <c r="G1205" s="2">
        <v>5.9077999999999999</v>
      </c>
      <c r="H1205" s="2">
        <v>6.3956</v>
      </c>
      <c r="I1205" s="2">
        <v>7.0460000000000003</v>
      </c>
      <c r="J1205" s="2">
        <v>7.6963999999999997</v>
      </c>
      <c r="K1205" s="2">
        <v>8.3468</v>
      </c>
      <c r="L1205" s="2">
        <v>8.9971999999999994</v>
      </c>
      <c r="M1205" s="2">
        <v>9.6476000000000006</v>
      </c>
      <c r="N1205" s="2">
        <v>10.298</v>
      </c>
      <c r="O1205" s="2">
        <v>10.84</v>
      </c>
      <c r="P1205" s="2">
        <v>11.382</v>
      </c>
      <c r="Q1205" s="2">
        <v>11.923999999999999</v>
      </c>
      <c r="R1205" t="s">
        <v>0</v>
      </c>
      <c r="S1205" t="s">
        <v>0</v>
      </c>
      <c r="T1205" t="s">
        <v>125</v>
      </c>
    </row>
    <row r="1206" spans="2:20" x14ac:dyDescent="0.25">
      <c r="B1206" t="s">
        <v>367</v>
      </c>
      <c r="C1206" s="29">
        <v>1.3899999999999999E-2</v>
      </c>
      <c r="D1206" s="29">
        <v>1.3899999999999999E-2</v>
      </c>
      <c r="E1206" s="29">
        <v>1.3899999999999999E-2</v>
      </c>
      <c r="F1206" s="29">
        <v>1.3899999999999999E-2</v>
      </c>
      <c r="G1206" s="29">
        <v>1.3899999999999999E-2</v>
      </c>
      <c r="H1206" s="29">
        <v>1.3899999999999999E-2</v>
      </c>
      <c r="I1206" s="29">
        <v>1.3899999999999999E-2</v>
      </c>
      <c r="J1206" s="29">
        <v>1.3899999999999999E-2</v>
      </c>
      <c r="K1206" s="29">
        <v>1.3899999999999999E-2</v>
      </c>
      <c r="L1206" s="29">
        <v>1.3899999999999999E-2</v>
      </c>
      <c r="M1206" s="29">
        <v>1.3899999999999999E-2</v>
      </c>
      <c r="N1206" s="29">
        <v>1.3899999999999999E-2</v>
      </c>
      <c r="O1206" s="29">
        <v>1.3899999999999999E-2</v>
      </c>
      <c r="P1206" s="29">
        <v>1.3899999999999999E-2</v>
      </c>
      <c r="Q1206" s="29">
        <v>1.3899999999999999E-2</v>
      </c>
      <c r="R1206" t="s">
        <v>6</v>
      </c>
      <c r="S1206" t="s">
        <v>6</v>
      </c>
      <c r="T1206" t="s">
        <v>223</v>
      </c>
    </row>
    <row r="1207" spans="2:20" x14ac:dyDescent="0.25">
      <c r="B1207" t="s">
        <v>368</v>
      </c>
      <c r="C1207" s="29">
        <v>1.3899999999999999E-2</v>
      </c>
      <c r="D1207" s="29">
        <v>1.3899999999999999E-2</v>
      </c>
      <c r="E1207" s="29">
        <v>1.3899999999999999E-2</v>
      </c>
      <c r="F1207" s="29">
        <v>1.3899999999999999E-2</v>
      </c>
      <c r="G1207" s="29">
        <v>1.3899999999999999E-2</v>
      </c>
      <c r="H1207" s="29">
        <v>1.3899999999999999E-2</v>
      </c>
      <c r="I1207" s="29">
        <v>1.3899999999999999E-2</v>
      </c>
      <c r="J1207" s="29">
        <v>1.3899999999999999E-2</v>
      </c>
      <c r="K1207" s="29">
        <v>1.3899999999999999E-2</v>
      </c>
      <c r="L1207" s="29">
        <v>1.3899999999999999E-2</v>
      </c>
      <c r="M1207" s="29">
        <v>1.3899999999999999E-2</v>
      </c>
      <c r="N1207" s="29">
        <v>1.3899999999999999E-2</v>
      </c>
      <c r="O1207" s="29">
        <v>1.3899999999999999E-2</v>
      </c>
      <c r="P1207" s="29">
        <v>1.3899999999999999E-2</v>
      </c>
      <c r="Q1207" s="29">
        <v>1.3899999999999999E-2</v>
      </c>
      <c r="R1207" t="s">
        <v>5</v>
      </c>
      <c r="S1207" t="s">
        <v>5</v>
      </c>
      <c r="T1207" t="s">
        <v>223</v>
      </c>
    </row>
    <row r="1208" spans="2:20" x14ac:dyDescent="0.25">
      <c r="B1208" t="s">
        <v>369</v>
      </c>
      <c r="C1208" s="29">
        <v>1.3899999999999999E-2</v>
      </c>
      <c r="D1208" s="29">
        <v>1.3899999999999999E-2</v>
      </c>
      <c r="E1208" s="29">
        <v>1.3899999999999999E-2</v>
      </c>
      <c r="F1208" s="29">
        <v>1.3899999999999999E-2</v>
      </c>
      <c r="G1208" s="29">
        <v>1.3899999999999999E-2</v>
      </c>
      <c r="H1208" s="29">
        <v>1.3899999999999999E-2</v>
      </c>
      <c r="I1208" s="29">
        <v>1.3899999999999999E-2</v>
      </c>
      <c r="J1208" s="29">
        <v>1.3899999999999999E-2</v>
      </c>
      <c r="K1208" s="29">
        <v>1.3899999999999999E-2</v>
      </c>
      <c r="L1208" s="29">
        <v>1.3899999999999999E-2</v>
      </c>
      <c r="M1208" s="29">
        <v>1.3899999999999999E-2</v>
      </c>
      <c r="N1208" s="29">
        <v>1.3899999999999999E-2</v>
      </c>
      <c r="O1208" s="29">
        <v>1.3899999999999999E-2</v>
      </c>
      <c r="P1208" s="29">
        <v>1.3899999999999999E-2</v>
      </c>
      <c r="Q1208" s="29">
        <v>1.3899999999999999E-2</v>
      </c>
      <c r="R1208" t="s">
        <v>3</v>
      </c>
      <c r="S1208" t="s">
        <v>3</v>
      </c>
      <c r="T1208" t="s">
        <v>223</v>
      </c>
    </row>
    <row r="1209" spans="2:20" x14ac:dyDescent="0.25">
      <c r="B1209" t="s">
        <v>370</v>
      </c>
      <c r="C1209" s="29">
        <v>1.9E-2</v>
      </c>
      <c r="D1209" s="29">
        <v>1.9E-2</v>
      </c>
      <c r="E1209" s="29">
        <v>1.9E-2</v>
      </c>
      <c r="F1209" s="29">
        <v>1.9E-2</v>
      </c>
      <c r="G1209" s="29">
        <v>1.9E-2</v>
      </c>
      <c r="H1209" s="29">
        <v>1.9E-2</v>
      </c>
      <c r="I1209" s="29">
        <v>1.9E-2</v>
      </c>
      <c r="J1209" s="29">
        <v>1.9E-2</v>
      </c>
      <c r="K1209" s="29">
        <v>1.9E-2</v>
      </c>
      <c r="L1209" s="29">
        <v>1.9E-2</v>
      </c>
      <c r="M1209" s="29">
        <v>1.9E-2</v>
      </c>
      <c r="N1209" s="29">
        <v>1.9E-2</v>
      </c>
      <c r="O1209" s="29">
        <v>1.9E-2</v>
      </c>
      <c r="P1209" s="29">
        <v>1.9E-2</v>
      </c>
      <c r="Q1209" s="29">
        <v>1.9E-2</v>
      </c>
      <c r="R1209" t="s">
        <v>19</v>
      </c>
      <c r="S1209" t="s">
        <v>19</v>
      </c>
      <c r="T1209" t="s">
        <v>223</v>
      </c>
    </row>
    <row r="1210" spans="2:20" x14ac:dyDescent="0.25">
      <c r="B1210" t="s">
        <v>371</v>
      </c>
      <c r="C1210" s="20">
        <v>0.33</v>
      </c>
      <c r="D1210" s="20">
        <v>0.33</v>
      </c>
      <c r="E1210" s="20">
        <v>0.33</v>
      </c>
      <c r="F1210" s="20">
        <v>0.33</v>
      </c>
      <c r="G1210" s="20">
        <v>0.33</v>
      </c>
      <c r="H1210" s="20">
        <v>0.33</v>
      </c>
      <c r="I1210" s="20">
        <v>0.33</v>
      </c>
      <c r="J1210" s="20">
        <v>0.33</v>
      </c>
      <c r="K1210" s="20">
        <v>0.33</v>
      </c>
      <c r="L1210" s="20">
        <v>0.33</v>
      </c>
      <c r="M1210" s="20">
        <v>0.33</v>
      </c>
      <c r="N1210" s="20">
        <v>0.33</v>
      </c>
      <c r="O1210" s="20">
        <v>0.33</v>
      </c>
      <c r="P1210" s="20">
        <v>0.33</v>
      </c>
      <c r="Q1210" s="20">
        <v>0.33</v>
      </c>
      <c r="R1210" t="s">
        <v>0</v>
      </c>
      <c r="S1210" t="s">
        <v>0</v>
      </c>
      <c r="T1210" t="s">
        <v>223</v>
      </c>
    </row>
    <row r="1211" spans="2:20" x14ac:dyDescent="0.25">
      <c r="B1211" s="3" t="s">
        <v>763</v>
      </c>
      <c r="C1211" s="23"/>
      <c r="D1211" s="23"/>
      <c r="E1211" s="23"/>
      <c r="F1211" s="23"/>
      <c r="G1211" s="23"/>
      <c r="H1211" s="23"/>
      <c r="I1211" s="23"/>
      <c r="J1211" s="23"/>
      <c r="K1211" s="23"/>
      <c r="L1211" s="23"/>
      <c r="M1211" s="23"/>
      <c r="N1211" s="23"/>
      <c r="O1211" s="23"/>
      <c r="P1211" s="23"/>
      <c r="Q1211" s="23"/>
      <c r="R1211" s="5" t="s">
        <v>763</v>
      </c>
      <c r="S1211" s="5" t="s">
        <v>763</v>
      </c>
      <c r="T1211" t="s">
        <v>764</v>
      </c>
    </row>
    <row r="1212" spans="2:20" x14ac:dyDescent="0.25">
      <c r="B1212" s="3" t="s">
        <v>386</v>
      </c>
      <c r="C1212" s="23"/>
      <c r="D1212" s="23"/>
      <c r="E1212" s="23"/>
      <c r="F1212" s="23"/>
      <c r="G1212" s="23"/>
      <c r="H1212" s="23"/>
      <c r="I1212" s="23"/>
      <c r="J1212" s="23"/>
      <c r="K1212" s="23"/>
      <c r="L1212" s="23"/>
      <c r="M1212" s="23"/>
      <c r="N1212" s="23"/>
      <c r="O1212" s="23"/>
      <c r="P1212" s="23"/>
      <c r="Q1212" s="23"/>
      <c r="R1212" s="5" t="s">
        <v>392</v>
      </c>
      <c r="S1212" s="5" t="s">
        <v>392</v>
      </c>
      <c r="T1212" t="s">
        <v>69</v>
      </c>
    </row>
    <row r="1213" spans="2:20" x14ac:dyDescent="0.25">
      <c r="B1213" s="3" t="s">
        <v>388</v>
      </c>
      <c r="C1213" s="23"/>
      <c r="D1213" s="23"/>
      <c r="E1213" s="23"/>
      <c r="F1213" s="23"/>
      <c r="G1213" s="23"/>
      <c r="H1213" s="23"/>
      <c r="I1213" s="23"/>
      <c r="J1213" s="23"/>
      <c r="K1213" s="23"/>
      <c r="L1213" s="23"/>
      <c r="M1213" s="23"/>
      <c r="N1213" s="23"/>
      <c r="O1213" s="23"/>
      <c r="P1213" s="23"/>
      <c r="Q1213" s="23"/>
      <c r="R1213" s="5" t="s">
        <v>392</v>
      </c>
      <c r="S1213" s="5" t="s">
        <v>392</v>
      </c>
      <c r="T1213" t="s">
        <v>69</v>
      </c>
    </row>
    <row r="1214" spans="2:20" x14ac:dyDescent="0.25">
      <c r="B1214" s="3" t="s">
        <v>389</v>
      </c>
      <c r="C1214" s="23"/>
      <c r="D1214" s="23"/>
      <c r="E1214" s="23"/>
      <c r="F1214" s="23"/>
      <c r="G1214" s="23"/>
      <c r="H1214" s="23"/>
      <c r="I1214" s="23"/>
      <c r="J1214" s="23"/>
      <c r="K1214" s="23"/>
      <c r="L1214" s="23"/>
      <c r="M1214" s="23"/>
      <c r="N1214" s="23"/>
      <c r="O1214" s="23"/>
      <c r="P1214" s="23"/>
      <c r="Q1214" s="23"/>
      <c r="R1214" s="5" t="s">
        <v>392</v>
      </c>
      <c r="S1214" s="5" t="s">
        <v>392</v>
      </c>
      <c r="T1214" t="s">
        <v>69</v>
      </c>
    </row>
    <row r="1215" spans="2:20" x14ac:dyDescent="0.25">
      <c r="B1215" s="3" t="s">
        <v>385</v>
      </c>
      <c r="C1215" s="23"/>
      <c r="D1215" s="23"/>
      <c r="E1215" s="23"/>
      <c r="F1215" s="23"/>
      <c r="G1215" s="23"/>
      <c r="H1215" s="23"/>
      <c r="I1215" s="23"/>
      <c r="J1215" s="23"/>
      <c r="K1215" s="23"/>
      <c r="L1215" s="23"/>
      <c r="M1215" s="23"/>
      <c r="N1215" s="23"/>
      <c r="O1215" s="23"/>
      <c r="P1215" s="23"/>
      <c r="Q1215" s="23"/>
      <c r="R1215" s="5" t="s">
        <v>392</v>
      </c>
      <c r="S1215" s="5" t="s">
        <v>392</v>
      </c>
      <c r="T1215" t="s">
        <v>69</v>
      </c>
    </row>
    <row r="1216" spans="2:20" x14ac:dyDescent="0.25">
      <c r="B1216" s="3" t="s">
        <v>387</v>
      </c>
      <c r="C1216" s="23"/>
      <c r="D1216" s="23"/>
      <c r="E1216" s="23"/>
      <c r="F1216" s="23"/>
      <c r="G1216" s="23"/>
      <c r="H1216" s="23"/>
      <c r="I1216" s="23"/>
      <c r="J1216" s="23"/>
      <c r="K1216" s="23"/>
      <c r="L1216" s="23"/>
      <c r="M1216" s="23"/>
      <c r="N1216" s="23"/>
      <c r="O1216" s="23"/>
      <c r="P1216" s="23"/>
      <c r="Q1216" s="23"/>
      <c r="R1216" s="5" t="s">
        <v>392</v>
      </c>
      <c r="S1216" s="5" t="s">
        <v>392</v>
      </c>
      <c r="T1216" t="s">
        <v>69</v>
      </c>
    </row>
    <row r="1217" spans="1:20" x14ac:dyDescent="0.25">
      <c r="B1217" s="3" t="s">
        <v>390</v>
      </c>
      <c r="C1217" s="23"/>
      <c r="D1217" s="23"/>
      <c r="E1217" s="23"/>
      <c r="F1217" s="23"/>
      <c r="G1217" s="23"/>
      <c r="H1217" s="23"/>
      <c r="I1217" s="23"/>
      <c r="J1217" s="23"/>
      <c r="K1217" s="23"/>
      <c r="L1217" s="23"/>
      <c r="M1217" s="23"/>
      <c r="N1217" s="23"/>
      <c r="O1217" s="23"/>
      <c r="P1217" s="23"/>
      <c r="Q1217" s="23"/>
      <c r="R1217" s="5" t="s">
        <v>392</v>
      </c>
      <c r="S1217" s="5" t="s">
        <v>392</v>
      </c>
      <c r="T1217" t="s">
        <v>69</v>
      </c>
    </row>
    <row r="1218" spans="1:20" x14ac:dyDescent="0.25">
      <c r="B1218" s="3" t="s">
        <v>391</v>
      </c>
      <c r="C1218" s="23"/>
      <c r="D1218" s="23"/>
      <c r="E1218" s="23"/>
      <c r="F1218" s="23"/>
      <c r="G1218" s="23"/>
      <c r="H1218" s="23"/>
      <c r="I1218" s="23"/>
      <c r="J1218" s="23"/>
      <c r="K1218" s="23"/>
      <c r="L1218" s="23"/>
      <c r="M1218" s="23"/>
      <c r="N1218" s="23"/>
      <c r="O1218" s="23"/>
      <c r="P1218" s="23"/>
      <c r="Q1218" s="23"/>
      <c r="R1218" s="5" t="s">
        <v>392</v>
      </c>
      <c r="S1218" s="5" t="s">
        <v>392</v>
      </c>
      <c r="T1218" t="s">
        <v>69</v>
      </c>
    </row>
    <row r="1219" spans="1:20" x14ac:dyDescent="0.25">
      <c r="A1219" t="s">
        <v>902</v>
      </c>
      <c r="B1219" s="3" t="s">
        <v>393</v>
      </c>
      <c r="C1219" s="23"/>
      <c r="D1219" s="23"/>
      <c r="E1219" s="23"/>
      <c r="F1219" s="23"/>
      <c r="G1219" s="23"/>
      <c r="H1219" s="23"/>
      <c r="I1219" s="23"/>
      <c r="J1219" s="23"/>
      <c r="K1219" s="23"/>
      <c r="L1219" s="23"/>
      <c r="M1219" s="23"/>
      <c r="N1219" s="23"/>
      <c r="O1219" s="23"/>
      <c r="P1219" s="23"/>
      <c r="Q1219" s="23"/>
      <c r="R1219" s="5" t="s">
        <v>392</v>
      </c>
      <c r="S1219" s="5" t="s">
        <v>392</v>
      </c>
      <c r="T1219" t="s">
        <v>69</v>
      </c>
    </row>
  </sheetData>
  <phoneticPr fontId="18"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1C60-E9D6-4EE3-A630-FF907A7349BD}">
  <sheetPr codeName="Sheet11"/>
  <dimension ref="A1:V735"/>
  <sheetViews>
    <sheetView topLeftCell="A710" workbookViewId="0">
      <selection activeCell="A706" sqref="A706:F720"/>
    </sheetView>
  </sheetViews>
  <sheetFormatPr defaultRowHeight="15" x14ac:dyDescent="0.25"/>
  <sheetData>
    <row r="1" spans="1:7" x14ac:dyDescent="0.25">
      <c r="A1" t="s">
        <v>18</v>
      </c>
      <c r="B1" t="s">
        <v>405</v>
      </c>
      <c r="C1" t="s">
        <v>406</v>
      </c>
      <c r="D1" t="s">
        <v>407</v>
      </c>
      <c r="E1" t="s">
        <v>72</v>
      </c>
      <c r="F1" t="s">
        <v>408</v>
      </c>
      <c r="G1" t="s">
        <v>409</v>
      </c>
    </row>
    <row r="2" spans="1:7" x14ac:dyDescent="0.25">
      <c r="A2">
        <v>1</v>
      </c>
      <c r="B2">
        <v>1030</v>
      </c>
      <c r="C2">
        <v>20</v>
      </c>
      <c r="D2">
        <v>68</v>
      </c>
      <c r="E2">
        <v>0</v>
      </c>
      <c r="F2">
        <v>5</v>
      </c>
      <c r="G2">
        <v>50</v>
      </c>
    </row>
    <row r="3" spans="1:7" x14ac:dyDescent="0.25">
      <c r="A3">
        <v>20</v>
      </c>
      <c r="B3">
        <v>2671</v>
      </c>
      <c r="C3">
        <v>51</v>
      </c>
      <c r="D3">
        <v>177</v>
      </c>
      <c r="E3">
        <v>0</v>
      </c>
      <c r="F3">
        <v>5</v>
      </c>
      <c r="G3">
        <v>50</v>
      </c>
    </row>
    <row r="4" spans="1:7" x14ac:dyDescent="0.25">
      <c r="A4" t="s">
        <v>410</v>
      </c>
      <c r="B4">
        <v>3554</v>
      </c>
      <c r="C4">
        <v>67</v>
      </c>
      <c r="D4">
        <v>235</v>
      </c>
      <c r="E4">
        <v>0</v>
      </c>
      <c r="F4">
        <v>5</v>
      </c>
      <c r="G4">
        <v>50</v>
      </c>
    </row>
    <row r="5" spans="1:7" x14ac:dyDescent="0.25">
      <c r="A5">
        <v>40</v>
      </c>
      <c r="B5">
        <v>5317</v>
      </c>
      <c r="C5">
        <v>101</v>
      </c>
      <c r="D5">
        <v>352</v>
      </c>
      <c r="E5">
        <v>0</v>
      </c>
      <c r="F5">
        <v>5</v>
      </c>
      <c r="G5">
        <v>50</v>
      </c>
    </row>
    <row r="6" spans="1:7" x14ac:dyDescent="0.25">
      <c r="A6" t="s">
        <v>411</v>
      </c>
      <c r="B6">
        <v>5944</v>
      </c>
      <c r="C6">
        <v>113</v>
      </c>
      <c r="D6">
        <v>394</v>
      </c>
      <c r="E6">
        <v>7.2</v>
      </c>
      <c r="F6">
        <v>5</v>
      </c>
      <c r="G6">
        <v>50</v>
      </c>
    </row>
    <row r="7" spans="1:7" x14ac:dyDescent="0.25">
      <c r="A7">
        <v>50</v>
      </c>
      <c r="B7">
        <v>6839</v>
      </c>
      <c r="C7">
        <v>130</v>
      </c>
      <c r="D7">
        <v>453</v>
      </c>
      <c r="E7">
        <v>7.2</v>
      </c>
      <c r="F7">
        <v>5</v>
      </c>
      <c r="G7">
        <v>50</v>
      </c>
    </row>
    <row r="8" spans="1:7" x14ac:dyDescent="0.25">
      <c r="A8" t="s">
        <v>412</v>
      </c>
      <c r="B8">
        <v>7675</v>
      </c>
      <c r="C8">
        <v>146</v>
      </c>
      <c r="D8">
        <v>508</v>
      </c>
      <c r="E8">
        <v>14.4</v>
      </c>
      <c r="F8">
        <v>5</v>
      </c>
      <c r="G8">
        <v>50</v>
      </c>
    </row>
    <row r="9" spans="1:7" x14ac:dyDescent="0.25">
      <c r="A9">
        <v>60</v>
      </c>
      <c r="B9">
        <v>8579</v>
      </c>
      <c r="C9">
        <v>163</v>
      </c>
      <c r="D9">
        <v>568</v>
      </c>
      <c r="E9">
        <v>14.4</v>
      </c>
      <c r="F9">
        <v>5</v>
      </c>
      <c r="G9">
        <v>50</v>
      </c>
    </row>
    <row r="10" spans="1:7" x14ac:dyDescent="0.25">
      <c r="A10" t="s">
        <v>413</v>
      </c>
      <c r="B10">
        <v>9207</v>
      </c>
      <c r="C10">
        <v>175</v>
      </c>
      <c r="D10">
        <v>610</v>
      </c>
      <c r="E10">
        <v>14.4</v>
      </c>
      <c r="F10">
        <v>5</v>
      </c>
      <c r="G10">
        <v>50</v>
      </c>
    </row>
    <row r="11" spans="1:7" x14ac:dyDescent="0.25">
      <c r="A11">
        <v>70</v>
      </c>
      <c r="B11">
        <v>10119</v>
      </c>
      <c r="C11">
        <v>192</v>
      </c>
      <c r="D11">
        <v>670</v>
      </c>
      <c r="E11">
        <v>14.4</v>
      </c>
      <c r="F11">
        <v>5</v>
      </c>
      <c r="G11">
        <v>50</v>
      </c>
    </row>
    <row r="12" spans="1:7" x14ac:dyDescent="0.25">
      <c r="A12" t="s">
        <v>414</v>
      </c>
      <c r="B12">
        <v>10746</v>
      </c>
      <c r="C12">
        <v>204</v>
      </c>
      <c r="D12">
        <v>712</v>
      </c>
      <c r="E12">
        <v>21.6</v>
      </c>
      <c r="F12">
        <v>5</v>
      </c>
      <c r="G12">
        <v>50</v>
      </c>
    </row>
    <row r="13" spans="1:7" x14ac:dyDescent="0.25">
      <c r="A13">
        <v>80</v>
      </c>
      <c r="B13">
        <v>11669</v>
      </c>
      <c r="C13">
        <v>222</v>
      </c>
      <c r="D13">
        <v>773</v>
      </c>
      <c r="E13">
        <v>21.6</v>
      </c>
      <c r="F13">
        <v>5</v>
      </c>
      <c r="G13">
        <v>50</v>
      </c>
    </row>
    <row r="14" spans="1:7" x14ac:dyDescent="0.25">
      <c r="A14" t="s">
        <v>415</v>
      </c>
      <c r="B14">
        <v>12296</v>
      </c>
      <c r="C14">
        <v>233</v>
      </c>
      <c r="D14">
        <v>815</v>
      </c>
      <c r="E14">
        <v>28.8</v>
      </c>
      <c r="F14">
        <v>5</v>
      </c>
      <c r="G14">
        <v>50</v>
      </c>
    </row>
    <row r="15" spans="1:7" x14ac:dyDescent="0.25">
      <c r="A15">
        <v>90</v>
      </c>
      <c r="B15">
        <v>13226</v>
      </c>
      <c r="C15">
        <v>251</v>
      </c>
      <c r="D15">
        <v>876</v>
      </c>
      <c r="E15">
        <v>28.8</v>
      </c>
      <c r="F15">
        <v>5</v>
      </c>
      <c r="G15">
        <v>50</v>
      </c>
    </row>
    <row r="16" spans="1:7" x14ac:dyDescent="0.25">
      <c r="A16" t="s">
        <v>428</v>
      </c>
      <c r="B16" t="s">
        <v>405</v>
      </c>
      <c r="C16" t="s">
        <v>406</v>
      </c>
      <c r="D16" t="s">
        <v>407</v>
      </c>
      <c r="E16" t="s">
        <v>74</v>
      </c>
      <c r="F16" t="s">
        <v>408</v>
      </c>
      <c r="G16" t="s">
        <v>409</v>
      </c>
    </row>
    <row r="17" spans="1:7" x14ac:dyDescent="0.25">
      <c r="A17">
        <v>1</v>
      </c>
      <c r="B17">
        <v>848</v>
      </c>
      <c r="C17">
        <v>18</v>
      </c>
      <c r="D17">
        <v>53</v>
      </c>
      <c r="E17">
        <v>0</v>
      </c>
      <c r="F17">
        <v>5</v>
      </c>
      <c r="G17">
        <v>50</v>
      </c>
    </row>
    <row r="18" spans="1:7" x14ac:dyDescent="0.25">
      <c r="A18">
        <v>20</v>
      </c>
      <c r="B18">
        <v>2201</v>
      </c>
      <c r="C18">
        <v>47</v>
      </c>
      <c r="D18">
        <v>137</v>
      </c>
      <c r="E18">
        <v>0</v>
      </c>
      <c r="F18">
        <v>5</v>
      </c>
      <c r="G18">
        <v>50</v>
      </c>
    </row>
    <row r="19" spans="1:7" x14ac:dyDescent="0.25">
      <c r="A19" t="s">
        <v>410</v>
      </c>
      <c r="B19">
        <v>2928</v>
      </c>
      <c r="C19">
        <v>63</v>
      </c>
      <c r="D19">
        <v>182</v>
      </c>
      <c r="E19">
        <v>0</v>
      </c>
      <c r="F19">
        <v>5</v>
      </c>
      <c r="G19">
        <v>50</v>
      </c>
    </row>
    <row r="20" spans="1:7" x14ac:dyDescent="0.25">
      <c r="A20">
        <v>40</v>
      </c>
      <c r="B20">
        <v>4382</v>
      </c>
      <c r="C20">
        <v>94</v>
      </c>
      <c r="D20">
        <v>272</v>
      </c>
      <c r="E20">
        <v>0</v>
      </c>
      <c r="F20">
        <v>5</v>
      </c>
      <c r="G20">
        <v>50</v>
      </c>
    </row>
    <row r="21" spans="1:7" x14ac:dyDescent="0.25">
      <c r="A21" t="s">
        <v>411</v>
      </c>
      <c r="B21">
        <v>4899</v>
      </c>
      <c r="C21">
        <v>105</v>
      </c>
      <c r="D21">
        <v>304</v>
      </c>
      <c r="E21">
        <v>7.2</v>
      </c>
      <c r="F21">
        <v>5</v>
      </c>
      <c r="G21">
        <v>50</v>
      </c>
    </row>
    <row r="22" spans="1:7" x14ac:dyDescent="0.25">
      <c r="A22">
        <v>50</v>
      </c>
      <c r="B22">
        <v>5636</v>
      </c>
      <c r="C22">
        <v>121</v>
      </c>
      <c r="D22">
        <v>350</v>
      </c>
      <c r="E22">
        <v>7.2</v>
      </c>
      <c r="F22">
        <v>5</v>
      </c>
      <c r="G22">
        <v>50</v>
      </c>
    </row>
    <row r="23" spans="1:7" x14ac:dyDescent="0.25">
      <c r="A23" t="s">
        <v>412</v>
      </c>
      <c r="B23">
        <v>6325</v>
      </c>
      <c r="C23">
        <v>136</v>
      </c>
      <c r="D23">
        <v>393</v>
      </c>
      <c r="E23">
        <v>14.4</v>
      </c>
      <c r="F23">
        <v>5</v>
      </c>
      <c r="G23">
        <v>50</v>
      </c>
    </row>
    <row r="24" spans="1:7" x14ac:dyDescent="0.25">
      <c r="A24">
        <v>60</v>
      </c>
      <c r="B24">
        <v>7070</v>
      </c>
      <c r="C24">
        <v>152</v>
      </c>
      <c r="D24">
        <v>439</v>
      </c>
      <c r="E24">
        <v>14.4</v>
      </c>
      <c r="F24">
        <v>5</v>
      </c>
      <c r="G24">
        <v>50</v>
      </c>
    </row>
    <row r="25" spans="1:7" x14ac:dyDescent="0.25">
      <c r="A25" t="s">
        <v>413</v>
      </c>
      <c r="B25">
        <v>7587</v>
      </c>
      <c r="C25">
        <v>163</v>
      </c>
      <c r="D25">
        <v>471</v>
      </c>
      <c r="E25">
        <v>14.4</v>
      </c>
      <c r="F25">
        <v>5</v>
      </c>
      <c r="G25">
        <v>50</v>
      </c>
    </row>
    <row r="26" spans="1:7" x14ac:dyDescent="0.25">
      <c r="A26">
        <v>70</v>
      </c>
      <c r="B26">
        <v>8339</v>
      </c>
      <c r="C26">
        <v>179</v>
      </c>
      <c r="D26">
        <v>517</v>
      </c>
      <c r="E26">
        <v>14.4</v>
      </c>
      <c r="F26">
        <v>5</v>
      </c>
      <c r="G26">
        <v>50</v>
      </c>
    </row>
    <row r="27" spans="1:7" x14ac:dyDescent="0.25">
      <c r="A27" t="s">
        <v>414</v>
      </c>
      <c r="B27">
        <v>8856</v>
      </c>
      <c r="C27">
        <v>190</v>
      </c>
      <c r="D27">
        <v>550</v>
      </c>
      <c r="E27">
        <v>21.6</v>
      </c>
      <c r="F27">
        <v>5</v>
      </c>
      <c r="G27">
        <v>50</v>
      </c>
    </row>
    <row r="28" spans="1:7" x14ac:dyDescent="0.25">
      <c r="A28">
        <v>80</v>
      </c>
      <c r="B28">
        <v>9616</v>
      </c>
      <c r="C28">
        <v>206</v>
      </c>
      <c r="D28">
        <v>597</v>
      </c>
      <c r="E28">
        <v>21.6</v>
      </c>
      <c r="F28">
        <v>5</v>
      </c>
      <c r="G28">
        <v>50</v>
      </c>
    </row>
    <row r="29" spans="1:7" x14ac:dyDescent="0.25">
      <c r="A29" t="s">
        <v>415</v>
      </c>
      <c r="B29">
        <v>10133</v>
      </c>
      <c r="C29">
        <v>217</v>
      </c>
      <c r="D29">
        <v>629</v>
      </c>
      <c r="E29">
        <v>28.8</v>
      </c>
      <c r="F29">
        <v>5</v>
      </c>
      <c r="G29">
        <v>50</v>
      </c>
    </row>
    <row r="30" spans="1:7" x14ac:dyDescent="0.25">
      <c r="A30">
        <v>90</v>
      </c>
      <c r="B30">
        <v>10899</v>
      </c>
      <c r="C30">
        <v>234</v>
      </c>
      <c r="D30">
        <v>676</v>
      </c>
      <c r="E30">
        <v>28.8</v>
      </c>
      <c r="F30">
        <v>5</v>
      </c>
      <c r="G30">
        <v>50</v>
      </c>
    </row>
    <row r="31" spans="1:7" x14ac:dyDescent="0.25">
      <c r="A31" t="s">
        <v>135</v>
      </c>
      <c r="B31" t="s">
        <v>405</v>
      </c>
      <c r="C31" t="s">
        <v>406</v>
      </c>
      <c r="D31" t="s">
        <v>407</v>
      </c>
      <c r="E31" t="s">
        <v>65</v>
      </c>
      <c r="F31" t="s">
        <v>408</v>
      </c>
      <c r="G31" t="s">
        <v>409</v>
      </c>
    </row>
    <row r="32" spans="1:7" x14ac:dyDescent="0.25">
      <c r="A32">
        <v>1</v>
      </c>
      <c r="B32">
        <v>793</v>
      </c>
      <c r="C32">
        <v>19</v>
      </c>
      <c r="D32">
        <v>50</v>
      </c>
      <c r="E32">
        <v>0</v>
      </c>
      <c r="F32">
        <v>5</v>
      </c>
      <c r="G32">
        <v>50</v>
      </c>
    </row>
    <row r="33" spans="1:7" x14ac:dyDescent="0.25">
      <c r="A33">
        <v>20</v>
      </c>
      <c r="B33">
        <v>2038</v>
      </c>
      <c r="C33">
        <v>48</v>
      </c>
      <c r="D33">
        <v>129</v>
      </c>
      <c r="E33">
        <v>0</v>
      </c>
      <c r="F33">
        <v>5</v>
      </c>
      <c r="G33">
        <v>50</v>
      </c>
    </row>
    <row r="34" spans="1:7" x14ac:dyDescent="0.25">
      <c r="A34" t="s">
        <v>410</v>
      </c>
      <c r="B34">
        <v>2630</v>
      </c>
      <c r="C34">
        <v>62</v>
      </c>
      <c r="D34">
        <v>167</v>
      </c>
      <c r="E34">
        <v>0</v>
      </c>
      <c r="F34">
        <v>5</v>
      </c>
      <c r="G34">
        <v>50</v>
      </c>
    </row>
    <row r="35" spans="1:7" x14ac:dyDescent="0.25">
      <c r="A35">
        <v>40</v>
      </c>
      <c r="B35">
        <v>3940</v>
      </c>
      <c r="C35">
        <v>93</v>
      </c>
      <c r="D35">
        <v>250</v>
      </c>
      <c r="E35">
        <v>0</v>
      </c>
      <c r="F35">
        <v>5</v>
      </c>
      <c r="G35">
        <v>50</v>
      </c>
    </row>
    <row r="36" spans="1:7" x14ac:dyDescent="0.25">
      <c r="A36" t="s">
        <v>411</v>
      </c>
      <c r="B36">
        <v>4361</v>
      </c>
      <c r="C36">
        <v>103</v>
      </c>
      <c r="D36">
        <v>277</v>
      </c>
      <c r="E36">
        <v>6</v>
      </c>
      <c r="F36">
        <v>5</v>
      </c>
      <c r="G36">
        <v>50</v>
      </c>
    </row>
    <row r="37" spans="1:7" x14ac:dyDescent="0.25">
      <c r="A37">
        <v>50</v>
      </c>
      <c r="B37">
        <v>5016</v>
      </c>
      <c r="C37">
        <v>118</v>
      </c>
      <c r="D37">
        <v>318</v>
      </c>
      <c r="E37">
        <v>6</v>
      </c>
      <c r="F37">
        <v>5</v>
      </c>
      <c r="G37">
        <v>50</v>
      </c>
    </row>
    <row r="38" spans="1:7" x14ac:dyDescent="0.25">
      <c r="A38" t="s">
        <v>412</v>
      </c>
      <c r="B38">
        <v>5578</v>
      </c>
      <c r="C38">
        <v>131</v>
      </c>
      <c r="D38">
        <v>354</v>
      </c>
      <c r="E38">
        <v>12</v>
      </c>
      <c r="F38">
        <v>5</v>
      </c>
      <c r="G38">
        <v>50</v>
      </c>
    </row>
    <row r="39" spans="1:7" x14ac:dyDescent="0.25">
      <c r="A39">
        <v>60</v>
      </c>
      <c r="B39">
        <v>6233</v>
      </c>
      <c r="C39">
        <v>147</v>
      </c>
      <c r="D39">
        <v>396</v>
      </c>
      <c r="E39">
        <v>12</v>
      </c>
      <c r="F39">
        <v>5</v>
      </c>
      <c r="G39">
        <v>50</v>
      </c>
    </row>
    <row r="40" spans="1:7" x14ac:dyDescent="0.25">
      <c r="A40" t="s">
        <v>413</v>
      </c>
      <c r="B40">
        <v>6654</v>
      </c>
      <c r="C40">
        <v>157</v>
      </c>
      <c r="D40">
        <v>422</v>
      </c>
      <c r="E40">
        <v>12</v>
      </c>
      <c r="F40">
        <v>5</v>
      </c>
      <c r="G40">
        <v>50</v>
      </c>
    </row>
    <row r="41" spans="1:7" x14ac:dyDescent="0.25">
      <c r="A41">
        <v>70</v>
      </c>
      <c r="B41">
        <v>7309</v>
      </c>
      <c r="C41">
        <v>172</v>
      </c>
      <c r="D41">
        <v>464</v>
      </c>
      <c r="E41">
        <v>12</v>
      </c>
      <c r="F41">
        <v>5</v>
      </c>
      <c r="G41">
        <v>50</v>
      </c>
    </row>
    <row r="42" spans="1:7" x14ac:dyDescent="0.25">
      <c r="A42" t="s">
        <v>414</v>
      </c>
      <c r="B42">
        <v>7730</v>
      </c>
      <c r="C42">
        <v>182</v>
      </c>
      <c r="D42">
        <v>491</v>
      </c>
      <c r="E42">
        <v>18</v>
      </c>
      <c r="F42">
        <v>5</v>
      </c>
      <c r="G42">
        <v>50</v>
      </c>
    </row>
    <row r="43" spans="1:7" x14ac:dyDescent="0.25">
      <c r="A43">
        <v>80</v>
      </c>
      <c r="B43">
        <v>8385</v>
      </c>
      <c r="C43">
        <v>198</v>
      </c>
      <c r="D43">
        <v>532</v>
      </c>
      <c r="E43">
        <v>18</v>
      </c>
      <c r="F43">
        <v>5</v>
      </c>
      <c r="G43">
        <v>50</v>
      </c>
    </row>
    <row r="44" spans="1:7" x14ac:dyDescent="0.25">
      <c r="A44" t="s">
        <v>415</v>
      </c>
      <c r="B44">
        <v>8806</v>
      </c>
      <c r="C44">
        <v>208</v>
      </c>
      <c r="D44">
        <v>559</v>
      </c>
      <c r="E44">
        <v>24</v>
      </c>
      <c r="F44">
        <v>5</v>
      </c>
      <c r="G44">
        <v>50</v>
      </c>
    </row>
    <row r="45" spans="1:7" x14ac:dyDescent="0.25">
      <c r="A45">
        <v>90</v>
      </c>
      <c r="B45">
        <v>9461</v>
      </c>
      <c r="C45">
        <v>223</v>
      </c>
      <c r="D45">
        <v>601</v>
      </c>
      <c r="E45">
        <v>24</v>
      </c>
      <c r="F45">
        <v>5</v>
      </c>
      <c r="G45">
        <v>50</v>
      </c>
    </row>
    <row r="46" spans="1:7" x14ac:dyDescent="0.25">
      <c r="A46" t="s">
        <v>12</v>
      </c>
      <c r="B46" t="s">
        <v>405</v>
      </c>
      <c r="C46" t="s">
        <v>406</v>
      </c>
      <c r="D46" t="s">
        <v>407</v>
      </c>
      <c r="E46" t="s">
        <v>409</v>
      </c>
      <c r="F46" t="s">
        <v>408</v>
      </c>
    </row>
    <row r="47" spans="1:7" x14ac:dyDescent="0.25">
      <c r="A47">
        <v>1</v>
      </c>
      <c r="B47">
        <v>1001</v>
      </c>
      <c r="C47">
        <v>27</v>
      </c>
      <c r="D47">
        <v>61</v>
      </c>
      <c r="E47">
        <v>50</v>
      </c>
      <c r="F47">
        <v>5</v>
      </c>
    </row>
    <row r="48" spans="1:7" x14ac:dyDescent="0.25">
      <c r="A48">
        <v>20</v>
      </c>
      <c r="B48">
        <v>2597</v>
      </c>
      <c r="C48">
        <v>69</v>
      </c>
      <c r="D48">
        <v>158</v>
      </c>
      <c r="E48">
        <v>50</v>
      </c>
      <c r="F48">
        <v>5</v>
      </c>
    </row>
    <row r="49" spans="1:7" x14ac:dyDescent="0.25">
      <c r="A49" t="s">
        <v>410</v>
      </c>
      <c r="B49">
        <v>3455</v>
      </c>
      <c r="C49">
        <v>92</v>
      </c>
      <c r="D49">
        <v>211</v>
      </c>
      <c r="E49">
        <v>50</v>
      </c>
      <c r="F49">
        <v>5</v>
      </c>
    </row>
    <row r="50" spans="1:7" x14ac:dyDescent="0.25">
      <c r="A50">
        <v>40</v>
      </c>
      <c r="B50">
        <v>5170</v>
      </c>
      <c r="C50">
        <v>138</v>
      </c>
      <c r="D50">
        <v>315</v>
      </c>
      <c r="E50">
        <v>50</v>
      </c>
      <c r="F50">
        <v>5</v>
      </c>
    </row>
    <row r="51" spans="1:7" x14ac:dyDescent="0.25">
      <c r="A51" t="s">
        <v>411</v>
      </c>
      <c r="B51">
        <v>5779</v>
      </c>
      <c r="C51">
        <v>154</v>
      </c>
      <c r="D51">
        <v>352</v>
      </c>
      <c r="E51">
        <v>59.6</v>
      </c>
      <c r="F51">
        <v>5</v>
      </c>
    </row>
    <row r="52" spans="1:7" x14ac:dyDescent="0.25">
      <c r="A52">
        <v>50</v>
      </c>
      <c r="B52">
        <v>6649</v>
      </c>
      <c r="C52">
        <v>177</v>
      </c>
      <c r="D52">
        <v>405</v>
      </c>
      <c r="E52">
        <v>59.6</v>
      </c>
      <c r="F52">
        <v>5</v>
      </c>
    </row>
    <row r="53" spans="1:7" x14ac:dyDescent="0.25">
      <c r="A53" t="s">
        <v>412</v>
      </c>
      <c r="B53">
        <v>7462</v>
      </c>
      <c r="C53">
        <v>198</v>
      </c>
      <c r="D53">
        <v>455</v>
      </c>
      <c r="E53">
        <v>69.2</v>
      </c>
      <c r="F53">
        <v>5</v>
      </c>
    </row>
    <row r="54" spans="1:7" x14ac:dyDescent="0.25">
      <c r="A54">
        <v>60</v>
      </c>
      <c r="B54">
        <v>8341</v>
      </c>
      <c r="C54">
        <v>222</v>
      </c>
      <c r="D54">
        <v>509</v>
      </c>
      <c r="E54">
        <v>69.2</v>
      </c>
      <c r="F54">
        <v>5</v>
      </c>
    </row>
    <row r="55" spans="1:7" x14ac:dyDescent="0.25">
      <c r="A55" t="s">
        <v>413</v>
      </c>
      <c r="B55">
        <v>8951</v>
      </c>
      <c r="C55">
        <v>238</v>
      </c>
      <c r="D55">
        <v>546</v>
      </c>
      <c r="E55">
        <v>69.2</v>
      </c>
      <c r="F55">
        <v>5</v>
      </c>
    </row>
    <row r="56" spans="1:7" x14ac:dyDescent="0.25">
      <c r="A56">
        <v>70</v>
      </c>
      <c r="B56">
        <v>9838</v>
      </c>
      <c r="C56">
        <v>262</v>
      </c>
      <c r="D56">
        <v>600</v>
      </c>
      <c r="E56">
        <v>69.2</v>
      </c>
      <c r="F56">
        <v>5</v>
      </c>
    </row>
    <row r="57" spans="1:7" x14ac:dyDescent="0.25">
      <c r="A57" t="s">
        <v>414</v>
      </c>
      <c r="B57">
        <v>10448</v>
      </c>
      <c r="C57">
        <v>278</v>
      </c>
      <c r="D57">
        <v>637</v>
      </c>
      <c r="E57">
        <v>78.8</v>
      </c>
      <c r="F57">
        <v>5</v>
      </c>
    </row>
    <row r="58" spans="1:7" x14ac:dyDescent="0.25">
      <c r="A58">
        <v>80</v>
      </c>
      <c r="B58">
        <v>11345</v>
      </c>
      <c r="C58">
        <v>302</v>
      </c>
      <c r="D58">
        <v>692</v>
      </c>
      <c r="E58">
        <v>78.8</v>
      </c>
      <c r="F58">
        <v>5</v>
      </c>
    </row>
    <row r="59" spans="1:7" x14ac:dyDescent="0.25">
      <c r="A59" t="s">
        <v>415</v>
      </c>
      <c r="B59">
        <v>11954</v>
      </c>
      <c r="C59">
        <v>318</v>
      </c>
      <c r="D59">
        <v>729</v>
      </c>
      <c r="E59">
        <v>88.4</v>
      </c>
      <c r="F59">
        <v>5</v>
      </c>
    </row>
    <row r="60" spans="1:7" x14ac:dyDescent="0.25">
      <c r="A60">
        <v>90</v>
      </c>
      <c r="B60">
        <v>12858</v>
      </c>
      <c r="C60">
        <v>342</v>
      </c>
      <c r="D60">
        <v>784</v>
      </c>
      <c r="E60">
        <v>88.4</v>
      </c>
      <c r="F60">
        <v>5</v>
      </c>
    </row>
    <row r="61" spans="1:7" x14ac:dyDescent="0.25">
      <c r="A61" t="s">
        <v>151</v>
      </c>
      <c r="B61" t="s">
        <v>405</v>
      </c>
      <c r="C61" t="s">
        <v>406</v>
      </c>
      <c r="D61" t="s">
        <v>407</v>
      </c>
      <c r="E61" t="s">
        <v>67</v>
      </c>
      <c r="F61" t="s">
        <v>408</v>
      </c>
      <c r="G61" t="s">
        <v>409</v>
      </c>
    </row>
    <row r="62" spans="1:7" x14ac:dyDescent="0.25">
      <c r="A62">
        <v>1</v>
      </c>
      <c r="B62">
        <v>821</v>
      </c>
      <c r="C62">
        <v>13</v>
      </c>
      <c r="D62">
        <v>56</v>
      </c>
      <c r="E62">
        <v>0</v>
      </c>
      <c r="F62">
        <v>5</v>
      </c>
      <c r="G62">
        <v>50</v>
      </c>
    </row>
    <row r="63" spans="1:7" x14ac:dyDescent="0.25">
      <c r="A63">
        <v>20</v>
      </c>
      <c r="B63">
        <v>2108</v>
      </c>
      <c r="C63">
        <v>34</v>
      </c>
      <c r="D63">
        <v>144</v>
      </c>
      <c r="E63">
        <v>0</v>
      </c>
      <c r="F63">
        <v>5</v>
      </c>
      <c r="G63">
        <v>50</v>
      </c>
    </row>
    <row r="64" spans="1:7" x14ac:dyDescent="0.25">
      <c r="A64" t="s">
        <v>410</v>
      </c>
      <c r="B64">
        <v>2721</v>
      </c>
      <c r="C64">
        <v>44</v>
      </c>
      <c r="D64">
        <v>186</v>
      </c>
      <c r="E64">
        <v>0</v>
      </c>
      <c r="F64">
        <v>5</v>
      </c>
      <c r="G64">
        <v>50</v>
      </c>
    </row>
    <row r="65" spans="1:7" x14ac:dyDescent="0.25">
      <c r="A65">
        <v>40</v>
      </c>
      <c r="B65">
        <v>4076</v>
      </c>
      <c r="C65">
        <v>66</v>
      </c>
      <c r="D65">
        <v>279</v>
      </c>
      <c r="E65">
        <v>0</v>
      </c>
      <c r="F65">
        <v>5</v>
      </c>
      <c r="G65">
        <v>50</v>
      </c>
    </row>
    <row r="66" spans="1:7" x14ac:dyDescent="0.25">
      <c r="A66" t="s">
        <v>411</v>
      </c>
      <c r="B66">
        <v>4512</v>
      </c>
      <c r="C66">
        <v>73</v>
      </c>
      <c r="D66">
        <v>308</v>
      </c>
      <c r="E66">
        <v>6</v>
      </c>
      <c r="F66">
        <v>5</v>
      </c>
      <c r="G66">
        <v>50</v>
      </c>
    </row>
    <row r="67" spans="1:7" x14ac:dyDescent="0.25">
      <c r="A67">
        <v>50</v>
      </c>
      <c r="B67">
        <v>5189</v>
      </c>
      <c r="C67">
        <v>84</v>
      </c>
      <c r="D67">
        <v>355</v>
      </c>
      <c r="E67">
        <v>6</v>
      </c>
      <c r="F67">
        <v>5</v>
      </c>
      <c r="G67">
        <v>50</v>
      </c>
    </row>
    <row r="68" spans="1:7" x14ac:dyDescent="0.25">
      <c r="A68" t="s">
        <v>412</v>
      </c>
      <c r="B68">
        <v>5770</v>
      </c>
      <c r="C68">
        <v>94</v>
      </c>
      <c r="D68">
        <v>394</v>
      </c>
      <c r="E68">
        <v>12</v>
      </c>
      <c r="F68">
        <v>5</v>
      </c>
      <c r="G68">
        <v>50</v>
      </c>
    </row>
    <row r="69" spans="1:7" x14ac:dyDescent="0.25">
      <c r="A69">
        <v>60</v>
      </c>
      <c r="B69">
        <v>6448</v>
      </c>
      <c r="C69">
        <v>105</v>
      </c>
      <c r="D69">
        <v>441</v>
      </c>
      <c r="E69">
        <v>12</v>
      </c>
      <c r="F69">
        <v>5</v>
      </c>
      <c r="G69">
        <v>50</v>
      </c>
    </row>
    <row r="70" spans="1:7" x14ac:dyDescent="0.25">
      <c r="A70" t="s">
        <v>413</v>
      </c>
      <c r="B70">
        <v>6884</v>
      </c>
      <c r="C70">
        <v>112</v>
      </c>
      <c r="D70">
        <v>470</v>
      </c>
      <c r="E70">
        <v>12</v>
      </c>
      <c r="F70">
        <v>5</v>
      </c>
      <c r="G70">
        <v>50</v>
      </c>
    </row>
    <row r="71" spans="1:7" x14ac:dyDescent="0.25">
      <c r="A71">
        <v>70</v>
      </c>
      <c r="B71">
        <v>7561</v>
      </c>
      <c r="C71">
        <v>123</v>
      </c>
      <c r="D71">
        <v>517</v>
      </c>
      <c r="E71">
        <v>12</v>
      </c>
      <c r="F71">
        <v>5</v>
      </c>
      <c r="G71">
        <v>50</v>
      </c>
    </row>
    <row r="72" spans="1:7" x14ac:dyDescent="0.25">
      <c r="A72" t="s">
        <v>414</v>
      </c>
      <c r="B72">
        <v>7996</v>
      </c>
      <c r="C72">
        <v>130</v>
      </c>
      <c r="D72">
        <v>546</v>
      </c>
      <c r="E72">
        <v>18</v>
      </c>
      <c r="F72">
        <v>5</v>
      </c>
      <c r="G72">
        <v>50</v>
      </c>
    </row>
    <row r="73" spans="1:7" x14ac:dyDescent="0.25">
      <c r="A73">
        <v>80</v>
      </c>
      <c r="B73">
        <v>8674</v>
      </c>
      <c r="C73">
        <v>141</v>
      </c>
      <c r="D73">
        <v>593</v>
      </c>
      <c r="E73">
        <v>18</v>
      </c>
      <c r="F73">
        <v>5</v>
      </c>
      <c r="G73">
        <v>50</v>
      </c>
    </row>
    <row r="74" spans="1:7" x14ac:dyDescent="0.25">
      <c r="A74" t="s">
        <v>415</v>
      </c>
      <c r="B74">
        <v>9110</v>
      </c>
      <c r="C74">
        <v>148</v>
      </c>
      <c r="D74">
        <v>623</v>
      </c>
      <c r="E74">
        <v>24</v>
      </c>
      <c r="F74">
        <v>5</v>
      </c>
      <c r="G74">
        <v>50</v>
      </c>
    </row>
    <row r="75" spans="1:7" x14ac:dyDescent="0.25">
      <c r="A75">
        <v>90</v>
      </c>
      <c r="B75">
        <v>9787</v>
      </c>
      <c r="C75">
        <v>159</v>
      </c>
      <c r="D75">
        <v>669</v>
      </c>
      <c r="E75">
        <v>24</v>
      </c>
      <c r="F75">
        <v>5</v>
      </c>
      <c r="G75">
        <v>50</v>
      </c>
    </row>
    <row r="76" spans="1:7" x14ac:dyDescent="0.25">
      <c r="A76" t="s">
        <v>156</v>
      </c>
      <c r="B76" t="s">
        <v>405</v>
      </c>
      <c r="C76" t="s">
        <v>406</v>
      </c>
      <c r="D76" t="s">
        <v>407</v>
      </c>
      <c r="E76" t="s">
        <v>76</v>
      </c>
      <c r="F76" t="s">
        <v>408</v>
      </c>
      <c r="G76" t="s">
        <v>409</v>
      </c>
    </row>
    <row r="77" spans="1:7" x14ac:dyDescent="0.25">
      <c r="A77">
        <v>1</v>
      </c>
      <c r="B77">
        <v>1094</v>
      </c>
      <c r="C77">
        <v>19</v>
      </c>
      <c r="D77">
        <v>54</v>
      </c>
      <c r="E77">
        <v>0</v>
      </c>
      <c r="F77">
        <v>5</v>
      </c>
      <c r="G77">
        <v>50</v>
      </c>
    </row>
    <row r="78" spans="1:7" x14ac:dyDescent="0.25">
      <c r="A78">
        <v>20</v>
      </c>
      <c r="B78">
        <v>2811</v>
      </c>
      <c r="C78">
        <v>48</v>
      </c>
      <c r="D78">
        <v>140</v>
      </c>
      <c r="E78">
        <v>0</v>
      </c>
      <c r="F78">
        <v>5</v>
      </c>
      <c r="G78">
        <v>50</v>
      </c>
    </row>
    <row r="79" spans="1:7" x14ac:dyDescent="0.25">
      <c r="A79" t="s">
        <v>410</v>
      </c>
      <c r="B79">
        <v>3628</v>
      </c>
      <c r="C79">
        <v>63</v>
      </c>
      <c r="D79">
        <v>180</v>
      </c>
      <c r="E79">
        <v>0</v>
      </c>
      <c r="F79">
        <v>5</v>
      </c>
      <c r="G79">
        <v>50</v>
      </c>
    </row>
    <row r="80" spans="1:7" x14ac:dyDescent="0.25">
      <c r="A80">
        <v>40</v>
      </c>
      <c r="B80">
        <v>5435</v>
      </c>
      <c r="C80">
        <v>94</v>
      </c>
      <c r="D80">
        <v>270</v>
      </c>
      <c r="E80">
        <v>0</v>
      </c>
      <c r="F80">
        <v>5</v>
      </c>
      <c r="G80">
        <v>50</v>
      </c>
    </row>
    <row r="81" spans="1:7" x14ac:dyDescent="0.25">
      <c r="A81" t="s">
        <v>411</v>
      </c>
      <c r="B81">
        <v>6015</v>
      </c>
      <c r="C81">
        <v>104</v>
      </c>
      <c r="D81">
        <v>299</v>
      </c>
      <c r="E81">
        <v>6</v>
      </c>
      <c r="F81">
        <v>5</v>
      </c>
      <c r="G81">
        <v>50</v>
      </c>
    </row>
    <row r="82" spans="1:7" x14ac:dyDescent="0.25">
      <c r="A82">
        <v>50</v>
      </c>
      <c r="B82">
        <v>6919</v>
      </c>
      <c r="C82">
        <v>119</v>
      </c>
      <c r="D82">
        <v>344</v>
      </c>
      <c r="E82">
        <v>6</v>
      </c>
      <c r="F82">
        <v>5</v>
      </c>
      <c r="G82">
        <v>50</v>
      </c>
    </row>
    <row r="83" spans="1:7" x14ac:dyDescent="0.25">
      <c r="A83" t="s">
        <v>412</v>
      </c>
      <c r="B83">
        <v>7694</v>
      </c>
      <c r="C83">
        <v>133</v>
      </c>
      <c r="D83">
        <v>382</v>
      </c>
      <c r="E83">
        <v>12</v>
      </c>
      <c r="F83">
        <v>5</v>
      </c>
      <c r="G83">
        <v>50</v>
      </c>
    </row>
    <row r="84" spans="1:7" x14ac:dyDescent="0.25">
      <c r="A84">
        <v>60</v>
      </c>
      <c r="B84">
        <v>8597</v>
      </c>
      <c r="C84">
        <v>148</v>
      </c>
      <c r="D84">
        <v>427</v>
      </c>
      <c r="E84">
        <v>12</v>
      </c>
      <c r="F84">
        <v>5</v>
      </c>
      <c r="G84">
        <v>50</v>
      </c>
    </row>
    <row r="85" spans="1:7" x14ac:dyDescent="0.25">
      <c r="A85" t="s">
        <v>413</v>
      </c>
      <c r="B85">
        <v>9178</v>
      </c>
      <c r="C85">
        <v>158</v>
      </c>
      <c r="D85">
        <v>456</v>
      </c>
      <c r="E85">
        <v>12</v>
      </c>
      <c r="F85">
        <v>5</v>
      </c>
      <c r="G85">
        <v>50</v>
      </c>
    </row>
    <row r="86" spans="1:7" x14ac:dyDescent="0.25">
      <c r="A86">
        <v>70</v>
      </c>
      <c r="B86">
        <v>10081</v>
      </c>
      <c r="C86">
        <v>174</v>
      </c>
      <c r="D86">
        <v>501</v>
      </c>
      <c r="E86">
        <v>12</v>
      </c>
      <c r="F86">
        <v>5</v>
      </c>
      <c r="G86">
        <v>50</v>
      </c>
    </row>
    <row r="87" spans="1:7" x14ac:dyDescent="0.25">
      <c r="A87" t="s">
        <v>414</v>
      </c>
      <c r="B87">
        <v>10662</v>
      </c>
      <c r="C87">
        <v>184</v>
      </c>
      <c r="D87">
        <v>530</v>
      </c>
      <c r="E87">
        <v>18</v>
      </c>
      <c r="F87">
        <v>5</v>
      </c>
      <c r="G87">
        <v>50</v>
      </c>
    </row>
    <row r="88" spans="1:7" x14ac:dyDescent="0.25">
      <c r="A88">
        <v>80</v>
      </c>
      <c r="B88">
        <v>11565</v>
      </c>
      <c r="C88">
        <v>200</v>
      </c>
      <c r="D88">
        <v>575</v>
      </c>
      <c r="E88">
        <v>18</v>
      </c>
      <c r="F88">
        <v>5</v>
      </c>
      <c r="G88">
        <v>50</v>
      </c>
    </row>
    <row r="89" spans="1:7" x14ac:dyDescent="0.25">
      <c r="A89" t="s">
        <v>415</v>
      </c>
      <c r="B89">
        <v>12146</v>
      </c>
      <c r="C89">
        <v>210</v>
      </c>
      <c r="D89">
        <v>603</v>
      </c>
      <c r="E89">
        <v>24</v>
      </c>
      <c r="F89">
        <v>5</v>
      </c>
      <c r="G89">
        <v>50</v>
      </c>
    </row>
    <row r="90" spans="1:7" x14ac:dyDescent="0.25">
      <c r="A90">
        <v>90</v>
      </c>
      <c r="B90">
        <v>13050</v>
      </c>
      <c r="C90">
        <v>225</v>
      </c>
      <c r="D90">
        <v>648</v>
      </c>
      <c r="E90">
        <v>24</v>
      </c>
      <c r="F90">
        <v>5</v>
      </c>
      <c r="G90">
        <v>50</v>
      </c>
    </row>
    <row r="91" spans="1:7" x14ac:dyDescent="0.25">
      <c r="A91" t="s">
        <v>162</v>
      </c>
      <c r="B91" t="s">
        <v>405</v>
      </c>
      <c r="C91" t="s">
        <v>406</v>
      </c>
      <c r="D91" t="s">
        <v>407</v>
      </c>
      <c r="E91" t="s">
        <v>68</v>
      </c>
      <c r="F91" t="s">
        <v>408</v>
      </c>
      <c r="G91" t="s">
        <v>409</v>
      </c>
    </row>
    <row r="92" spans="1:7" x14ac:dyDescent="0.25">
      <c r="A92">
        <v>1</v>
      </c>
      <c r="B92">
        <v>1039</v>
      </c>
      <c r="C92">
        <v>16</v>
      </c>
      <c r="D92">
        <v>65</v>
      </c>
      <c r="E92">
        <v>0</v>
      </c>
      <c r="F92">
        <v>5</v>
      </c>
      <c r="G92">
        <v>50</v>
      </c>
    </row>
    <row r="93" spans="1:7" x14ac:dyDescent="0.25">
      <c r="A93">
        <v>20</v>
      </c>
      <c r="B93">
        <v>2670</v>
      </c>
      <c r="C93">
        <v>41</v>
      </c>
      <c r="D93">
        <v>166</v>
      </c>
      <c r="E93">
        <v>0</v>
      </c>
      <c r="F93">
        <v>5</v>
      </c>
      <c r="G93">
        <v>50</v>
      </c>
    </row>
    <row r="94" spans="1:7" x14ac:dyDescent="0.25">
      <c r="A94" t="s">
        <v>410</v>
      </c>
      <c r="B94">
        <v>3447</v>
      </c>
      <c r="C94">
        <v>53</v>
      </c>
      <c r="D94">
        <v>214</v>
      </c>
      <c r="E94">
        <v>0</v>
      </c>
      <c r="F94">
        <v>5</v>
      </c>
      <c r="G94">
        <v>50</v>
      </c>
    </row>
    <row r="95" spans="1:7" x14ac:dyDescent="0.25">
      <c r="A95">
        <v>40</v>
      </c>
      <c r="B95">
        <v>5163</v>
      </c>
      <c r="C95">
        <v>80</v>
      </c>
      <c r="D95">
        <v>321</v>
      </c>
      <c r="E95">
        <v>0</v>
      </c>
      <c r="F95">
        <v>5</v>
      </c>
      <c r="G95">
        <v>50</v>
      </c>
    </row>
    <row r="96" spans="1:7" x14ac:dyDescent="0.25">
      <c r="A96" t="s">
        <v>411</v>
      </c>
      <c r="B96">
        <v>5715</v>
      </c>
      <c r="C96">
        <v>88</v>
      </c>
      <c r="D96">
        <v>356</v>
      </c>
      <c r="E96">
        <v>6.7</v>
      </c>
      <c r="F96">
        <v>5</v>
      </c>
      <c r="G96">
        <v>50</v>
      </c>
    </row>
    <row r="97" spans="1:7" x14ac:dyDescent="0.25">
      <c r="A97">
        <v>50</v>
      </c>
      <c r="B97">
        <v>6573</v>
      </c>
      <c r="C97">
        <v>101</v>
      </c>
      <c r="D97">
        <v>409</v>
      </c>
      <c r="E97">
        <v>6.7</v>
      </c>
      <c r="F97">
        <v>5</v>
      </c>
      <c r="G97">
        <v>50</v>
      </c>
    </row>
    <row r="98" spans="1:7" x14ac:dyDescent="0.25">
      <c r="A98" t="s">
        <v>412</v>
      </c>
      <c r="B98">
        <v>7309</v>
      </c>
      <c r="C98">
        <v>113</v>
      </c>
      <c r="D98">
        <v>455</v>
      </c>
      <c r="E98">
        <v>13.3</v>
      </c>
      <c r="F98">
        <v>5</v>
      </c>
      <c r="G98">
        <v>50</v>
      </c>
    </row>
    <row r="99" spans="1:7" x14ac:dyDescent="0.25">
      <c r="A99">
        <v>60</v>
      </c>
      <c r="B99">
        <v>8168</v>
      </c>
      <c r="C99">
        <v>126</v>
      </c>
      <c r="D99">
        <v>508</v>
      </c>
      <c r="E99">
        <v>13.3</v>
      </c>
      <c r="F99">
        <v>5</v>
      </c>
      <c r="G99">
        <v>50</v>
      </c>
    </row>
    <row r="100" spans="1:7" x14ac:dyDescent="0.25">
      <c r="A100" t="s">
        <v>413</v>
      </c>
      <c r="B100">
        <v>8719</v>
      </c>
      <c r="C100">
        <v>134</v>
      </c>
      <c r="D100">
        <v>542</v>
      </c>
      <c r="E100">
        <v>13.3</v>
      </c>
      <c r="F100">
        <v>5</v>
      </c>
      <c r="G100">
        <v>50</v>
      </c>
    </row>
    <row r="101" spans="1:7" x14ac:dyDescent="0.25">
      <c r="A101">
        <v>70</v>
      </c>
      <c r="B101">
        <v>9577</v>
      </c>
      <c r="C101">
        <v>148</v>
      </c>
      <c r="D101">
        <v>596</v>
      </c>
      <c r="E101">
        <v>13.3</v>
      </c>
      <c r="F101">
        <v>5</v>
      </c>
      <c r="G101">
        <v>50</v>
      </c>
    </row>
    <row r="102" spans="1:7" x14ac:dyDescent="0.25">
      <c r="A102" t="s">
        <v>414</v>
      </c>
      <c r="B102">
        <v>10129</v>
      </c>
      <c r="C102">
        <v>156</v>
      </c>
      <c r="D102">
        <v>630</v>
      </c>
      <c r="E102">
        <v>20</v>
      </c>
      <c r="F102">
        <v>5</v>
      </c>
      <c r="G102">
        <v>50</v>
      </c>
    </row>
    <row r="103" spans="1:7" x14ac:dyDescent="0.25">
      <c r="A103">
        <v>80</v>
      </c>
      <c r="B103">
        <v>10987</v>
      </c>
      <c r="C103">
        <v>169</v>
      </c>
      <c r="D103">
        <v>684</v>
      </c>
      <c r="E103">
        <v>20</v>
      </c>
      <c r="F103">
        <v>5</v>
      </c>
      <c r="G103">
        <v>50</v>
      </c>
    </row>
    <row r="104" spans="1:7" x14ac:dyDescent="0.25">
      <c r="A104" t="s">
        <v>415</v>
      </c>
      <c r="B104">
        <v>11539</v>
      </c>
      <c r="C104">
        <v>178</v>
      </c>
      <c r="D104">
        <v>718</v>
      </c>
      <c r="E104">
        <v>26.7</v>
      </c>
      <c r="F104">
        <v>5</v>
      </c>
      <c r="G104">
        <v>50</v>
      </c>
    </row>
    <row r="105" spans="1:7" x14ac:dyDescent="0.25">
      <c r="A105">
        <v>90</v>
      </c>
      <c r="B105">
        <v>12397</v>
      </c>
      <c r="C105">
        <v>191</v>
      </c>
      <c r="D105">
        <v>771</v>
      </c>
      <c r="E105">
        <v>26.7</v>
      </c>
      <c r="F105">
        <v>5</v>
      </c>
      <c r="G105">
        <v>50</v>
      </c>
    </row>
    <row r="106" spans="1:7" x14ac:dyDescent="0.25">
      <c r="A106" t="s">
        <v>318</v>
      </c>
      <c r="B106" t="s">
        <v>405</v>
      </c>
      <c r="C106" t="s">
        <v>406</v>
      </c>
      <c r="D106" t="s">
        <v>407</v>
      </c>
      <c r="E106" t="s">
        <v>75</v>
      </c>
      <c r="F106" t="s">
        <v>408</v>
      </c>
      <c r="G106" t="s">
        <v>409</v>
      </c>
    </row>
    <row r="107" spans="1:7" x14ac:dyDescent="0.25">
      <c r="A107">
        <v>1</v>
      </c>
      <c r="B107">
        <v>1020</v>
      </c>
      <c r="C107">
        <v>23</v>
      </c>
      <c r="D107">
        <v>63</v>
      </c>
      <c r="E107">
        <v>0</v>
      </c>
      <c r="F107">
        <v>5</v>
      </c>
      <c r="G107">
        <v>50</v>
      </c>
    </row>
    <row r="108" spans="1:7" x14ac:dyDescent="0.25">
      <c r="A108">
        <v>20</v>
      </c>
      <c r="B108">
        <v>2646</v>
      </c>
      <c r="C108">
        <v>61</v>
      </c>
      <c r="D108">
        <v>165</v>
      </c>
      <c r="E108">
        <v>0</v>
      </c>
      <c r="F108">
        <v>5</v>
      </c>
      <c r="G108">
        <v>50</v>
      </c>
    </row>
    <row r="109" spans="1:7" x14ac:dyDescent="0.25">
      <c r="A109" t="s">
        <v>410</v>
      </c>
      <c r="B109">
        <v>3521</v>
      </c>
      <c r="C109">
        <v>81</v>
      </c>
      <c r="D109">
        <v>219</v>
      </c>
      <c r="E109">
        <v>0</v>
      </c>
      <c r="F109">
        <v>5</v>
      </c>
      <c r="G109">
        <v>50</v>
      </c>
    </row>
    <row r="110" spans="1:7" x14ac:dyDescent="0.25">
      <c r="A110">
        <v>40</v>
      </c>
      <c r="B110">
        <v>5268</v>
      </c>
      <c r="C110">
        <v>121</v>
      </c>
      <c r="D110">
        <v>328</v>
      </c>
      <c r="E110">
        <v>0</v>
      </c>
      <c r="F110">
        <v>5</v>
      </c>
      <c r="G110">
        <v>50</v>
      </c>
    </row>
    <row r="111" spans="1:7" x14ac:dyDescent="0.25">
      <c r="A111" t="s">
        <v>411</v>
      </c>
      <c r="B111">
        <v>5889</v>
      </c>
      <c r="C111">
        <v>135</v>
      </c>
      <c r="D111">
        <v>366</v>
      </c>
      <c r="E111">
        <v>7.2</v>
      </c>
      <c r="F111">
        <v>5</v>
      </c>
      <c r="G111">
        <v>50</v>
      </c>
    </row>
    <row r="112" spans="1:7" x14ac:dyDescent="0.25">
      <c r="A112">
        <v>50</v>
      </c>
      <c r="B112">
        <v>6776</v>
      </c>
      <c r="C112">
        <v>156</v>
      </c>
      <c r="D112">
        <v>421</v>
      </c>
      <c r="E112">
        <v>7.2</v>
      </c>
      <c r="F112">
        <v>5</v>
      </c>
      <c r="G112">
        <v>50</v>
      </c>
    </row>
    <row r="113" spans="1:7" x14ac:dyDescent="0.25">
      <c r="A113" t="s">
        <v>412</v>
      </c>
      <c r="B113">
        <v>7604</v>
      </c>
      <c r="C113">
        <v>175</v>
      </c>
      <c r="D113">
        <v>473</v>
      </c>
      <c r="E113">
        <v>14.4</v>
      </c>
      <c r="F113">
        <v>5</v>
      </c>
      <c r="G113">
        <v>50</v>
      </c>
    </row>
    <row r="114" spans="1:7" x14ac:dyDescent="0.25">
      <c r="A114">
        <v>60</v>
      </c>
      <c r="B114">
        <v>8500</v>
      </c>
      <c r="C114">
        <v>195</v>
      </c>
      <c r="D114">
        <v>528</v>
      </c>
      <c r="E114">
        <v>14.4</v>
      </c>
      <c r="F114">
        <v>5</v>
      </c>
      <c r="G114">
        <v>50</v>
      </c>
    </row>
    <row r="115" spans="1:7" x14ac:dyDescent="0.25">
      <c r="A115" t="s">
        <v>413</v>
      </c>
      <c r="B115">
        <v>9121</v>
      </c>
      <c r="C115">
        <v>210</v>
      </c>
      <c r="D115">
        <v>567</v>
      </c>
      <c r="E115">
        <v>14.4</v>
      </c>
      <c r="F115">
        <v>5</v>
      </c>
      <c r="G115">
        <v>50</v>
      </c>
    </row>
    <row r="116" spans="1:7" x14ac:dyDescent="0.25">
      <c r="A116">
        <v>70</v>
      </c>
      <c r="B116">
        <v>10025</v>
      </c>
      <c r="C116">
        <v>231</v>
      </c>
      <c r="D116">
        <v>623</v>
      </c>
      <c r="E116">
        <v>14.4</v>
      </c>
      <c r="F116">
        <v>5</v>
      </c>
      <c r="G116">
        <v>50</v>
      </c>
    </row>
    <row r="117" spans="1:7" x14ac:dyDescent="0.25">
      <c r="A117" t="s">
        <v>414</v>
      </c>
      <c r="B117">
        <v>10647</v>
      </c>
      <c r="C117">
        <v>245</v>
      </c>
      <c r="D117">
        <v>662</v>
      </c>
      <c r="E117">
        <v>21.6</v>
      </c>
      <c r="F117">
        <v>5</v>
      </c>
      <c r="G117">
        <v>50</v>
      </c>
    </row>
    <row r="118" spans="1:7" x14ac:dyDescent="0.25">
      <c r="A118">
        <v>80</v>
      </c>
      <c r="B118">
        <v>11561</v>
      </c>
      <c r="C118">
        <v>266</v>
      </c>
      <c r="D118">
        <v>719</v>
      </c>
      <c r="E118">
        <v>21.6</v>
      </c>
      <c r="F118">
        <v>5</v>
      </c>
      <c r="G118">
        <v>50</v>
      </c>
    </row>
    <row r="119" spans="1:7" x14ac:dyDescent="0.25">
      <c r="A119" t="s">
        <v>415</v>
      </c>
      <c r="B119">
        <v>12182</v>
      </c>
      <c r="C119">
        <v>280</v>
      </c>
      <c r="D119">
        <v>757</v>
      </c>
      <c r="E119">
        <v>28.8</v>
      </c>
      <c r="F119">
        <v>5</v>
      </c>
      <c r="G119">
        <v>50</v>
      </c>
    </row>
    <row r="120" spans="1:7" x14ac:dyDescent="0.25">
      <c r="A120">
        <v>90</v>
      </c>
      <c r="B120">
        <v>13103</v>
      </c>
      <c r="C120">
        <v>301</v>
      </c>
      <c r="D120">
        <v>815</v>
      </c>
      <c r="E120">
        <v>28.8</v>
      </c>
      <c r="F120">
        <v>5</v>
      </c>
      <c r="G120">
        <v>50</v>
      </c>
    </row>
    <row r="121" spans="1:7" x14ac:dyDescent="0.25">
      <c r="A121" t="s">
        <v>171</v>
      </c>
      <c r="B121" t="s">
        <v>405</v>
      </c>
      <c r="C121" t="s">
        <v>406</v>
      </c>
      <c r="D121" t="s">
        <v>407</v>
      </c>
      <c r="E121" t="s">
        <v>65</v>
      </c>
      <c r="F121" t="s">
        <v>408</v>
      </c>
      <c r="G121" t="s">
        <v>409</v>
      </c>
    </row>
    <row r="122" spans="1:7" x14ac:dyDescent="0.25">
      <c r="A122">
        <v>1</v>
      </c>
      <c r="B122">
        <v>921</v>
      </c>
      <c r="C122">
        <v>19</v>
      </c>
      <c r="D122">
        <v>54</v>
      </c>
      <c r="E122">
        <v>0</v>
      </c>
      <c r="F122">
        <v>5</v>
      </c>
      <c r="G122">
        <v>50</v>
      </c>
    </row>
    <row r="123" spans="1:7" x14ac:dyDescent="0.25">
      <c r="A123">
        <v>20</v>
      </c>
      <c r="B123">
        <v>2366</v>
      </c>
      <c r="C123">
        <v>48</v>
      </c>
      <c r="D123">
        <v>140</v>
      </c>
      <c r="E123">
        <v>0</v>
      </c>
      <c r="F123">
        <v>5</v>
      </c>
      <c r="G123">
        <v>50</v>
      </c>
    </row>
    <row r="124" spans="1:7" x14ac:dyDescent="0.25">
      <c r="A124" t="s">
        <v>410</v>
      </c>
      <c r="B124">
        <v>3054</v>
      </c>
      <c r="C124">
        <v>62</v>
      </c>
      <c r="D124">
        <v>180</v>
      </c>
      <c r="E124">
        <v>0</v>
      </c>
      <c r="F124">
        <v>5</v>
      </c>
      <c r="G124">
        <v>50</v>
      </c>
    </row>
    <row r="125" spans="1:7" x14ac:dyDescent="0.25">
      <c r="A125">
        <v>40</v>
      </c>
      <c r="B125">
        <v>4574</v>
      </c>
      <c r="C125">
        <v>93</v>
      </c>
      <c r="D125">
        <v>270</v>
      </c>
      <c r="E125">
        <v>0</v>
      </c>
      <c r="F125">
        <v>5</v>
      </c>
      <c r="G125">
        <v>50</v>
      </c>
    </row>
    <row r="126" spans="1:7" x14ac:dyDescent="0.25">
      <c r="A126" t="s">
        <v>411</v>
      </c>
      <c r="B126">
        <v>5063</v>
      </c>
      <c r="C126">
        <v>103</v>
      </c>
      <c r="D126">
        <v>299</v>
      </c>
      <c r="E126">
        <v>6</v>
      </c>
      <c r="F126">
        <v>5</v>
      </c>
      <c r="G126">
        <v>50</v>
      </c>
    </row>
    <row r="127" spans="1:7" x14ac:dyDescent="0.25">
      <c r="A127">
        <v>50</v>
      </c>
      <c r="B127">
        <v>5824</v>
      </c>
      <c r="C127">
        <v>118</v>
      </c>
      <c r="D127">
        <v>344</v>
      </c>
      <c r="E127">
        <v>6</v>
      </c>
      <c r="F127">
        <v>5</v>
      </c>
      <c r="G127">
        <v>50</v>
      </c>
    </row>
    <row r="128" spans="1:7" x14ac:dyDescent="0.25">
      <c r="A128" t="s">
        <v>412</v>
      </c>
      <c r="B128">
        <v>6475</v>
      </c>
      <c r="C128">
        <v>131</v>
      </c>
      <c r="D128">
        <v>382</v>
      </c>
      <c r="E128">
        <v>12</v>
      </c>
      <c r="F128">
        <v>5</v>
      </c>
      <c r="G128">
        <v>50</v>
      </c>
    </row>
    <row r="129" spans="1:7" x14ac:dyDescent="0.25">
      <c r="A129">
        <v>60</v>
      </c>
      <c r="B129">
        <v>7236</v>
      </c>
      <c r="C129">
        <v>147</v>
      </c>
      <c r="D129">
        <v>427</v>
      </c>
      <c r="E129">
        <v>12</v>
      </c>
      <c r="F129">
        <v>5</v>
      </c>
      <c r="G129">
        <v>50</v>
      </c>
    </row>
    <row r="130" spans="1:7" x14ac:dyDescent="0.25">
      <c r="A130" t="s">
        <v>413</v>
      </c>
      <c r="B130">
        <v>7725</v>
      </c>
      <c r="C130">
        <v>157</v>
      </c>
      <c r="D130">
        <v>456</v>
      </c>
      <c r="E130">
        <v>12</v>
      </c>
      <c r="F130">
        <v>5</v>
      </c>
      <c r="G130">
        <v>50</v>
      </c>
    </row>
    <row r="131" spans="1:7" x14ac:dyDescent="0.25">
      <c r="A131">
        <v>70</v>
      </c>
      <c r="B131">
        <v>8485</v>
      </c>
      <c r="C131">
        <v>172</v>
      </c>
      <c r="D131">
        <v>501</v>
      </c>
      <c r="E131">
        <v>12</v>
      </c>
      <c r="F131">
        <v>5</v>
      </c>
      <c r="G131">
        <v>50</v>
      </c>
    </row>
    <row r="132" spans="1:7" x14ac:dyDescent="0.25">
      <c r="A132" t="s">
        <v>414</v>
      </c>
      <c r="B132">
        <v>8974</v>
      </c>
      <c r="C132">
        <v>182</v>
      </c>
      <c r="D132">
        <v>530</v>
      </c>
      <c r="E132">
        <v>18</v>
      </c>
      <c r="F132">
        <v>5</v>
      </c>
      <c r="G132">
        <v>50</v>
      </c>
    </row>
    <row r="133" spans="1:7" x14ac:dyDescent="0.25">
      <c r="A133">
        <v>80</v>
      </c>
      <c r="B133">
        <v>9734</v>
      </c>
      <c r="C133">
        <v>198</v>
      </c>
      <c r="D133">
        <v>575</v>
      </c>
      <c r="E133">
        <v>18</v>
      </c>
      <c r="F133">
        <v>5</v>
      </c>
      <c r="G133">
        <v>50</v>
      </c>
    </row>
    <row r="134" spans="1:7" x14ac:dyDescent="0.25">
      <c r="A134" t="s">
        <v>415</v>
      </c>
      <c r="B134">
        <v>10223</v>
      </c>
      <c r="C134">
        <v>208</v>
      </c>
      <c r="D134">
        <v>603</v>
      </c>
      <c r="E134">
        <v>24</v>
      </c>
      <c r="F134">
        <v>5</v>
      </c>
      <c r="G134">
        <v>50</v>
      </c>
    </row>
    <row r="135" spans="1:7" x14ac:dyDescent="0.25">
      <c r="A135">
        <v>90</v>
      </c>
      <c r="B135">
        <v>10984</v>
      </c>
      <c r="C135">
        <v>223</v>
      </c>
      <c r="D135">
        <v>648</v>
      </c>
      <c r="E135">
        <v>24</v>
      </c>
      <c r="F135">
        <v>5</v>
      </c>
      <c r="G135">
        <v>50</v>
      </c>
    </row>
    <row r="136" spans="1:7" x14ac:dyDescent="0.25">
      <c r="A136" t="s">
        <v>173</v>
      </c>
      <c r="B136" t="s">
        <v>405</v>
      </c>
      <c r="C136" t="s">
        <v>406</v>
      </c>
      <c r="D136" t="s">
        <v>407</v>
      </c>
      <c r="E136" t="s">
        <v>408</v>
      </c>
      <c r="F136" t="s">
        <v>409</v>
      </c>
      <c r="G136" t="s">
        <v>409</v>
      </c>
    </row>
    <row r="137" spans="1:7" x14ac:dyDescent="0.25">
      <c r="A137">
        <v>1</v>
      </c>
      <c r="B137">
        <v>1011</v>
      </c>
      <c r="C137">
        <v>26</v>
      </c>
      <c r="D137">
        <v>61</v>
      </c>
      <c r="E137">
        <v>5</v>
      </c>
      <c r="F137">
        <v>50</v>
      </c>
      <c r="G137">
        <v>50</v>
      </c>
    </row>
    <row r="138" spans="1:7" x14ac:dyDescent="0.25">
      <c r="A138">
        <v>20</v>
      </c>
      <c r="B138">
        <v>2621</v>
      </c>
      <c r="C138">
        <v>68</v>
      </c>
      <c r="D138">
        <v>158</v>
      </c>
      <c r="E138">
        <v>5</v>
      </c>
      <c r="F138">
        <v>50</v>
      </c>
      <c r="G138">
        <v>50</v>
      </c>
    </row>
    <row r="139" spans="1:7" x14ac:dyDescent="0.25">
      <c r="A139" t="s">
        <v>410</v>
      </c>
      <c r="B139">
        <v>3488</v>
      </c>
      <c r="C139">
        <v>90</v>
      </c>
      <c r="D139">
        <v>211</v>
      </c>
      <c r="E139">
        <v>5</v>
      </c>
      <c r="F139">
        <v>50</v>
      </c>
      <c r="G139">
        <v>50</v>
      </c>
    </row>
    <row r="140" spans="1:7" x14ac:dyDescent="0.25">
      <c r="A140">
        <v>40</v>
      </c>
      <c r="B140">
        <v>5219</v>
      </c>
      <c r="C140">
        <v>135</v>
      </c>
      <c r="D140">
        <v>315</v>
      </c>
      <c r="E140">
        <v>5</v>
      </c>
      <c r="F140">
        <v>50</v>
      </c>
      <c r="G140">
        <v>50</v>
      </c>
    </row>
    <row r="141" spans="1:7" x14ac:dyDescent="0.25">
      <c r="A141" t="s">
        <v>411</v>
      </c>
      <c r="B141">
        <v>5834</v>
      </c>
      <c r="C141">
        <v>151</v>
      </c>
      <c r="D141">
        <v>352</v>
      </c>
      <c r="E141">
        <v>9.8000000000000007</v>
      </c>
      <c r="F141">
        <v>50</v>
      </c>
      <c r="G141">
        <v>50</v>
      </c>
    </row>
    <row r="142" spans="1:7" x14ac:dyDescent="0.25">
      <c r="A142">
        <v>50</v>
      </c>
      <c r="B142">
        <v>6712</v>
      </c>
      <c r="C142">
        <v>173</v>
      </c>
      <c r="D142">
        <v>405</v>
      </c>
      <c r="E142">
        <v>9.8000000000000007</v>
      </c>
      <c r="F142">
        <v>50</v>
      </c>
      <c r="G142">
        <v>50</v>
      </c>
    </row>
    <row r="143" spans="1:7" x14ac:dyDescent="0.25">
      <c r="A143" t="s">
        <v>412</v>
      </c>
      <c r="B143">
        <v>7533</v>
      </c>
      <c r="C143">
        <v>194</v>
      </c>
      <c r="D143">
        <v>455</v>
      </c>
      <c r="E143">
        <v>14.6</v>
      </c>
      <c r="F143">
        <v>50</v>
      </c>
      <c r="G143">
        <v>50</v>
      </c>
    </row>
    <row r="144" spans="1:7" x14ac:dyDescent="0.25">
      <c r="A144">
        <v>60</v>
      </c>
      <c r="B144">
        <v>8421</v>
      </c>
      <c r="C144">
        <v>217</v>
      </c>
      <c r="D144">
        <v>509</v>
      </c>
      <c r="E144">
        <v>14.6</v>
      </c>
      <c r="F144">
        <v>50</v>
      </c>
      <c r="G144">
        <v>50</v>
      </c>
    </row>
    <row r="145" spans="1:7" x14ac:dyDescent="0.25">
      <c r="A145" t="s">
        <v>413</v>
      </c>
      <c r="B145">
        <v>9036</v>
      </c>
      <c r="C145">
        <v>233</v>
      </c>
      <c r="D145">
        <v>546</v>
      </c>
      <c r="E145">
        <v>14.6</v>
      </c>
      <c r="F145">
        <v>50</v>
      </c>
      <c r="G145">
        <v>50</v>
      </c>
    </row>
    <row r="146" spans="1:7" x14ac:dyDescent="0.25">
      <c r="A146">
        <v>70</v>
      </c>
      <c r="B146">
        <v>9932</v>
      </c>
      <c r="C146">
        <v>256</v>
      </c>
      <c r="D146">
        <v>600</v>
      </c>
      <c r="E146">
        <v>14.6</v>
      </c>
      <c r="F146">
        <v>50</v>
      </c>
      <c r="G146">
        <v>50</v>
      </c>
    </row>
    <row r="147" spans="1:7" x14ac:dyDescent="0.25">
      <c r="A147" t="s">
        <v>414</v>
      </c>
      <c r="B147">
        <v>10547</v>
      </c>
      <c r="C147">
        <v>272</v>
      </c>
      <c r="D147">
        <v>637</v>
      </c>
      <c r="E147">
        <v>19.399999999999999</v>
      </c>
      <c r="F147">
        <v>50</v>
      </c>
      <c r="G147">
        <v>50</v>
      </c>
    </row>
    <row r="148" spans="1:7" x14ac:dyDescent="0.25">
      <c r="A148">
        <v>80</v>
      </c>
      <c r="B148">
        <v>11453</v>
      </c>
      <c r="C148">
        <v>295</v>
      </c>
      <c r="D148">
        <v>692</v>
      </c>
      <c r="E148">
        <v>19.399999999999999</v>
      </c>
      <c r="F148">
        <v>50</v>
      </c>
      <c r="G148">
        <v>50</v>
      </c>
    </row>
    <row r="149" spans="1:7" x14ac:dyDescent="0.25">
      <c r="A149" t="s">
        <v>415</v>
      </c>
      <c r="B149">
        <v>12068</v>
      </c>
      <c r="C149">
        <v>311</v>
      </c>
      <c r="D149">
        <v>729</v>
      </c>
      <c r="E149">
        <v>24.2</v>
      </c>
      <c r="F149">
        <v>50</v>
      </c>
      <c r="G149">
        <v>50</v>
      </c>
    </row>
    <row r="150" spans="1:7" x14ac:dyDescent="0.25">
      <c r="A150">
        <v>90</v>
      </c>
      <c r="B150">
        <v>12981</v>
      </c>
      <c r="C150">
        <v>335</v>
      </c>
      <c r="D150">
        <v>784</v>
      </c>
      <c r="E150">
        <v>24.2</v>
      </c>
      <c r="F150">
        <v>50</v>
      </c>
      <c r="G150">
        <v>50</v>
      </c>
    </row>
    <row r="151" spans="1:7" x14ac:dyDescent="0.25">
      <c r="A151" t="s">
        <v>183</v>
      </c>
      <c r="B151" t="s">
        <v>405</v>
      </c>
      <c r="C151" t="s">
        <v>406</v>
      </c>
      <c r="D151" t="s">
        <v>407</v>
      </c>
      <c r="E151" t="s">
        <v>74</v>
      </c>
      <c r="F151" t="s">
        <v>408</v>
      </c>
      <c r="G151" t="s">
        <v>409</v>
      </c>
    </row>
    <row r="152" spans="1:7" x14ac:dyDescent="0.25">
      <c r="A152">
        <v>1</v>
      </c>
      <c r="B152">
        <v>802</v>
      </c>
      <c r="C152">
        <v>18</v>
      </c>
      <c r="D152">
        <v>50</v>
      </c>
      <c r="E152">
        <v>0</v>
      </c>
      <c r="F152">
        <v>5</v>
      </c>
      <c r="G152">
        <v>50</v>
      </c>
    </row>
    <row r="153" spans="1:7" x14ac:dyDescent="0.25">
      <c r="A153">
        <v>20</v>
      </c>
      <c r="B153">
        <v>2061</v>
      </c>
      <c r="C153">
        <v>46</v>
      </c>
      <c r="D153">
        <v>129</v>
      </c>
      <c r="E153">
        <v>0</v>
      </c>
      <c r="F153">
        <v>5</v>
      </c>
      <c r="G153">
        <v>50</v>
      </c>
    </row>
    <row r="154" spans="1:7" x14ac:dyDescent="0.25">
      <c r="A154" t="s">
        <v>410</v>
      </c>
      <c r="B154">
        <v>2661</v>
      </c>
      <c r="C154">
        <v>59</v>
      </c>
      <c r="D154">
        <v>167</v>
      </c>
      <c r="E154">
        <v>0</v>
      </c>
      <c r="F154">
        <v>5</v>
      </c>
      <c r="G154">
        <v>50</v>
      </c>
    </row>
    <row r="155" spans="1:7" x14ac:dyDescent="0.25">
      <c r="A155">
        <v>40</v>
      </c>
      <c r="B155">
        <v>3985</v>
      </c>
      <c r="C155">
        <v>88</v>
      </c>
      <c r="D155">
        <v>250</v>
      </c>
      <c r="E155">
        <v>0</v>
      </c>
      <c r="F155">
        <v>5</v>
      </c>
      <c r="G155">
        <v>50</v>
      </c>
    </row>
    <row r="156" spans="1:7" x14ac:dyDescent="0.25">
      <c r="A156" t="s">
        <v>411</v>
      </c>
      <c r="B156">
        <v>4411</v>
      </c>
      <c r="C156">
        <v>98</v>
      </c>
      <c r="D156">
        <v>277</v>
      </c>
      <c r="E156">
        <v>6</v>
      </c>
      <c r="F156">
        <v>5</v>
      </c>
      <c r="G156">
        <v>50</v>
      </c>
    </row>
    <row r="157" spans="1:7" x14ac:dyDescent="0.25">
      <c r="A157">
        <v>50</v>
      </c>
      <c r="B157">
        <v>5074</v>
      </c>
      <c r="C157">
        <v>113</v>
      </c>
      <c r="D157">
        <v>318</v>
      </c>
      <c r="E157">
        <v>6</v>
      </c>
      <c r="F157">
        <v>5</v>
      </c>
      <c r="G157">
        <v>50</v>
      </c>
    </row>
    <row r="158" spans="1:7" x14ac:dyDescent="0.25">
      <c r="A158" t="s">
        <v>412</v>
      </c>
      <c r="B158">
        <v>5642</v>
      </c>
      <c r="C158">
        <v>125</v>
      </c>
      <c r="D158">
        <v>354</v>
      </c>
      <c r="E158">
        <v>12</v>
      </c>
      <c r="F158">
        <v>5</v>
      </c>
      <c r="G158">
        <v>50</v>
      </c>
    </row>
    <row r="159" spans="1:7" x14ac:dyDescent="0.25">
      <c r="A159">
        <v>60</v>
      </c>
      <c r="B159">
        <v>6305</v>
      </c>
      <c r="C159">
        <v>140</v>
      </c>
      <c r="D159">
        <v>396</v>
      </c>
      <c r="E159">
        <v>12</v>
      </c>
      <c r="F159">
        <v>5</v>
      </c>
      <c r="G159">
        <v>50</v>
      </c>
    </row>
    <row r="160" spans="1:7" x14ac:dyDescent="0.25">
      <c r="A160" t="s">
        <v>413</v>
      </c>
      <c r="B160">
        <v>6731</v>
      </c>
      <c r="C160">
        <v>149</v>
      </c>
      <c r="D160">
        <v>422</v>
      </c>
      <c r="E160">
        <v>12</v>
      </c>
      <c r="F160">
        <v>5</v>
      </c>
      <c r="G160">
        <v>50</v>
      </c>
    </row>
    <row r="161" spans="1:7" x14ac:dyDescent="0.25">
      <c r="A161">
        <v>70</v>
      </c>
      <c r="B161">
        <v>7393</v>
      </c>
      <c r="C161">
        <v>164</v>
      </c>
      <c r="D161">
        <v>464</v>
      </c>
      <c r="E161">
        <v>12</v>
      </c>
      <c r="F161">
        <v>5</v>
      </c>
      <c r="G161">
        <v>50</v>
      </c>
    </row>
    <row r="162" spans="1:7" x14ac:dyDescent="0.25">
      <c r="A162" t="s">
        <v>414</v>
      </c>
      <c r="B162">
        <v>7818</v>
      </c>
      <c r="C162">
        <v>174</v>
      </c>
      <c r="D162">
        <v>491</v>
      </c>
      <c r="E162">
        <v>18</v>
      </c>
      <c r="F162">
        <v>5</v>
      </c>
      <c r="G162">
        <v>50</v>
      </c>
    </row>
    <row r="163" spans="1:7" x14ac:dyDescent="0.25">
      <c r="A163">
        <v>80</v>
      </c>
      <c r="B163">
        <v>8481</v>
      </c>
      <c r="C163">
        <v>188</v>
      </c>
      <c r="D163">
        <v>532</v>
      </c>
      <c r="E163">
        <v>18</v>
      </c>
      <c r="F163">
        <v>5</v>
      </c>
      <c r="G163">
        <v>50</v>
      </c>
    </row>
    <row r="164" spans="1:7" x14ac:dyDescent="0.25">
      <c r="A164" t="s">
        <v>415</v>
      </c>
      <c r="B164">
        <v>8907</v>
      </c>
      <c r="C164">
        <v>198</v>
      </c>
      <c r="D164">
        <v>559</v>
      </c>
      <c r="E164">
        <v>24</v>
      </c>
      <c r="F164">
        <v>5</v>
      </c>
      <c r="G164">
        <v>50</v>
      </c>
    </row>
    <row r="165" spans="1:7" x14ac:dyDescent="0.25">
      <c r="A165">
        <v>90</v>
      </c>
      <c r="B165">
        <v>9570</v>
      </c>
      <c r="C165">
        <v>212</v>
      </c>
      <c r="D165">
        <v>601</v>
      </c>
      <c r="E165">
        <v>24</v>
      </c>
      <c r="F165">
        <v>5</v>
      </c>
      <c r="G165">
        <v>50</v>
      </c>
    </row>
    <row r="166" spans="1:7" x14ac:dyDescent="0.25">
      <c r="A166" t="s">
        <v>189</v>
      </c>
      <c r="B166" t="s">
        <v>405</v>
      </c>
      <c r="C166" t="s">
        <v>406</v>
      </c>
      <c r="D166" t="s">
        <v>407</v>
      </c>
      <c r="E166" t="s">
        <v>409</v>
      </c>
      <c r="F166" t="s">
        <v>408</v>
      </c>
    </row>
    <row r="167" spans="1:7" x14ac:dyDescent="0.25">
      <c r="A167">
        <v>1</v>
      </c>
      <c r="B167">
        <v>1030</v>
      </c>
      <c r="C167">
        <v>27</v>
      </c>
      <c r="D167">
        <v>58</v>
      </c>
      <c r="E167">
        <v>50</v>
      </c>
      <c r="F167">
        <v>5</v>
      </c>
    </row>
    <row r="168" spans="1:7" x14ac:dyDescent="0.25">
      <c r="A168">
        <v>20</v>
      </c>
      <c r="B168">
        <v>2671</v>
      </c>
      <c r="C168">
        <v>69</v>
      </c>
      <c r="D168">
        <v>152</v>
      </c>
      <c r="E168">
        <v>50</v>
      </c>
      <c r="F168">
        <v>5</v>
      </c>
    </row>
    <row r="169" spans="1:7" x14ac:dyDescent="0.25">
      <c r="A169" t="s">
        <v>410</v>
      </c>
      <c r="B169">
        <v>3554</v>
      </c>
      <c r="C169">
        <v>92</v>
      </c>
      <c r="D169">
        <v>202</v>
      </c>
      <c r="E169">
        <v>50</v>
      </c>
      <c r="F169">
        <v>5</v>
      </c>
    </row>
    <row r="170" spans="1:7" x14ac:dyDescent="0.25">
      <c r="A170">
        <v>40</v>
      </c>
      <c r="B170">
        <v>5317</v>
      </c>
      <c r="C170">
        <v>138</v>
      </c>
      <c r="D170">
        <v>302</v>
      </c>
      <c r="E170">
        <v>50</v>
      </c>
      <c r="F170">
        <v>5</v>
      </c>
    </row>
    <row r="171" spans="1:7" x14ac:dyDescent="0.25">
      <c r="A171" t="s">
        <v>411</v>
      </c>
      <c r="B171">
        <v>5944</v>
      </c>
      <c r="C171">
        <v>154</v>
      </c>
      <c r="D171">
        <v>334</v>
      </c>
      <c r="E171">
        <v>59.6</v>
      </c>
      <c r="F171">
        <v>5</v>
      </c>
    </row>
    <row r="172" spans="1:7" x14ac:dyDescent="0.25">
      <c r="A172">
        <v>50</v>
      </c>
      <c r="B172">
        <v>6839</v>
      </c>
      <c r="C172">
        <v>177</v>
      </c>
      <c r="D172">
        <v>388</v>
      </c>
      <c r="E172">
        <v>59.6</v>
      </c>
      <c r="F172">
        <v>5</v>
      </c>
    </row>
    <row r="173" spans="1:7" x14ac:dyDescent="0.25">
      <c r="A173" t="s">
        <v>412</v>
      </c>
      <c r="B173">
        <v>7675</v>
      </c>
      <c r="C173">
        <v>198</v>
      </c>
      <c r="D173">
        <v>436</v>
      </c>
      <c r="E173">
        <v>69.2</v>
      </c>
      <c r="F173">
        <v>5</v>
      </c>
    </row>
    <row r="174" spans="1:7" x14ac:dyDescent="0.25">
      <c r="A174">
        <v>60</v>
      </c>
      <c r="B174">
        <v>8579</v>
      </c>
      <c r="C174">
        <v>222</v>
      </c>
      <c r="D174">
        <v>487</v>
      </c>
      <c r="E174">
        <v>69.2</v>
      </c>
      <c r="F174">
        <v>5</v>
      </c>
    </row>
    <row r="175" spans="1:7" x14ac:dyDescent="0.25">
      <c r="A175" t="s">
        <v>413</v>
      </c>
      <c r="B175">
        <v>9207</v>
      </c>
      <c r="C175">
        <v>238</v>
      </c>
      <c r="D175">
        <v>523</v>
      </c>
      <c r="E175">
        <v>69.2</v>
      </c>
      <c r="F175">
        <v>5</v>
      </c>
    </row>
    <row r="176" spans="1:7" x14ac:dyDescent="0.25">
      <c r="A176">
        <v>70</v>
      </c>
      <c r="B176">
        <v>10119</v>
      </c>
      <c r="C176">
        <v>262</v>
      </c>
      <c r="D176">
        <v>574</v>
      </c>
      <c r="E176">
        <v>69.2</v>
      </c>
      <c r="F176">
        <v>5</v>
      </c>
    </row>
    <row r="177" spans="1:7" x14ac:dyDescent="0.25">
      <c r="A177" t="s">
        <v>414</v>
      </c>
      <c r="B177">
        <v>10746</v>
      </c>
      <c r="C177">
        <v>278</v>
      </c>
      <c r="D177">
        <v>610</v>
      </c>
      <c r="E177">
        <v>78.8</v>
      </c>
      <c r="F177">
        <v>5</v>
      </c>
    </row>
    <row r="178" spans="1:7" x14ac:dyDescent="0.25">
      <c r="A178">
        <v>80</v>
      </c>
      <c r="B178">
        <v>11669</v>
      </c>
      <c r="C178">
        <v>302</v>
      </c>
      <c r="D178">
        <v>662</v>
      </c>
      <c r="E178">
        <v>78.8</v>
      </c>
      <c r="F178">
        <v>5</v>
      </c>
    </row>
    <row r="179" spans="1:7" x14ac:dyDescent="0.25">
      <c r="A179" t="s">
        <v>415</v>
      </c>
      <c r="B179">
        <v>12296</v>
      </c>
      <c r="C179">
        <v>318</v>
      </c>
      <c r="D179">
        <v>698</v>
      </c>
      <c r="E179">
        <v>88.4</v>
      </c>
      <c r="F179">
        <v>5</v>
      </c>
    </row>
    <row r="180" spans="1:7" x14ac:dyDescent="0.25">
      <c r="A180">
        <v>90</v>
      </c>
      <c r="B180">
        <v>13226</v>
      </c>
      <c r="C180">
        <v>342</v>
      </c>
      <c r="D180">
        <v>751</v>
      </c>
      <c r="E180">
        <v>88.4</v>
      </c>
      <c r="F180">
        <v>5</v>
      </c>
    </row>
    <row r="181" spans="1:7" x14ac:dyDescent="0.25">
      <c r="A181" t="s">
        <v>204</v>
      </c>
      <c r="B181" t="s">
        <v>405</v>
      </c>
      <c r="C181" t="s">
        <v>406</v>
      </c>
      <c r="D181" t="s">
        <v>407</v>
      </c>
      <c r="E181" t="s">
        <v>65</v>
      </c>
      <c r="F181" t="s">
        <v>408</v>
      </c>
      <c r="G181" t="s">
        <v>409</v>
      </c>
    </row>
    <row r="182" spans="1:7" x14ac:dyDescent="0.25">
      <c r="A182">
        <v>1</v>
      </c>
      <c r="B182">
        <v>770</v>
      </c>
      <c r="C182">
        <v>20</v>
      </c>
      <c r="D182">
        <v>50</v>
      </c>
      <c r="E182">
        <v>0</v>
      </c>
      <c r="F182">
        <v>5</v>
      </c>
      <c r="G182">
        <v>50</v>
      </c>
    </row>
    <row r="183" spans="1:7" x14ac:dyDescent="0.25">
      <c r="A183">
        <v>20</v>
      </c>
      <c r="B183">
        <v>1979</v>
      </c>
      <c r="C183">
        <v>53</v>
      </c>
      <c r="D183">
        <v>128</v>
      </c>
      <c r="E183">
        <v>0</v>
      </c>
      <c r="F183">
        <v>5</v>
      </c>
      <c r="G183">
        <v>50</v>
      </c>
    </row>
    <row r="184" spans="1:7" x14ac:dyDescent="0.25">
      <c r="A184" t="s">
        <v>410</v>
      </c>
      <c r="B184">
        <v>2555</v>
      </c>
      <c r="C184">
        <v>68</v>
      </c>
      <c r="D184">
        <v>165</v>
      </c>
      <c r="E184">
        <v>0</v>
      </c>
      <c r="F184">
        <v>5</v>
      </c>
      <c r="G184">
        <v>50</v>
      </c>
    </row>
    <row r="185" spans="1:7" x14ac:dyDescent="0.25">
      <c r="A185">
        <v>40</v>
      </c>
      <c r="B185">
        <v>3827</v>
      </c>
      <c r="C185">
        <v>102</v>
      </c>
      <c r="D185">
        <v>247</v>
      </c>
      <c r="E185">
        <v>0</v>
      </c>
      <c r="F185">
        <v>5</v>
      </c>
      <c r="G185">
        <v>50</v>
      </c>
    </row>
    <row r="186" spans="1:7" x14ac:dyDescent="0.25">
      <c r="A186" t="s">
        <v>411</v>
      </c>
      <c r="B186">
        <v>4236</v>
      </c>
      <c r="C186">
        <v>113</v>
      </c>
      <c r="D186">
        <v>274</v>
      </c>
      <c r="E186">
        <v>6</v>
      </c>
      <c r="F186">
        <v>5</v>
      </c>
      <c r="G186">
        <v>50</v>
      </c>
    </row>
    <row r="187" spans="1:7" x14ac:dyDescent="0.25">
      <c r="A187">
        <v>50</v>
      </c>
      <c r="B187">
        <v>4872</v>
      </c>
      <c r="C187">
        <v>130</v>
      </c>
      <c r="D187">
        <v>315</v>
      </c>
      <c r="E187">
        <v>6</v>
      </c>
      <c r="F187">
        <v>5</v>
      </c>
      <c r="G187">
        <v>50</v>
      </c>
    </row>
    <row r="188" spans="1:7" x14ac:dyDescent="0.25">
      <c r="A188" t="s">
        <v>412</v>
      </c>
      <c r="B188">
        <v>5418</v>
      </c>
      <c r="C188">
        <v>144</v>
      </c>
      <c r="D188">
        <v>350</v>
      </c>
      <c r="E188">
        <v>12</v>
      </c>
      <c r="F188">
        <v>5</v>
      </c>
      <c r="G188">
        <v>50</v>
      </c>
    </row>
    <row r="189" spans="1:7" x14ac:dyDescent="0.25">
      <c r="A189">
        <v>60</v>
      </c>
      <c r="B189">
        <v>6054</v>
      </c>
      <c r="C189">
        <v>161</v>
      </c>
      <c r="D189">
        <v>391</v>
      </c>
      <c r="E189">
        <v>12</v>
      </c>
      <c r="F189">
        <v>5</v>
      </c>
      <c r="G189">
        <v>50</v>
      </c>
    </row>
    <row r="190" spans="1:7" x14ac:dyDescent="0.25">
      <c r="A190" t="s">
        <v>413</v>
      </c>
      <c r="B190">
        <v>6463</v>
      </c>
      <c r="C190">
        <v>172</v>
      </c>
      <c r="D190">
        <v>418</v>
      </c>
      <c r="E190">
        <v>12</v>
      </c>
      <c r="F190">
        <v>5</v>
      </c>
      <c r="G190">
        <v>50</v>
      </c>
    </row>
    <row r="191" spans="1:7" x14ac:dyDescent="0.25">
      <c r="A191">
        <v>70</v>
      </c>
      <c r="B191">
        <v>7099</v>
      </c>
      <c r="C191">
        <v>189</v>
      </c>
      <c r="D191">
        <v>459</v>
      </c>
      <c r="E191">
        <v>12</v>
      </c>
      <c r="F191">
        <v>5</v>
      </c>
      <c r="G191">
        <v>50</v>
      </c>
    </row>
    <row r="192" spans="1:7" x14ac:dyDescent="0.25">
      <c r="A192" t="s">
        <v>414</v>
      </c>
      <c r="B192">
        <v>7508</v>
      </c>
      <c r="C192">
        <v>200</v>
      </c>
      <c r="D192">
        <v>485</v>
      </c>
      <c r="E192">
        <v>18</v>
      </c>
      <c r="F192">
        <v>5</v>
      </c>
      <c r="G192">
        <v>50</v>
      </c>
    </row>
    <row r="193" spans="1:22" x14ac:dyDescent="0.25">
      <c r="A193">
        <v>80</v>
      </c>
      <c r="B193">
        <v>8144</v>
      </c>
      <c r="C193">
        <v>216</v>
      </c>
      <c r="D193">
        <v>526</v>
      </c>
      <c r="E193">
        <v>18</v>
      </c>
      <c r="F193">
        <v>5</v>
      </c>
      <c r="G193">
        <v>50</v>
      </c>
    </row>
    <row r="194" spans="1:22" x14ac:dyDescent="0.25">
      <c r="A194" t="s">
        <v>415</v>
      </c>
      <c r="B194">
        <v>8553</v>
      </c>
      <c r="C194">
        <v>227</v>
      </c>
      <c r="D194">
        <v>553</v>
      </c>
      <c r="E194">
        <v>24</v>
      </c>
      <c r="F194">
        <v>5</v>
      </c>
      <c r="G194">
        <v>50</v>
      </c>
    </row>
    <row r="195" spans="1:22" x14ac:dyDescent="0.25">
      <c r="A195">
        <v>90</v>
      </c>
      <c r="B195">
        <v>9189</v>
      </c>
      <c r="C195">
        <v>244</v>
      </c>
      <c r="D195">
        <v>594</v>
      </c>
      <c r="E195">
        <v>24</v>
      </c>
      <c r="F195">
        <v>5</v>
      </c>
      <c r="G195">
        <v>50</v>
      </c>
    </row>
    <row r="196" spans="1:22" x14ac:dyDescent="0.25">
      <c r="A196" t="s">
        <v>213</v>
      </c>
      <c r="B196" t="s">
        <v>405</v>
      </c>
      <c r="C196" t="s">
        <v>406</v>
      </c>
      <c r="D196" t="s">
        <v>407</v>
      </c>
      <c r="E196" t="s">
        <v>409</v>
      </c>
      <c r="F196" t="s">
        <v>408</v>
      </c>
      <c r="G196" t="s">
        <v>409</v>
      </c>
    </row>
    <row r="197" spans="1:22" x14ac:dyDescent="0.25">
      <c r="A197">
        <v>1</v>
      </c>
      <c r="B197">
        <v>763</v>
      </c>
      <c r="C197">
        <v>26</v>
      </c>
      <c r="D197">
        <v>49</v>
      </c>
      <c r="E197">
        <v>50</v>
      </c>
      <c r="F197">
        <v>5</v>
      </c>
      <c r="G197">
        <v>50</v>
      </c>
    </row>
    <row r="198" spans="1:22" x14ac:dyDescent="0.25">
      <c r="A198">
        <v>20</v>
      </c>
      <c r="B198">
        <v>1978</v>
      </c>
      <c r="C198">
        <v>68</v>
      </c>
      <c r="D198">
        <v>127</v>
      </c>
      <c r="E198">
        <v>50</v>
      </c>
      <c r="F198">
        <v>5</v>
      </c>
      <c r="G198">
        <v>50</v>
      </c>
    </row>
    <row r="199" spans="1:22" x14ac:dyDescent="0.25">
      <c r="A199" t="s">
        <v>410</v>
      </c>
      <c r="B199">
        <v>2632</v>
      </c>
      <c r="C199">
        <v>90</v>
      </c>
      <c r="D199">
        <v>169</v>
      </c>
      <c r="E199">
        <v>50</v>
      </c>
      <c r="F199">
        <v>5</v>
      </c>
      <c r="G199">
        <v>50</v>
      </c>
    </row>
    <row r="200" spans="1:22" x14ac:dyDescent="0.25">
      <c r="A200">
        <v>40</v>
      </c>
      <c r="B200">
        <v>3939</v>
      </c>
      <c r="C200">
        <v>135</v>
      </c>
      <c r="D200">
        <v>253</v>
      </c>
      <c r="E200">
        <v>50</v>
      </c>
      <c r="F200">
        <v>5</v>
      </c>
      <c r="G200">
        <v>50</v>
      </c>
    </row>
    <row r="201" spans="1:22" x14ac:dyDescent="0.25">
      <c r="A201" t="s">
        <v>411</v>
      </c>
      <c r="B201">
        <v>4403</v>
      </c>
      <c r="C201">
        <v>151</v>
      </c>
      <c r="D201">
        <v>283</v>
      </c>
      <c r="E201">
        <v>59.6</v>
      </c>
      <c r="F201">
        <v>5</v>
      </c>
      <c r="G201">
        <v>50</v>
      </c>
      <c r="P201" s="30"/>
    </row>
    <row r="202" spans="1:22" x14ac:dyDescent="0.25">
      <c r="A202">
        <v>50</v>
      </c>
      <c r="B202">
        <v>5066</v>
      </c>
      <c r="C202">
        <v>173</v>
      </c>
      <c r="D202">
        <v>326</v>
      </c>
      <c r="E202">
        <v>59.6</v>
      </c>
      <c r="F202">
        <v>5</v>
      </c>
      <c r="G202">
        <v>50</v>
      </c>
      <c r="P202" s="30"/>
      <c r="Q202" s="30"/>
      <c r="R202" s="30"/>
      <c r="S202" s="30"/>
      <c r="T202" s="30"/>
      <c r="U202" s="30"/>
      <c r="V202" s="30"/>
    </row>
    <row r="203" spans="1:22" x14ac:dyDescent="0.25">
      <c r="A203" t="s">
        <v>412</v>
      </c>
      <c r="B203">
        <v>5686</v>
      </c>
      <c r="C203">
        <v>194</v>
      </c>
      <c r="D203">
        <v>366</v>
      </c>
      <c r="E203">
        <v>69.2</v>
      </c>
      <c r="F203">
        <v>5</v>
      </c>
      <c r="G203">
        <v>50</v>
      </c>
      <c r="P203" s="30"/>
      <c r="Q203" s="30"/>
      <c r="R203" s="30"/>
      <c r="S203" s="30"/>
      <c r="T203" s="30"/>
      <c r="U203" s="30"/>
      <c r="V203" s="30"/>
    </row>
    <row r="204" spans="1:22" x14ac:dyDescent="0.25">
      <c r="A204">
        <v>60</v>
      </c>
      <c r="B204">
        <v>6355</v>
      </c>
      <c r="C204">
        <v>217</v>
      </c>
      <c r="D204">
        <v>409</v>
      </c>
      <c r="E204">
        <v>69.2</v>
      </c>
      <c r="F204">
        <v>5</v>
      </c>
      <c r="G204">
        <v>50</v>
      </c>
      <c r="P204" s="30"/>
      <c r="Q204" s="30"/>
      <c r="R204" s="30"/>
      <c r="S204" s="30"/>
      <c r="T204" s="30"/>
      <c r="U204" s="30"/>
      <c r="V204" s="30"/>
    </row>
    <row r="205" spans="1:22" x14ac:dyDescent="0.25">
      <c r="A205" t="s">
        <v>413</v>
      </c>
      <c r="B205">
        <v>6820</v>
      </c>
      <c r="C205">
        <v>233</v>
      </c>
      <c r="D205">
        <v>439</v>
      </c>
      <c r="E205">
        <v>69.2</v>
      </c>
      <c r="F205">
        <v>5</v>
      </c>
      <c r="G205">
        <v>50</v>
      </c>
      <c r="P205" s="30"/>
      <c r="Q205" s="30"/>
      <c r="R205" s="30"/>
      <c r="S205" s="30"/>
      <c r="T205" s="30"/>
      <c r="U205" s="30"/>
      <c r="V205" s="30"/>
    </row>
    <row r="206" spans="1:22" x14ac:dyDescent="0.25">
      <c r="A206">
        <v>70</v>
      </c>
      <c r="B206">
        <v>7495</v>
      </c>
      <c r="C206">
        <v>256</v>
      </c>
      <c r="D206">
        <v>482</v>
      </c>
      <c r="E206">
        <v>69.2</v>
      </c>
      <c r="F206">
        <v>5</v>
      </c>
      <c r="G206">
        <v>50</v>
      </c>
      <c r="P206" s="30"/>
      <c r="Q206" s="30"/>
      <c r="R206" s="30"/>
      <c r="S206" s="30"/>
      <c r="T206" s="30"/>
      <c r="U206" s="30"/>
      <c r="V206" s="30"/>
    </row>
    <row r="207" spans="1:22" x14ac:dyDescent="0.25">
      <c r="A207" t="s">
        <v>414</v>
      </c>
      <c r="B207">
        <v>7960</v>
      </c>
      <c r="C207">
        <v>272</v>
      </c>
      <c r="D207">
        <v>512</v>
      </c>
      <c r="E207">
        <v>78.8</v>
      </c>
      <c r="F207">
        <v>5</v>
      </c>
      <c r="G207">
        <v>50</v>
      </c>
      <c r="P207" s="30"/>
      <c r="Q207" s="30"/>
      <c r="R207" s="30"/>
      <c r="S207" s="30"/>
      <c r="T207" s="30"/>
      <c r="U207" s="30"/>
      <c r="V207" s="30"/>
    </row>
    <row r="208" spans="1:22" x14ac:dyDescent="0.25">
      <c r="A208">
        <v>80</v>
      </c>
      <c r="B208">
        <v>8643</v>
      </c>
      <c r="C208">
        <v>295</v>
      </c>
      <c r="D208">
        <v>556</v>
      </c>
      <c r="E208">
        <v>78.8</v>
      </c>
      <c r="F208">
        <v>5</v>
      </c>
      <c r="G208">
        <v>50</v>
      </c>
    </row>
    <row r="209" spans="1:22" x14ac:dyDescent="0.25">
      <c r="A209" t="s">
        <v>415</v>
      </c>
      <c r="B209">
        <v>9108</v>
      </c>
      <c r="C209">
        <v>311</v>
      </c>
      <c r="D209">
        <v>586</v>
      </c>
      <c r="E209">
        <v>88.4</v>
      </c>
      <c r="F209">
        <v>5</v>
      </c>
      <c r="G209">
        <v>50</v>
      </c>
      <c r="P209" s="30"/>
    </row>
    <row r="210" spans="1:22" x14ac:dyDescent="0.25">
      <c r="A210">
        <v>90</v>
      </c>
      <c r="B210">
        <v>9797</v>
      </c>
      <c r="C210">
        <v>335</v>
      </c>
      <c r="D210">
        <v>630</v>
      </c>
      <c r="E210">
        <v>88.4</v>
      </c>
      <c r="F210">
        <v>5</v>
      </c>
      <c r="G210">
        <v>50</v>
      </c>
      <c r="P210" s="30"/>
      <c r="Q210" s="30"/>
      <c r="R210" s="30"/>
      <c r="S210" s="30"/>
      <c r="T210" s="30"/>
      <c r="U210" s="30"/>
      <c r="V210" s="30"/>
    </row>
    <row r="211" spans="1:22" x14ac:dyDescent="0.25">
      <c r="A211" t="s">
        <v>807</v>
      </c>
      <c r="B211" t="s">
        <v>405</v>
      </c>
      <c r="C211" t="s">
        <v>406</v>
      </c>
      <c r="D211" t="s">
        <v>407</v>
      </c>
      <c r="E211" t="s">
        <v>72</v>
      </c>
      <c r="F211" t="s">
        <v>408</v>
      </c>
      <c r="G211" t="s">
        <v>409</v>
      </c>
      <c r="P211" s="30"/>
      <c r="Q211" s="30"/>
      <c r="R211" s="30"/>
      <c r="S211" s="30"/>
      <c r="T211" s="30"/>
      <c r="U211" s="30"/>
      <c r="V211" s="30"/>
    </row>
    <row r="212" spans="1:22" x14ac:dyDescent="0.25">
      <c r="A212">
        <v>1</v>
      </c>
      <c r="B212">
        <v>802</v>
      </c>
      <c r="C212">
        <v>15</v>
      </c>
      <c r="D212">
        <v>54</v>
      </c>
      <c r="E212">
        <v>0</v>
      </c>
      <c r="F212">
        <v>5</v>
      </c>
      <c r="G212">
        <v>50</v>
      </c>
      <c r="P212" s="30"/>
      <c r="Q212" s="30"/>
      <c r="R212" s="30"/>
      <c r="S212" s="30"/>
      <c r="T212" s="30"/>
      <c r="U212" s="30"/>
      <c r="V212" s="30"/>
    </row>
    <row r="213" spans="1:22" x14ac:dyDescent="0.25">
      <c r="A213">
        <v>20</v>
      </c>
      <c r="B213" s="30">
        <v>2061</v>
      </c>
      <c r="C213" s="30">
        <v>39</v>
      </c>
      <c r="D213" s="30">
        <v>140</v>
      </c>
      <c r="E213" s="30">
        <v>0</v>
      </c>
      <c r="F213" s="30">
        <v>5</v>
      </c>
      <c r="G213" s="30">
        <v>50</v>
      </c>
      <c r="P213" s="30"/>
      <c r="Q213" s="30"/>
      <c r="R213" s="30"/>
      <c r="S213" s="30"/>
      <c r="T213" s="30"/>
      <c r="U213" s="30"/>
      <c r="V213" s="30"/>
    </row>
    <row r="214" spans="1:22" x14ac:dyDescent="0.25">
      <c r="A214" t="s">
        <v>410</v>
      </c>
      <c r="B214">
        <v>2661</v>
      </c>
      <c r="C214">
        <v>51</v>
      </c>
      <c r="D214">
        <v>180</v>
      </c>
      <c r="E214">
        <v>0</v>
      </c>
      <c r="F214">
        <v>5</v>
      </c>
      <c r="G214">
        <v>50</v>
      </c>
      <c r="P214" s="30"/>
      <c r="Q214" s="30"/>
      <c r="R214" s="30"/>
      <c r="S214" s="30"/>
      <c r="T214" s="30"/>
      <c r="U214" s="30"/>
      <c r="V214" s="30"/>
    </row>
    <row r="215" spans="1:22" x14ac:dyDescent="0.25">
      <c r="A215">
        <v>40</v>
      </c>
      <c r="B215" s="30">
        <v>3985</v>
      </c>
      <c r="C215" s="30">
        <v>76</v>
      </c>
      <c r="D215" s="30">
        <v>270</v>
      </c>
      <c r="E215" s="30">
        <v>0</v>
      </c>
      <c r="F215" s="30">
        <v>5</v>
      </c>
      <c r="G215" s="30">
        <v>50</v>
      </c>
      <c r="P215" s="30"/>
      <c r="Q215" s="30"/>
      <c r="R215" s="30"/>
      <c r="S215" s="30"/>
      <c r="T215" s="30"/>
      <c r="U215" s="30"/>
      <c r="V215" s="30"/>
    </row>
    <row r="216" spans="1:22" x14ac:dyDescent="0.25">
      <c r="A216" t="s">
        <v>411</v>
      </c>
      <c r="B216">
        <v>4411</v>
      </c>
      <c r="C216">
        <v>84</v>
      </c>
      <c r="D216">
        <v>299</v>
      </c>
      <c r="E216">
        <v>6</v>
      </c>
      <c r="F216">
        <v>5</v>
      </c>
      <c r="G216">
        <v>50</v>
      </c>
      <c r="P216" s="30"/>
      <c r="Q216" s="30"/>
      <c r="R216" s="30"/>
      <c r="S216" s="30"/>
      <c r="T216" s="30"/>
      <c r="U216" s="30"/>
      <c r="V216" s="30"/>
    </row>
    <row r="217" spans="1:22" x14ac:dyDescent="0.25">
      <c r="A217">
        <v>50</v>
      </c>
      <c r="B217" s="30">
        <v>5074</v>
      </c>
      <c r="C217" s="30">
        <v>97</v>
      </c>
      <c r="D217" s="30">
        <v>344</v>
      </c>
      <c r="E217" s="30">
        <v>6</v>
      </c>
      <c r="F217" s="30">
        <v>5</v>
      </c>
      <c r="G217" s="30">
        <v>50</v>
      </c>
      <c r="P217" s="30"/>
      <c r="Q217" s="30"/>
      <c r="R217" s="30"/>
      <c r="S217" s="30"/>
      <c r="T217" s="30"/>
      <c r="U217" s="30"/>
      <c r="V217" s="30"/>
    </row>
    <row r="218" spans="1:22" x14ac:dyDescent="0.25">
      <c r="A218" t="s">
        <v>412</v>
      </c>
      <c r="B218">
        <v>5642</v>
      </c>
      <c r="C218">
        <v>108</v>
      </c>
      <c r="D218">
        <v>382</v>
      </c>
      <c r="E218">
        <v>12</v>
      </c>
      <c r="F218">
        <v>5</v>
      </c>
      <c r="G218">
        <v>50</v>
      </c>
    </row>
    <row r="219" spans="1:22" x14ac:dyDescent="0.25">
      <c r="A219">
        <v>60</v>
      </c>
      <c r="B219" s="30">
        <v>6305</v>
      </c>
      <c r="C219" s="30">
        <v>120</v>
      </c>
      <c r="D219" s="30">
        <v>427</v>
      </c>
      <c r="E219" s="30">
        <v>12</v>
      </c>
      <c r="F219" s="30">
        <v>5</v>
      </c>
      <c r="G219" s="30">
        <v>50</v>
      </c>
      <c r="P219" s="30"/>
    </row>
    <row r="220" spans="1:22" x14ac:dyDescent="0.25">
      <c r="A220" t="s">
        <v>413</v>
      </c>
      <c r="B220">
        <v>6731</v>
      </c>
      <c r="C220">
        <v>128</v>
      </c>
      <c r="D220">
        <v>456</v>
      </c>
      <c r="E220">
        <v>12</v>
      </c>
      <c r="F220">
        <v>5</v>
      </c>
      <c r="G220">
        <v>50</v>
      </c>
      <c r="P220" s="30"/>
      <c r="Q220" s="30"/>
      <c r="R220" s="30"/>
      <c r="S220" s="30"/>
      <c r="T220" s="30"/>
      <c r="U220" s="30"/>
      <c r="V220" s="30"/>
    </row>
    <row r="221" spans="1:22" x14ac:dyDescent="0.25">
      <c r="A221">
        <v>70</v>
      </c>
      <c r="B221" s="30">
        <v>7393</v>
      </c>
      <c r="C221" s="30">
        <v>141</v>
      </c>
      <c r="D221" s="30">
        <v>501</v>
      </c>
      <c r="E221" s="30">
        <v>12</v>
      </c>
      <c r="F221" s="30">
        <v>5</v>
      </c>
      <c r="G221" s="30">
        <v>50</v>
      </c>
      <c r="P221" s="30"/>
      <c r="Q221" s="30"/>
      <c r="R221" s="30"/>
      <c r="S221" s="30"/>
      <c r="T221" s="30"/>
      <c r="U221" s="30"/>
      <c r="V221" s="30"/>
    </row>
    <row r="222" spans="1:22" x14ac:dyDescent="0.25">
      <c r="A222" t="s">
        <v>414</v>
      </c>
      <c r="B222">
        <v>7818</v>
      </c>
      <c r="C222">
        <v>149</v>
      </c>
      <c r="D222">
        <v>530</v>
      </c>
      <c r="E222">
        <v>18</v>
      </c>
      <c r="F222">
        <v>5</v>
      </c>
      <c r="G222">
        <v>50</v>
      </c>
      <c r="P222" s="30"/>
      <c r="Q222" s="30"/>
      <c r="R222" s="30"/>
      <c r="S222" s="30"/>
      <c r="T222" s="30"/>
      <c r="U222" s="30"/>
      <c r="V222" s="30"/>
    </row>
    <row r="223" spans="1:22" x14ac:dyDescent="0.25">
      <c r="A223">
        <v>80</v>
      </c>
      <c r="B223" s="30">
        <v>8481</v>
      </c>
      <c r="C223" s="30">
        <v>162</v>
      </c>
      <c r="D223" s="30">
        <v>575</v>
      </c>
      <c r="E223" s="30">
        <v>18</v>
      </c>
      <c r="F223" s="30">
        <v>5</v>
      </c>
      <c r="G223" s="30">
        <v>50</v>
      </c>
      <c r="P223" s="30"/>
      <c r="Q223" s="30"/>
      <c r="R223" s="30"/>
      <c r="S223" s="30"/>
      <c r="T223" s="30"/>
      <c r="U223" s="30"/>
      <c r="V223" s="30"/>
    </row>
    <row r="224" spans="1:22" x14ac:dyDescent="0.25">
      <c r="A224" t="s">
        <v>415</v>
      </c>
      <c r="B224">
        <v>8907</v>
      </c>
      <c r="C224">
        <v>170</v>
      </c>
      <c r="D224">
        <v>603</v>
      </c>
      <c r="E224">
        <v>24</v>
      </c>
      <c r="F224">
        <v>5</v>
      </c>
      <c r="G224">
        <v>50</v>
      </c>
      <c r="P224" s="30"/>
      <c r="Q224" s="30"/>
      <c r="R224" s="30"/>
      <c r="S224" s="30"/>
      <c r="T224" s="30"/>
      <c r="U224" s="30"/>
      <c r="V224" s="30"/>
    </row>
    <row r="225" spans="1:22" x14ac:dyDescent="0.25">
      <c r="A225">
        <v>90</v>
      </c>
      <c r="B225">
        <v>9570</v>
      </c>
      <c r="C225">
        <v>183</v>
      </c>
      <c r="D225">
        <v>648</v>
      </c>
      <c r="E225">
        <v>24</v>
      </c>
      <c r="F225">
        <v>5</v>
      </c>
      <c r="G225">
        <v>50</v>
      </c>
      <c r="P225" s="30"/>
      <c r="Q225" s="30"/>
      <c r="R225" s="30"/>
      <c r="S225" s="30"/>
      <c r="T225" s="30"/>
      <c r="U225" s="30"/>
      <c r="V225" s="30"/>
    </row>
    <row r="226" spans="1:22" x14ac:dyDescent="0.25">
      <c r="A226" t="s">
        <v>748</v>
      </c>
      <c r="B226" t="s">
        <v>405</v>
      </c>
      <c r="C226" t="s">
        <v>406</v>
      </c>
      <c r="D226" t="s">
        <v>407</v>
      </c>
      <c r="E226" t="s">
        <v>409</v>
      </c>
      <c r="F226" t="s">
        <v>408</v>
      </c>
      <c r="G226" t="s">
        <v>409</v>
      </c>
      <c r="P226" s="30"/>
      <c r="Q226" s="30"/>
      <c r="R226" s="30"/>
      <c r="S226" s="30"/>
      <c r="T226" s="30"/>
      <c r="U226" s="30"/>
      <c r="V226" s="30"/>
    </row>
    <row r="227" spans="1:22" x14ac:dyDescent="0.25">
      <c r="A227">
        <v>1</v>
      </c>
      <c r="B227">
        <v>1211</v>
      </c>
      <c r="C227">
        <v>8</v>
      </c>
      <c r="D227">
        <v>68</v>
      </c>
      <c r="E227">
        <v>50</v>
      </c>
      <c r="F227">
        <v>5</v>
      </c>
      <c r="G227">
        <v>50</v>
      </c>
      <c r="P227" s="30"/>
      <c r="Q227" s="30"/>
      <c r="R227" s="30"/>
      <c r="S227" s="30"/>
      <c r="T227" s="30"/>
      <c r="U227" s="30"/>
      <c r="V227" s="30"/>
    </row>
    <row r="228" spans="1:22" x14ac:dyDescent="0.25">
      <c r="A228">
        <v>20</v>
      </c>
      <c r="B228">
        <v>3141</v>
      </c>
      <c r="C228">
        <v>21</v>
      </c>
      <c r="D228">
        <v>177</v>
      </c>
      <c r="E228">
        <v>50</v>
      </c>
      <c r="F228">
        <v>5</v>
      </c>
      <c r="G228">
        <v>50</v>
      </c>
      <c r="P228" s="30"/>
      <c r="Q228" s="30"/>
      <c r="R228" s="30"/>
      <c r="S228" s="30"/>
      <c r="T228" s="30"/>
      <c r="U228" s="30"/>
      <c r="V228" s="30"/>
    </row>
    <row r="229" spans="1:22" x14ac:dyDescent="0.25">
      <c r="A229" t="s">
        <v>410</v>
      </c>
      <c r="B229">
        <v>4179</v>
      </c>
      <c r="C229">
        <v>29</v>
      </c>
      <c r="D229">
        <v>235</v>
      </c>
      <c r="E229">
        <v>50</v>
      </c>
      <c r="F229">
        <v>5</v>
      </c>
      <c r="G229">
        <v>50</v>
      </c>
      <c r="P229" s="30"/>
      <c r="Q229" s="30"/>
      <c r="R229" s="30"/>
      <c r="S229" s="30"/>
      <c r="T229" s="30"/>
      <c r="U229" s="30"/>
      <c r="V229" s="30"/>
    </row>
    <row r="230" spans="1:22" x14ac:dyDescent="0.25">
      <c r="A230">
        <v>40</v>
      </c>
      <c r="B230">
        <v>6253</v>
      </c>
      <c r="C230">
        <v>43</v>
      </c>
      <c r="D230">
        <v>352</v>
      </c>
      <c r="E230">
        <v>50</v>
      </c>
      <c r="F230">
        <v>5</v>
      </c>
      <c r="G230">
        <v>50</v>
      </c>
      <c r="P230" s="30"/>
      <c r="Q230" s="30"/>
      <c r="R230" s="30"/>
      <c r="S230" s="30"/>
      <c r="T230" s="30"/>
      <c r="U230" s="30"/>
      <c r="V230" s="30"/>
    </row>
    <row r="231" spans="1:22" x14ac:dyDescent="0.25">
      <c r="A231" t="s">
        <v>411</v>
      </c>
      <c r="B231">
        <v>6990</v>
      </c>
      <c r="C231">
        <v>48</v>
      </c>
      <c r="D231">
        <v>394</v>
      </c>
      <c r="E231">
        <v>59.6</v>
      </c>
      <c r="F231">
        <v>5</v>
      </c>
      <c r="G231">
        <v>50</v>
      </c>
      <c r="P231" s="30"/>
      <c r="Q231" s="30"/>
      <c r="R231" s="30"/>
      <c r="S231" s="30"/>
      <c r="T231" s="30"/>
      <c r="U231" s="30"/>
      <c r="V231" s="30"/>
    </row>
    <row r="232" spans="1:22" x14ac:dyDescent="0.25">
      <c r="A232">
        <v>50</v>
      </c>
      <c r="B232">
        <v>8042</v>
      </c>
      <c r="C232">
        <v>55</v>
      </c>
      <c r="D232">
        <v>453</v>
      </c>
      <c r="E232">
        <v>59.6</v>
      </c>
      <c r="F232">
        <v>5</v>
      </c>
      <c r="G232">
        <v>50</v>
      </c>
      <c r="P232" s="30"/>
      <c r="Q232" s="30"/>
      <c r="R232" s="30"/>
      <c r="S232" s="30"/>
      <c r="T232" s="30"/>
      <c r="U232" s="30"/>
      <c r="V232" s="30"/>
    </row>
    <row r="233" spans="1:22" x14ac:dyDescent="0.25">
      <c r="A233" t="s">
        <v>412</v>
      </c>
      <c r="B233">
        <v>9026</v>
      </c>
      <c r="C233">
        <v>62</v>
      </c>
      <c r="D233">
        <v>508</v>
      </c>
      <c r="E233">
        <v>69.2</v>
      </c>
      <c r="F233">
        <v>5</v>
      </c>
      <c r="G233">
        <v>50</v>
      </c>
    </row>
    <row r="234" spans="1:22" x14ac:dyDescent="0.25">
      <c r="A234">
        <v>60</v>
      </c>
      <c r="B234">
        <v>10089</v>
      </c>
      <c r="C234">
        <v>69</v>
      </c>
      <c r="D234">
        <v>568</v>
      </c>
      <c r="E234">
        <v>69.2</v>
      </c>
      <c r="F234">
        <v>5</v>
      </c>
      <c r="G234">
        <v>50</v>
      </c>
      <c r="P234" s="30"/>
    </row>
    <row r="235" spans="1:22" x14ac:dyDescent="0.25">
      <c r="A235" t="s">
        <v>413</v>
      </c>
      <c r="B235">
        <v>10826</v>
      </c>
      <c r="C235">
        <v>74</v>
      </c>
      <c r="D235">
        <v>610</v>
      </c>
      <c r="E235">
        <v>69.2</v>
      </c>
      <c r="F235">
        <v>5</v>
      </c>
      <c r="G235">
        <v>50</v>
      </c>
      <c r="P235" s="30"/>
      <c r="Q235" s="30"/>
      <c r="R235" s="30"/>
      <c r="S235" s="30"/>
      <c r="T235" s="30"/>
      <c r="U235" s="30"/>
      <c r="V235" s="30"/>
    </row>
    <row r="236" spans="1:22" x14ac:dyDescent="0.25">
      <c r="A236">
        <v>70</v>
      </c>
      <c r="B236">
        <v>11899</v>
      </c>
      <c r="C236">
        <v>81</v>
      </c>
      <c r="D236">
        <v>670</v>
      </c>
      <c r="E236">
        <v>69.2</v>
      </c>
      <c r="F236">
        <v>5</v>
      </c>
      <c r="G236">
        <v>50</v>
      </c>
      <c r="P236" s="30"/>
      <c r="Q236" s="30"/>
      <c r="R236" s="30"/>
      <c r="S236" s="30"/>
      <c r="T236" s="30"/>
      <c r="U236" s="30"/>
      <c r="V236" s="30"/>
    </row>
    <row r="237" spans="1:22" x14ac:dyDescent="0.25">
      <c r="A237" t="s">
        <v>414</v>
      </c>
      <c r="B237">
        <v>12637</v>
      </c>
      <c r="C237">
        <v>86</v>
      </c>
      <c r="D237">
        <v>712</v>
      </c>
      <c r="E237">
        <v>78.8</v>
      </c>
      <c r="F237">
        <v>5</v>
      </c>
      <c r="G237">
        <v>50</v>
      </c>
      <c r="P237" s="30"/>
      <c r="Q237" s="30"/>
      <c r="R237" s="30"/>
      <c r="S237" s="30"/>
      <c r="T237" s="30"/>
      <c r="U237" s="30"/>
      <c r="V237" s="30"/>
    </row>
    <row r="238" spans="1:22" x14ac:dyDescent="0.25">
      <c r="A238">
        <v>80</v>
      </c>
      <c r="B238">
        <v>13721</v>
      </c>
      <c r="C238">
        <v>94</v>
      </c>
      <c r="D238">
        <v>773</v>
      </c>
      <c r="E238">
        <v>78.8</v>
      </c>
      <c r="F238">
        <v>5</v>
      </c>
      <c r="G238">
        <v>50</v>
      </c>
      <c r="P238" s="30"/>
      <c r="Q238" s="30"/>
      <c r="R238" s="30"/>
      <c r="S238" s="30"/>
      <c r="T238" s="30"/>
      <c r="U238" s="30"/>
      <c r="V238" s="30"/>
    </row>
    <row r="239" spans="1:22" x14ac:dyDescent="0.25">
      <c r="A239" t="s">
        <v>415</v>
      </c>
      <c r="B239">
        <v>14459</v>
      </c>
      <c r="C239">
        <v>99</v>
      </c>
      <c r="D239">
        <v>815</v>
      </c>
      <c r="E239">
        <v>88.4</v>
      </c>
      <c r="F239">
        <v>5</v>
      </c>
      <c r="G239">
        <v>50</v>
      </c>
      <c r="P239" s="30"/>
      <c r="Q239" s="30"/>
      <c r="R239" s="30"/>
      <c r="S239" s="30"/>
      <c r="T239" s="30"/>
      <c r="U239" s="30"/>
      <c r="V239" s="30"/>
    </row>
    <row r="240" spans="1:22" x14ac:dyDescent="0.25">
      <c r="A240">
        <v>90</v>
      </c>
      <c r="B240">
        <v>15552</v>
      </c>
      <c r="C240">
        <v>106</v>
      </c>
      <c r="D240">
        <v>876</v>
      </c>
      <c r="E240">
        <v>88.4</v>
      </c>
      <c r="F240">
        <v>5</v>
      </c>
      <c r="G240">
        <v>50</v>
      </c>
      <c r="P240" s="30"/>
      <c r="Q240" s="30"/>
      <c r="R240" s="30"/>
      <c r="S240" s="30"/>
      <c r="T240" s="30"/>
      <c r="U240" s="30"/>
      <c r="V240" s="30"/>
    </row>
    <row r="241" spans="1:22" x14ac:dyDescent="0.25">
      <c r="A241" t="s">
        <v>429</v>
      </c>
      <c r="B241" t="s">
        <v>405</v>
      </c>
      <c r="C241" t="s">
        <v>406</v>
      </c>
      <c r="D241" t="s">
        <v>407</v>
      </c>
      <c r="E241" t="s">
        <v>408</v>
      </c>
      <c r="F241" t="s">
        <v>409</v>
      </c>
      <c r="P241" s="30"/>
      <c r="Q241" s="30"/>
      <c r="R241" s="30"/>
      <c r="S241" s="30"/>
      <c r="T241" s="30"/>
      <c r="U241" s="30"/>
      <c r="V241" s="30"/>
    </row>
    <row r="242" spans="1:22" x14ac:dyDescent="0.25">
      <c r="A242">
        <v>1</v>
      </c>
      <c r="B242">
        <v>1067</v>
      </c>
      <c r="C242">
        <v>15</v>
      </c>
      <c r="D242">
        <v>72</v>
      </c>
      <c r="E242">
        <v>5</v>
      </c>
      <c r="F242">
        <v>50</v>
      </c>
      <c r="P242" s="30"/>
      <c r="Q242" s="30"/>
      <c r="R242" s="30"/>
      <c r="S242" s="30"/>
      <c r="T242" s="30"/>
      <c r="U242" s="30"/>
      <c r="V242" s="30"/>
    </row>
    <row r="243" spans="1:22" x14ac:dyDescent="0.25">
      <c r="A243">
        <v>20</v>
      </c>
      <c r="B243">
        <v>2767</v>
      </c>
      <c r="C243">
        <v>39</v>
      </c>
      <c r="D243">
        <v>188</v>
      </c>
      <c r="E243">
        <v>5</v>
      </c>
      <c r="F243">
        <v>50</v>
      </c>
    </row>
    <row r="244" spans="1:22" x14ac:dyDescent="0.25">
      <c r="A244" t="s">
        <v>410</v>
      </c>
      <c r="B244">
        <v>3682</v>
      </c>
      <c r="C244">
        <v>51</v>
      </c>
      <c r="D244">
        <v>250</v>
      </c>
      <c r="E244">
        <v>5</v>
      </c>
      <c r="F244">
        <v>50</v>
      </c>
      <c r="P244" s="30"/>
    </row>
    <row r="245" spans="1:22" x14ac:dyDescent="0.25">
      <c r="A245">
        <v>40</v>
      </c>
      <c r="B245">
        <v>5509</v>
      </c>
      <c r="C245">
        <v>77</v>
      </c>
      <c r="D245">
        <v>374</v>
      </c>
      <c r="E245">
        <v>5</v>
      </c>
      <c r="F245">
        <v>50</v>
      </c>
      <c r="P245" s="30"/>
      <c r="Q245" s="30"/>
      <c r="R245" s="30"/>
      <c r="S245" s="30"/>
      <c r="T245" s="30"/>
      <c r="U245" s="30"/>
      <c r="V245" s="30"/>
    </row>
    <row r="246" spans="1:22" x14ac:dyDescent="0.25">
      <c r="A246" t="s">
        <v>411</v>
      </c>
      <c r="B246">
        <v>6159</v>
      </c>
      <c r="C246">
        <v>86</v>
      </c>
      <c r="D246">
        <v>418</v>
      </c>
      <c r="E246">
        <v>9.8000000000000007</v>
      </c>
      <c r="F246">
        <v>50</v>
      </c>
      <c r="P246" s="30"/>
      <c r="Q246" s="30"/>
      <c r="R246" s="30"/>
      <c r="S246" s="30"/>
      <c r="T246" s="30"/>
      <c r="U246" s="30"/>
      <c r="V246" s="30"/>
    </row>
    <row r="247" spans="1:22" x14ac:dyDescent="0.25">
      <c r="A247">
        <v>50</v>
      </c>
      <c r="B247">
        <v>7086</v>
      </c>
      <c r="C247">
        <v>99</v>
      </c>
      <c r="D247">
        <v>481</v>
      </c>
      <c r="E247">
        <v>9.8000000000000007</v>
      </c>
      <c r="F247">
        <v>50</v>
      </c>
      <c r="P247" s="30"/>
      <c r="Q247" s="30"/>
      <c r="R247" s="30"/>
      <c r="S247" s="30"/>
      <c r="T247" s="30"/>
      <c r="U247" s="30"/>
      <c r="V247" s="30"/>
    </row>
    <row r="248" spans="1:22" x14ac:dyDescent="0.25">
      <c r="A248" t="s">
        <v>412</v>
      </c>
      <c r="B248">
        <v>7953</v>
      </c>
      <c r="C248">
        <v>111</v>
      </c>
      <c r="D248">
        <v>540</v>
      </c>
      <c r="E248">
        <v>14.6</v>
      </c>
      <c r="F248">
        <v>50</v>
      </c>
      <c r="P248" s="30"/>
      <c r="Q248" s="30"/>
      <c r="R248" s="30"/>
      <c r="S248" s="30"/>
      <c r="T248" s="30"/>
      <c r="U248" s="30"/>
      <c r="V248" s="30"/>
    </row>
    <row r="249" spans="1:22" x14ac:dyDescent="0.25">
      <c r="A249">
        <v>60</v>
      </c>
      <c r="B249">
        <v>8889</v>
      </c>
      <c r="C249">
        <v>124</v>
      </c>
      <c r="D249">
        <v>603</v>
      </c>
      <c r="E249">
        <v>14.6</v>
      </c>
      <c r="F249">
        <v>50</v>
      </c>
      <c r="P249" s="30"/>
      <c r="Q249" s="30"/>
      <c r="R249" s="30"/>
      <c r="S249" s="30"/>
      <c r="T249" s="30"/>
      <c r="U249" s="30"/>
      <c r="V249" s="30"/>
    </row>
    <row r="250" spans="1:22" x14ac:dyDescent="0.25">
      <c r="A250" t="s">
        <v>413</v>
      </c>
      <c r="B250">
        <v>9539</v>
      </c>
      <c r="C250">
        <v>133</v>
      </c>
      <c r="D250">
        <v>647</v>
      </c>
      <c r="E250">
        <v>14.6</v>
      </c>
      <c r="F250">
        <v>50</v>
      </c>
      <c r="P250" s="30"/>
      <c r="Q250" s="30"/>
      <c r="R250" s="30"/>
      <c r="S250" s="30"/>
      <c r="T250" s="30"/>
      <c r="U250" s="30"/>
      <c r="V250" s="30"/>
    </row>
    <row r="251" spans="1:22" x14ac:dyDescent="0.25">
      <c r="A251">
        <v>70</v>
      </c>
      <c r="B251">
        <v>10484</v>
      </c>
      <c r="C251">
        <v>146</v>
      </c>
      <c r="D251">
        <v>712</v>
      </c>
      <c r="E251">
        <v>14.6</v>
      </c>
      <c r="F251">
        <v>50</v>
      </c>
      <c r="P251" s="30"/>
      <c r="Q251" s="30"/>
      <c r="R251" s="30"/>
      <c r="S251" s="30"/>
      <c r="T251" s="30"/>
      <c r="U251" s="30"/>
      <c r="V251" s="30"/>
    </row>
    <row r="252" spans="1:22" x14ac:dyDescent="0.25">
      <c r="A252" t="s">
        <v>414</v>
      </c>
      <c r="B252">
        <v>11134</v>
      </c>
      <c r="C252">
        <v>155</v>
      </c>
      <c r="D252">
        <v>756</v>
      </c>
      <c r="E252">
        <v>19.399999999999999</v>
      </c>
      <c r="F252">
        <v>50</v>
      </c>
      <c r="P252" s="30"/>
      <c r="Q252" s="30"/>
      <c r="R252" s="30"/>
      <c r="S252" s="30"/>
      <c r="T252" s="30"/>
      <c r="U252" s="30"/>
      <c r="V252" s="30"/>
    </row>
    <row r="253" spans="1:22" x14ac:dyDescent="0.25">
      <c r="A253">
        <v>80</v>
      </c>
      <c r="B253">
        <v>12090</v>
      </c>
      <c r="C253">
        <v>169</v>
      </c>
      <c r="D253">
        <v>820</v>
      </c>
      <c r="E253">
        <v>19.399999999999999</v>
      </c>
      <c r="F253">
        <v>50</v>
      </c>
    </row>
    <row r="254" spans="1:22" x14ac:dyDescent="0.25">
      <c r="A254" t="s">
        <v>415</v>
      </c>
      <c r="B254">
        <v>12740</v>
      </c>
      <c r="C254">
        <v>178</v>
      </c>
      <c r="D254">
        <v>865</v>
      </c>
      <c r="E254">
        <v>24.2</v>
      </c>
      <c r="F254">
        <v>50</v>
      </c>
    </row>
    <row r="255" spans="1:22" x14ac:dyDescent="0.25">
      <c r="A255">
        <v>90</v>
      </c>
      <c r="B255">
        <v>13703</v>
      </c>
      <c r="C255">
        <v>191</v>
      </c>
      <c r="D255">
        <v>930</v>
      </c>
      <c r="E255">
        <v>24.2</v>
      </c>
      <c r="F255">
        <v>50</v>
      </c>
    </row>
    <row r="256" spans="1:22" x14ac:dyDescent="0.25">
      <c r="A256" t="s">
        <v>225</v>
      </c>
      <c r="B256" t="s">
        <v>405</v>
      </c>
      <c r="C256" t="s">
        <v>406</v>
      </c>
      <c r="D256" t="s">
        <v>407</v>
      </c>
      <c r="E256" t="s">
        <v>422</v>
      </c>
      <c r="F256" t="s">
        <v>408</v>
      </c>
      <c r="G256" t="s">
        <v>409</v>
      </c>
    </row>
    <row r="257" spans="1:7" x14ac:dyDescent="0.25">
      <c r="A257">
        <v>1</v>
      </c>
      <c r="B257">
        <v>1144</v>
      </c>
      <c r="C257">
        <v>19</v>
      </c>
      <c r="D257">
        <v>60</v>
      </c>
      <c r="E257">
        <v>0</v>
      </c>
      <c r="F257">
        <v>5</v>
      </c>
      <c r="G257">
        <v>50</v>
      </c>
    </row>
    <row r="258" spans="1:7" x14ac:dyDescent="0.25">
      <c r="A258">
        <v>20</v>
      </c>
      <c r="B258">
        <v>2967</v>
      </c>
      <c r="C258">
        <v>48</v>
      </c>
      <c r="D258">
        <v>155</v>
      </c>
      <c r="E258">
        <v>0</v>
      </c>
      <c r="F258">
        <v>5</v>
      </c>
      <c r="G258">
        <v>50</v>
      </c>
    </row>
    <row r="259" spans="1:7" x14ac:dyDescent="0.25">
      <c r="A259" t="s">
        <v>410</v>
      </c>
      <c r="B259">
        <v>3948</v>
      </c>
      <c r="C259">
        <v>64</v>
      </c>
      <c r="D259">
        <v>206</v>
      </c>
      <c r="E259">
        <v>0</v>
      </c>
      <c r="F259">
        <v>5</v>
      </c>
      <c r="G259">
        <v>50</v>
      </c>
    </row>
    <row r="260" spans="1:7" x14ac:dyDescent="0.25">
      <c r="A260">
        <v>40</v>
      </c>
      <c r="B260">
        <v>5908</v>
      </c>
      <c r="C260">
        <v>96</v>
      </c>
      <c r="D260">
        <v>309</v>
      </c>
      <c r="E260">
        <v>0</v>
      </c>
      <c r="F260">
        <v>5</v>
      </c>
      <c r="G260">
        <v>50</v>
      </c>
    </row>
    <row r="261" spans="1:7" x14ac:dyDescent="0.25">
      <c r="A261" t="s">
        <v>411</v>
      </c>
      <c r="B261">
        <v>6605</v>
      </c>
      <c r="C261">
        <v>108</v>
      </c>
      <c r="D261">
        <v>345</v>
      </c>
      <c r="E261">
        <v>5.5</v>
      </c>
      <c r="F261">
        <v>5</v>
      </c>
      <c r="G261">
        <v>50</v>
      </c>
    </row>
    <row r="262" spans="1:7" x14ac:dyDescent="0.25">
      <c r="A262">
        <v>50</v>
      </c>
      <c r="B262">
        <v>7599</v>
      </c>
      <c r="C262">
        <v>124</v>
      </c>
      <c r="D262">
        <v>397</v>
      </c>
      <c r="E262">
        <v>5.5</v>
      </c>
      <c r="F262">
        <v>5</v>
      </c>
      <c r="G262">
        <v>50</v>
      </c>
    </row>
    <row r="263" spans="1:7" x14ac:dyDescent="0.25">
      <c r="A263" t="s">
        <v>412</v>
      </c>
      <c r="B263">
        <v>8528</v>
      </c>
      <c r="C263">
        <v>139</v>
      </c>
      <c r="D263">
        <v>446</v>
      </c>
      <c r="E263">
        <v>11.1</v>
      </c>
      <c r="F263">
        <v>5</v>
      </c>
      <c r="G263">
        <v>50</v>
      </c>
    </row>
    <row r="264" spans="1:7" x14ac:dyDescent="0.25">
      <c r="A264">
        <v>60</v>
      </c>
      <c r="B264">
        <v>9533</v>
      </c>
      <c r="C264">
        <v>155</v>
      </c>
      <c r="D264">
        <v>499</v>
      </c>
      <c r="E264">
        <v>11.1</v>
      </c>
      <c r="F264">
        <v>5</v>
      </c>
      <c r="G264">
        <v>50</v>
      </c>
    </row>
    <row r="265" spans="1:7" x14ac:dyDescent="0.25">
      <c r="A265" t="s">
        <v>413</v>
      </c>
      <c r="B265">
        <v>10230</v>
      </c>
      <c r="C265">
        <v>166</v>
      </c>
      <c r="D265">
        <v>535</v>
      </c>
      <c r="E265">
        <v>11.1</v>
      </c>
      <c r="F265">
        <v>5</v>
      </c>
      <c r="G265">
        <v>50</v>
      </c>
    </row>
    <row r="266" spans="1:7" x14ac:dyDescent="0.25">
      <c r="A266">
        <v>70</v>
      </c>
      <c r="B266">
        <v>11243</v>
      </c>
      <c r="C266">
        <v>183</v>
      </c>
      <c r="D266">
        <v>588</v>
      </c>
      <c r="E266">
        <v>11.1</v>
      </c>
      <c r="F266">
        <v>5</v>
      </c>
      <c r="G266">
        <v>50</v>
      </c>
    </row>
    <row r="267" spans="1:7" x14ac:dyDescent="0.25">
      <c r="A267" t="s">
        <v>414</v>
      </c>
      <c r="B267">
        <v>11940</v>
      </c>
      <c r="C267">
        <v>194</v>
      </c>
      <c r="D267">
        <v>624</v>
      </c>
      <c r="E267">
        <v>16.600000000000001</v>
      </c>
      <c r="F267">
        <v>5</v>
      </c>
      <c r="G267">
        <v>50</v>
      </c>
    </row>
    <row r="268" spans="1:7" x14ac:dyDescent="0.25">
      <c r="A268">
        <v>80</v>
      </c>
      <c r="B268">
        <v>12965</v>
      </c>
      <c r="C268">
        <v>211</v>
      </c>
      <c r="D268">
        <v>678</v>
      </c>
      <c r="E268">
        <v>16.600000000000001</v>
      </c>
      <c r="F268">
        <v>5</v>
      </c>
      <c r="G268">
        <v>50</v>
      </c>
    </row>
    <row r="269" spans="1:7" x14ac:dyDescent="0.25">
      <c r="A269" t="s">
        <v>415</v>
      </c>
      <c r="B269">
        <v>13662</v>
      </c>
      <c r="C269">
        <v>222</v>
      </c>
      <c r="D269">
        <v>715</v>
      </c>
      <c r="E269">
        <v>22.2</v>
      </c>
      <c r="F269">
        <v>5</v>
      </c>
      <c r="G269">
        <v>50</v>
      </c>
    </row>
    <row r="270" spans="1:7" x14ac:dyDescent="0.25">
      <c r="A270">
        <v>90</v>
      </c>
      <c r="B270">
        <v>14695</v>
      </c>
      <c r="C270">
        <v>239</v>
      </c>
      <c r="D270">
        <v>769</v>
      </c>
      <c r="E270">
        <v>22.2</v>
      </c>
      <c r="F270">
        <v>5</v>
      </c>
      <c r="G270">
        <v>50</v>
      </c>
    </row>
    <row r="271" spans="1:7" x14ac:dyDescent="0.25">
      <c r="A271" t="s">
        <v>227</v>
      </c>
      <c r="B271" t="s">
        <v>405</v>
      </c>
      <c r="C271" t="s">
        <v>406</v>
      </c>
      <c r="D271" t="s">
        <v>407</v>
      </c>
      <c r="E271" t="s">
        <v>68</v>
      </c>
      <c r="F271" t="s">
        <v>408</v>
      </c>
      <c r="G271" t="s">
        <v>409</v>
      </c>
    </row>
    <row r="272" spans="1:7" x14ac:dyDescent="0.25">
      <c r="A272">
        <v>1</v>
      </c>
      <c r="B272">
        <v>976</v>
      </c>
      <c r="C272">
        <v>19</v>
      </c>
      <c r="D272">
        <v>66</v>
      </c>
      <c r="E272">
        <v>0</v>
      </c>
      <c r="F272">
        <v>5</v>
      </c>
      <c r="G272">
        <v>50</v>
      </c>
    </row>
    <row r="273" spans="1:7" x14ac:dyDescent="0.25">
      <c r="A273">
        <v>20</v>
      </c>
      <c r="B273">
        <v>2506</v>
      </c>
      <c r="C273">
        <v>48</v>
      </c>
      <c r="D273">
        <v>171</v>
      </c>
      <c r="E273">
        <v>0</v>
      </c>
      <c r="F273">
        <v>5</v>
      </c>
      <c r="G273">
        <v>50</v>
      </c>
    </row>
    <row r="274" spans="1:7" x14ac:dyDescent="0.25">
      <c r="A274" t="s">
        <v>410</v>
      </c>
      <c r="B274">
        <v>3235</v>
      </c>
      <c r="C274">
        <v>62</v>
      </c>
      <c r="D274">
        <v>220</v>
      </c>
      <c r="E274">
        <v>0</v>
      </c>
      <c r="F274">
        <v>5</v>
      </c>
      <c r="G274">
        <v>50</v>
      </c>
    </row>
    <row r="275" spans="1:7" x14ac:dyDescent="0.25">
      <c r="A275">
        <v>40</v>
      </c>
      <c r="B275">
        <v>4846</v>
      </c>
      <c r="C275">
        <v>93</v>
      </c>
      <c r="D275">
        <v>330</v>
      </c>
      <c r="E275">
        <v>0</v>
      </c>
      <c r="F275">
        <v>5</v>
      </c>
      <c r="G275">
        <v>50</v>
      </c>
    </row>
    <row r="276" spans="1:7" x14ac:dyDescent="0.25">
      <c r="A276" t="s">
        <v>411</v>
      </c>
      <c r="B276">
        <v>5364</v>
      </c>
      <c r="C276">
        <v>103</v>
      </c>
      <c r="D276">
        <v>365</v>
      </c>
      <c r="E276">
        <v>6.7</v>
      </c>
      <c r="F276">
        <v>5</v>
      </c>
      <c r="G276">
        <v>50</v>
      </c>
    </row>
    <row r="277" spans="1:7" x14ac:dyDescent="0.25">
      <c r="A277">
        <v>50</v>
      </c>
      <c r="B277">
        <v>6170</v>
      </c>
      <c r="C277">
        <v>118</v>
      </c>
      <c r="D277">
        <v>420</v>
      </c>
      <c r="E277">
        <v>6.7</v>
      </c>
      <c r="F277">
        <v>5</v>
      </c>
      <c r="G277">
        <v>50</v>
      </c>
    </row>
    <row r="278" spans="1:7" x14ac:dyDescent="0.25">
      <c r="A278" t="s">
        <v>412</v>
      </c>
      <c r="B278">
        <v>6860</v>
      </c>
      <c r="C278">
        <v>131</v>
      </c>
      <c r="D278">
        <v>467</v>
      </c>
      <c r="E278">
        <v>13.3</v>
      </c>
      <c r="F278">
        <v>5</v>
      </c>
      <c r="G278">
        <v>50</v>
      </c>
    </row>
    <row r="279" spans="1:7" x14ac:dyDescent="0.25">
      <c r="A279">
        <v>60</v>
      </c>
      <c r="B279">
        <v>7666</v>
      </c>
      <c r="C279">
        <v>147</v>
      </c>
      <c r="D279">
        <v>522</v>
      </c>
      <c r="E279">
        <v>13.3</v>
      </c>
      <c r="F279">
        <v>5</v>
      </c>
      <c r="G279">
        <v>50</v>
      </c>
    </row>
    <row r="280" spans="1:7" x14ac:dyDescent="0.25">
      <c r="A280" t="s">
        <v>413</v>
      </c>
      <c r="B280">
        <v>8184</v>
      </c>
      <c r="C280">
        <v>157</v>
      </c>
      <c r="D280">
        <v>557</v>
      </c>
      <c r="E280">
        <v>13.3</v>
      </c>
      <c r="F280">
        <v>5</v>
      </c>
      <c r="G280">
        <v>50</v>
      </c>
    </row>
    <row r="281" spans="1:7" x14ac:dyDescent="0.25">
      <c r="A281">
        <v>70</v>
      </c>
      <c r="B281">
        <v>8989</v>
      </c>
      <c r="C281">
        <v>172</v>
      </c>
      <c r="D281">
        <v>612</v>
      </c>
      <c r="E281">
        <v>13.3</v>
      </c>
      <c r="F281">
        <v>5</v>
      </c>
      <c r="G281">
        <v>50</v>
      </c>
    </row>
    <row r="282" spans="1:7" x14ac:dyDescent="0.25">
      <c r="A282" t="s">
        <v>414</v>
      </c>
      <c r="B282">
        <v>9507</v>
      </c>
      <c r="C282">
        <v>182</v>
      </c>
      <c r="D282">
        <v>647</v>
      </c>
      <c r="E282">
        <v>20</v>
      </c>
      <c r="F282">
        <v>5</v>
      </c>
      <c r="G282">
        <v>50</v>
      </c>
    </row>
    <row r="283" spans="1:7" x14ac:dyDescent="0.25">
      <c r="A283">
        <v>80</v>
      </c>
      <c r="B283">
        <v>10312</v>
      </c>
      <c r="C283">
        <v>198</v>
      </c>
      <c r="D283">
        <v>702</v>
      </c>
      <c r="E283">
        <v>20</v>
      </c>
      <c r="F283">
        <v>5</v>
      </c>
      <c r="G283">
        <v>50</v>
      </c>
    </row>
    <row r="284" spans="1:7" x14ac:dyDescent="0.25">
      <c r="A284" t="s">
        <v>415</v>
      </c>
      <c r="B284">
        <v>10830</v>
      </c>
      <c r="C284">
        <v>208</v>
      </c>
      <c r="D284">
        <v>737</v>
      </c>
      <c r="E284">
        <v>26.7</v>
      </c>
      <c r="F284">
        <v>5</v>
      </c>
      <c r="G284">
        <v>50</v>
      </c>
    </row>
    <row r="285" spans="1:7" x14ac:dyDescent="0.25">
      <c r="A285">
        <v>90</v>
      </c>
      <c r="B285">
        <v>11636</v>
      </c>
      <c r="C285">
        <v>223</v>
      </c>
      <c r="D285">
        <v>792</v>
      </c>
      <c r="E285">
        <v>26.7</v>
      </c>
      <c r="F285">
        <v>5</v>
      </c>
      <c r="G285">
        <v>50</v>
      </c>
    </row>
    <row r="286" spans="1:7" x14ac:dyDescent="0.25">
      <c r="A286" t="s">
        <v>236</v>
      </c>
      <c r="B286" t="s">
        <v>405</v>
      </c>
      <c r="C286" t="s">
        <v>406</v>
      </c>
      <c r="D286" t="s">
        <v>407</v>
      </c>
      <c r="E286" t="s">
        <v>409</v>
      </c>
      <c r="F286" t="s">
        <v>408</v>
      </c>
      <c r="G286" t="s">
        <v>409</v>
      </c>
    </row>
    <row r="287" spans="1:7" x14ac:dyDescent="0.25">
      <c r="A287">
        <v>1</v>
      </c>
      <c r="B287">
        <v>1020</v>
      </c>
      <c r="C287">
        <v>25</v>
      </c>
      <c r="D287">
        <v>62</v>
      </c>
      <c r="E287">
        <v>50</v>
      </c>
      <c r="F287">
        <v>5</v>
      </c>
      <c r="G287">
        <v>50</v>
      </c>
    </row>
    <row r="288" spans="1:7" x14ac:dyDescent="0.25">
      <c r="A288">
        <v>20</v>
      </c>
      <c r="B288">
        <v>2646</v>
      </c>
      <c r="C288">
        <v>65</v>
      </c>
      <c r="D288">
        <v>161</v>
      </c>
      <c r="E288">
        <v>50</v>
      </c>
      <c r="F288">
        <v>5</v>
      </c>
      <c r="G288">
        <v>50</v>
      </c>
    </row>
    <row r="289" spans="1:7" x14ac:dyDescent="0.25">
      <c r="A289" t="s">
        <v>410</v>
      </c>
      <c r="B289">
        <v>3521</v>
      </c>
      <c r="C289">
        <v>87</v>
      </c>
      <c r="D289">
        <v>215</v>
      </c>
      <c r="E289">
        <v>50</v>
      </c>
      <c r="F289">
        <v>5</v>
      </c>
      <c r="G289">
        <v>50</v>
      </c>
    </row>
    <row r="290" spans="1:7" x14ac:dyDescent="0.25">
      <c r="A290">
        <v>40</v>
      </c>
      <c r="B290">
        <v>5268</v>
      </c>
      <c r="C290">
        <v>130</v>
      </c>
      <c r="D290">
        <v>321</v>
      </c>
      <c r="E290">
        <v>50</v>
      </c>
      <c r="F290">
        <v>5</v>
      </c>
      <c r="G290">
        <v>50</v>
      </c>
    </row>
    <row r="291" spans="1:7" x14ac:dyDescent="0.25">
      <c r="A291" t="s">
        <v>411</v>
      </c>
      <c r="B291">
        <v>5889</v>
      </c>
      <c r="C291">
        <v>145</v>
      </c>
      <c r="D291">
        <v>359</v>
      </c>
      <c r="E291">
        <v>59.6</v>
      </c>
      <c r="F291">
        <v>5</v>
      </c>
      <c r="G291">
        <v>50</v>
      </c>
    </row>
    <row r="292" spans="1:7" x14ac:dyDescent="0.25">
      <c r="A292">
        <v>50</v>
      </c>
      <c r="B292">
        <v>6776</v>
      </c>
      <c r="C292">
        <v>167</v>
      </c>
      <c r="D292">
        <v>413</v>
      </c>
      <c r="E292">
        <v>59.6</v>
      </c>
      <c r="F292">
        <v>5</v>
      </c>
      <c r="G292">
        <v>50</v>
      </c>
    </row>
    <row r="293" spans="1:7" x14ac:dyDescent="0.25">
      <c r="A293" t="s">
        <v>412</v>
      </c>
      <c r="B293">
        <v>7604</v>
      </c>
      <c r="C293">
        <v>187</v>
      </c>
      <c r="D293">
        <v>464</v>
      </c>
      <c r="E293">
        <v>69.2</v>
      </c>
      <c r="F293">
        <v>5</v>
      </c>
      <c r="G293">
        <v>50</v>
      </c>
    </row>
    <row r="294" spans="1:7" x14ac:dyDescent="0.25">
      <c r="A294">
        <v>60</v>
      </c>
      <c r="B294">
        <v>8500</v>
      </c>
      <c r="C294">
        <v>209</v>
      </c>
      <c r="D294">
        <v>519</v>
      </c>
      <c r="E294">
        <v>69.2</v>
      </c>
      <c r="F294">
        <v>5</v>
      </c>
      <c r="G294">
        <v>50</v>
      </c>
    </row>
    <row r="295" spans="1:7" x14ac:dyDescent="0.25">
      <c r="A295" t="s">
        <v>413</v>
      </c>
      <c r="B295">
        <v>9121</v>
      </c>
      <c r="C295">
        <v>225</v>
      </c>
      <c r="D295">
        <v>556</v>
      </c>
      <c r="E295">
        <v>69.2</v>
      </c>
      <c r="F295">
        <v>5</v>
      </c>
      <c r="G295">
        <v>50</v>
      </c>
    </row>
    <row r="296" spans="1:7" x14ac:dyDescent="0.25">
      <c r="A296">
        <v>70</v>
      </c>
      <c r="B296">
        <v>10025</v>
      </c>
      <c r="C296">
        <v>247</v>
      </c>
      <c r="D296">
        <v>612</v>
      </c>
      <c r="E296">
        <v>69.2</v>
      </c>
      <c r="F296">
        <v>5</v>
      </c>
      <c r="G296">
        <v>50</v>
      </c>
    </row>
    <row r="297" spans="1:7" x14ac:dyDescent="0.25">
      <c r="A297" t="s">
        <v>414</v>
      </c>
      <c r="B297">
        <v>10647</v>
      </c>
      <c r="C297">
        <v>262</v>
      </c>
      <c r="D297">
        <v>649</v>
      </c>
      <c r="E297">
        <v>78.8</v>
      </c>
      <c r="F297">
        <v>5</v>
      </c>
      <c r="G297">
        <v>50</v>
      </c>
    </row>
    <row r="298" spans="1:7" x14ac:dyDescent="0.25">
      <c r="A298">
        <v>80</v>
      </c>
      <c r="B298">
        <v>11561</v>
      </c>
      <c r="C298">
        <v>285</v>
      </c>
      <c r="D298">
        <v>705</v>
      </c>
      <c r="E298">
        <v>78.8</v>
      </c>
      <c r="F298">
        <v>5</v>
      </c>
      <c r="G298">
        <v>50</v>
      </c>
    </row>
    <row r="299" spans="1:7" x14ac:dyDescent="0.25">
      <c r="A299" t="s">
        <v>415</v>
      </c>
      <c r="B299">
        <v>12182</v>
      </c>
      <c r="C299">
        <v>300</v>
      </c>
      <c r="D299">
        <v>743</v>
      </c>
      <c r="E299">
        <v>88.4</v>
      </c>
      <c r="F299">
        <v>5</v>
      </c>
      <c r="G299">
        <v>50</v>
      </c>
    </row>
    <row r="300" spans="1:7" x14ac:dyDescent="0.25">
      <c r="A300">
        <v>90</v>
      </c>
      <c r="B300">
        <v>13103</v>
      </c>
      <c r="C300">
        <v>323</v>
      </c>
      <c r="D300">
        <v>799</v>
      </c>
      <c r="E300">
        <v>88.4</v>
      </c>
      <c r="F300">
        <v>5</v>
      </c>
      <c r="G300">
        <v>50</v>
      </c>
    </row>
    <row r="301" spans="1:7" x14ac:dyDescent="0.25">
      <c r="A301" t="s">
        <v>247</v>
      </c>
      <c r="B301" t="s">
        <v>405</v>
      </c>
      <c r="C301" t="s">
        <v>406</v>
      </c>
      <c r="D301" t="s">
        <v>407</v>
      </c>
      <c r="E301" t="s">
        <v>73</v>
      </c>
      <c r="F301" t="s">
        <v>408</v>
      </c>
      <c r="G301" t="s">
        <v>409</v>
      </c>
    </row>
    <row r="302" spans="1:7" x14ac:dyDescent="0.25">
      <c r="A302">
        <v>1</v>
      </c>
      <c r="B302">
        <v>801</v>
      </c>
      <c r="C302">
        <v>24</v>
      </c>
      <c r="D302">
        <v>48</v>
      </c>
      <c r="E302">
        <v>0</v>
      </c>
      <c r="F302">
        <v>5</v>
      </c>
      <c r="G302">
        <v>50</v>
      </c>
    </row>
    <row r="303" spans="1:7" x14ac:dyDescent="0.25">
      <c r="A303">
        <v>20</v>
      </c>
      <c r="B303">
        <v>2077</v>
      </c>
      <c r="C303">
        <v>63</v>
      </c>
      <c r="D303">
        <v>124</v>
      </c>
      <c r="E303">
        <v>0</v>
      </c>
      <c r="F303">
        <v>5</v>
      </c>
      <c r="G303">
        <v>50</v>
      </c>
    </row>
    <row r="304" spans="1:7" x14ac:dyDescent="0.25">
      <c r="A304" t="s">
        <v>410</v>
      </c>
      <c r="B304">
        <v>2764</v>
      </c>
      <c r="C304">
        <v>84</v>
      </c>
      <c r="D304">
        <v>165</v>
      </c>
      <c r="E304">
        <v>0</v>
      </c>
      <c r="F304">
        <v>5</v>
      </c>
      <c r="G304">
        <v>50</v>
      </c>
    </row>
    <row r="305" spans="1:7" x14ac:dyDescent="0.25">
      <c r="A305">
        <v>40</v>
      </c>
      <c r="B305">
        <v>4136</v>
      </c>
      <c r="C305">
        <v>125</v>
      </c>
      <c r="D305">
        <v>247</v>
      </c>
      <c r="E305">
        <v>0</v>
      </c>
      <c r="F305">
        <v>5</v>
      </c>
      <c r="G305">
        <v>50</v>
      </c>
    </row>
    <row r="306" spans="1:7" x14ac:dyDescent="0.25">
      <c r="A306" t="s">
        <v>411</v>
      </c>
      <c r="B306">
        <v>4623</v>
      </c>
      <c r="C306">
        <v>140</v>
      </c>
      <c r="D306">
        <v>276</v>
      </c>
      <c r="E306">
        <v>7.2</v>
      </c>
      <c r="F306">
        <v>5</v>
      </c>
      <c r="G306">
        <v>50</v>
      </c>
    </row>
    <row r="307" spans="1:7" x14ac:dyDescent="0.25">
      <c r="A307">
        <v>50</v>
      </c>
      <c r="B307">
        <v>5319</v>
      </c>
      <c r="C307">
        <v>161</v>
      </c>
      <c r="D307">
        <v>318</v>
      </c>
      <c r="E307">
        <v>7.2</v>
      </c>
      <c r="F307">
        <v>5</v>
      </c>
      <c r="G307">
        <v>50</v>
      </c>
    </row>
    <row r="308" spans="1:7" x14ac:dyDescent="0.25">
      <c r="A308" t="s">
        <v>412</v>
      </c>
      <c r="B308">
        <v>5970</v>
      </c>
      <c r="C308">
        <v>180</v>
      </c>
      <c r="D308">
        <v>357</v>
      </c>
      <c r="E308">
        <v>14.4</v>
      </c>
      <c r="F308">
        <v>5</v>
      </c>
      <c r="G308">
        <v>50</v>
      </c>
    </row>
    <row r="309" spans="1:7" x14ac:dyDescent="0.25">
      <c r="A309">
        <v>60</v>
      </c>
      <c r="B309">
        <v>6673</v>
      </c>
      <c r="C309">
        <v>202</v>
      </c>
      <c r="D309">
        <v>399</v>
      </c>
      <c r="E309">
        <v>14.4</v>
      </c>
      <c r="F309">
        <v>5</v>
      </c>
      <c r="G309">
        <v>50</v>
      </c>
    </row>
    <row r="310" spans="1:7" x14ac:dyDescent="0.25">
      <c r="A310" t="s">
        <v>413</v>
      </c>
      <c r="B310">
        <v>7161</v>
      </c>
      <c r="C310">
        <v>216</v>
      </c>
      <c r="D310">
        <v>428</v>
      </c>
      <c r="E310">
        <v>14.4</v>
      </c>
      <c r="F310">
        <v>5</v>
      </c>
      <c r="G310">
        <v>50</v>
      </c>
    </row>
    <row r="311" spans="1:7" x14ac:dyDescent="0.25">
      <c r="A311">
        <v>70</v>
      </c>
      <c r="B311">
        <v>7870</v>
      </c>
      <c r="C311">
        <v>238</v>
      </c>
      <c r="D311">
        <v>470</v>
      </c>
      <c r="E311">
        <v>14.4</v>
      </c>
      <c r="F311">
        <v>5</v>
      </c>
      <c r="G311">
        <v>50</v>
      </c>
    </row>
    <row r="312" spans="1:7" x14ac:dyDescent="0.25">
      <c r="A312" t="s">
        <v>414</v>
      </c>
      <c r="B312">
        <v>8358</v>
      </c>
      <c r="C312">
        <v>253</v>
      </c>
      <c r="D312">
        <v>500</v>
      </c>
      <c r="E312">
        <v>21.6</v>
      </c>
      <c r="F312">
        <v>5</v>
      </c>
      <c r="G312">
        <v>50</v>
      </c>
    </row>
    <row r="313" spans="1:7" x14ac:dyDescent="0.25">
      <c r="A313">
        <v>80</v>
      </c>
      <c r="B313">
        <v>9076</v>
      </c>
      <c r="C313">
        <v>274</v>
      </c>
      <c r="D313">
        <v>542</v>
      </c>
      <c r="E313">
        <v>21.6</v>
      </c>
      <c r="F313">
        <v>5</v>
      </c>
      <c r="G313">
        <v>50</v>
      </c>
    </row>
    <row r="314" spans="1:7" x14ac:dyDescent="0.25">
      <c r="A314" t="s">
        <v>415</v>
      </c>
      <c r="B314">
        <v>9563</v>
      </c>
      <c r="C314">
        <v>289</v>
      </c>
      <c r="D314">
        <v>572</v>
      </c>
      <c r="E314">
        <v>28.8</v>
      </c>
      <c r="F314">
        <v>5</v>
      </c>
      <c r="G314">
        <v>50</v>
      </c>
    </row>
    <row r="315" spans="1:7" x14ac:dyDescent="0.25">
      <c r="A315">
        <v>90</v>
      </c>
      <c r="B315">
        <v>10287</v>
      </c>
      <c r="C315">
        <v>311</v>
      </c>
      <c r="D315">
        <v>615</v>
      </c>
      <c r="E315">
        <v>28.8</v>
      </c>
      <c r="F315">
        <v>5</v>
      </c>
      <c r="G315">
        <v>50</v>
      </c>
    </row>
    <row r="316" spans="1:7" x14ac:dyDescent="0.25">
      <c r="A316" t="s">
        <v>254</v>
      </c>
      <c r="B316" t="s">
        <v>405</v>
      </c>
      <c r="C316" t="s">
        <v>406</v>
      </c>
      <c r="D316" t="s">
        <v>407</v>
      </c>
      <c r="E316" t="s">
        <v>75</v>
      </c>
      <c r="F316" t="s">
        <v>408</v>
      </c>
      <c r="G316" t="s">
        <v>409</v>
      </c>
    </row>
    <row r="317" spans="1:7" x14ac:dyDescent="0.25">
      <c r="A317">
        <v>1</v>
      </c>
      <c r="B317">
        <v>910</v>
      </c>
      <c r="C317">
        <v>17</v>
      </c>
      <c r="D317">
        <v>48</v>
      </c>
      <c r="E317">
        <v>0</v>
      </c>
      <c r="F317">
        <v>-95</v>
      </c>
      <c r="G317">
        <v>50</v>
      </c>
    </row>
    <row r="318" spans="1:7" x14ac:dyDescent="0.25">
      <c r="A318">
        <v>20</v>
      </c>
      <c r="B318">
        <v>2362</v>
      </c>
      <c r="C318">
        <v>45</v>
      </c>
      <c r="D318">
        <v>124</v>
      </c>
      <c r="E318">
        <v>0</v>
      </c>
      <c r="F318">
        <v>-95</v>
      </c>
      <c r="G318">
        <v>50</v>
      </c>
    </row>
    <row r="319" spans="1:7" x14ac:dyDescent="0.25">
      <c r="A319" t="s">
        <v>410</v>
      </c>
      <c r="B319">
        <v>3142</v>
      </c>
      <c r="C319">
        <v>60</v>
      </c>
      <c r="D319">
        <v>165</v>
      </c>
      <c r="E319">
        <v>0</v>
      </c>
      <c r="F319">
        <v>-95</v>
      </c>
      <c r="G319">
        <v>50</v>
      </c>
    </row>
    <row r="320" spans="1:7" x14ac:dyDescent="0.25">
      <c r="A320">
        <v>40</v>
      </c>
      <c r="B320">
        <v>4702</v>
      </c>
      <c r="C320">
        <v>89</v>
      </c>
      <c r="D320">
        <v>247</v>
      </c>
      <c r="E320">
        <v>0</v>
      </c>
      <c r="F320">
        <v>-95</v>
      </c>
      <c r="G320">
        <v>50</v>
      </c>
    </row>
    <row r="321" spans="1:7" x14ac:dyDescent="0.25">
      <c r="A321" t="s">
        <v>411</v>
      </c>
      <c r="B321">
        <v>5256</v>
      </c>
      <c r="C321">
        <v>100</v>
      </c>
      <c r="D321">
        <v>276</v>
      </c>
      <c r="E321">
        <v>7.2</v>
      </c>
      <c r="F321">
        <v>-95</v>
      </c>
      <c r="G321">
        <v>50</v>
      </c>
    </row>
    <row r="322" spans="1:7" x14ac:dyDescent="0.25">
      <c r="A322">
        <v>50</v>
      </c>
      <c r="B322">
        <v>6048</v>
      </c>
      <c r="C322">
        <v>115</v>
      </c>
      <c r="D322">
        <v>318</v>
      </c>
      <c r="E322">
        <v>7.2</v>
      </c>
      <c r="F322">
        <v>-95</v>
      </c>
      <c r="G322">
        <v>50</v>
      </c>
    </row>
    <row r="323" spans="1:7" x14ac:dyDescent="0.25">
      <c r="A323" t="s">
        <v>412</v>
      </c>
      <c r="B323">
        <v>6787</v>
      </c>
      <c r="C323">
        <v>129</v>
      </c>
      <c r="D323">
        <v>357</v>
      </c>
      <c r="E323">
        <v>14.4</v>
      </c>
      <c r="F323">
        <v>-95</v>
      </c>
      <c r="G323">
        <v>50</v>
      </c>
    </row>
    <row r="324" spans="1:7" x14ac:dyDescent="0.25">
      <c r="A324">
        <v>60</v>
      </c>
      <c r="B324">
        <v>7586</v>
      </c>
      <c r="C324">
        <v>144</v>
      </c>
      <c r="D324">
        <v>399</v>
      </c>
      <c r="E324">
        <v>14.4</v>
      </c>
      <c r="F324">
        <v>-95</v>
      </c>
      <c r="G324">
        <v>50</v>
      </c>
    </row>
    <row r="325" spans="1:7" x14ac:dyDescent="0.25">
      <c r="A325" t="s">
        <v>413</v>
      </c>
      <c r="B325">
        <v>8141</v>
      </c>
      <c r="C325">
        <v>155</v>
      </c>
      <c r="D325">
        <v>428</v>
      </c>
      <c r="E325">
        <v>14.4</v>
      </c>
      <c r="F325">
        <v>-95</v>
      </c>
      <c r="G325">
        <v>50</v>
      </c>
    </row>
    <row r="326" spans="1:7" x14ac:dyDescent="0.25">
      <c r="A326">
        <v>70</v>
      </c>
      <c r="B326">
        <v>8948</v>
      </c>
      <c r="C326">
        <v>170</v>
      </c>
      <c r="D326">
        <v>470</v>
      </c>
      <c r="E326">
        <v>14.4</v>
      </c>
      <c r="F326">
        <v>-95</v>
      </c>
      <c r="G326">
        <v>50</v>
      </c>
    </row>
    <row r="327" spans="1:7" x14ac:dyDescent="0.25">
      <c r="A327" t="s">
        <v>414</v>
      </c>
      <c r="B327">
        <v>9502</v>
      </c>
      <c r="C327">
        <v>181</v>
      </c>
      <c r="D327">
        <v>500</v>
      </c>
      <c r="E327">
        <v>21.6</v>
      </c>
      <c r="F327">
        <v>-95</v>
      </c>
      <c r="G327">
        <v>50</v>
      </c>
    </row>
    <row r="328" spans="1:7" x14ac:dyDescent="0.25">
      <c r="A328">
        <v>80</v>
      </c>
      <c r="B328">
        <v>10318</v>
      </c>
      <c r="C328">
        <v>196</v>
      </c>
      <c r="D328">
        <v>542</v>
      </c>
      <c r="E328">
        <v>21.6</v>
      </c>
      <c r="F328">
        <v>-95</v>
      </c>
      <c r="G328">
        <v>50</v>
      </c>
    </row>
    <row r="329" spans="1:7" x14ac:dyDescent="0.25">
      <c r="A329" t="s">
        <v>415</v>
      </c>
      <c r="B329">
        <v>10873</v>
      </c>
      <c r="C329">
        <v>207</v>
      </c>
      <c r="D329">
        <v>572</v>
      </c>
      <c r="E329">
        <v>28.8</v>
      </c>
      <c r="F329">
        <v>-95</v>
      </c>
      <c r="G329">
        <v>50</v>
      </c>
    </row>
    <row r="330" spans="1:7" x14ac:dyDescent="0.25">
      <c r="A330">
        <v>90</v>
      </c>
      <c r="B330">
        <v>11695</v>
      </c>
      <c r="C330">
        <v>222</v>
      </c>
      <c r="D330">
        <v>615</v>
      </c>
      <c r="E330">
        <v>28.8</v>
      </c>
      <c r="F330">
        <v>-95</v>
      </c>
      <c r="G330">
        <v>50</v>
      </c>
    </row>
    <row r="331" spans="1:7" x14ac:dyDescent="0.25">
      <c r="A331" t="s">
        <v>255</v>
      </c>
      <c r="B331" t="s">
        <v>405</v>
      </c>
      <c r="C331" t="s">
        <v>406</v>
      </c>
      <c r="D331" t="s">
        <v>407</v>
      </c>
      <c r="E331" t="s">
        <v>69</v>
      </c>
      <c r="F331" t="s">
        <v>408</v>
      </c>
      <c r="G331" t="s">
        <v>409</v>
      </c>
    </row>
    <row r="332" spans="1:7" x14ac:dyDescent="0.25">
      <c r="A332" t="s">
        <v>423</v>
      </c>
      <c r="B332">
        <v>802</v>
      </c>
      <c r="C332">
        <v>19</v>
      </c>
      <c r="D332">
        <v>48</v>
      </c>
      <c r="E332">
        <v>0</v>
      </c>
      <c r="F332">
        <v>5</v>
      </c>
      <c r="G332">
        <v>50</v>
      </c>
    </row>
    <row r="333" spans="1:7" x14ac:dyDescent="0.25">
      <c r="A333">
        <v>20</v>
      </c>
      <c r="B333">
        <v>2061</v>
      </c>
      <c r="C333">
        <v>50</v>
      </c>
      <c r="D333">
        <v>123</v>
      </c>
      <c r="E333">
        <v>0</v>
      </c>
      <c r="F333">
        <v>5</v>
      </c>
      <c r="G333">
        <v>50</v>
      </c>
    </row>
    <row r="334" spans="1:7" x14ac:dyDescent="0.25">
      <c r="A334" t="s">
        <v>410</v>
      </c>
      <c r="B334">
        <v>2661</v>
      </c>
      <c r="C334">
        <v>64</v>
      </c>
      <c r="D334">
        <v>159</v>
      </c>
      <c r="E334">
        <v>0</v>
      </c>
      <c r="F334">
        <v>5</v>
      </c>
      <c r="G334">
        <v>50</v>
      </c>
    </row>
    <row r="335" spans="1:7" x14ac:dyDescent="0.25">
      <c r="A335">
        <v>40</v>
      </c>
      <c r="B335">
        <v>3985</v>
      </c>
      <c r="C335">
        <v>96</v>
      </c>
      <c r="D335">
        <v>239</v>
      </c>
      <c r="E335">
        <v>0</v>
      </c>
      <c r="F335">
        <v>5</v>
      </c>
      <c r="G335">
        <v>50</v>
      </c>
    </row>
    <row r="336" spans="1:7" x14ac:dyDescent="0.25">
      <c r="A336" t="s">
        <v>411</v>
      </c>
      <c r="B336">
        <v>4411</v>
      </c>
      <c r="C336">
        <v>107</v>
      </c>
      <c r="D336">
        <v>264</v>
      </c>
      <c r="E336">
        <v>24</v>
      </c>
      <c r="F336">
        <v>5</v>
      </c>
      <c r="G336">
        <v>50</v>
      </c>
    </row>
    <row r="337" spans="1:7" x14ac:dyDescent="0.25">
      <c r="A337">
        <v>50</v>
      </c>
      <c r="B337">
        <v>5074</v>
      </c>
      <c r="C337">
        <v>123</v>
      </c>
      <c r="D337">
        <v>304</v>
      </c>
      <c r="E337">
        <v>24</v>
      </c>
      <c r="F337">
        <v>5</v>
      </c>
      <c r="G337">
        <v>50</v>
      </c>
    </row>
    <row r="338" spans="1:7" x14ac:dyDescent="0.25">
      <c r="A338" t="s">
        <v>412</v>
      </c>
      <c r="B338">
        <v>5642</v>
      </c>
      <c r="C338">
        <v>136</v>
      </c>
      <c r="D338">
        <v>338</v>
      </c>
      <c r="E338">
        <v>48</v>
      </c>
      <c r="F338">
        <v>5</v>
      </c>
      <c r="G338">
        <v>50</v>
      </c>
    </row>
    <row r="339" spans="1:7" x14ac:dyDescent="0.25">
      <c r="A339">
        <v>60</v>
      </c>
      <c r="B339">
        <v>6305</v>
      </c>
      <c r="C339">
        <v>153</v>
      </c>
      <c r="D339">
        <v>378</v>
      </c>
      <c r="E339">
        <v>48</v>
      </c>
      <c r="F339">
        <v>5</v>
      </c>
      <c r="G339">
        <v>50</v>
      </c>
    </row>
    <row r="340" spans="1:7" x14ac:dyDescent="0.25">
      <c r="A340" t="s">
        <v>413</v>
      </c>
      <c r="B340">
        <v>6731</v>
      </c>
      <c r="C340">
        <v>163</v>
      </c>
      <c r="D340">
        <v>403</v>
      </c>
      <c r="E340">
        <v>48</v>
      </c>
      <c r="F340">
        <v>5</v>
      </c>
      <c r="G340">
        <v>50</v>
      </c>
    </row>
    <row r="341" spans="1:7" x14ac:dyDescent="0.25">
      <c r="A341">
        <v>70</v>
      </c>
      <c r="B341">
        <v>7393</v>
      </c>
      <c r="C341">
        <v>179</v>
      </c>
      <c r="D341">
        <v>443</v>
      </c>
      <c r="E341">
        <v>48</v>
      </c>
      <c r="F341">
        <v>5</v>
      </c>
      <c r="G341">
        <v>50</v>
      </c>
    </row>
    <row r="342" spans="1:7" x14ac:dyDescent="0.25">
      <c r="A342" t="s">
        <v>414</v>
      </c>
      <c r="B342">
        <v>7818</v>
      </c>
      <c r="C342">
        <v>189</v>
      </c>
      <c r="D342">
        <v>468</v>
      </c>
      <c r="E342">
        <v>72</v>
      </c>
      <c r="F342">
        <v>5</v>
      </c>
      <c r="G342">
        <v>50</v>
      </c>
    </row>
    <row r="343" spans="1:7" x14ac:dyDescent="0.25">
      <c r="A343">
        <v>80</v>
      </c>
      <c r="B343">
        <v>8481</v>
      </c>
      <c r="C343">
        <v>205</v>
      </c>
      <c r="D343">
        <v>508</v>
      </c>
      <c r="E343">
        <v>72</v>
      </c>
      <c r="F343">
        <v>5</v>
      </c>
      <c r="G343">
        <v>50</v>
      </c>
    </row>
    <row r="344" spans="1:7" x14ac:dyDescent="0.25">
      <c r="A344" t="s">
        <v>415</v>
      </c>
      <c r="B344">
        <v>8907</v>
      </c>
      <c r="C344">
        <v>215</v>
      </c>
      <c r="D344">
        <v>534</v>
      </c>
      <c r="E344">
        <v>96</v>
      </c>
      <c r="F344">
        <v>5</v>
      </c>
      <c r="G344">
        <v>50</v>
      </c>
    </row>
    <row r="345" spans="1:7" x14ac:dyDescent="0.25">
      <c r="A345">
        <v>90</v>
      </c>
      <c r="B345">
        <v>9570</v>
      </c>
      <c r="C345">
        <v>232</v>
      </c>
      <c r="D345">
        <v>573</v>
      </c>
      <c r="E345">
        <v>96</v>
      </c>
      <c r="F345">
        <v>5</v>
      </c>
      <c r="G345">
        <v>50</v>
      </c>
    </row>
    <row r="346" spans="1:7" x14ac:dyDescent="0.25">
      <c r="A346" t="s">
        <v>261</v>
      </c>
      <c r="B346" t="s">
        <v>405</v>
      </c>
      <c r="C346" t="s">
        <v>406</v>
      </c>
      <c r="D346" t="s">
        <v>407</v>
      </c>
      <c r="E346" t="s">
        <v>68</v>
      </c>
      <c r="F346" t="s">
        <v>408</v>
      </c>
      <c r="G346" t="s">
        <v>409</v>
      </c>
    </row>
    <row r="347" spans="1:7" x14ac:dyDescent="0.25">
      <c r="A347">
        <v>1</v>
      </c>
      <c r="B347">
        <v>810</v>
      </c>
      <c r="C347">
        <v>22</v>
      </c>
      <c r="D347">
        <v>51</v>
      </c>
      <c r="E347">
        <v>0</v>
      </c>
      <c r="F347">
        <v>5</v>
      </c>
      <c r="G347">
        <v>50</v>
      </c>
    </row>
    <row r="348" spans="1:7" x14ac:dyDescent="0.25">
      <c r="A348">
        <v>20</v>
      </c>
      <c r="B348">
        <v>2102</v>
      </c>
      <c r="C348">
        <v>58</v>
      </c>
      <c r="D348">
        <v>132</v>
      </c>
      <c r="E348">
        <v>0</v>
      </c>
      <c r="F348">
        <v>5</v>
      </c>
      <c r="G348">
        <v>50</v>
      </c>
    </row>
    <row r="349" spans="1:7" x14ac:dyDescent="0.25">
      <c r="A349" t="s">
        <v>410</v>
      </c>
      <c r="B349">
        <v>2797</v>
      </c>
      <c r="C349">
        <v>77</v>
      </c>
      <c r="D349">
        <v>176</v>
      </c>
      <c r="E349">
        <v>0</v>
      </c>
      <c r="F349">
        <v>5</v>
      </c>
      <c r="G349">
        <v>50</v>
      </c>
    </row>
    <row r="350" spans="1:7" x14ac:dyDescent="0.25">
      <c r="A350">
        <v>40</v>
      </c>
      <c r="B350">
        <v>4185</v>
      </c>
      <c r="C350">
        <v>115</v>
      </c>
      <c r="D350">
        <v>263</v>
      </c>
      <c r="E350">
        <v>0</v>
      </c>
      <c r="F350">
        <v>5</v>
      </c>
      <c r="G350">
        <v>50</v>
      </c>
    </row>
    <row r="351" spans="1:7" x14ac:dyDescent="0.25">
      <c r="A351" t="s">
        <v>411</v>
      </c>
      <c r="B351">
        <v>4678</v>
      </c>
      <c r="C351">
        <v>129</v>
      </c>
      <c r="D351">
        <v>294</v>
      </c>
      <c r="E351">
        <v>8</v>
      </c>
      <c r="F351">
        <v>5</v>
      </c>
      <c r="G351">
        <v>50</v>
      </c>
    </row>
    <row r="352" spans="1:7" x14ac:dyDescent="0.25">
      <c r="A352">
        <v>50</v>
      </c>
      <c r="B352">
        <v>5383</v>
      </c>
      <c r="C352">
        <v>148</v>
      </c>
      <c r="D352">
        <v>338</v>
      </c>
      <c r="E352">
        <v>8</v>
      </c>
      <c r="F352">
        <v>5</v>
      </c>
      <c r="G352">
        <v>50</v>
      </c>
    </row>
    <row r="353" spans="1:7" x14ac:dyDescent="0.25">
      <c r="A353" t="s">
        <v>412</v>
      </c>
      <c r="B353">
        <v>6041</v>
      </c>
      <c r="C353">
        <v>167</v>
      </c>
      <c r="D353">
        <v>379</v>
      </c>
      <c r="E353">
        <v>16</v>
      </c>
      <c r="F353">
        <v>5</v>
      </c>
      <c r="G353">
        <v>50</v>
      </c>
    </row>
    <row r="354" spans="1:7" x14ac:dyDescent="0.25">
      <c r="A354">
        <v>60</v>
      </c>
      <c r="B354">
        <v>6752</v>
      </c>
      <c r="C354">
        <v>186</v>
      </c>
      <c r="D354">
        <v>424</v>
      </c>
      <c r="E354">
        <v>16</v>
      </c>
      <c r="F354">
        <v>5</v>
      </c>
      <c r="G354">
        <v>50</v>
      </c>
    </row>
    <row r="355" spans="1:7" x14ac:dyDescent="0.25">
      <c r="A355" t="s">
        <v>413</v>
      </c>
      <c r="B355">
        <v>7246</v>
      </c>
      <c r="C355">
        <v>200</v>
      </c>
      <c r="D355">
        <v>455</v>
      </c>
      <c r="E355">
        <v>16</v>
      </c>
      <c r="F355">
        <v>5</v>
      </c>
      <c r="G355">
        <v>50</v>
      </c>
    </row>
    <row r="356" spans="1:7" x14ac:dyDescent="0.25">
      <c r="A356">
        <v>70</v>
      </c>
      <c r="B356">
        <v>7964</v>
      </c>
      <c r="C356">
        <v>220</v>
      </c>
      <c r="D356">
        <v>500</v>
      </c>
      <c r="E356">
        <v>16</v>
      </c>
      <c r="F356">
        <v>5</v>
      </c>
      <c r="G356">
        <v>50</v>
      </c>
    </row>
    <row r="357" spans="1:7" x14ac:dyDescent="0.25">
      <c r="A357" t="s">
        <v>414</v>
      </c>
      <c r="B357">
        <v>8458</v>
      </c>
      <c r="C357">
        <v>233</v>
      </c>
      <c r="D357">
        <v>531</v>
      </c>
      <c r="E357">
        <v>24</v>
      </c>
      <c r="F357">
        <v>5</v>
      </c>
      <c r="G357">
        <v>50</v>
      </c>
    </row>
    <row r="358" spans="1:7" x14ac:dyDescent="0.25">
      <c r="A358">
        <v>80</v>
      </c>
      <c r="B358">
        <v>9184</v>
      </c>
      <c r="C358">
        <v>253</v>
      </c>
      <c r="D358">
        <v>576</v>
      </c>
      <c r="E358">
        <v>24</v>
      </c>
      <c r="F358">
        <v>5</v>
      </c>
      <c r="G358">
        <v>50</v>
      </c>
    </row>
    <row r="359" spans="1:7" x14ac:dyDescent="0.25">
      <c r="A359" t="s">
        <v>415</v>
      </c>
      <c r="B359">
        <v>9677</v>
      </c>
      <c r="C359">
        <v>267</v>
      </c>
      <c r="D359">
        <v>607</v>
      </c>
      <c r="E359">
        <v>32</v>
      </c>
      <c r="F359">
        <v>5</v>
      </c>
      <c r="G359">
        <v>50</v>
      </c>
    </row>
    <row r="360" spans="1:7" x14ac:dyDescent="0.25">
      <c r="A360">
        <v>90</v>
      </c>
      <c r="B360">
        <v>10409</v>
      </c>
      <c r="C360">
        <v>287</v>
      </c>
      <c r="D360">
        <v>653</v>
      </c>
      <c r="E360">
        <v>32</v>
      </c>
      <c r="F360">
        <v>5</v>
      </c>
      <c r="G360">
        <v>50</v>
      </c>
    </row>
    <row r="361" spans="1:7" x14ac:dyDescent="0.25">
      <c r="A361" t="s">
        <v>267</v>
      </c>
      <c r="B361" t="s">
        <v>405</v>
      </c>
      <c r="C361" t="s">
        <v>406</v>
      </c>
      <c r="D361" t="s">
        <v>407</v>
      </c>
      <c r="E361" t="s">
        <v>72</v>
      </c>
      <c r="F361" t="s">
        <v>408</v>
      </c>
      <c r="G361" t="s">
        <v>409</v>
      </c>
    </row>
    <row r="362" spans="1:7" x14ac:dyDescent="0.25">
      <c r="A362">
        <v>1</v>
      </c>
      <c r="B362">
        <v>821</v>
      </c>
      <c r="C362">
        <v>18</v>
      </c>
      <c r="D362">
        <v>48</v>
      </c>
      <c r="E362">
        <v>0</v>
      </c>
      <c r="F362">
        <v>5</v>
      </c>
      <c r="G362">
        <v>50</v>
      </c>
    </row>
    <row r="363" spans="1:7" x14ac:dyDescent="0.25">
      <c r="A363">
        <v>20</v>
      </c>
      <c r="B363">
        <v>2108</v>
      </c>
      <c r="C363">
        <v>46</v>
      </c>
      <c r="D363">
        <v>123</v>
      </c>
      <c r="E363">
        <v>0</v>
      </c>
      <c r="F363">
        <v>5</v>
      </c>
      <c r="G363">
        <v>50</v>
      </c>
    </row>
    <row r="364" spans="1:7" x14ac:dyDescent="0.25">
      <c r="A364" t="s">
        <v>410</v>
      </c>
      <c r="B364">
        <v>2721</v>
      </c>
      <c r="C364">
        <v>59</v>
      </c>
      <c r="D364">
        <v>159</v>
      </c>
      <c r="E364">
        <v>0</v>
      </c>
      <c r="F364">
        <v>5</v>
      </c>
      <c r="G364">
        <v>50</v>
      </c>
    </row>
    <row r="365" spans="1:7" x14ac:dyDescent="0.25">
      <c r="A365">
        <v>40</v>
      </c>
      <c r="B365">
        <v>4076</v>
      </c>
      <c r="C365">
        <v>88</v>
      </c>
      <c r="D365">
        <v>239</v>
      </c>
      <c r="E365">
        <v>0</v>
      </c>
      <c r="F365">
        <v>5</v>
      </c>
      <c r="G365">
        <v>50</v>
      </c>
    </row>
    <row r="366" spans="1:7" x14ac:dyDescent="0.25">
      <c r="A366" t="s">
        <v>411</v>
      </c>
      <c r="B366">
        <v>4512</v>
      </c>
      <c r="C366">
        <v>98</v>
      </c>
      <c r="D366">
        <v>264</v>
      </c>
      <c r="E366">
        <v>6</v>
      </c>
      <c r="F366">
        <v>5</v>
      </c>
      <c r="G366">
        <v>50</v>
      </c>
    </row>
    <row r="367" spans="1:7" x14ac:dyDescent="0.25">
      <c r="A367">
        <v>50</v>
      </c>
      <c r="B367">
        <v>5189</v>
      </c>
      <c r="C367">
        <v>113</v>
      </c>
      <c r="D367">
        <v>304</v>
      </c>
      <c r="E367">
        <v>6</v>
      </c>
      <c r="F367">
        <v>5</v>
      </c>
      <c r="G367">
        <v>50</v>
      </c>
    </row>
    <row r="368" spans="1:7" x14ac:dyDescent="0.25">
      <c r="A368" t="s">
        <v>412</v>
      </c>
      <c r="B368">
        <v>5770</v>
      </c>
      <c r="C368">
        <v>125</v>
      </c>
      <c r="D368">
        <v>338</v>
      </c>
      <c r="E368">
        <v>12</v>
      </c>
      <c r="F368">
        <v>5</v>
      </c>
      <c r="G368">
        <v>50</v>
      </c>
    </row>
    <row r="369" spans="1:7" x14ac:dyDescent="0.25">
      <c r="A369">
        <v>60</v>
      </c>
      <c r="B369">
        <v>6448</v>
      </c>
      <c r="C369">
        <v>140</v>
      </c>
      <c r="D369">
        <v>378</v>
      </c>
      <c r="E369">
        <v>12</v>
      </c>
      <c r="F369">
        <v>5</v>
      </c>
      <c r="G369">
        <v>50</v>
      </c>
    </row>
    <row r="370" spans="1:7" x14ac:dyDescent="0.25">
      <c r="A370" t="s">
        <v>413</v>
      </c>
      <c r="B370">
        <v>6884</v>
      </c>
      <c r="C370">
        <v>149</v>
      </c>
      <c r="D370">
        <v>403</v>
      </c>
      <c r="E370">
        <v>12</v>
      </c>
      <c r="F370">
        <v>5</v>
      </c>
      <c r="G370">
        <v>50</v>
      </c>
    </row>
    <row r="371" spans="1:7" x14ac:dyDescent="0.25">
      <c r="A371">
        <v>70</v>
      </c>
      <c r="B371">
        <v>7561</v>
      </c>
      <c r="C371">
        <v>164</v>
      </c>
      <c r="D371">
        <v>443</v>
      </c>
      <c r="E371">
        <v>12</v>
      </c>
      <c r="F371">
        <v>5</v>
      </c>
      <c r="G371">
        <v>50</v>
      </c>
    </row>
    <row r="372" spans="1:7" x14ac:dyDescent="0.25">
      <c r="A372" t="s">
        <v>414</v>
      </c>
      <c r="B372">
        <v>7996</v>
      </c>
      <c r="C372">
        <v>174</v>
      </c>
      <c r="D372">
        <v>468</v>
      </c>
      <c r="E372">
        <v>18</v>
      </c>
      <c r="F372">
        <v>5</v>
      </c>
      <c r="G372">
        <v>50</v>
      </c>
    </row>
    <row r="373" spans="1:7" x14ac:dyDescent="0.25">
      <c r="A373">
        <v>80</v>
      </c>
      <c r="B373">
        <v>8674</v>
      </c>
      <c r="C373">
        <v>188</v>
      </c>
      <c r="D373">
        <v>508</v>
      </c>
      <c r="E373">
        <v>18</v>
      </c>
      <c r="F373">
        <v>5</v>
      </c>
      <c r="G373">
        <v>50</v>
      </c>
    </row>
    <row r="374" spans="1:7" x14ac:dyDescent="0.25">
      <c r="A374" t="s">
        <v>415</v>
      </c>
      <c r="B374">
        <v>9110</v>
      </c>
      <c r="C374">
        <v>198</v>
      </c>
      <c r="D374">
        <v>534</v>
      </c>
      <c r="E374">
        <v>24</v>
      </c>
      <c r="F374">
        <v>5</v>
      </c>
      <c r="G374">
        <v>50</v>
      </c>
    </row>
    <row r="375" spans="1:7" x14ac:dyDescent="0.25">
      <c r="A375">
        <v>90</v>
      </c>
      <c r="B375">
        <v>9787</v>
      </c>
      <c r="C375">
        <v>212</v>
      </c>
      <c r="D375">
        <v>573</v>
      </c>
      <c r="E375">
        <v>24</v>
      </c>
      <c r="F375">
        <v>5</v>
      </c>
      <c r="G375">
        <v>50</v>
      </c>
    </row>
    <row r="376" spans="1:7" x14ac:dyDescent="0.25">
      <c r="A376" t="s">
        <v>269</v>
      </c>
      <c r="B376" t="s">
        <v>405</v>
      </c>
      <c r="C376" t="s">
        <v>406</v>
      </c>
      <c r="D376" t="s">
        <v>407</v>
      </c>
      <c r="E376" t="s">
        <v>66</v>
      </c>
      <c r="F376" t="s">
        <v>408</v>
      </c>
      <c r="G376" t="s">
        <v>409</v>
      </c>
    </row>
    <row r="377" spans="1:7" x14ac:dyDescent="0.25">
      <c r="A377">
        <v>1</v>
      </c>
      <c r="B377">
        <v>1012</v>
      </c>
      <c r="C377">
        <v>16</v>
      </c>
      <c r="D377">
        <v>67</v>
      </c>
      <c r="E377">
        <v>0</v>
      </c>
      <c r="F377">
        <v>5</v>
      </c>
      <c r="G377">
        <v>50</v>
      </c>
    </row>
    <row r="378" spans="1:7" x14ac:dyDescent="0.25">
      <c r="A378">
        <v>20</v>
      </c>
      <c r="B378">
        <v>2600</v>
      </c>
      <c r="C378">
        <v>41</v>
      </c>
      <c r="D378">
        <v>172</v>
      </c>
      <c r="E378">
        <v>0</v>
      </c>
      <c r="F378">
        <v>5</v>
      </c>
      <c r="G378">
        <v>50</v>
      </c>
    </row>
    <row r="379" spans="1:7" x14ac:dyDescent="0.25">
      <c r="A379" t="s">
        <v>410</v>
      </c>
      <c r="B379">
        <v>3356</v>
      </c>
      <c r="C379">
        <v>53</v>
      </c>
      <c r="D379">
        <v>222</v>
      </c>
      <c r="E379">
        <v>0</v>
      </c>
      <c r="F379">
        <v>5</v>
      </c>
      <c r="G379">
        <v>50</v>
      </c>
    </row>
    <row r="380" spans="1:7" x14ac:dyDescent="0.25">
      <c r="A380">
        <v>40</v>
      </c>
      <c r="B380">
        <v>5027</v>
      </c>
      <c r="C380">
        <v>80</v>
      </c>
      <c r="D380">
        <v>333</v>
      </c>
      <c r="E380">
        <v>0</v>
      </c>
      <c r="F380">
        <v>5</v>
      </c>
      <c r="G380">
        <v>50</v>
      </c>
    </row>
    <row r="381" spans="1:7" x14ac:dyDescent="0.25">
      <c r="A381" t="s">
        <v>411</v>
      </c>
      <c r="B381">
        <v>5564</v>
      </c>
      <c r="C381">
        <v>88</v>
      </c>
      <c r="D381">
        <v>368</v>
      </c>
      <c r="E381">
        <v>7.5</v>
      </c>
      <c r="F381">
        <v>5</v>
      </c>
      <c r="G381">
        <v>50</v>
      </c>
    </row>
    <row r="382" spans="1:7" x14ac:dyDescent="0.25">
      <c r="A382">
        <v>50</v>
      </c>
      <c r="B382">
        <v>6400</v>
      </c>
      <c r="C382">
        <v>101</v>
      </c>
      <c r="D382">
        <v>423</v>
      </c>
      <c r="E382">
        <v>7.5</v>
      </c>
      <c r="F382">
        <v>5</v>
      </c>
      <c r="G382">
        <v>50</v>
      </c>
    </row>
    <row r="383" spans="1:7" x14ac:dyDescent="0.25">
      <c r="A383" t="s">
        <v>412</v>
      </c>
      <c r="B383">
        <v>7117</v>
      </c>
      <c r="C383">
        <v>113</v>
      </c>
      <c r="D383">
        <v>471</v>
      </c>
      <c r="E383">
        <v>15</v>
      </c>
      <c r="F383">
        <v>5</v>
      </c>
      <c r="G383">
        <v>50</v>
      </c>
    </row>
    <row r="384" spans="1:7" x14ac:dyDescent="0.25">
      <c r="A384">
        <v>60</v>
      </c>
      <c r="B384">
        <v>7953</v>
      </c>
      <c r="C384">
        <v>126</v>
      </c>
      <c r="D384">
        <v>526</v>
      </c>
      <c r="E384">
        <v>15</v>
      </c>
      <c r="F384">
        <v>5</v>
      </c>
      <c r="G384">
        <v>50</v>
      </c>
    </row>
    <row r="385" spans="1:7" x14ac:dyDescent="0.25">
      <c r="A385" t="s">
        <v>413</v>
      </c>
      <c r="B385">
        <v>8490</v>
      </c>
      <c r="C385">
        <v>134</v>
      </c>
      <c r="D385">
        <v>562</v>
      </c>
      <c r="E385">
        <v>15</v>
      </c>
      <c r="F385">
        <v>5</v>
      </c>
      <c r="G385">
        <v>50</v>
      </c>
    </row>
    <row r="386" spans="1:7" x14ac:dyDescent="0.25">
      <c r="A386">
        <v>70</v>
      </c>
      <c r="B386">
        <v>9325</v>
      </c>
      <c r="C386">
        <v>148</v>
      </c>
      <c r="D386">
        <v>617</v>
      </c>
      <c r="E386">
        <v>15</v>
      </c>
      <c r="F386">
        <v>5</v>
      </c>
      <c r="G386">
        <v>50</v>
      </c>
    </row>
    <row r="387" spans="1:7" x14ac:dyDescent="0.25">
      <c r="A387" t="s">
        <v>414</v>
      </c>
      <c r="B387">
        <v>9862</v>
      </c>
      <c r="C387">
        <v>156</v>
      </c>
      <c r="D387">
        <v>652</v>
      </c>
      <c r="E387">
        <v>22.5</v>
      </c>
      <c r="F387">
        <v>5</v>
      </c>
      <c r="G387">
        <v>50</v>
      </c>
    </row>
    <row r="388" spans="1:7" x14ac:dyDescent="0.25">
      <c r="A388">
        <v>80</v>
      </c>
      <c r="B388">
        <v>10698</v>
      </c>
      <c r="C388">
        <v>169</v>
      </c>
      <c r="D388">
        <v>708</v>
      </c>
      <c r="E388">
        <v>22.5</v>
      </c>
      <c r="F388">
        <v>5</v>
      </c>
      <c r="G388">
        <v>50</v>
      </c>
    </row>
    <row r="389" spans="1:7" x14ac:dyDescent="0.25">
      <c r="A389" t="s">
        <v>415</v>
      </c>
      <c r="B389">
        <v>11235</v>
      </c>
      <c r="C389">
        <v>178</v>
      </c>
      <c r="D389">
        <v>743</v>
      </c>
      <c r="E389">
        <v>30</v>
      </c>
      <c r="F389">
        <v>5</v>
      </c>
      <c r="G389">
        <v>50</v>
      </c>
    </row>
    <row r="390" spans="1:7" x14ac:dyDescent="0.25">
      <c r="A390">
        <v>90</v>
      </c>
      <c r="B390">
        <v>12071</v>
      </c>
      <c r="C390">
        <v>191</v>
      </c>
      <c r="D390">
        <v>799</v>
      </c>
      <c r="E390">
        <v>30</v>
      </c>
      <c r="F390">
        <v>5</v>
      </c>
      <c r="G390">
        <v>50</v>
      </c>
    </row>
    <row r="391" spans="1:7" x14ac:dyDescent="0.25">
      <c r="A391" t="s">
        <v>273</v>
      </c>
      <c r="B391" t="s">
        <v>405</v>
      </c>
      <c r="C391" t="s">
        <v>406</v>
      </c>
      <c r="D391" t="s">
        <v>407</v>
      </c>
      <c r="E391" t="s">
        <v>422</v>
      </c>
      <c r="F391" t="s">
        <v>408</v>
      </c>
      <c r="G391" t="s">
        <v>409</v>
      </c>
    </row>
    <row r="392" spans="1:7" x14ac:dyDescent="0.25">
      <c r="A392">
        <v>1</v>
      </c>
      <c r="B392">
        <v>963</v>
      </c>
      <c r="C392">
        <v>22</v>
      </c>
      <c r="D392">
        <v>72</v>
      </c>
      <c r="E392">
        <v>0</v>
      </c>
      <c r="F392">
        <v>5</v>
      </c>
      <c r="G392">
        <v>50</v>
      </c>
    </row>
    <row r="393" spans="1:7" x14ac:dyDescent="0.25">
      <c r="A393">
        <v>20</v>
      </c>
      <c r="B393">
        <v>2498</v>
      </c>
      <c r="C393">
        <v>58</v>
      </c>
      <c r="D393">
        <v>186</v>
      </c>
      <c r="E393">
        <v>0</v>
      </c>
      <c r="F393">
        <v>5</v>
      </c>
      <c r="G393">
        <v>50</v>
      </c>
    </row>
    <row r="394" spans="1:7" x14ac:dyDescent="0.25">
      <c r="A394" t="s">
        <v>410</v>
      </c>
      <c r="B394">
        <v>3323</v>
      </c>
      <c r="C394">
        <v>77</v>
      </c>
      <c r="D394">
        <v>248</v>
      </c>
      <c r="E394">
        <v>0</v>
      </c>
      <c r="F394">
        <v>5</v>
      </c>
      <c r="G394">
        <v>50</v>
      </c>
    </row>
    <row r="395" spans="1:7" x14ac:dyDescent="0.25">
      <c r="A395">
        <v>40</v>
      </c>
      <c r="B395">
        <v>4973</v>
      </c>
      <c r="C395">
        <v>115</v>
      </c>
      <c r="D395">
        <v>371</v>
      </c>
      <c r="E395">
        <v>0</v>
      </c>
      <c r="F395">
        <v>5</v>
      </c>
      <c r="G395">
        <v>50</v>
      </c>
    </row>
    <row r="396" spans="1:7" x14ac:dyDescent="0.25">
      <c r="A396" t="s">
        <v>411</v>
      </c>
      <c r="B396">
        <v>5559</v>
      </c>
      <c r="C396">
        <v>129</v>
      </c>
      <c r="D396">
        <v>415</v>
      </c>
      <c r="E396">
        <v>5.5</v>
      </c>
      <c r="F396">
        <v>5</v>
      </c>
      <c r="G396">
        <v>50</v>
      </c>
    </row>
    <row r="397" spans="1:7" x14ac:dyDescent="0.25">
      <c r="A397">
        <v>50</v>
      </c>
      <c r="B397">
        <v>6396</v>
      </c>
      <c r="C397">
        <v>148</v>
      </c>
      <c r="D397">
        <v>477</v>
      </c>
      <c r="E397">
        <v>5.5</v>
      </c>
      <c r="F397">
        <v>5</v>
      </c>
      <c r="G397">
        <v>50</v>
      </c>
    </row>
    <row r="398" spans="1:7" x14ac:dyDescent="0.25">
      <c r="A398" t="s">
        <v>412</v>
      </c>
      <c r="B398">
        <v>7178</v>
      </c>
      <c r="C398">
        <v>167</v>
      </c>
      <c r="D398">
        <v>535</v>
      </c>
      <c r="E398">
        <v>11.1</v>
      </c>
      <c r="F398">
        <v>5</v>
      </c>
      <c r="G398">
        <v>50</v>
      </c>
    </row>
    <row r="399" spans="1:7" x14ac:dyDescent="0.25">
      <c r="A399">
        <v>60</v>
      </c>
      <c r="B399">
        <v>8023</v>
      </c>
      <c r="C399">
        <v>186</v>
      </c>
      <c r="D399">
        <v>598</v>
      </c>
      <c r="E399">
        <v>11.1</v>
      </c>
      <c r="F399">
        <v>5</v>
      </c>
      <c r="G399">
        <v>50</v>
      </c>
    </row>
    <row r="400" spans="1:7" x14ac:dyDescent="0.25">
      <c r="A400" t="s">
        <v>413</v>
      </c>
      <c r="B400">
        <v>8610</v>
      </c>
      <c r="C400">
        <v>200</v>
      </c>
      <c r="D400">
        <v>642</v>
      </c>
      <c r="E400">
        <v>11.1</v>
      </c>
      <c r="F400">
        <v>5</v>
      </c>
      <c r="G400">
        <v>50</v>
      </c>
    </row>
    <row r="401" spans="1:7" x14ac:dyDescent="0.25">
      <c r="A401">
        <v>70</v>
      </c>
      <c r="B401">
        <v>9463</v>
      </c>
      <c r="C401">
        <v>220</v>
      </c>
      <c r="D401">
        <v>706</v>
      </c>
      <c r="E401">
        <v>11.1</v>
      </c>
      <c r="F401">
        <v>5</v>
      </c>
      <c r="G401">
        <v>50</v>
      </c>
    </row>
    <row r="402" spans="1:7" x14ac:dyDescent="0.25">
      <c r="A402" t="s">
        <v>414</v>
      </c>
      <c r="B402">
        <v>10050</v>
      </c>
      <c r="C402">
        <v>233</v>
      </c>
      <c r="D402">
        <v>749</v>
      </c>
      <c r="E402">
        <v>16.600000000000001</v>
      </c>
      <c r="F402">
        <v>5</v>
      </c>
      <c r="G402">
        <v>50</v>
      </c>
    </row>
    <row r="403" spans="1:7" x14ac:dyDescent="0.25">
      <c r="A403">
        <v>80</v>
      </c>
      <c r="B403">
        <v>10912</v>
      </c>
      <c r="C403">
        <v>253</v>
      </c>
      <c r="D403">
        <v>814</v>
      </c>
      <c r="E403">
        <v>16.600000000000001</v>
      </c>
      <c r="F403">
        <v>5</v>
      </c>
      <c r="G403">
        <v>50</v>
      </c>
    </row>
    <row r="404" spans="1:7" x14ac:dyDescent="0.25">
      <c r="A404" t="s">
        <v>415</v>
      </c>
      <c r="B404">
        <v>11499</v>
      </c>
      <c r="C404">
        <v>267</v>
      </c>
      <c r="D404">
        <v>857</v>
      </c>
      <c r="E404">
        <v>22.2</v>
      </c>
      <c r="F404">
        <v>5</v>
      </c>
      <c r="G404">
        <v>50</v>
      </c>
    </row>
    <row r="405" spans="1:7" x14ac:dyDescent="0.25">
      <c r="A405">
        <v>90</v>
      </c>
      <c r="B405">
        <v>12368</v>
      </c>
      <c r="C405">
        <v>287</v>
      </c>
      <c r="D405">
        <v>922</v>
      </c>
      <c r="E405">
        <v>22.2</v>
      </c>
      <c r="F405">
        <v>5</v>
      </c>
      <c r="G405">
        <v>50</v>
      </c>
    </row>
    <row r="406" spans="1:7" x14ac:dyDescent="0.25">
      <c r="A406" t="s">
        <v>281</v>
      </c>
      <c r="B406" t="s">
        <v>405</v>
      </c>
      <c r="C406" t="s">
        <v>406</v>
      </c>
      <c r="D406" t="s">
        <v>407</v>
      </c>
      <c r="E406" t="s">
        <v>68</v>
      </c>
      <c r="F406" t="s">
        <v>408</v>
      </c>
      <c r="G406" t="s">
        <v>409</v>
      </c>
    </row>
    <row r="407" spans="1:7" x14ac:dyDescent="0.25">
      <c r="A407">
        <v>1</v>
      </c>
      <c r="B407">
        <v>1005</v>
      </c>
      <c r="C407">
        <v>26</v>
      </c>
      <c r="D407">
        <v>61</v>
      </c>
      <c r="E407">
        <v>0</v>
      </c>
      <c r="F407">
        <v>5</v>
      </c>
      <c r="G407">
        <v>50</v>
      </c>
    </row>
    <row r="408" spans="1:7" x14ac:dyDescent="0.25">
      <c r="A408">
        <v>20</v>
      </c>
      <c r="B408">
        <v>2606</v>
      </c>
      <c r="C408">
        <v>68</v>
      </c>
      <c r="D408">
        <v>159</v>
      </c>
      <c r="E408">
        <v>0</v>
      </c>
      <c r="F408">
        <v>5</v>
      </c>
      <c r="G408">
        <v>50</v>
      </c>
    </row>
    <row r="409" spans="1:7" x14ac:dyDescent="0.25">
      <c r="A409" t="s">
        <v>410</v>
      </c>
      <c r="B409">
        <v>3468</v>
      </c>
      <c r="C409">
        <v>91</v>
      </c>
      <c r="D409">
        <v>212</v>
      </c>
      <c r="E409">
        <v>0</v>
      </c>
      <c r="F409">
        <v>5</v>
      </c>
      <c r="G409">
        <v>50</v>
      </c>
    </row>
    <row r="410" spans="1:7" x14ac:dyDescent="0.25">
      <c r="A410">
        <v>40</v>
      </c>
      <c r="B410">
        <v>5189</v>
      </c>
      <c r="C410">
        <v>136</v>
      </c>
      <c r="D410">
        <v>317</v>
      </c>
      <c r="E410">
        <v>0</v>
      </c>
      <c r="F410">
        <v>5</v>
      </c>
      <c r="G410">
        <v>50</v>
      </c>
    </row>
    <row r="411" spans="1:7" x14ac:dyDescent="0.25">
      <c r="A411" t="s">
        <v>411</v>
      </c>
      <c r="B411">
        <v>5801</v>
      </c>
      <c r="C411">
        <v>152</v>
      </c>
      <c r="D411">
        <v>355</v>
      </c>
      <c r="E411">
        <v>8</v>
      </c>
      <c r="F411">
        <v>5</v>
      </c>
      <c r="G411">
        <v>50</v>
      </c>
    </row>
    <row r="412" spans="1:7" x14ac:dyDescent="0.25">
      <c r="A412">
        <v>50</v>
      </c>
      <c r="B412">
        <v>6675</v>
      </c>
      <c r="C412">
        <v>174</v>
      </c>
      <c r="D412">
        <v>408</v>
      </c>
      <c r="E412">
        <v>8</v>
      </c>
      <c r="F412">
        <v>5</v>
      </c>
      <c r="G412">
        <v>50</v>
      </c>
    </row>
    <row r="413" spans="1:7" x14ac:dyDescent="0.25">
      <c r="A413" t="s">
        <v>412</v>
      </c>
      <c r="B413">
        <v>7491</v>
      </c>
      <c r="C413">
        <v>196</v>
      </c>
      <c r="D413">
        <v>458</v>
      </c>
      <c r="E413">
        <v>16</v>
      </c>
      <c r="F413">
        <v>5</v>
      </c>
      <c r="G413">
        <v>50</v>
      </c>
    </row>
    <row r="414" spans="1:7" x14ac:dyDescent="0.25">
      <c r="A414">
        <v>60</v>
      </c>
      <c r="B414">
        <v>8373</v>
      </c>
      <c r="C414">
        <v>219</v>
      </c>
      <c r="D414">
        <v>512</v>
      </c>
      <c r="E414">
        <v>16</v>
      </c>
      <c r="F414">
        <v>5</v>
      </c>
      <c r="G414">
        <v>50</v>
      </c>
    </row>
    <row r="415" spans="1:7" x14ac:dyDescent="0.25">
      <c r="A415" t="s">
        <v>413</v>
      </c>
      <c r="B415">
        <v>8985</v>
      </c>
      <c r="C415">
        <v>235</v>
      </c>
      <c r="D415">
        <v>549</v>
      </c>
      <c r="E415">
        <v>16</v>
      </c>
      <c r="F415">
        <v>5</v>
      </c>
      <c r="G415">
        <v>50</v>
      </c>
    </row>
    <row r="416" spans="1:7" x14ac:dyDescent="0.25">
      <c r="A416">
        <v>70</v>
      </c>
      <c r="B416">
        <v>9875</v>
      </c>
      <c r="C416">
        <v>258</v>
      </c>
      <c r="D416">
        <v>604</v>
      </c>
      <c r="E416">
        <v>16</v>
      </c>
      <c r="F416">
        <v>5</v>
      </c>
      <c r="G416">
        <v>50</v>
      </c>
    </row>
    <row r="417" spans="1:7" x14ac:dyDescent="0.25">
      <c r="A417" t="s">
        <v>414</v>
      </c>
      <c r="B417">
        <v>10487</v>
      </c>
      <c r="C417">
        <v>274</v>
      </c>
      <c r="D417">
        <v>641</v>
      </c>
      <c r="E417">
        <v>24</v>
      </c>
      <c r="F417">
        <v>5</v>
      </c>
      <c r="G417">
        <v>50</v>
      </c>
    </row>
    <row r="418" spans="1:7" x14ac:dyDescent="0.25">
      <c r="A418">
        <v>80</v>
      </c>
      <c r="B418">
        <v>11388</v>
      </c>
      <c r="C418">
        <v>298</v>
      </c>
      <c r="D418">
        <v>696</v>
      </c>
      <c r="E418">
        <v>24</v>
      </c>
      <c r="F418">
        <v>5</v>
      </c>
      <c r="G418">
        <v>50</v>
      </c>
    </row>
    <row r="419" spans="1:7" x14ac:dyDescent="0.25">
      <c r="A419" t="s">
        <v>415</v>
      </c>
      <c r="B419">
        <v>12000</v>
      </c>
      <c r="C419">
        <v>314</v>
      </c>
      <c r="D419">
        <v>734</v>
      </c>
      <c r="E419">
        <v>32</v>
      </c>
      <c r="F419">
        <v>5</v>
      </c>
      <c r="G419">
        <v>50</v>
      </c>
    </row>
    <row r="420" spans="1:7" x14ac:dyDescent="0.25">
      <c r="A420">
        <v>90</v>
      </c>
      <c r="B420">
        <v>12907</v>
      </c>
      <c r="C420">
        <v>337</v>
      </c>
      <c r="D420">
        <v>789</v>
      </c>
      <c r="E420">
        <v>32</v>
      </c>
      <c r="F420">
        <v>5</v>
      </c>
      <c r="G420">
        <v>50</v>
      </c>
    </row>
    <row r="421" spans="1:7" x14ac:dyDescent="0.25">
      <c r="A421" t="s">
        <v>279</v>
      </c>
      <c r="B421" t="s">
        <v>405</v>
      </c>
      <c r="C421" t="s">
        <v>406</v>
      </c>
      <c r="D421" t="s">
        <v>407</v>
      </c>
      <c r="E421" t="s">
        <v>70</v>
      </c>
      <c r="F421" t="s">
        <v>408</v>
      </c>
      <c r="G421" t="s">
        <v>409</v>
      </c>
    </row>
    <row r="422" spans="1:7" x14ac:dyDescent="0.25">
      <c r="A422">
        <v>1</v>
      </c>
      <c r="B422">
        <v>1003</v>
      </c>
      <c r="C422">
        <v>20</v>
      </c>
      <c r="D422">
        <v>63</v>
      </c>
      <c r="E422">
        <v>0</v>
      </c>
      <c r="F422">
        <v>5</v>
      </c>
      <c r="G422">
        <v>50</v>
      </c>
    </row>
    <row r="423" spans="1:7" x14ac:dyDescent="0.25">
      <c r="A423">
        <v>20</v>
      </c>
      <c r="B423">
        <v>2577</v>
      </c>
      <c r="C423">
        <v>50</v>
      </c>
      <c r="D423">
        <v>162</v>
      </c>
      <c r="E423">
        <v>0</v>
      </c>
      <c r="F423">
        <v>5</v>
      </c>
      <c r="G423">
        <v>50</v>
      </c>
    </row>
    <row r="424" spans="1:7" x14ac:dyDescent="0.25">
      <c r="A424" t="s">
        <v>410</v>
      </c>
      <c r="B424">
        <v>3326</v>
      </c>
      <c r="C424">
        <v>65</v>
      </c>
      <c r="D424">
        <v>209</v>
      </c>
      <c r="E424">
        <v>0</v>
      </c>
      <c r="F424">
        <v>5</v>
      </c>
      <c r="G424">
        <v>50</v>
      </c>
    </row>
    <row r="425" spans="1:7" x14ac:dyDescent="0.25">
      <c r="A425">
        <v>40</v>
      </c>
      <c r="B425">
        <v>4982</v>
      </c>
      <c r="C425">
        <v>97</v>
      </c>
      <c r="D425">
        <v>313</v>
      </c>
      <c r="E425">
        <v>0</v>
      </c>
      <c r="F425">
        <v>5</v>
      </c>
      <c r="G425">
        <v>50</v>
      </c>
    </row>
    <row r="426" spans="1:7" x14ac:dyDescent="0.25">
      <c r="A426" t="s">
        <v>411</v>
      </c>
      <c r="B426">
        <v>5514</v>
      </c>
      <c r="C426">
        <v>108</v>
      </c>
      <c r="D426">
        <v>346</v>
      </c>
      <c r="E426">
        <v>7.5</v>
      </c>
      <c r="F426">
        <v>5</v>
      </c>
      <c r="G426">
        <v>50</v>
      </c>
    </row>
    <row r="427" spans="1:7" x14ac:dyDescent="0.25">
      <c r="A427">
        <v>50</v>
      </c>
      <c r="B427">
        <v>6343</v>
      </c>
      <c r="C427">
        <v>124</v>
      </c>
      <c r="D427">
        <v>398</v>
      </c>
      <c r="E427">
        <v>7.5</v>
      </c>
      <c r="F427">
        <v>5</v>
      </c>
      <c r="G427">
        <v>50</v>
      </c>
    </row>
    <row r="428" spans="1:7" x14ac:dyDescent="0.25">
      <c r="A428" t="s">
        <v>412</v>
      </c>
      <c r="B428">
        <v>7052</v>
      </c>
      <c r="C428">
        <v>138</v>
      </c>
      <c r="D428">
        <v>443</v>
      </c>
      <c r="E428">
        <v>15</v>
      </c>
      <c r="F428">
        <v>5</v>
      </c>
      <c r="G428">
        <v>50</v>
      </c>
    </row>
    <row r="429" spans="1:7" x14ac:dyDescent="0.25">
      <c r="A429">
        <v>60</v>
      </c>
      <c r="B429">
        <v>7881</v>
      </c>
      <c r="C429">
        <v>154</v>
      </c>
      <c r="D429">
        <v>495</v>
      </c>
      <c r="E429">
        <v>15</v>
      </c>
      <c r="F429">
        <v>5</v>
      </c>
      <c r="G429">
        <v>50</v>
      </c>
    </row>
    <row r="430" spans="1:7" x14ac:dyDescent="0.25">
      <c r="A430" t="s">
        <v>413</v>
      </c>
      <c r="B430">
        <v>8413</v>
      </c>
      <c r="C430">
        <v>164</v>
      </c>
      <c r="D430">
        <v>528</v>
      </c>
      <c r="E430">
        <v>15</v>
      </c>
      <c r="F430">
        <v>5</v>
      </c>
      <c r="G430">
        <v>50</v>
      </c>
    </row>
    <row r="431" spans="1:7" x14ac:dyDescent="0.25">
      <c r="A431">
        <v>70</v>
      </c>
      <c r="B431">
        <v>9241</v>
      </c>
      <c r="C431">
        <v>180</v>
      </c>
      <c r="D431">
        <v>580</v>
      </c>
      <c r="E431">
        <v>15</v>
      </c>
      <c r="F431">
        <v>5</v>
      </c>
      <c r="G431">
        <v>50</v>
      </c>
    </row>
    <row r="432" spans="1:7" x14ac:dyDescent="0.25">
      <c r="A432" t="s">
        <v>414</v>
      </c>
      <c r="B432">
        <v>9773</v>
      </c>
      <c r="C432">
        <v>191</v>
      </c>
      <c r="D432">
        <v>613</v>
      </c>
      <c r="E432">
        <v>22.5</v>
      </c>
      <c r="F432">
        <v>5</v>
      </c>
      <c r="G432">
        <v>50</v>
      </c>
    </row>
    <row r="433" spans="1:7" x14ac:dyDescent="0.25">
      <c r="A433">
        <v>80</v>
      </c>
      <c r="B433">
        <v>10602</v>
      </c>
      <c r="C433">
        <v>207</v>
      </c>
      <c r="D433">
        <v>665</v>
      </c>
      <c r="E433">
        <v>22.5</v>
      </c>
      <c r="F433">
        <v>5</v>
      </c>
      <c r="G433">
        <v>50</v>
      </c>
    </row>
    <row r="434" spans="1:7" x14ac:dyDescent="0.25">
      <c r="A434" t="s">
        <v>415</v>
      </c>
      <c r="B434">
        <v>11134</v>
      </c>
      <c r="C434">
        <v>217</v>
      </c>
      <c r="D434">
        <v>699</v>
      </c>
      <c r="E434">
        <v>30</v>
      </c>
      <c r="F434">
        <v>5</v>
      </c>
      <c r="G434">
        <v>50</v>
      </c>
    </row>
    <row r="435" spans="1:7" x14ac:dyDescent="0.25">
      <c r="A435">
        <v>90</v>
      </c>
      <c r="B435">
        <v>11962</v>
      </c>
      <c r="C435">
        <v>234</v>
      </c>
      <c r="D435">
        <v>751</v>
      </c>
      <c r="E435">
        <v>30</v>
      </c>
      <c r="F435">
        <v>5</v>
      </c>
      <c r="G435">
        <v>50</v>
      </c>
    </row>
    <row r="436" spans="1:7" x14ac:dyDescent="0.25">
      <c r="A436" t="s">
        <v>297</v>
      </c>
      <c r="B436" t="s">
        <v>405</v>
      </c>
      <c r="C436" t="s">
        <v>406</v>
      </c>
      <c r="D436" t="s">
        <v>407</v>
      </c>
      <c r="E436" t="s">
        <v>65</v>
      </c>
      <c r="F436" t="s">
        <v>408</v>
      </c>
      <c r="G436" t="s">
        <v>409</v>
      </c>
    </row>
    <row r="437" spans="1:7" x14ac:dyDescent="0.25">
      <c r="A437">
        <v>1</v>
      </c>
      <c r="B437">
        <v>1030</v>
      </c>
      <c r="C437">
        <v>20</v>
      </c>
      <c r="D437">
        <v>60</v>
      </c>
      <c r="E437">
        <v>0</v>
      </c>
      <c r="F437">
        <v>5</v>
      </c>
      <c r="G437">
        <v>50</v>
      </c>
    </row>
    <row r="438" spans="1:7" x14ac:dyDescent="0.25">
      <c r="A438">
        <v>20</v>
      </c>
      <c r="B438">
        <v>2647</v>
      </c>
      <c r="C438">
        <v>52</v>
      </c>
      <c r="D438">
        <v>153</v>
      </c>
      <c r="E438">
        <v>0</v>
      </c>
      <c r="F438">
        <v>5</v>
      </c>
      <c r="G438">
        <v>50</v>
      </c>
    </row>
    <row r="439" spans="1:7" x14ac:dyDescent="0.25">
      <c r="A439" t="s">
        <v>410</v>
      </c>
      <c r="B439">
        <v>3417</v>
      </c>
      <c r="C439">
        <v>67</v>
      </c>
      <c r="D439">
        <v>197</v>
      </c>
      <c r="E439">
        <v>0</v>
      </c>
      <c r="F439">
        <v>5</v>
      </c>
      <c r="G439">
        <v>50</v>
      </c>
    </row>
    <row r="440" spans="1:7" x14ac:dyDescent="0.25">
      <c r="A440">
        <v>40</v>
      </c>
      <c r="B440">
        <v>5118</v>
      </c>
      <c r="C440">
        <v>100</v>
      </c>
      <c r="D440">
        <v>296</v>
      </c>
      <c r="E440">
        <v>0</v>
      </c>
      <c r="F440">
        <v>5</v>
      </c>
      <c r="G440">
        <v>50</v>
      </c>
    </row>
    <row r="441" spans="1:7" x14ac:dyDescent="0.25">
      <c r="A441" t="s">
        <v>411</v>
      </c>
      <c r="B441">
        <v>5665</v>
      </c>
      <c r="C441">
        <v>111</v>
      </c>
      <c r="D441">
        <v>327</v>
      </c>
      <c r="E441">
        <v>6</v>
      </c>
      <c r="F441">
        <v>5</v>
      </c>
      <c r="G441">
        <v>50</v>
      </c>
    </row>
    <row r="442" spans="1:7" x14ac:dyDescent="0.25">
      <c r="A442">
        <v>50</v>
      </c>
      <c r="B442">
        <v>6516</v>
      </c>
      <c r="C442">
        <v>127</v>
      </c>
      <c r="D442">
        <v>376</v>
      </c>
      <c r="E442">
        <v>6</v>
      </c>
      <c r="F442">
        <v>5</v>
      </c>
      <c r="G442">
        <v>50</v>
      </c>
    </row>
    <row r="443" spans="1:7" x14ac:dyDescent="0.25">
      <c r="A443" t="s">
        <v>412</v>
      </c>
      <c r="B443">
        <v>7245</v>
      </c>
      <c r="C443">
        <v>141</v>
      </c>
      <c r="D443">
        <v>418</v>
      </c>
      <c r="E443">
        <v>12</v>
      </c>
      <c r="F443">
        <v>5</v>
      </c>
      <c r="G443">
        <v>50</v>
      </c>
    </row>
    <row r="444" spans="1:7" x14ac:dyDescent="0.25">
      <c r="A444">
        <v>60</v>
      </c>
      <c r="B444">
        <v>8096</v>
      </c>
      <c r="C444">
        <v>158</v>
      </c>
      <c r="D444">
        <v>468</v>
      </c>
      <c r="E444">
        <v>12</v>
      </c>
      <c r="F444">
        <v>5</v>
      </c>
      <c r="G444">
        <v>50</v>
      </c>
    </row>
    <row r="445" spans="1:7" x14ac:dyDescent="0.25">
      <c r="A445" t="s">
        <v>413</v>
      </c>
      <c r="B445">
        <v>8643</v>
      </c>
      <c r="C445">
        <v>169</v>
      </c>
      <c r="D445">
        <v>499</v>
      </c>
      <c r="E445">
        <v>12</v>
      </c>
      <c r="F445">
        <v>5</v>
      </c>
      <c r="G445">
        <v>50</v>
      </c>
    </row>
    <row r="446" spans="1:7" x14ac:dyDescent="0.25">
      <c r="A446">
        <v>70</v>
      </c>
      <c r="B446">
        <v>9493</v>
      </c>
      <c r="C446">
        <v>185</v>
      </c>
      <c r="D446">
        <v>548</v>
      </c>
      <c r="E446">
        <v>12</v>
      </c>
      <c r="F446">
        <v>5</v>
      </c>
      <c r="G446">
        <v>50</v>
      </c>
    </row>
    <row r="447" spans="1:7" x14ac:dyDescent="0.25">
      <c r="A447" t="s">
        <v>414</v>
      </c>
      <c r="B447">
        <v>10040</v>
      </c>
      <c r="C447">
        <v>196</v>
      </c>
      <c r="D447">
        <v>580</v>
      </c>
      <c r="E447">
        <v>18</v>
      </c>
      <c r="F447">
        <v>5</v>
      </c>
      <c r="G447">
        <v>50</v>
      </c>
    </row>
    <row r="448" spans="1:7" x14ac:dyDescent="0.25">
      <c r="A448">
        <v>80</v>
      </c>
      <c r="B448">
        <v>10891</v>
      </c>
      <c r="C448">
        <v>213</v>
      </c>
      <c r="D448">
        <v>629</v>
      </c>
      <c r="E448">
        <v>18</v>
      </c>
      <c r="F448">
        <v>5</v>
      </c>
      <c r="G448">
        <v>50</v>
      </c>
    </row>
    <row r="449" spans="1:7" x14ac:dyDescent="0.25">
      <c r="A449" t="s">
        <v>415</v>
      </c>
      <c r="B449">
        <v>11438</v>
      </c>
      <c r="C449">
        <v>223</v>
      </c>
      <c r="D449">
        <v>661</v>
      </c>
      <c r="E449">
        <v>24</v>
      </c>
      <c r="F449">
        <v>5</v>
      </c>
      <c r="G449">
        <v>50</v>
      </c>
    </row>
    <row r="450" spans="1:7" x14ac:dyDescent="0.25">
      <c r="A450">
        <v>90</v>
      </c>
      <c r="B450">
        <v>12289</v>
      </c>
      <c r="C450">
        <v>240</v>
      </c>
      <c r="D450">
        <v>710</v>
      </c>
      <c r="E450">
        <v>24</v>
      </c>
      <c r="F450">
        <v>5</v>
      </c>
      <c r="G450">
        <v>50</v>
      </c>
    </row>
    <row r="451" spans="1:7" x14ac:dyDescent="0.25">
      <c r="A451" t="s">
        <v>308</v>
      </c>
      <c r="B451" t="s">
        <v>405</v>
      </c>
      <c r="C451" t="s">
        <v>406</v>
      </c>
      <c r="D451" t="s">
        <v>407</v>
      </c>
      <c r="E451" t="s">
        <v>69</v>
      </c>
      <c r="F451" t="s">
        <v>408</v>
      </c>
      <c r="G451" t="s">
        <v>409</v>
      </c>
    </row>
    <row r="452" spans="1:7" x14ac:dyDescent="0.25">
      <c r="A452">
        <v>1</v>
      </c>
      <c r="B452">
        <v>994</v>
      </c>
      <c r="C452">
        <v>20</v>
      </c>
      <c r="D452">
        <v>62</v>
      </c>
      <c r="E452">
        <v>0</v>
      </c>
      <c r="F452">
        <v>5</v>
      </c>
      <c r="G452">
        <v>50</v>
      </c>
    </row>
    <row r="453" spans="1:7" x14ac:dyDescent="0.25">
      <c r="A453">
        <v>20</v>
      </c>
      <c r="B453">
        <v>2553</v>
      </c>
      <c r="C453">
        <v>53</v>
      </c>
      <c r="D453">
        <v>160</v>
      </c>
      <c r="E453">
        <v>0</v>
      </c>
      <c r="F453">
        <v>5</v>
      </c>
      <c r="G453">
        <v>50</v>
      </c>
    </row>
    <row r="454" spans="1:7" x14ac:dyDescent="0.25">
      <c r="A454" t="s">
        <v>410</v>
      </c>
      <c r="B454">
        <v>3296</v>
      </c>
      <c r="C454">
        <v>68</v>
      </c>
      <c r="D454">
        <v>207</v>
      </c>
      <c r="E454">
        <v>0</v>
      </c>
      <c r="F454">
        <v>5</v>
      </c>
      <c r="G454">
        <v>50</v>
      </c>
    </row>
    <row r="455" spans="1:7" x14ac:dyDescent="0.25">
      <c r="A455">
        <v>40</v>
      </c>
      <c r="B455">
        <v>4937</v>
      </c>
      <c r="C455">
        <v>102</v>
      </c>
      <c r="D455">
        <v>310</v>
      </c>
      <c r="E455">
        <v>0</v>
      </c>
      <c r="F455">
        <v>5</v>
      </c>
      <c r="G455">
        <v>50</v>
      </c>
    </row>
    <row r="456" spans="1:7" x14ac:dyDescent="0.25">
      <c r="A456" t="s">
        <v>411</v>
      </c>
      <c r="B456">
        <v>5464</v>
      </c>
      <c r="C456">
        <v>113</v>
      </c>
      <c r="D456">
        <v>343</v>
      </c>
      <c r="E456">
        <v>24</v>
      </c>
      <c r="F456">
        <v>5</v>
      </c>
      <c r="G456">
        <v>50</v>
      </c>
    </row>
    <row r="457" spans="1:7" x14ac:dyDescent="0.25">
      <c r="A457">
        <v>50</v>
      </c>
      <c r="B457">
        <v>6285</v>
      </c>
      <c r="C457">
        <v>130</v>
      </c>
      <c r="D457">
        <v>395</v>
      </c>
      <c r="E457">
        <v>24</v>
      </c>
      <c r="F457">
        <v>5</v>
      </c>
      <c r="G457">
        <v>50</v>
      </c>
    </row>
    <row r="458" spans="1:7" x14ac:dyDescent="0.25">
      <c r="A458" t="s">
        <v>412</v>
      </c>
      <c r="B458">
        <v>6988</v>
      </c>
      <c r="C458">
        <v>144</v>
      </c>
      <c r="D458">
        <v>439</v>
      </c>
      <c r="E458">
        <v>48</v>
      </c>
      <c r="F458">
        <v>5</v>
      </c>
      <c r="G458">
        <v>50</v>
      </c>
    </row>
    <row r="459" spans="1:7" x14ac:dyDescent="0.25">
      <c r="A459">
        <v>60</v>
      </c>
      <c r="B459">
        <v>7809</v>
      </c>
      <c r="C459">
        <v>161</v>
      </c>
      <c r="D459">
        <v>491</v>
      </c>
      <c r="E459">
        <v>48</v>
      </c>
      <c r="F459">
        <v>5</v>
      </c>
      <c r="G459">
        <v>50</v>
      </c>
    </row>
    <row r="460" spans="1:7" x14ac:dyDescent="0.25">
      <c r="A460" t="s">
        <v>413</v>
      </c>
      <c r="B460">
        <v>8337</v>
      </c>
      <c r="C460">
        <v>172</v>
      </c>
      <c r="D460">
        <v>524</v>
      </c>
      <c r="E460">
        <v>48</v>
      </c>
      <c r="F460">
        <v>5</v>
      </c>
      <c r="G460">
        <v>50</v>
      </c>
    </row>
    <row r="461" spans="1:7" x14ac:dyDescent="0.25">
      <c r="A461">
        <v>70</v>
      </c>
      <c r="B461">
        <v>9157</v>
      </c>
      <c r="C461">
        <v>189</v>
      </c>
      <c r="D461">
        <v>575</v>
      </c>
      <c r="E461">
        <v>48</v>
      </c>
      <c r="F461">
        <v>5</v>
      </c>
      <c r="G461">
        <v>50</v>
      </c>
    </row>
    <row r="462" spans="1:7" x14ac:dyDescent="0.25">
      <c r="A462" t="s">
        <v>414</v>
      </c>
      <c r="B462">
        <v>9684</v>
      </c>
      <c r="C462">
        <v>200</v>
      </c>
      <c r="D462">
        <v>608</v>
      </c>
      <c r="E462">
        <v>72</v>
      </c>
      <c r="F462">
        <v>5</v>
      </c>
      <c r="G462">
        <v>50</v>
      </c>
    </row>
    <row r="463" spans="1:7" x14ac:dyDescent="0.25">
      <c r="A463">
        <v>80</v>
      </c>
      <c r="B463">
        <v>10505</v>
      </c>
      <c r="C463">
        <v>216</v>
      </c>
      <c r="D463">
        <v>660</v>
      </c>
      <c r="E463">
        <v>72</v>
      </c>
      <c r="F463">
        <v>5</v>
      </c>
      <c r="G463">
        <v>50</v>
      </c>
    </row>
    <row r="464" spans="1:7" x14ac:dyDescent="0.25">
      <c r="A464" t="s">
        <v>415</v>
      </c>
      <c r="B464">
        <v>11033</v>
      </c>
      <c r="C464">
        <v>227</v>
      </c>
      <c r="D464">
        <v>693</v>
      </c>
      <c r="E464">
        <v>96</v>
      </c>
      <c r="F464">
        <v>5</v>
      </c>
      <c r="G464">
        <v>50</v>
      </c>
    </row>
    <row r="465" spans="1:7" x14ac:dyDescent="0.25">
      <c r="A465">
        <v>90</v>
      </c>
      <c r="B465">
        <v>11854</v>
      </c>
      <c r="C465">
        <v>244</v>
      </c>
      <c r="D465">
        <v>745</v>
      </c>
      <c r="E465">
        <v>96</v>
      </c>
      <c r="F465">
        <v>5</v>
      </c>
      <c r="G465">
        <v>50</v>
      </c>
    </row>
    <row r="466" spans="1:7" x14ac:dyDescent="0.25">
      <c r="A466" t="s">
        <v>316</v>
      </c>
      <c r="B466" t="s">
        <v>405</v>
      </c>
      <c r="C466" t="s">
        <v>406</v>
      </c>
      <c r="D466" t="s">
        <v>407</v>
      </c>
      <c r="E466" t="s">
        <v>71</v>
      </c>
      <c r="F466" t="s">
        <v>408</v>
      </c>
      <c r="G466" t="s">
        <v>409</v>
      </c>
    </row>
    <row r="467" spans="1:7" x14ac:dyDescent="0.25">
      <c r="A467">
        <v>1</v>
      </c>
      <c r="B467">
        <v>775</v>
      </c>
      <c r="C467">
        <v>14</v>
      </c>
      <c r="D467">
        <v>59</v>
      </c>
      <c r="E467">
        <v>0</v>
      </c>
      <c r="F467">
        <v>5</v>
      </c>
      <c r="G467">
        <v>50</v>
      </c>
    </row>
    <row r="468" spans="1:7" x14ac:dyDescent="0.25">
      <c r="A468">
        <v>20</v>
      </c>
      <c r="B468">
        <v>1991</v>
      </c>
      <c r="C468">
        <v>37</v>
      </c>
      <c r="D468">
        <v>151</v>
      </c>
      <c r="E468">
        <v>0</v>
      </c>
      <c r="F468">
        <v>5</v>
      </c>
      <c r="G468">
        <v>50</v>
      </c>
    </row>
    <row r="469" spans="1:7" x14ac:dyDescent="0.25">
      <c r="A469" t="s">
        <v>410</v>
      </c>
      <c r="B469">
        <v>2570</v>
      </c>
      <c r="C469">
        <v>47</v>
      </c>
      <c r="D469">
        <v>195</v>
      </c>
      <c r="E469">
        <v>0</v>
      </c>
      <c r="F469">
        <v>5</v>
      </c>
      <c r="G469">
        <v>50</v>
      </c>
    </row>
    <row r="470" spans="1:7" x14ac:dyDescent="0.25">
      <c r="A470">
        <v>40</v>
      </c>
      <c r="B470">
        <v>3850</v>
      </c>
      <c r="C470">
        <v>71</v>
      </c>
      <c r="D470">
        <v>293</v>
      </c>
      <c r="E470">
        <v>0</v>
      </c>
      <c r="F470">
        <v>5</v>
      </c>
      <c r="G470">
        <v>50</v>
      </c>
    </row>
    <row r="471" spans="1:7" x14ac:dyDescent="0.25">
      <c r="A471" t="s">
        <v>411</v>
      </c>
      <c r="B471">
        <v>4261</v>
      </c>
      <c r="C471">
        <v>78</v>
      </c>
      <c r="D471">
        <v>324</v>
      </c>
      <c r="E471">
        <v>6</v>
      </c>
      <c r="F471">
        <v>5</v>
      </c>
      <c r="G471">
        <v>50</v>
      </c>
    </row>
    <row r="472" spans="1:7" x14ac:dyDescent="0.25">
      <c r="A472">
        <v>50</v>
      </c>
      <c r="B472">
        <v>4901</v>
      </c>
      <c r="C472">
        <v>90</v>
      </c>
      <c r="D472">
        <v>373</v>
      </c>
      <c r="E472">
        <v>6</v>
      </c>
      <c r="F472">
        <v>5</v>
      </c>
      <c r="G472">
        <v>50</v>
      </c>
    </row>
    <row r="473" spans="1:7" x14ac:dyDescent="0.25">
      <c r="A473" t="s">
        <v>412</v>
      </c>
      <c r="B473">
        <v>5450</v>
      </c>
      <c r="C473">
        <v>100</v>
      </c>
      <c r="D473">
        <v>414</v>
      </c>
      <c r="E473">
        <v>12</v>
      </c>
      <c r="F473">
        <v>5</v>
      </c>
      <c r="G473">
        <v>50</v>
      </c>
    </row>
    <row r="474" spans="1:7" x14ac:dyDescent="0.25">
      <c r="A474">
        <v>60</v>
      </c>
      <c r="B474">
        <v>6090</v>
      </c>
      <c r="C474">
        <v>112</v>
      </c>
      <c r="D474">
        <v>463</v>
      </c>
      <c r="E474">
        <v>12</v>
      </c>
      <c r="F474">
        <v>5</v>
      </c>
      <c r="G474">
        <v>50</v>
      </c>
    </row>
    <row r="475" spans="1:7" x14ac:dyDescent="0.25">
      <c r="A475" t="s">
        <v>413</v>
      </c>
      <c r="B475">
        <v>6501</v>
      </c>
      <c r="C475">
        <v>120</v>
      </c>
      <c r="D475">
        <v>494</v>
      </c>
      <c r="E475">
        <v>12</v>
      </c>
      <c r="F475">
        <v>5</v>
      </c>
      <c r="G475">
        <v>50</v>
      </c>
    </row>
    <row r="476" spans="1:7" x14ac:dyDescent="0.25">
      <c r="A476">
        <v>70</v>
      </c>
      <c r="B476">
        <v>7141</v>
      </c>
      <c r="C476">
        <v>131</v>
      </c>
      <c r="D476">
        <v>543</v>
      </c>
      <c r="E476">
        <v>12</v>
      </c>
      <c r="F476">
        <v>5</v>
      </c>
      <c r="G476">
        <v>50</v>
      </c>
    </row>
    <row r="477" spans="1:7" x14ac:dyDescent="0.25">
      <c r="A477" t="s">
        <v>414</v>
      </c>
      <c r="B477">
        <v>7552</v>
      </c>
      <c r="C477">
        <v>139</v>
      </c>
      <c r="D477">
        <v>574</v>
      </c>
      <c r="E477">
        <v>18</v>
      </c>
      <c r="F477">
        <v>5</v>
      </c>
      <c r="G477">
        <v>50</v>
      </c>
    </row>
    <row r="478" spans="1:7" x14ac:dyDescent="0.25">
      <c r="A478">
        <v>80</v>
      </c>
      <c r="B478">
        <v>8192</v>
      </c>
      <c r="C478">
        <v>151</v>
      </c>
      <c r="D478">
        <v>623</v>
      </c>
      <c r="E478">
        <v>18</v>
      </c>
      <c r="F478">
        <v>5</v>
      </c>
      <c r="G478">
        <v>50</v>
      </c>
    </row>
    <row r="479" spans="1:7" x14ac:dyDescent="0.25">
      <c r="A479" t="s">
        <v>415</v>
      </c>
      <c r="B479">
        <v>8604</v>
      </c>
      <c r="C479">
        <v>158</v>
      </c>
      <c r="D479">
        <v>654</v>
      </c>
      <c r="E479">
        <v>24</v>
      </c>
      <c r="F479">
        <v>5</v>
      </c>
      <c r="G479">
        <v>50</v>
      </c>
    </row>
    <row r="480" spans="1:7" x14ac:dyDescent="0.25">
      <c r="A480">
        <v>90</v>
      </c>
      <c r="B480">
        <v>9244</v>
      </c>
      <c r="C480">
        <v>170</v>
      </c>
      <c r="D480">
        <v>703</v>
      </c>
      <c r="E480">
        <v>24</v>
      </c>
      <c r="F480">
        <v>5</v>
      </c>
      <c r="G480">
        <v>50</v>
      </c>
    </row>
    <row r="481" spans="1:7" x14ac:dyDescent="0.25">
      <c r="A481" t="s">
        <v>333</v>
      </c>
      <c r="B481" t="s">
        <v>405</v>
      </c>
      <c r="C481" t="s">
        <v>406</v>
      </c>
      <c r="D481" t="s">
        <v>407</v>
      </c>
      <c r="E481" t="s">
        <v>68</v>
      </c>
      <c r="F481" t="s">
        <v>408</v>
      </c>
      <c r="G481" t="s">
        <v>409</v>
      </c>
    </row>
    <row r="482" spans="1:7" x14ac:dyDescent="0.25">
      <c r="A482">
        <v>1</v>
      </c>
      <c r="B482">
        <v>820</v>
      </c>
      <c r="C482">
        <v>20</v>
      </c>
      <c r="D482">
        <v>52</v>
      </c>
      <c r="E482">
        <v>0</v>
      </c>
      <c r="F482">
        <v>5</v>
      </c>
      <c r="G482">
        <v>50</v>
      </c>
    </row>
    <row r="483" spans="1:7" x14ac:dyDescent="0.25">
      <c r="A483">
        <v>20</v>
      </c>
      <c r="B483">
        <v>2127</v>
      </c>
      <c r="C483">
        <v>53</v>
      </c>
      <c r="D483">
        <v>135</v>
      </c>
      <c r="E483">
        <v>0</v>
      </c>
      <c r="F483">
        <v>5</v>
      </c>
      <c r="G483">
        <v>50</v>
      </c>
    </row>
    <row r="484" spans="1:7" x14ac:dyDescent="0.25">
      <c r="A484" t="s">
        <v>410</v>
      </c>
      <c r="B484">
        <v>2830</v>
      </c>
      <c r="C484">
        <v>71</v>
      </c>
      <c r="D484">
        <v>180</v>
      </c>
      <c r="E484">
        <v>0</v>
      </c>
      <c r="F484">
        <v>5</v>
      </c>
      <c r="G484">
        <v>50</v>
      </c>
    </row>
    <row r="485" spans="1:7" x14ac:dyDescent="0.25">
      <c r="A485">
        <v>40</v>
      </c>
      <c r="B485">
        <v>4234</v>
      </c>
      <c r="C485">
        <v>106</v>
      </c>
      <c r="D485">
        <v>269</v>
      </c>
      <c r="E485">
        <v>0</v>
      </c>
      <c r="F485">
        <v>5</v>
      </c>
      <c r="G485">
        <v>50</v>
      </c>
    </row>
    <row r="486" spans="1:7" x14ac:dyDescent="0.25">
      <c r="A486" t="s">
        <v>411</v>
      </c>
      <c r="B486">
        <v>4734</v>
      </c>
      <c r="C486">
        <v>118</v>
      </c>
      <c r="D486">
        <v>301</v>
      </c>
      <c r="E486">
        <v>8</v>
      </c>
      <c r="F486">
        <v>5</v>
      </c>
      <c r="G486">
        <v>50</v>
      </c>
    </row>
    <row r="487" spans="1:7" x14ac:dyDescent="0.25">
      <c r="A487">
        <v>50</v>
      </c>
      <c r="B487">
        <v>5446</v>
      </c>
      <c r="C487">
        <v>136</v>
      </c>
      <c r="D487">
        <v>346</v>
      </c>
      <c r="E487">
        <v>8</v>
      </c>
      <c r="F487">
        <v>5</v>
      </c>
      <c r="G487">
        <v>50</v>
      </c>
    </row>
    <row r="488" spans="1:7" x14ac:dyDescent="0.25">
      <c r="A488" t="s">
        <v>412</v>
      </c>
      <c r="B488">
        <v>6112</v>
      </c>
      <c r="C488">
        <v>153</v>
      </c>
      <c r="D488">
        <v>388</v>
      </c>
      <c r="E488">
        <v>16</v>
      </c>
      <c r="F488">
        <v>5</v>
      </c>
      <c r="G488">
        <v>50</v>
      </c>
    </row>
    <row r="489" spans="1:7" x14ac:dyDescent="0.25">
      <c r="A489">
        <v>60</v>
      </c>
      <c r="B489">
        <v>6832</v>
      </c>
      <c r="C489">
        <v>171</v>
      </c>
      <c r="D489">
        <v>434</v>
      </c>
      <c r="E489">
        <v>16</v>
      </c>
      <c r="F489">
        <v>5</v>
      </c>
      <c r="G489">
        <v>50</v>
      </c>
    </row>
    <row r="490" spans="1:7" x14ac:dyDescent="0.25">
      <c r="A490" t="s">
        <v>413</v>
      </c>
      <c r="B490">
        <v>7331</v>
      </c>
      <c r="C490">
        <v>183</v>
      </c>
      <c r="D490">
        <v>465</v>
      </c>
      <c r="E490">
        <v>16</v>
      </c>
      <c r="F490">
        <v>5</v>
      </c>
      <c r="G490">
        <v>50</v>
      </c>
    </row>
    <row r="491" spans="1:7" x14ac:dyDescent="0.25">
      <c r="A491">
        <v>70</v>
      </c>
      <c r="B491">
        <v>8058</v>
      </c>
      <c r="C491">
        <v>201</v>
      </c>
      <c r="D491">
        <v>512</v>
      </c>
      <c r="E491">
        <v>16</v>
      </c>
      <c r="F491">
        <v>5</v>
      </c>
      <c r="G491">
        <v>50</v>
      </c>
    </row>
    <row r="492" spans="1:7" x14ac:dyDescent="0.25">
      <c r="A492" t="s">
        <v>414</v>
      </c>
      <c r="B492">
        <v>8557</v>
      </c>
      <c r="C492">
        <v>214</v>
      </c>
      <c r="D492">
        <v>543</v>
      </c>
      <c r="E492">
        <v>24</v>
      </c>
      <c r="F492">
        <v>5</v>
      </c>
      <c r="G492">
        <v>50</v>
      </c>
    </row>
    <row r="493" spans="1:7" x14ac:dyDescent="0.25">
      <c r="A493">
        <v>80</v>
      </c>
      <c r="B493">
        <v>9292</v>
      </c>
      <c r="C493">
        <v>232</v>
      </c>
      <c r="D493">
        <v>590</v>
      </c>
      <c r="E493">
        <v>24</v>
      </c>
      <c r="F493">
        <v>5</v>
      </c>
      <c r="G493">
        <v>50</v>
      </c>
    </row>
    <row r="494" spans="1:7" x14ac:dyDescent="0.25">
      <c r="A494" t="s">
        <v>415</v>
      </c>
      <c r="B494">
        <v>9791</v>
      </c>
      <c r="C494">
        <v>245</v>
      </c>
      <c r="D494">
        <v>622</v>
      </c>
      <c r="E494">
        <v>32</v>
      </c>
      <c r="F494">
        <v>5</v>
      </c>
      <c r="G494">
        <v>50</v>
      </c>
    </row>
    <row r="495" spans="1:7" x14ac:dyDescent="0.25">
      <c r="A495">
        <v>90</v>
      </c>
      <c r="B495">
        <v>10531</v>
      </c>
      <c r="C495">
        <v>263</v>
      </c>
      <c r="D495">
        <v>669</v>
      </c>
      <c r="E495">
        <v>32</v>
      </c>
      <c r="F495">
        <v>5</v>
      </c>
      <c r="G495">
        <v>50</v>
      </c>
    </row>
    <row r="496" spans="1:7" x14ac:dyDescent="0.25">
      <c r="A496" t="s">
        <v>337</v>
      </c>
      <c r="B496" t="s">
        <v>405</v>
      </c>
      <c r="C496" t="s">
        <v>406</v>
      </c>
      <c r="D496" t="s">
        <v>407</v>
      </c>
      <c r="E496" t="s">
        <v>69</v>
      </c>
      <c r="F496" t="s">
        <v>408</v>
      </c>
      <c r="G496" t="s">
        <v>409</v>
      </c>
    </row>
    <row r="497" spans="1:7" x14ac:dyDescent="0.25">
      <c r="A497">
        <v>1</v>
      </c>
      <c r="B497">
        <v>912</v>
      </c>
      <c r="C497">
        <v>19</v>
      </c>
      <c r="D497">
        <v>56</v>
      </c>
      <c r="E497">
        <v>0</v>
      </c>
      <c r="F497">
        <v>5</v>
      </c>
      <c r="G497">
        <v>50</v>
      </c>
    </row>
    <row r="498" spans="1:7" x14ac:dyDescent="0.25">
      <c r="A498">
        <v>20</v>
      </c>
      <c r="B498">
        <v>2342</v>
      </c>
      <c r="C498">
        <v>48</v>
      </c>
      <c r="D498">
        <v>144</v>
      </c>
      <c r="E498">
        <v>0</v>
      </c>
      <c r="F498">
        <v>5</v>
      </c>
      <c r="G498">
        <v>50</v>
      </c>
    </row>
    <row r="499" spans="1:7" x14ac:dyDescent="0.25">
      <c r="A499" t="s">
        <v>410</v>
      </c>
      <c r="B499">
        <v>3024</v>
      </c>
      <c r="C499">
        <v>63</v>
      </c>
      <c r="D499">
        <v>186</v>
      </c>
      <c r="E499">
        <v>0</v>
      </c>
      <c r="F499">
        <v>5</v>
      </c>
      <c r="G499">
        <v>50</v>
      </c>
    </row>
    <row r="500" spans="1:7" x14ac:dyDescent="0.25">
      <c r="A500">
        <v>40</v>
      </c>
      <c r="B500">
        <v>4529</v>
      </c>
      <c r="C500">
        <v>94</v>
      </c>
      <c r="D500">
        <v>279</v>
      </c>
      <c r="E500">
        <v>0</v>
      </c>
      <c r="F500">
        <v>5</v>
      </c>
      <c r="G500">
        <v>50</v>
      </c>
    </row>
    <row r="501" spans="1:7" x14ac:dyDescent="0.25">
      <c r="A501" t="s">
        <v>411</v>
      </c>
      <c r="B501">
        <v>5013</v>
      </c>
      <c r="C501">
        <v>104</v>
      </c>
      <c r="D501">
        <v>308</v>
      </c>
      <c r="E501">
        <v>24</v>
      </c>
      <c r="F501">
        <v>5</v>
      </c>
      <c r="G501">
        <v>50</v>
      </c>
    </row>
    <row r="502" spans="1:7" x14ac:dyDescent="0.25">
      <c r="A502">
        <v>50</v>
      </c>
      <c r="B502">
        <v>5766</v>
      </c>
      <c r="C502">
        <v>119</v>
      </c>
      <c r="D502">
        <v>355</v>
      </c>
      <c r="E502">
        <v>24</v>
      </c>
      <c r="F502">
        <v>5</v>
      </c>
      <c r="G502">
        <v>50</v>
      </c>
    </row>
    <row r="503" spans="1:7" x14ac:dyDescent="0.25">
      <c r="A503" t="s">
        <v>412</v>
      </c>
      <c r="B503">
        <v>6411</v>
      </c>
      <c r="C503">
        <v>133</v>
      </c>
      <c r="D503">
        <v>394</v>
      </c>
      <c r="E503">
        <v>48</v>
      </c>
      <c r="F503">
        <v>5</v>
      </c>
      <c r="G503">
        <v>50</v>
      </c>
    </row>
    <row r="504" spans="1:7" x14ac:dyDescent="0.25">
      <c r="A504">
        <v>60</v>
      </c>
      <c r="B504">
        <v>7164</v>
      </c>
      <c r="C504">
        <v>148</v>
      </c>
      <c r="D504">
        <v>441</v>
      </c>
      <c r="E504">
        <v>48</v>
      </c>
      <c r="F504">
        <v>5</v>
      </c>
      <c r="G504">
        <v>50</v>
      </c>
    </row>
    <row r="505" spans="1:7" x14ac:dyDescent="0.25">
      <c r="A505" t="s">
        <v>413</v>
      </c>
      <c r="B505">
        <v>7648</v>
      </c>
      <c r="C505">
        <v>158</v>
      </c>
      <c r="D505">
        <v>470</v>
      </c>
      <c r="E505">
        <v>48</v>
      </c>
      <c r="F505">
        <v>5</v>
      </c>
      <c r="G505">
        <v>50</v>
      </c>
    </row>
    <row r="506" spans="1:7" x14ac:dyDescent="0.25">
      <c r="A506">
        <v>70</v>
      </c>
      <c r="B506">
        <v>8401</v>
      </c>
      <c r="C506">
        <v>174</v>
      </c>
      <c r="D506">
        <v>517</v>
      </c>
      <c r="E506">
        <v>48</v>
      </c>
      <c r="F506">
        <v>5</v>
      </c>
      <c r="G506">
        <v>50</v>
      </c>
    </row>
    <row r="507" spans="1:7" x14ac:dyDescent="0.25">
      <c r="A507" t="s">
        <v>414</v>
      </c>
      <c r="B507">
        <v>8885</v>
      </c>
      <c r="C507">
        <v>184</v>
      </c>
      <c r="D507">
        <v>546</v>
      </c>
      <c r="E507">
        <v>72</v>
      </c>
      <c r="F507">
        <v>5</v>
      </c>
      <c r="G507">
        <v>50</v>
      </c>
    </row>
    <row r="508" spans="1:7" x14ac:dyDescent="0.25">
      <c r="A508">
        <v>80</v>
      </c>
      <c r="B508">
        <v>9638</v>
      </c>
      <c r="C508">
        <v>200</v>
      </c>
      <c r="D508">
        <v>593</v>
      </c>
      <c r="E508">
        <v>72</v>
      </c>
      <c r="F508">
        <v>5</v>
      </c>
      <c r="G508">
        <v>50</v>
      </c>
    </row>
    <row r="509" spans="1:7" x14ac:dyDescent="0.25">
      <c r="A509" t="s">
        <v>415</v>
      </c>
      <c r="B509">
        <v>10122</v>
      </c>
      <c r="C509">
        <v>210</v>
      </c>
      <c r="D509">
        <v>623</v>
      </c>
      <c r="E509">
        <v>96</v>
      </c>
      <c r="F509">
        <v>5</v>
      </c>
      <c r="G509">
        <v>50</v>
      </c>
    </row>
    <row r="510" spans="1:7" x14ac:dyDescent="0.25">
      <c r="A510">
        <v>90</v>
      </c>
      <c r="B510">
        <v>10875</v>
      </c>
      <c r="C510">
        <v>225</v>
      </c>
      <c r="D510">
        <v>669</v>
      </c>
      <c r="E510">
        <v>96</v>
      </c>
      <c r="F510">
        <v>5</v>
      </c>
      <c r="G510">
        <v>50</v>
      </c>
    </row>
    <row r="511" spans="1:7" x14ac:dyDescent="0.25">
      <c r="A511" t="s">
        <v>344</v>
      </c>
      <c r="B511" t="s">
        <v>405</v>
      </c>
      <c r="C511" t="s">
        <v>406</v>
      </c>
      <c r="D511" t="s">
        <v>407</v>
      </c>
      <c r="E511" t="s">
        <v>408</v>
      </c>
      <c r="F511" t="s">
        <v>409</v>
      </c>
    </row>
    <row r="512" spans="1:7" x14ac:dyDescent="0.25">
      <c r="A512">
        <v>1</v>
      </c>
      <c r="B512">
        <v>991</v>
      </c>
      <c r="C512">
        <v>27</v>
      </c>
      <c r="D512">
        <v>62</v>
      </c>
      <c r="E512">
        <v>5</v>
      </c>
      <c r="F512">
        <v>50</v>
      </c>
    </row>
    <row r="513" spans="1:7" x14ac:dyDescent="0.25">
      <c r="A513">
        <v>20</v>
      </c>
      <c r="B513">
        <v>2572</v>
      </c>
      <c r="C513">
        <v>71</v>
      </c>
      <c r="D513">
        <v>161</v>
      </c>
      <c r="E513">
        <v>5</v>
      </c>
      <c r="F513">
        <v>50</v>
      </c>
    </row>
    <row r="514" spans="1:7" x14ac:dyDescent="0.25">
      <c r="A514" t="s">
        <v>410</v>
      </c>
      <c r="B514">
        <v>3422</v>
      </c>
      <c r="C514">
        <v>94</v>
      </c>
      <c r="D514">
        <v>215</v>
      </c>
      <c r="E514">
        <v>5</v>
      </c>
      <c r="F514">
        <v>50</v>
      </c>
    </row>
    <row r="515" spans="1:7" x14ac:dyDescent="0.25">
      <c r="A515">
        <v>40</v>
      </c>
      <c r="B515">
        <v>5120</v>
      </c>
      <c r="C515">
        <v>140</v>
      </c>
      <c r="D515">
        <v>321</v>
      </c>
      <c r="E515">
        <v>5</v>
      </c>
      <c r="F515">
        <v>50</v>
      </c>
    </row>
    <row r="516" spans="1:7" x14ac:dyDescent="0.25">
      <c r="A516" t="s">
        <v>411</v>
      </c>
      <c r="B516">
        <v>5724</v>
      </c>
      <c r="C516">
        <v>157</v>
      </c>
      <c r="D516">
        <v>359</v>
      </c>
      <c r="E516">
        <v>9.8000000000000007</v>
      </c>
      <c r="F516">
        <v>50</v>
      </c>
    </row>
    <row r="517" spans="1:7" x14ac:dyDescent="0.25">
      <c r="A517">
        <v>50</v>
      </c>
      <c r="B517">
        <v>6586</v>
      </c>
      <c r="C517">
        <v>181</v>
      </c>
      <c r="D517">
        <v>413</v>
      </c>
      <c r="E517">
        <v>9.8000000000000007</v>
      </c>
      <c r="F517">
        <v>50</v>
      </c>
    </row>
    <row r="518" spans="1:7" x14ac:dyDescent="0.25">
      <c r="A518" t="s">
        <v>412</v>
      </c>
      <c r="B518">
        <v>7391</v>
      </c>
      <c r="C518">
        <v>203</v>
      </c>
      <c r="D518">
        <v>464</v>
      </c>
      <c r="E518">
        <v>14.6</v>
      </c>
      <c r="F518">
        <v>50</v>
      </c>
    </row>
    <row r="519" spans="1:7" x14ac:dyDescent="0.25">
      <c r="A519">
        <v>60</v>
      </c>
      <c r="B519">
        <v>8262</v>
      </c>
      <c r="C519">
        <v>227</v>
      </c>
      <c r="D519">
        <v>519</v>
      </c>
      <c r="E519">
        <v>14.6</v>
      </c>
      <c r="F519">
        <v>50</v>
      </c>
    </row>
    <row r="520" spans="1:7" x14ac:dyDescent="0.25">
      <c r="A520" t="s">
        <v>413</v>
      </c>
      <c r="B520">
        <v>8866</v>
      </c>
      <c r="C520">
        <v>243</v>
      </c>
      <c r="D520">
        <v>556</v>
      </c>
      <c r="E520">
        <v>14.6</v>
      </c>
      <c r="F520">
        <v>50</v>
      </c>
    </row>
    <row r="521" spans="1:7" x14ac:dyDescent="0.25">
      <c r="A521">
        <v>70</v>
      </c>
      <c r="B521">
        <v>9744</v>
      </c>
      <c r="C521">
        <v>267</v>
      </c>
      <c r="D521">
        <v>612</v>
      </c>
      <c r="E521">
        <v>14.6</v>
      </c>
      <c r="F521">
        <v>50</v>
      </c>
    </row>
    <row r="522" spans="1:7" x14ac:dyDescent="0.25">
      <c r="A522" t="s">
        <v>414</v>
      </c>
      <c r="B522">
        <v>10348</v>
      </c>
      <c r="C522">
        <v>284</v>
      </c>
      <c r="D522">
        <v>649</v>
      </c>
      <c r="E522">
        <v>19.399999999999999</v>
      </c>
      <c r="F522">
        <v>50</v>
      </c>
    </row>
    <row r="523" spans="1:7" x14ac:dyDescent="0.25">
      <c r="A523">
        <v>80</v>
      </c>
      <c r="B523">
        <v>11236</v>
      </c>
      <c r="C523">
        <v>308</v>
      </c>
      <c r="D523">
        <v>705</v>
      </c>
      <c r="E523">
        <v>19.399999999999999</v>
      </c>
      <c r="F523">
        <v>50</v>
      </c>
    </row>
    <row r="524" spans="1:7" x14ac:dyDescent="0.25">
      <c r="A524" t="s">
        <v>415</v>
      </c>
      <c r="B524">
        <v>11840</v>
      </c>
      <c r="C524">
        <v>325</v>
      </c>
      <c r="D524">
        <v>743</v>
      </c>
      <c r="E524">
        <v>24.2</v>
      </c>
      <c r="F524">
        <v>50</v>
      </c>
    </row>
    <row r="525" spans="1:7" x14ac:dyDescent="0.25">
      <c r="A525">
        <v>90</v>
      </c>
      <c r="B525">
        <v>12736</v>
      </c>
      <c r="C525">
        <v>349</v>
      </c>
      <c r="D525">
        <v>799</v>
      </c>
      <c r="E525">
        <v>24.2</v>
      </c>
      <c r="F525">
        <v>50</v>
      </c>
    </row>
    <row r="526" spans="1:7" x14ac:dyDescent="0.25">
      <c r="A526" t="s">
        <v>346</v>
      </c>
      <c r="B526" t="s">
        <v>405</v>
      </c>
      <c r="C526" t="s">
        <v>406</v>
      </c>
      <c r="D526" t="s">
        <v>407</v>
      </c>
      <c r="E526" t="s">
        <v>65</v>
      </c>
      <c r="F526" t="s">
        <v>408</v>
      </c>
      <c r="G526" t="s">
        <v>409</v>
      </c>
    </row>
    <row r="527" spans="1:7" x14ac:dyDescent="0.25">
      <c r="A527">
        <v>1</v>
      </c>
      <c r="B527">
        <v>857</v>
      </c>
      <c r="C527">
        <v>17</v>
      </c>
      <c r="D527">
        <v>64</v>
      </c>
      <c r="E527">
        <v>0</v>
      </c>
      <c r="F527">
        <v>5</v>
      </c>
      <c r="G527">
        <v>50</v>
      </c>
    </row>
    <row r="528" spans="1:7" x14ac:dyDescent="0.25">
      <c r="A528">
        <v>20</v>
      </c>
      <c r="B528">
        <v>2202</v>
      </c>
      <c r="C528">
        <v>43</v>
      </c>
      <c r="D528">
        <v>163</v>
      </c>
      <c r="E528">
        <v>0</v>
      </c>
      <c r="F528">
        <v>5</v>
      </c>
      <c r="G528">
        <v>50</v>
      </c>
    </row>
    <row r="529" spans="1:7" x14ac:dyDescent="0.25">
      <c r="A529" t="s">
        <v>410</v>
      </c>
      <c r="B529">
        <v>2842</v>
      </c>
      <c r="C529">
        <v>56</v>
      </c>
      <c r="D529">
        <v>211</v>
      </c>
      <c r="E529">
        <v>0</v>
      </c>
      <c r="F529">
        <v>5</v>
      </c>
      <c r="G529">
        <v>50</v>
      </c>
    </row>
    <row r="530" spans="1:7" x14ac:dyDescent="0.25">
      <c r="A530">
        <v>40</v>
      </c>
      <c r="B530">
        <v>4257</v>
      </c>
      <c r="C530">
        <v>84</v>
      </c>
      <c r="D530">
        <v>316</v>
      </c>
      <c r="E530">
        <v>0</v>
      </c>
      <c r="F530">
        <v>5</v>
      </c>
      <c r="G530">
        <v>50</v>
      </c>
    </row>
    <row r="531" spans="1:7" x14ac:dyDescent="0.25">
      <c r="A531" t="s">
        <v>411</v>
      </c>
      <c r="B531">
        <v>4712</v>
      </c>
      <c r="C531">
        <v>93</v>
      </c>
      <c r="D531">
        <v>349</v>
      </c>
      <c r="E531">
        <v>6</v>
      </c>
      <c r="F531">
        <v>5</v>
      </c>
      <c r="G531">
        <v>50</v>
      </c>
    </row>
    <row r="532" spans="1:7" x14ac:dyDescent="0.25">
      <c r="A532">
        <v>50</v>
      </c>
      <c r="B532">
        <v>5420</v>
      </c>
      <c r="C532">
        <v>107</v>
      </c>
      <c r="D532">
        <v>402</v>
      </c>
      <c r="E532">
        <v>6</v>
      </c>
      <c r="F532">
        <v>5</v>
      </c>
      <c r="G532">
        <v>50</v>
      </c>
    </row>
    <row r="533" spans="1:7" x14ac:dyDescent="0.25">
      <c r="A533" t="s">
        <v>412</v>
      </c>
      <c r="B533">
        <v>6027</v>
      </c>
      <c r="C533">
        <v>119</v>
      </c>
      <c r="D533">
        <v>447</v>
      </c>
      <c r="E533">
        <v>12</v>
      </c>
      <c r="F533">
        <v>5</v>
      </c>
      <c r="G533">
        <v>50</v>
      </c>
    </row>
    <row r="534" spans="1:7" x14ac:dyDescent="0.25">
      <c r="A534">
        <v>60</v>
      </c>
      <c r="B534">
        <v>6735</v>
      </c>
      <c r="C534">
        <v>133</v>
      </c>
      <c r="D534">
        <v>499</v>
      </c>
      <c r="E534">
        <v>12</v>
      </c>
      <c r="F534">
        <v>5</v>
      </c>
      <c r="G534">
        <v>50</v>
      </c>
    </row>
    <row r="535" spans="1:7" x14ac:dyDescent="0.25">
      <c r="A535" t="s">
        <v>413</v>
      </c>
      <c r="B535">
        <v>7190</v>
      </c>
      <c r="C535">
        <v>142</v>
      </c>
      <c r="D535">
        <v>533</v>
      </c>
      <c r="E535">
        <v>12</v>
      </c>
      <c r="F535">
        <v>5</v>
      </c>
      <c r="G535">
        <v>50</v>
      </c>
    </row>
    <row r="536" spans="1:7" x14ac:dyDescent="0.25">
      <c r="A536">
        <v>70</v>
      </c>
      <c r="B536">
        <v>7897</v>
      </c>
      <c r="C536">
        <v>156</v>
      </c>
      <c r="D536">
        <v>585</v>
      </c>
      <c r="E536">
        <v>12</v>
      </c>
      <c r="F536">
        <v>5</v>
      </c>
      <c r="G536">
        <v>50</v>
      </c>
    </row>
    <row r="537" spans="1:7" x14ac:dyDescent="0.25">
      <c r="A537" t="s">
        <v>414</v>
      </c>
      <c r="B537">
        <v>8352</v>
      </c>
      <c r="C537">
        <v>165</v>
      </c>
      <c r="D537">
        <v>619</v>
      </c>
      <c r="E537">
        <v>18</v>
      </c>
      <c r="F537">
        <v>5</v>
      </c>
      <c r="G537">
        <v>50</v>
      </c>
    </row>
    <row r="538" spans="1:7" x14ac:dyDescent="0.25">
      <c r="A538">
        <v>80</v>
      </c>
      <c r="B538">
        <v>9060</v>
      </c>
      <c r="C538">
        <v>179</v>
      </c>
      <c r="D538">
        <v>671</v>
      </c>
      <c r="E538">
        <v>18</v>
      </c>
      <c r="F538">
        <v>5</v>
      </c>
      <c r="G538">
        <v>50</v>
      </c>
    </row>
    <row r="539" spans="1:7" x14ac:dyDescent="0.25">
      <c r="A539" t="s">
        <v>415</v>
      </c>
      <c r="B539">
        <v>9514</v>
      </c>
      <c r="C539">
        <v>188</v>
      </c>
      <c r="D539">
        <v>705</v>
      </c>
      <c r="E539">
        <v>24</v>
      </c>
      <c r="F539">
        <v>5</v>
      </c>
      <c r="G539">
        <v>50</v>
      </c>
    </row>
    <row r="540" spans="1:7" x14ac:dyDescent="0.25">
      <c r="A540">
        <v>90</v>
      </c>
      <c r="B540">
        <v>10222</v>
      </c>
      <c r="C540">
        <v>202</v>
      </c>
      <c r="D540">
        <v>758</v>
      </c>
      <c r="E540">
        <v>24</v>
      </c>
      <c r="F540">
        <v>5</v>
      </c>
      <c r="G540">
        <v>50</v>
      </c>
    </row>
    <row r="541" spans="1:7" x14ac:dyDescent="0.25">
      <c r="A541" t="s">
        <v>349</v>
      </c>
      <c r="B541" t="s">
        <v>405</v>
      </c>
      <c r="C541" t="s">
        <v>406</v>
      </c>
      <c r="D541" t="s">
        <v>407</v>
      </c>
      <c r="E541" t="s">
        <v>65</v>
      </c>
      <c r="F541" t="s">
        <v>408</v>
      </c>
      <c r="G541" t="s">
        <v>409</v>
      </c>
    </row>
    <row r="542" spans="1:7" x14ac:dyDescent="0.25">
      <c r="A542">
        <v>1</v>
      </c>
      <c r="B542">
        <v>939</v>
      </c>
      <c r="C542">
        <v>21</v>
      </c>
      <c r="D542">
        <v>67</v>
      </c>
      <c r="E542">
        <v>0</v>
      </c>
      <c r="F542">
        <v>5</v>
      </c>
      <c r="G542">
        <v>50</v>
      </c>
    </row>
    <row r="543" spans="1:7" x14ac:dyDescent="0.25">
      <c r="A543">
        <v>20</v>
      </c>
      <c r="B543">
        <v>2413</v>
      </c>
      <c r="C543">
        <v>54</v>
      </c>
      <c r="D543">
        <v>172</v>
      </c>
      <c r="E543">
        <v>0</v>
      </c>
      <c r="F543">
        <v>5</v>
      </c>
      <c r="G543">
        <v>50</v>
      </c>
    </row>
    <row r="544" spans="1:7" x14ac:dyDescent="0.25">
      <c r="A544" t="s">
        <v>410</v>
      </c>
      <c r="B544">
        <v>3114</v>
      </c>
      <c r="C544">
        <v>69</v>
      </c>
      <c r="D544">
        <v>222</v>
      </c>
      <c r="E544">
        <v>0</v>
      </c>
      <c r="F544">
        <v>5</v>
      </c>
      <c r="G544">
        <v>50</v>
      </c>
    </row>
    <row r="545" spans="1:7" x14ac:dyDescent="0.25">
      <c r="A545">
        <v>40</v>
      </c>
      <c r="B545">
        <v>4665</v>
      </c>
      <c r="C545">
        <v>103</v>
      </c>
      <c r="D545">
        <v>333</v>
      </c>
      <c r="E545">
        <v>0</v>
      </c>
      <c r="F545">
        <v>5</v>
      </c>
      <c r="G545">
        <v>50</v>
      </c>
    </row>
    <row r="546" spans="1:7" x14ac:dyDescent="0.25">
      <c r="A546" t="s">
        <v>411</v>
      </c>
      <c r="B546">
        <v>5163</v>
      </c>
      <c r="C546">
        <v>115</v>
      </c>
      <c r="D546">
        <v>368</v>
      </c>
      <c r="E546">
        <v>6</v>
      </c>
      <c r="F546">
        <v>5</v>
      </c>
      <c r="G546">
        <v>50</v>
      </c>
    </row>
    <row r="547" spans="1:7" x14ac:dyDescent="0.25">
      <c r="A547">
        <v>50</v>
      </c>
      <c r="B547">
        <v>5939</v>
      </c>
      <c r="C547">
        <v>132</v>
      </c>
      <c r="D547">
        <v>423</v>
      </c>
      <c r="E547">
        <v>6</v>
      </c>
      <c r="F547">
        <v>5</v>
      </c>
      <c r="G547">
        <v>50</v>
      </c>
    </row>
    <row r="548" spans="1:7" x14ac:dyDescent="0.25">
      <c r="A548" t="s">
        <v>412</v>
      </c>
      <c r="B548">
        <v>6604</v>
      </c>
      <c r="C548">
        <v>147</v>
      </c>
      <c r="D548">
        <v>471</v>
      </c>
      <c r="E548">
        <v>12</v>
      </c>
      <c r="F548">
        <v>5</v>
      </c>
      <c r="G548">
        <v>50</v>
      </c>
    </row>
    <row r="549" spans="1:7" x14ac:dyDescent="0.25">
      <c r="A549">
        <v>60</v>
      </c>
      <c r="B549">
        <v>7379</v>
      </c>
      <c r="C549">
        <v>164</v>
      </c>
      <c r="D549">
        <v>526</v>
      </c>
      <c r="E549">
        <v>12</v>
      </c>
      <c r="F549">
        <v>5</v>
      </c>
      <c r="G549">
        <v>50</v>
      </c>
    </row>
    <row r="550" spans="1:7" x14ac:dyDescent="0.25">
      <c r="A550" t="s">
        <v>413</v>
      </c>
      <c r="B550">
        <v>7878</v>
      </c>
      <c r="C550">
        <v>175</v>
      </c>
      <c r="D550">
        <v>562</v>
      </c>
      <c r="E550">
        <v>12</v>
      </c>
      <c r="F550">
        <v>5</v>
      </c>
      <c r="G550">
        <v>50</v>
      </c>
    </row>
    <row r="551" spans="1:7" x14ac:dyDescent="0.25">
      <c r="A551">
        <v>70</v>
      </c>
      <c r="B551">
        <v>8653</v>
      </c>
      <c r="C551">
        <v>192</v>
      </c>
      <c r="D551">
        <v>617</v>
      </c>
      <c r="E551">
        <v>12</v>
      </c>
      <c r="F551">
        <v>5</v>
      </c>
      <c r="G551">
        <v>50</v>
      </c>
    </row>
    <row r="552" spans="1:7" x14ac:dyDescent="0.25">
      <c r="A552" t="s">
        <v>414</v>
      </c>
      <c r="B552">
        <v>9151</v>
      </c>
      <c r="C552">
        <v>203</v>
      </c>
      <c r="D552">
        <v>652</v>
      </c>
      <c r="E552">
        <v>18</v>
      </c>
      <c r="F552">
        <v>5</v>
      </c>
      <c r="G552">
        <v>50</v>
      </c>
    </row>
    <row r="553" spans="1:7" x14ac:dyDescent="0.25">
      <c r="A553">
        <v>80</v>
      </c>
      <c r="B553">
        <v>9927</v>
      </c>
      <c r="C553">
        <v>220</v>
      </c>
      <c r="D553">
        <v>708</v>
      </c>
      <c r="E553">
        <v>18</v>
      </c>
      <c r="F553">
        <v>5</v>
      </c>
      <c r="G553">
        <v>50</v>
      </c>
    </row>
    <row r="554" spans="1:7" x14ac:dyDescent="0.25">
      <c r="A554" t="s">
        <v>415</v>
      </c>
      <c r="B554">
        <v>10425</v>
      </c>
      <c r="C554">
        <v>231</v>
      </c>
      <c r="D554">
        <v>743</v>
      </c>
      <c r="E554">
        <v>24</v>
      </c>
      <c r="F554">
        <v>5</v>
      </c>
      <c r="G554">
        <v>50</v>
      </c>
    </row>
    <row r="555" spans="1:7" x14ac:dyDescent="0.25">
      <c r="A555">
        <v>90</v>
      </c>
      <c r="B555">
        <v>11201</v>
      </c>
      <c r="C555">
        <v>249</v>
      </c>
      <c r="D555">
        <v>799</v>
      </c>
      <c r="E555">
        <v>24</v>
      </c>
      <c r="F555">
        <v>5</v>
      </c>
      <c r="G555">
        <v>50</v>
      </c>
    </row>
    <row r="556" spans="1:7" x14ac:dyDescent="0.25">
      <c r="A556" t="s">
        <v>353</v>
      </c>
      <c r="B556" t="s">
        <v>405</v>
      </c>
      <c r="C556" t="s">
        <v>406</v>
      </c>
      <c r="D556" t="s">
        <v>407</v>
      </c>
      <c r="E556" t="s">
        <v>73</v>
      </c>
      <c r="F556" t="s">
        <v>408</v>
      </c>
      <c r="G556" t="s">
        <v>409</v>
      </c>
    </row>
    <row r="557" spans="1:7" x14ac:dyDescent="0.25">
      <c r="A557">
        <v>1</v>
      </c>
      <c r="B557">
        <v>784</v>
      </c>
      <c r="C557">
        <v>20</v>
      </c>
      <c r="D557">
        <v>49</v>
      </c>
      <c r="E557">
        <v>0</v>
      </c>
      <c r="F557">
        <v>5</v>
      </c>
      <c r="G557">
        <v>50</v>
      </c>
    </row>
    <row r="558" spans="1:7" x14ac:dyDescent="0.25">
      <c r="A558">
        <v>20</v>
      </c>
      <c r="B558">
        <v>2014</v>
      </c>
      <c r="C558">
        <v>52</v>
      </c>
      <c r="D558">
        <v>126</v>
      </c>
      <c r="E558">
        <v>0</v>
      </c>
      <c r="F558">
        <v>5</v>
      </c>
      <c r="G558">
        <v>50</v>
      </c>
    </row>
    <row r="559" spans="1:7" x14ac:dyDescent="0.25">
      <c r="A559" t="s">
        <v>410</v>
      </c>
      <c r="B559">
        <v>2600</v>
      </c>
      <c r="C559">
        <v>67</v>
      </c>
      <c r="D559">
        <v>163</v>
      </c>
      <c r="E559">
        <v>0</v>
      </c>
      <c r="F559">
        <v>5</v>
      </c>
      <c r="G559">
        <v>50</v>
      </c>
    </row>
    <row r="560" spans="1:7" x14ac:dyDescent="0.25">
      <c r="A560">
        <v>40</v>
      </c>
      <c r="B560">
        <v>3895</v>
      </c>
      <c r="C560">
        <v>100</v>
      </c>
      <c r="D560">
        <v>244</v>
      </c>
      <c r="E560">
        <v>0</v>
      </c>
      <c r="F560">
        <v>5</v>
      </c>
      <c r="G560">
        <v>50</v>
      </c>
    </row>
    <row r="561" spans="1:7" x14ac:dyDescent="0.25">
      <c r="A561" t="s">
        <v>411</v>
      </c>
      <c r="B561">
        <v>4311</v>
      </c>
      <c r="C561">
        <v>111</v>
      </c>
      <c r="D561">
        <v>271</v>
      </c>
      <c r="E561">
        <v>6</v>
      </c>
      <c r="F561">
        <v>5</v>
      </c>
      <c r="G561">
        <v>50</v>
      </c>
    </row>
    <row r="562" spans="1:7" x14ac:dyDescent="0.25">
      <c r="A562">
        <v>50</v>
      </c>
      <c r="B562">
        <v>4959</v>
      </c>
      <c r="C562">
        <v>127</v>
      </c>
      <c r="D562">
        <v>311</v>
      </c>
      <c r="E562">
        <v>6</v>
      </c>
      <c r="F562">
        <v>5</v>
      </c>
      <c r="G562">
        <v>50</v>
      </c>
    </row>
    <row r="563" spans="1:7" x14ac:dyDescent="0.25">
      <c r="A563" t="s">
        <v>412</v>
      </c>
      <c r="B563">
        <v>5514</v>
      </c>
      <c r="C563">
        <v>141</v>
      </c>
      <c r="D563">
        <v>346</v>
      </c>
      <c r="E563">
        <v>12</v>
      </c>
      <c r="F563">
        <v>5</v>
      </c>
      <c r="G563">
        <v>50</v>
      </c>
    </row>
    <row r="564" spans="1:7" x14ac:dyDescent="0.25">
      <c r="A564">
        <v>60</v>
      </c>
      <c r="B564">
        <v>6161</v>
      </c>
      <c r="C564">
        <v>158</v>
      </c>
      <c r="D564">
        <v>387</v>
      </c>
      <c r="E564">
        <v>12</v>
      </c>
      <c r="F564">
        <v>5</v>
      </c>
      <c r="G564">
        <v>50</v>
      </c>
    </row>
    <row r="565" spans="1:7" x14ac:dyDescent="0.25">
      <c r="A565" t="s">
        <v>413</v>
      </c>
      <c r="B565">
        <v>6578</v>
      </c>
      <c r="C565">
        <v>169</v>
      </c>
      <c r="D565">
        <v>413</v>
      </c>
      <c r="E565">
        <v>12</v>
      </c>
      <c r="F565">
        <v>5</v>
      </c>
      <c r="G565">
        <v>50</v>
      </c>
    </row>
    <row r="566" spans="1:7" x14ac:dyDescent="0.25">
      <c r="A566">
        <v>70</v>
      </c>
      <c r="B566">
        <v>7225</v>
      </c>
      <c r="C566">
        <v>185</v>
      </c>
      <c r="D566">
        <v>453</v>
      </c>
      <c r="E566">
        <v>12</v>
      </c>
      <c r="F566">
        <v>5</v>
      </c>
      <c r="G566">
        <v>50</v>
      </c>
    </row>
    <row r="567" spans="1:7" x14ac:dyDescent="0.25">
      <c r="A567" t="s">
        <v>414</v>
      </c>
      <c r="B567">
        <v>7641</v>
      </c>
      <c r="C567">
        <v>196</v>
      </c>
      <c r="D567">
        <v>480</v>
      </c>
      <c r="E567">
        <v>18</v>
      </c>
      <c r="F567">
        <v>5</v>
      </c>
      <c r="G567">
        <v>50</v>
      </c>
    </row>
    <row r="568" spans="1:7" x14ac:dyDescent="0.25">
      <c r="A568">
        <v>80</v>
      </c>
      <c r="B568">
        <v>8289</v>
      </c>
      <c r="C568">
        <v>213</v>
      </c>
      <c r="D568">
        <v>520</v>
      </c>
      <c r="E568">
        <v>18</v>
      </c>
      <c r="F568">
        <v>5</v>
      </c>
      <c r="G568">
        <v>50</v>
      </c>
    </row>
    <row r="569" spans="1:7" x14ac:dyDescent="0.25">
      <c r="A569" t="s">
        <v>415</v>
      </c>
      <c r="B569">
        <v>8705</v>
      </c>
      <c r="C569">
        <v>223</v>
      </c>
      <c r="D569">
        <v>546</v>
      </c>
      <c r="E569">
        <v>24</v>
      </c>
      <c r="F569">
        <v>5</v>
      </c>
      <c r="G569">
        <v>50</v>
      </c>
    </row>
    <row r="570" spans="1:7" x14ac:dyDescent="0.25">
      <c r="A570">
        <v>90</v>
      </c>
      <c r="B570">
        <v>9352</v>
      </c>
      <c r="C570">
        <v>240</v>
      </c>
      <c r="D570">
        <v>587</v>
      </c>
      <c r="E570">
        <v>24</v>
      </c>
      <c r="F570">
        <v>5</v>
      </c>
      <c r="G570">
        <v>50</v>
      </c>
    </row>
    <row r="571" spans="1:7" x14ac:dyDescent="0.25">
      <c r="A571" t="s">
        <v>360</v>
      </c>
      <c r="B571" t="s">
        <v>405</v>
      </c>
      <c r="C571" t="s">
        <v>406</v>
      </c>
      <c r="D571" t="s">
        <v>407</v>
      </c>
      <c r="E571" t="s">
        <v>408</v>
      </c>
      <c r="F571" t="s">
        <v>409</v>
      </c>
      <c r="G571" t="s">
        <v>409</v>
      </c>
    </row>
    <row r="572" spans="1:7" x14ac:dyDescent="0.25">
      <c r="A572">
        <v>1</v>
      </c>
      <c r="B572">
        <v>791</v>
      </c>
      <c r="C572">
        <v>25</v>
      </c>
      <c r="D572">
        <v>48</v>
      </c>
      <c r="E572">
        <v>5</v>
      </c>
      <c r="F572">
        <v>50</v>
      </c>
      <c r="G572">
        <v>50</v>
      </c>
    </row>
    <row r="573" spans="1:7" x14ac:dyDescent="0.25">
      <c r="A573">
        <v>20</v>
      </c>
      <c r="B573">
        <v>2053</v>
      </c>
      <c r="C573">
        <v>65</v>
      </c>
      <c r="D573">
        <v>124</v>
      </c>
      <c r="E573">
        <v>5</v>
      </c>
      <c r="F573">
        <v>50</v>
      </c>
      <c r="G573">
        <v>50</v>
      </c>
    </row>
    <row r="574" spans="1:7" x14ac:dyDescent="0.25">
      <c r="A574" t="s">
        <v>410</v>
      </c>
      <c r="B574">
        <v>2731</v>
      </c>
      <c r="C574">
        <v>87</v>
      </c>
      <c r="D574">
        <v>165</v>
      </c>
      <c r="E574">
        <v>5</v>
      </c>
      <c r="F574">
        <v>50</v>
      </c>
      <c r="G574">
        <v>50</v>
      </c>
    </row>
    <row r="575" spans="1:7" x14ac:dyDescent="0.25">
      <c r="A575">
        <v>40</v>
      </c>
      <c r="B575">
        <v>4086</v>
      </c>
      <c r="C575">
        <v>130</v>
      </c>
      <c r="D575">
        <v>247</v>
      </c>
      <c r="E575">
        <v>5</v>
      </c>
      <c r="F575">
        <v>50</v>
      </c>
      <c r="G575">
        <v>50</v>
      </c>
    </row>
    <row r="576" spans="1:7" x14ac:dyDescent="0.25">
      <c r="A576" t="s">
        <v>411</v>
      </c>
      <c r="B576">
        <v>4568</v>
      </c>
      <c r="C576">
        <v>145</v>
      </c>
      <c r="D576">
        <v>276</v>
      </c>
      <c r="E576">
        <v>9.8000000000000007</v>
      </c>
      <c r="F576">
        <v>50</v>
      </c>
      <c r="G576">
        <v>50</v>
      </c>
    </row>
    <row r="577" spans="1:7" x14ac:dyDescent="0.25">
      <c r="A577">
        <v>50</v>
      </c>
      <c r="B577">
        <v>5256</v>
      </c>
      <c r="C577">
        <v>167</v>
      </c>
      <c r="D577">
        <v>318</v>
      </c>
      <c r="E577">
        <v>9.8000000000000007</v>
      </c>
      <c r="F577">
        <v>50</v>
      </c>
      <c r="G577">
        <v>50</v>
      </c>
    </row>
    <row r="578" spans="1:7" x14ac:dyDescent="0.25">
      <c r="A578" t="s">
        <v>412</v>
      </c>
      <c r="B578">
        <v>5899</v>
      </c>
      <c r="C578">
        <v>187</v>
      </c>
      <c r="D578">
        <v>357</v>
      </c>
      <c r="E578">
        <v>14.6</v>
      </c>
      <c r="F578">
        <v>50</v>
      </c>
      <c r="G578">
        <v>50</v>
      </c>
    </row>
    <row r="579" spans="1:7" x14ac:dyDescent="0.25">
      <c r="A579">
        <v>60</v>
      </c>
      <c r="B579">
        <v>6593</v>
      </c>
      <c r="C579">
        <v>209</v>
      </c>
      <c r="D579">
        <v>399</v>
      </c>
      <c r="E579">
        <v>14.6</v>
      </c>
      <c r="F579">
        <v>50</v>
      </c>
      <c r="G579">
        <v>50</v>
      </c>
    </row>
    <row r="580" spans="1:7" x14ac:dyDescent="0.25">
      <c r="A580" t="s">
        <v>413</v>
      </c>
      <c r="B580">
        <v>7075</v>
      </c>
      <c r="C580">
        <v>225</v>
      </c>
      <c r="D580">
        <v>428</v>
      </c>
      <c r="E580">
        <v>14.6</v>
      </c>
      <c r="F580">
        <v>50</v>
      </c>
      <c r="G580">
        <v>50</v>
      </c>
    </row>
    <row r="581" spans="1:7" x14ac:dyDescent="0.25">
      <c r="A581">
        <v>70</v>
      </c>
      <c r="B581">
        <v>7777</v>
      </c>
      <c r="C581">
        <v>247</v>
      </c>
      <c r="D581">
        <v>470</v>
      </c>
      <c r="E581">
        <v>14.6</v>
      </c>
      <c r="F581">
        <v>50</v>
      </c>
      <c r="G581">
        <v>50</v>
      </c>
    </row>
    <row r="582" spans="1:7" x14ac:dyDescent="0.25">
      <c r="A582" t="s">
        <v>414</v>
      </c>
      <c r="B582">
        <v>8259</v>
      </c>
      <c r="C582">
        <v>262</v>
      </c>
      <c r="D582">
        <v>500</v>
      </c>
      <c r="E582">
        <v>19.399999999999999</v>
      </c>
      <c r="F582">
        <v>50</v>
      </c>
      <c r="G582">
        <v>50</v>
      </c>
    </row>
    <row r="583" spans="1:7" x14ac:dyDescent="0.25">
      <c r="A583">
        <v>80</v>
      </c>
      <c r="B583">
        <v>8968</v>
      </c>
      <c r="C583">
        <v>285</v>
      </c>
      <c r="D583">
        <v>542</v>
      </c>
      <c r="E583">
        <v>19.399999999999999</v>
      </c>
      <c r="F583">
        <v>50</v>
      </c>
      <c r="G583">
        <v>50</v>
      </c>
    </row>
    <row r="584" spans="1:7" x14ac:dyDescent="0.25">
      <c r="A584" t="s">
        <v>415</v>
      </c>
      <c r="B584">
        <v>9450</v>
      </c>
      <c r="C584">
        <v>300</v>
      </c>
      <c r="D584">
        <v>572</v>
      </c>
      <c r="E584">
        <v>24.2</v>
      </c>
      <c r="F584">
        <v>50</v>
      </c>
      <c r="G584">
        <v>50</v>
      </c>
    </row>
    <row r="585" spans="1:7" x14ac:dyDescent="0.25">
      <c r="A585">
        <v>90</v>
      </c>
      <c r="B585">
        <v>10164</v>
      </c>
      <c r="C585">
        <v>323</v>
      </c>
      <c r="D585">
        <v>615</v>
      </c>
      <c r="E585">
        <v>24.2</v>
      </c>
      <c r="F585">
        <v>50</v>
      </c>
      <c r="G585">
        <v>50</v>
      </c>
    </row>
    <row r="586" spans="1:7" x14ac:dyDescent="0.25">
      <c r="A586" t="s">
        <v>363</v>
      </c>
      <c r="B586" t="s">
        <v>405</v>
      </c>
      <c r="C586" t="s">
        <v>406</v>
      </c>
      <c r="D586" t="s">
        <v>407</v>
      </c>
      <c r="E586" t="s">
        <v>72</v>
      </c>
      <c r="F586" t="s">
        <v>408</v>
      </c>
      <c r="G586" t="s">
        <v>409</v>
      </c>
    </row>
    <row r="587" spans="1:7" x14ac:dyDescent="0.25">
      <c r="A587">
        <v>1</v>
      </c>
      <c r="B587">
        <v>1144</v>
      </c>
      <c r="C587">
        <v>20</v>
      </c>
      <c r="D587">
        <v>57</v>
      </c>
      <c r="E587">
        <v>0</v>
      </c>
      <c r="F587">
        <v>5</v>
      </c>
      <c r="G587">
        <v>50</v>
      </c>
    </row>
    <row r="588" spans="1:7" x14ac:dyDescent="0.25">
      <c r="A588">
        <v>20</v>
      </c>
      <c r="B588">
        <v>2967</v>
      </c>
      <c r="C588">
        <v>51</v>
      </c>
      <c r="D588">
        <v>149</v>
      </c>
      <c r="E588">
        <v>0</v>
      </c>
      <c r="F588">
        <v>5</v>
      </c>
      <c r="G588">
        <v>50</v>
      </c>
    </row>
    <row r="589" spans="1:7" x14ac:dyDescent="0.25">
      <c r="A589" t="s">
        <v>410</v>
      </c>
      <c r="B589">
        <v>3948</v>
      </c>
      <c r="C589">
        <v>67</v>
      </c>
      <c r="D589">
        <v>198</v>
      </c>
      <c r="E589">
        <v>0</v>
      </c>
      <c r="F589">
        <v>5</v>
      </c>
      <c r="G589">
        <v>50</v>
      </c>
    </row>
    <row r="590" spans="1:7" x14ac:dyDescent="0.25">
      <c r="A590">
        <v>40</v>
      </c>
      <c r="B590">
        <v>5908</v>
      </c>
      <c r="C590">
        <v>101</v>
      </c>
      <c r="D590">
        <v>297</v>
      </c>
      <c r="E590">
        <v>0</v>
      </c>
      <c r="F590">
        <v>5</v>
      </c>
      <c r="G590">
        <v>50</v>
      </c>
    </row>
    <row r="591" spans="1:7" x14ac:dyDescent="0.25">
      <c r="A591" t="s">
        <v>411</v>
      </c>
      <c r="B591">
        <v>6605</v>
      </c>
      <c r="C591">
        <v>113</v>
      </c>
      <c r="D591">
        <v>332</v>
      </c>
      <c r="E591">
        <v>7.2</v>
      </c>
      <c r="F591">
        <v>5</v>
      </c>
      <c r="G591">
        <v>50</v>
      </c>
    </row>
    <row r="592" spans="1:7" x14ac:dyDescent="0.25">
      <c r="A592">
        <v>50</v>
      </c>
      <c r="B592">
        <v>7599</v>
      </c>
      <c r="C592">
        <v>130</v>
      </c>
      <c r="D592">
        <v>382</v>
      </c>
      <c r="E592">
        <v>7.2</v>
      </c>
      <c r="F592">
        <v>5</v>
      </c>
      <c r="G592">
        <v>50</v>
      </c>
    </row>
    <row r="593" spans="1:7" x14ac:dyDescent="0.25">
      <c r="A593" t="s">
        <v>412</v>
      </c>
      <c r="B593">
        <v>8528</v>
      </c>
      <c r="C593">
        <v>146</v>
      </c>
      <c r="D593">
        <v>428</v>
      </c>
      <c r="E593">
        <v>14.4</v>
      </c>
      <c r="F593">
        <v>5</v>
      </c>
      <c r="G593">
        <v>50</v>
      </c>
    </row>
    <row r="594" spans="1:7" x14ac:dyDescent="0.25">
      <c r="A594">
        <v>60</v>
      </c>
      <c r="B594">
        <v>9533</v>
      </c>
      <c r="C594">
        <v>163</v>
      </c>
      <c r="D594">
        <v>479</v>
      </c>
      <c r="E594">
        <v>14.4</v>
      </c>
      <c r="F594">
        <v>5</v>
      </c>
      <c r="G594">
        <v>50</v>
      </c>
    </row>
    <row r="595" spans="1:7" x14ac:dyDescent="0.25">
      <c r="A595" t="s">
        <v>413</v>
      </c>
      <c r="B595">
        <v>10230</v>
      </c>
      <c r="C595">
        <v>175</v>
      </c>
      <c r="D595">
        <v>514</v>
      </c>
      <c r="E595">
        <v>14.4</v>
      </c>
      <c r="F595">
        <v>5</v>
      </c>
      <c r="G595">
        <v>50</v>
      </c>
    </row>
    <row r="596" spans="1:7" x14ac:dyDescent="0.25">
      <c r="A596">
        <v>70</v>
      </c>
      <c r="B596">
        <v>11243</v>
      </c>
      <c r="C596">
        <v>192</v>
      </c>
      <c r="D596">
        <v>564</v>
      </c>
      <c r="E596">
        <v>14.4</v>
      </c>
      <c r="F596">
        <v>5</v>
      </c>
      <c r="G596">
        <v>50</v>
      </c>
    </row>
    <row r="597" spans="1:7" x14ac:dyDescent="0.25">
      <c r="A597" t="s">
        <v>414</v>
      </c>
      <c r="B597">
        <v>11940</v>
      </c>
      <c r="C597">
        <v>204</v>
      </c>
      <c r="D597">
        <v>599</v>
      </c>
      <c r="E597">
        <v>21.6</v>
      </c>
      <c r="F597">
        <v>5</v>
      </c>
      <c r="G597">
        <v>50</v>
      </c>
    </row>
    <row r="598" spans="1:7" x14ac:dyDescent="0.25">
      <c r="A598">
        <v>80</v>
      </c>
      <c r="B598">
        <v>12965</v>
      </c>
      <c r="C598">
        <v>222</v>
      </c>
      <c r="D598">
        <v>651</v>
      </c>
      <c r="E598">
        <v>21.6</v>
      </c>
      <c r="F598">
        <v>5</v>
      </c>
      <c r="G598">
        <v>50</v>
      </c>
    </row>
    <row r="599" spans="1:7" x14ac:dyDescent="0.25">
      <c r="A599" t="s">
        <v>415</v>
      </c>
      <c r="B599">
        <v>13662</v>
      </c>
      <c r="C599">
        <v>233</v>
      </c>
      <c r="D599">
        <v>686</v>
      </c>
      <c r="E599">
        <v>28.8</v>
      </c>
      <c r="F599">
        <v>5</v>
      </c>
      <c r="G599">
        <v>50</v>
      </c>
    </row>
    <row r="600" spans="1:7" x14ac:dyDescent="0.25">
      <c r="A600">
        <v>90</v>
      </c>
      <c r="B600">
        <v>14695</v>
      </c>
      <c r="C600">
        <v>251</v>
      </c>
      <c r="D600">
        <v>738</v>
      </c>
      <c r="E600">
        <v>28.8</v>
      </c>
      <c r="F600">
        <v>5</v>
      </c>
      <c r="G600">
        <v>50</v>
      </c>
    </row>
    <row r="601" spans="1:7" x14ac:dyDescent="0.25">
      <c r="A601" t="s">
        <v>425</v>
      </c>
      <c r="B601" t="s">
        <v>405</v>
      </c>
      <c r="C601" t="s">
        <v>406</v>
      </c>
      <c r="D601" t="s">
        <v>407</v>
      </c>
      <c r="E601" t="s">
        <v>65</v>
      </c>
      <c r="F601" t="s">
        <v>408</v>
      </c>
      <c r="G601" t="s">
        <v>409</v>
      </c>
    </row>
    <row r="602" spans="1:7" x14ac:dyDescent="0.25">
      <c r="A602">
        <v>1</v>
      </c>
      <c r="B602">
        <v>912</v>
      </c>
      <c r="C602">
        <v>18</v>
      </c>
      <c r="D602">
        <v>57</v>
      </c>
      <c r="E602">
        <v>0</v>
      </c>
      <c r="F602">
        <v>5</v>
      </c>
      <c r="G602">
        <v>50</v>
      </c>
    </row>
    <row r="603" spans="1:7" x14ac:dyDescent="0.25">
      <c r="A603">
        <v>20</v>
      </c>
      <c r="B603">
        <v>2342</v>
      </c>
      <c r="C603">
        <v>46</v>
      </c>
      <c r="D603">
        <v>147</v>
      </c>
      <c r="E603">
        <v>0</v>
      </c>
      <c r="F603">
        <v>5</v>
      </c>
      <c r="G603">
        <v>50</v>
      </c>
    </row>
    <row r="604" spans="1:7" x14ac:dyDescent="0.25">
      <c r="A604" t="s">
        <v>410</v>
      </c>
      <c r="B604">
        <v>3024</v>
      </c>
      <c r="C604">
        <v>59</v>
      </c>
      <c r="D604">
        <v>190</v>
      </c>
      <c r="E604">
        <v>0</v>
      </c>
      <c r="F604">
        <v>5</v>
      </c>
      <c r="G604">
        <v>50</v>
      </c>
    </row>
    <row r="605" spans="1:7" x14ac:dyDescent="0.25">
      <c r="A605">
        <v>40</v>
      </c>
      <c r="B605">
        <v>4529</v>
      </c>
      <c r="C605">
        <v>88</v>
      </c>
      <c r="D605">
        <v>284</v>
      </c>
      <c r="E605">
        <v>0</v>
      </c>
      <c r="F605">
        <v>5</v>
      </c>
      <c r="G605">
        <v>50</v>
      </c>
    </row>
    <row r="606" spans="1:7" x14ac:dyDescent="0.25">
      <c r="A606" t="s">
        <v>411</v>
      </c>
      <c r="B606">
        <v>5013</v>
      </c>
      <c r="C606">
        <v>98</v>
      </c>
      <c r="D606">
        <v>315</v>
      </c>
      <c r="E606">
        <v>6</v>
      </c>
      <c r="F606">
        <v>5</v>
      </c>
      <c r="G606">
        <v>50</v>
      </c>
    </row>
    <row r="607" spans="1:7" x14ac:dyDescent="0.25">
      <c r="A607">
        <v>50</v>
      </c>
      <c r="B607">
        <v>5766</v>
      </c>
      <c r="C607">
        <v>113</v>
      </c>
      <c r="D607">
        <v>362</v>
      </c>
      <c r="E607">
        <v>6</v>
      </c>
      <c r="F607">
        <v>5</v>
      </c>
      <c r="G607">
        <v>50</v>
      </c>
    </row>
    <row r="608" spans="1:7" x14ac:dyDescent="0.25">
      <c r="A608" t="s">
        <v>412</v>
      </c>
      <c r="B608">
        <v>6411</v>
      </c>
      <c r="C608">
        <v>125</v>
      </c>
      <c r="D608">
        <v>402</v>
      </c>
      <c r="E608">
        <v>12</v>
      </c>
      <c r="F608">
        <v>5</v>
      </c>
      <c r="G608">
        <v>50</v>
      </c>
    </row>
    <row r="609" spans="1:7" x14ac:dyDescent="0.25">
      <c r="A609">
        <v>60</v>
      </c>
      <c r="B609">
        <v>7164</v>
      </c>
      <c r="C609">
        <v>140</v>
      </c>
      <c r="D609">
        <v>450</v>
      </c>
      <c r="E609">
        <v>12</v>
      </c>
      <c r="F609">
        <v>5</v>
      </c>
      <c r="G609">
        <v>50</v>
      </c>
    </row>
    <row r="610" spans="1:7" x14ac:dyDescent="0.25">
      <c r="A610" t="s">
        <v>413</v>
      </c>
      <c r="B610">
        <v>7648</v>
      </c>
      <c r="C610">
        <v>149</v>
      </c>
      <c r="D610">
        <v>480</v>
      </c>
      <c r="E610">
        <v>12</v>
      </c>
      <c r="F610">
        <v>5</v>
      </c>
      <c r="G610">
        <v>50</v>
      </c>
    </row>
    <row r="611" spans="1:7" x14ac:dyDescent="0.25">
      <c r="A611">
        <v>70</v>
      </c>
      <c r="B611">
        <v>8401</v>
      </c>
      <c r="C611">
        <v>164</v>
      </c>
      <c r="D611">
        <v>527</v>
      </c>
      <c r="E611">
        <v>12</v>
      </c>
      <c r="F611">
        <v>5</v>
      </c>
      <c r="G611">
        <v>50</v>
      </c>
    </row>
    <row r="612" spans="1:7" x14ac:dyDescent="0.25">
      <c r="A612" t="s">
        <v>414</v>
      </c>
      <c r="B612">
        <v>8885</v>
      </c>
      <c r="C612">
        <v>174</v>
      </c>
      <c r="D612">
        <v>558</v>
      </c>
      <c r="E612">
        <v>18</v>
      </c>
      <c r="F612">
        <v>5</v>
      </c>
      <c r="G612">
        <v>50</v>
      </c>
    </row>
    <row r="613" spans="1:7" x14ac:dyDescent="0.25">
      <c r="A613">
        <v>80</v>
      </c>
      <c r="B613">
        <v>9638</v>
      </c>
      <c r="C613">
        <v>188</v>
      </c>
      <c r="D613">
        <v>605</v>
      </c>
      <c r="E613">
        <v>18</v>
      </c>
      <c r="F613">
        <v>5</v>
      </c>
      <c r="G613">
        <v>50</v>
      </c>
    </row>
    <row r="614" spans="1:7" x14ac:dyDescent="0.25">
      <c r="A614" t="s">
        <v>415</v>
      </c>
      <c r="B614">
        <v>10122</v>
      </c>
      <c r="C614">
        <v>198</v>
      </c>
      <c r="D614">
        <v>635</v>
      </c>
      <c r="E614">
        <v>24</v>
      </c>
      <c r="F614">
        <v>5</v>
      </c>
      <c r="G614">
        <v>50</v>
      </c>
    </row>
    <row r="615" spans="1:7" x14ac:dyDescent="0.25">
      <c r="A615">
        <v>90</v>
      </c>
      <c r="B615">
        <v>10875</v>
      </c>
      <c r="C615">
        <v>212</v>
      </c>
      <c r="D615">
        <v>683</v>
      </c>
      <c r="E615">
        <v>24</v>
      </c>
      <c r="F615">
        <v>5</v>
      </c>
      <c r="G615">
        <v>50</v>
      </c>
    </row>
    <row r="616" spans="1:7" x14ac:dyDescent="0.25">
      <c r="A616" t="s">
        <v>426</v>
      </c>
      <c r="B616" t="s">
        <v>405</v>
      </c>
      <c r="C616" t="s">
        <v>406</v>
      </c>
      <c r="D616" t="s">
        <v>407</v>
      </c>
      <c r="E616" t="s">
        <v>65</v>
      </c>
      <c r="F616" t="s">
        <v>408</v>
      </c>
      <c r="G616" t="s">
        <v>409</v>
      </c>
    </row>
    <row r="617" spans="1:7" x14ac:dyDescent="0.25">
      <c r="A617">
        <v>1</v>
      </c>
      <c r="B617">
        <v>912</v>
      </c>
      <c r="C617">
        <v>18</v>
      </c>
      <c r="D617">
        <v>57</v>
      </c>
      <c r="E617">
        <v>0</v>
      </c>
      <c r="F617">
        <v>5</v>
      </c>
      <c r="G617">
        <v>50</v>
      </c>
    </row>
    <row r="618" spans="1:7" x14ac:dyDescent="0.25">
      <c r="A618">
        <v>20</v>
      </c>
      <c r="B618">
        <v>2342</v>
      </c>
      <c r="C618">
        <v>46</v>
      </c>
      <c r="D618">
        <v>147</v>
      </c>
      <c r="E618">
        <v>0</v>
      </c>
      <c r="F618">
        <v>5</v>
      </c>
      <c r="G618">
        <v>50</v>
      </c>
    </row>
    <row r="619" spans="1:7" x14ac:dyDescent="0.25">
      <c r="A619" t="s">
        <v>410</v>
      </c>
      <c r="B619">
        <v>3024</v>
      </c>
      <c r="C619">
        <v>59</v>
      </c>
      <c r="D619">
        <v>190</v>
      </c>
      <c r="E619">
        <v>0</v>
      </c>
      <c r="F619">
        <v>5</v>
      </c>
      <c r="G619">
        <v>50</v>
      </c>
    </row>
    <row r="620" spans="1:7" x14ac:dyDescent="0.25">
      <c r="A620">
        <v>40</v>
      </c>
      <c r="B620">
        <v>4529</v>
      </c>
      <c r="C620">
        <v>88</v>
      </c>
      <c r="D620">
        <v>284</v>
      </c>
      <c r="E620">
        <v>0</v>
      </c>
      <c r="F620">
        <v>5</v>
      </c>
      <c r="G620">
        <v>50</v>
      </c>
    </row>
    <row r="621" spans="1:7" x14ac:dyDescent="0.25">
      <c r="A621" t="s">
        <v>411</v>
      </c>
      <c r="B621">
        <v>5013</v>
      </c>
      <c r="C621">
        <v>98</v>
      </c>
      <c r="D621">
        <v>315</v>
      </c>
      <c r="E621">
        <v>6</v>
      </c>
      <c r="F621">
        <v>5</v>
      </c>
      <c r="G621">
        <v>50</v>
      </c>
    </row>
    <row r="622" spans="1:7" x14ac:dyDescent="0.25">
      <c r="A622">
        <v>50</v>
      </c>
      <c r="B622">
        <v>5766</v>
      </c>
      <c r="C622">
        <v>113</v>
      </c>
      <c r="D622">
        <v>362</v>
      </c>
      <c r="E622">
        <v>6</v>
      </c>
      <c r="F622">
        <v>5</v>
      </c>
      <c r="G622">
        <v>50</v>
      </c>
    </row>
    <row r="623" spans="1:7" x14ac:dyDescent="0.25">
      <c r="A623" t="s">
        <v>412</v>
      </c>
      <c r="B623">
        <v>6411</v>
      </c>
      <c r="C623">
        <v>125</v>
      </c>
      <c r="D623">
        <v>402</v>
      </c>
      <c r="E623">
        <v>12</v>
      </c>
      <c r="F623">
        <v>5</v>
      </c>
      <c r="G623">
        <v>50</v>
      </c>
    </row>
    <row r="624" spans="1:7" x14ac:dyDescent="0.25">
      <c r="A624">
        <v>60</v>
      </c>
      <c r="B624">
        <v>7164</v>
      </c>
      <c r="C624">
        <v>140</v>
      </c>
      <c r="D624">
        <v>450</v>
      </c>
      <c r="E624">
        <v>12</v>
      </c>
      <c r="F624">
        <v>5</v>
      </c>
      <c r="G624">
        <v>50</v>
      </c>
    </row>
    <row r="625" spans="1:7" x14ac:dyDescent="0.25">
      <c r="A625" t="s">
        <v>413</v>
      </c>
      <c r="B625">
        <v>7648</v>
      </c>
      <c r="C625">
        <v>149</v>
      </c>
      <c r="D625">
        <v>480</v>
      </c>
      <c r="E625">
        <v>12</v>
      </c>
      <c r="F625">
        <v>5</v>
      </c>
      <c r="G625">
        <v>50</v>
      </c>
    </row>
    <row r="626" spans="1:7" x14ac:dyDescent="0.25">
      <c r="A626">
        <v>70</v>
      </c>
      <c r="B626">
        <v>8401</v>
      </c>
      <c r="C626">
        <v>164</v>
      </c>
      <c r="D626">
        <v>527</v>
      </c>
      <c r="E626">
        <v>12</v>
      </c>
      <c r="F626">
        <v>5</v>
      </c>
      <c r="G626">
        <v>50</v>
      </c>
    </row>
    <row r="627" spans="1:7" x14ac:dyDescent="0.25">
      <c r="A627" t="s">
        <v>414</v>
      </c>
      <c r="B627">
        <v>8885</v>
      </c>
      <c r="C627">
        <v>174</v>
      </c>
      <c r="D627">
        <v>558</v>
      </c>
      <c r="E627">
        <v>18</v>
      </c>
      <c r="F627">
        <v>5</v>
      </c>
      <c r="G627">
        <v>50</v>
      </c>
    </row>
    <row r="628" spans="1:7" x14ac:dyDescent="0.25">
      <c r="A628">
        <v>80</v>
      </c>
      <c r="B628">
        <v>9638</v>
      </c>
      <c r="C628">
        <v>188</v>
      </c>
      <c r="D628">
        <v>605</v>
      </c>
      <c r="E628">
        <v>18</v>
      </c>
      <c r="F628">
        <v>5</v>
      </c>
      <c r="G628">
        <v>50</v>
      </c>
    </row>
    <row r="629" spans="1:7" x14ac:dyDescent="0.25">
      <c r="A629" t="s">
        <v>415</v>
      </c>
      <c r="B629">
        <v>10122</v>
      </c>
      <c r="C629">
        <v>198</v>
      </c>
      <c r="D629">
        <v>635</v>
      </c>
      <c r="E629">
        <v>24</v>
      </c>
      <c r="F629">
        <v>5</v>
      </c>
      <c r="G629">
        <v>50</v>
      </c>
    </row>
    <row r="630" spans="1:7" x14ac:dyDescent="0.25">
      <c r="A630">
        <v>90</v>
      </c>
      <c r="B630">
        <v>10875</v>
      </c>
      <c r="C630">
        <v>212</v>
      </c>
      <c r="D630">
        <v>683</v>
      </c>
      <c r="E630">
        <v>24</v>
      </c>
      <c r="F630">
        <v>5</v>
      </c>
      <c r="G630">
        <v>50</v>
      </c>
    </row>
    <row r="631" spans="1:7" x14ac:dyDescent="0.25">
      <c r="A631" t="s">
        <v>427</v>
      </c>
      <c r="B631" t="s">
        <v>405</v>
      </c>
      <c r="C631" t="s">
        <v>406</v>
      </c>
      <c r="D631" t="s">
        <v>407</v>
      </c>
      <c r="E631" t="s">
        <v>65</v>
      </c>
      <c r="F631" t="s">
        <v>408</v>
      </c>
      <c r="G631" t="s">
        <v>409</v>
      </c>
    </row>
    <row r="632" spans="1:7" x14ac:dyDescent="0.25">
      <c r="A632">
        <v>1</v>
      </c>
      <c r="B632">
        <v>912</v>
      </c>
      <c r="C632">
        <v>18</v>
      </c>
      <c r="D632">
        <v>57</v>
      </c>
      <c r="E632">
        <v>0</v>
      </c>
      <c r="F632">
        <v>5</v>
      </c>
      <c r="G632">
        <v>50</v>
      </c>
    </row>
    <row r="633" spans="1:7" x14ac:dyDescent="0.25">
      <c r="A633">
        <v>20</v>
      </c>
      <c r="B633">
        <v>2342</v>
      </c>
      <c r="C633">
        <v>46</v>
      </c>
      <c r="D633">
        <v>147</v>
      </c>
      <c r="E633">
        <v>0</v>
      </c>
      <c r="F633">
        <v>5</v>
      </c>
      <c r="G633">
        <v>50</v>
      </c>
    </row>
    <row r="634" spans="1:7" x14ac:dyDescent="0.25">
      <c r="A634" t="s">
        <v>410</v>
      </c>
      <c r="B634">
        <v>3024</v>
      </c>
      <c r="C634">
        <v>59</v>
      </c>
      <c r="D634">
        <v>190</v>
      </c>
      <c r="E634">
        <v>0</v>
      </c>
      <c r="F634">
        <v>5</v>
      </c>
      <c r="G634">
        <v>50</v>
      </c>
    </row>
    <row r="635" spans="1:7" x14ac:dyDescent="0.25">
      <c r="A635">
        <v>40</v>
      </c>
      <c r="B635">
        <v>4529</v>
      </c>
      <c r="C635">
        <v>88</v>
      </c>
      <c r="D635">
        <v>284</v>
      </c>
      <c r="E635">
        <v>0</v>
      </c>
      <c r="F635">
        <v>5</v>
      </c>
      <c r="G635">
        <v>50</v>
      </c>
    </row>
    <row r="636" spans="1:7" x14ac:dyDescent="0.25">
      <c r="A636" t="s">
        <v>411</v>
      </c>
      <c r="B636">
        <v>5013</v>
      </c>
      <c r="C636">
        <v>98</v>
      </c>
      <c r="D636">
        <v>315</v>
      </c>
      <c r="E636">
        <v>6</v>
      </c>
      <c r="F636">
        <v>5</v>
      </c>
      <c r="G636">
        <v>50</v>
      </c>
    </row>
    <row r="637" spans="1:7" x14ac:dyDescent="0.25">
      <c r="A637">
        <v>50</v>
      </c>
      <c r="B637">
        <v>5766</v>
      </c>
      <c r="C637">
        <v>113</v>
      </c>
      <c r="D637">
        <v>362</v>
      </c>
      <c r="E637">
        <v>6</v>
      </c>
      <c r="F637">
        <v>5</v>
      </c>
      <c r="G637">
        <v>50</v>
      </c>
    </row>
    <row r="638" spans="1:7" x14ac:dyDescent="0.25">
      <c r="A638" t="s">
        <v>412</v>
      </c>
      <c r="B638">
        <v>6411</v>
      </c>
      <c r="C638">
        <v>125</v>
      </c>
      <c r="D638">
        <v>402</v>
      </c>
      <c r="E638">
        <v>12</v>
      </c>
      <c r="F638">
        <v>5</v>
      </c>
      <c r="G638">
        <v>50</v>
      </c>
    </row>
    <row r="639" spans="1:7" x14ac:dyDescent="0.25">
      <c r="A639">
        <v>60</v>
      </c>
      <c r="B639">
        <v>7164</v>
      </c>
      <c r="C639">
        <v>140</v>
      </c>
      <c r="D639">
        <v>450</v>
      </c>
      <c r="E639">
        <v>12</v>
      </c>
      <c r="F639">
        <v>5</v>
      </c>
      <c r="G639">
        <v>50</v>
      </c>
    </row>
    <row r="640" spans="1:7" x14ac:dyDescent="0.25">
      <c r="A640" t="s">
        <v>413</v>
      </c>
      <c r="B640">
        <v>7648</v>
      </c>
      <c r="C640">
        <v>149</v>
      </c>
      <c r="D640">
        <v>480</v>
      </c>
      <c r="E640">
        <v>12</v>
      </c>
      <c r="F640">
        <v>5</v>
      </c>
      <c r="G640">
        <v>50</v>
      </c>
    </row>
    <row r="641" spans="1:7" x14ac:dyDescent="0.25">
      <c r="A641">
        <v>70</v>
      </c>
      <c r="B641">
        <v>8401</v>
      </c>
      <c r="C641">
        <v>164</v>
      </c>
      <c r="D641">
        <v>527</v>
      </c>
      <c r="E641">
        <v>12</v>
      </c>
      <c r="F641">
        <v>5</v>
      </c>
      <c r="G641">
        <v>50</v>
      </c>
    </row>
    <row r="642" spans="1:7" x14ac:dyDescent="0.25">
      <c r="A642" t="s">
        <v>414</v>
      </c>
      <c r="B642">
        <v>8885</v>
      </c>
      <c r="C642">
        <v>174</v>
      </c>
      <c r="D642">
        <v>558</v>
      </c>
      <c r="E642">
        <v>18</v>
      </c>
      <c r="F642">
        <v>5</v>
      </c>
      <c r="G642">
        <v>50</v>
      </c>
    </row>
    <row r="643" spans="1:7" x14ac:dyDescent="0.25">
      <c r="A643">
        <v>80</v>
      </c>
      <c r="B643">
        <v>9638</v>
      </c>
      <c r="C643">
        <v>188</v>
      </c>
      <c r="D643">
        <v>605</v>
      </c>
      <c r="E643">
        <v>18</v>
      </c>
      <c r="F643">
        <v>5</v>
      </c>
      <c r="G643">
        <v>50</v>
      </c>
    </row>
    <row r="644" spans="1:7" x14ac:dyDescent="0.25">
      <c r="A644" t="s">
        <v>415</v>
      </c>
      <c r="B644">
        <v>10122</v>
      </c>
      <c r="C644">
        <v>198</v>
      </c>
      <c r="D644">
        <v>635</v>
      </c>
      <c r="E644">
        <v>24</v>
      </c>
      <c r="F644">
        <v>5</v>
      </c>
      <c r="G644">
        <v>50</v>
      </c>
    </row>
    <row r="645" spans="1:7" x14ac:dyDescent="0.25">
      <c r="A645">
        <v>90</v>
      </c>
      <c r="B645">
        <v>10875</v>
      </c>
      <c r="C645">
        <v>212</v>
      </c>
      <c r="D645">
        <v>683</v>
      </c>
      <c r="E645">
        <v>24</v>
      </c>
      <c r="F645">
        <v>5</v>
      </c>
      <c r="G645">
        <v>50</v>
      </c>
    </row>
    <row r="646" spans="1:7" x14ac:dyDescent="0.25">
      <c r="A646" t="s">
        <v>749</v>
      </c>
      <c r="B646" t="s">
        <v>405</v>
      </c>
      <c r="C646" t="s">
        <v>406</v>
      </c>
      <c r="D646" t="s">
        <v>407</v>
      </c>
      <c r="E646" t="s">
        <v>65</v>
      </c>
      <c r="F646" t="s">
        <v>408</v>
      </c>
      <c r="G646" t="s">
        <v>409</v>
      </c>
    </row>
    <row r="647" spans="1:7" x14ac:dyDescent="0.25">
      <c r="A647">
        <v>1</v>
      </c>
      <c r="B647">
        <v>866</v>
      </c>
      <c r="C647">
        <v>17</v>
      </c>
      <c r="D647">
        <v>63</v>
      </c>
      <c r="E647">
        <v>0</v>
      </c>
      <c r="F647">
        <v>5</v>
      </c>
      <c r="G647">
        <v>50</v>
      </c>
    </row>
    <row r="648" spans="1:7" x14ac:dyDescent="0.25">
      <c r="A648">
        <v>20</v>
      </c>
      <c r="B648">
        <v>2225</v>
      </c>
      <c r="C648">
        <v>43</v>
      </c>
      <c r="D648">
        <v>162</v>
      </c>
      <c r="E648">
        <v>0</v>
      </c>
      <c r="F648">
        <v>5</v>
      </c>
      <c r="G648">
        <v>50</v>
      </c>
    </row>
    <row r="649" spans="1:7" x14ac:dyDescent="0.25">
      <c r="A649" t="s">
        <v>410</v>
      </c>
      <c r="B649">
        <v>2872</v>
      </c>
      <c r="C649">
        <v>56</v>
      </c>
      <c r="D649">
        <v>209</v>
      </c>
      <c r="E649">
        <v>0</v>
      </c>
      <c r="F649">
        <v>5</v>
      </c>
      <c r="G649">
        <v>50</v>
      </c>
    </row>
    <row r="650" spans="1:7" x14ac:dyDescent="0.25">
      <c r="A650">
        <v>40</v>
      </c>
      <c r="B650">
        <v>4302</v>
      </c>
      <c r="C650">
        <v>84</v>
      </c>
      <c r="D650">
        <v>313</v>
      </c>
      <c r="E650">
        <v>0</v>
      </c>
      <c r="F650">
        <v>5</v>
      </c>
      <c r="G650">
        <v>50</v>
      </c>
    </row>
    <row r="651" spans="1:7" x14ac:dyDescent="0.25">
      <c r="A651" t="s">
        <v>411</v>
      </c>
      <c r="B651">
        <v>4762</v>
      </c>
      <c r="C651">
        <v>93</v>
      </c>
      <c r="D651">
        <v>346</v>
      </c>
      <c r="E651">
        <v>6</v>
      </c>
      <c r="F651">
        <v>5</v>
      </c>
      <c r="G651">
        <v>50</v>
      </c>
    </row>
    <row r="652" spans="1:7" x14ac:dyDescent="0.25">
      <c r="A652">
        <v>50</v>
      </c>
      <c r="B652">
        <v>5478</v>
      </c>
      <c r="C652">
        <v>107</v>
      </c>
      <c r="D652">
        <v>398</v>
      </c>
      <c r="E652">
        <v>6</v>
      </c>
      <c r="F652">
        <v>5</v>
      </c>
      <c r="G652">
        <v>50</v>
      </c>
    </row>
    <row r="653" spans="1:7" x14ac:dyDescent="0.25">
      <c r="A653" t="s">
        <v>412</v>
      </c>
      <c r="B653">
        <v>6091</v>
      </c>
      <c r="C653">
        <v>119</v>
      </c>
      <c r="D653">
        <v>443</v>
      </c>
      <c r="E653">
        <v>12</v>
      </c>
      <c r="F653">
        <v>5</v>
      </c>
      <c r="G653">
        <v>50</v>
      </c>
    </row>
    <row r="654" spans="1:7" x14ac:dyDescent="0.25">
      <c r="A654">
        <v>60</v>
      </c>
      <c r="B654">
        <v>6806</v>
      </c>
      <c r="C654">
        <v>133</v>
      </c>
      <c r="D654">
        <v>495</v>
      </c>
      <c r="E654">
        <v>12</v>
      </c>
      <c r="F654">
        <v>5</v>
      </c>
      <c r="G654">
        <v>50</v>
      </c>
    </row>
    <row r="655" spans="1:7" x14ac:dyDescent="0.25">
      <c r="A655" t="s">
        <v>413</v>
      </c>
      <c r="B655">
        <v>7266</v>
      </c>
      <c r="C655">
        <v>142</v>
      </c>
      <c r="D655">
        <v>528</v>
      </c>
      <c r="E655">
        <v>12</v>
      </c>
      <c r="F655">
        <v>5</v>
      </c>
      <c r="G655">
        <v>50</v>
      </c>
    </row>
    <row r="656" spans="1:7" x14ac:dyDescent="0.25">
      <c r="A656">
        <v>70</v>
      </c>
      <c r="B656">
        <v>7981</v>
      </c>
      <c r="C656">
        <v>156</v>
      </c>
      <c r="D656">
        <v>580</v>
      </c>
      <c r="E656">
        <v>12</v>
      </c>
      <c r="F656">
        <v>5</v>
      </c>
      <c r="G656">
        <v>50</v>
      </c>
    </row>
    <row r="657" spans="1:7" x14ac:dyDescent="0.25">
      <c r="A657" t="s">
        <v>414</v>
      </c>
      <c r="B657">
        <v>8440</v>
      </c>
      <c r="C657">
        <v>165</v>
      </c>
      <c r="D657">
        <v>613</v>
      </c>
      <c r="E657">
        <v>18</v>
      </c>
      <c r="F657">
        <v>5</v>
      </c>
      <c r="G657">
        <v>50</v>
      </c>
    </row>
    <row r="658" spans="1:7" x14ac:dyDescent="0.25">
      <c r="A658">
        <v>80</v>
      </c>
      <c r="B658">
        <v>9156</v>
      </c>
      <c r="C658">
        <v>179</v>
      </c>
      <c r="D658">
        <v>665</v>
      </c>
      <c r="E658">
        <v>18</v>
      </c>
      <c r="F658">
        <v>5</v>
      </c>
      <c r="G658">
        <v>50</v>
      </c>
    </row>
    <row r="659" spans="1:7" x14ac:dyDescent="0.25">
      <c r="A659" t="s">
        <v>415</v>
      </c>
      <c r="B659">
        <v>9616</v>
      </c>
      <c r="C659">
        <v>188</v>
      </c>
      <c r="D659">
        <v>699</v>
      </c>
      <c r="E659">
        <v>24</v>
      </c>
      <c r="F659">
        <v>5</v>
      </c>
      <c r="G659">
        <v>50</v>
      </c>
    </row>
    <row r="660" spans="1:7" x14ac:dyDescent="0.25">
      <c r="A660">
        <v>90</v>
      </c>
      <c r="B660">
        <v>10331</v>
      </c>
      <c r="C660">
        <v>202</v>
      </c>
      <c r="D660">
        <v>751</v>
      </c>
      <c r="E660">
        <v>24</v>
      </c>
      <c r="F660">
        <v>5</v>
      </c>
      <c r="G660">
        <v>50</v>
      </c>
    </row>
    <row r="661" spans="1:7" x14ac:dyDescent="0.25">
      <c r="A661" t="s">
        <v>1042</v>
      </c>
      <c r="B661" t="s">
        <v>405</v>
      </c>
      <c r="C661" t="s">
        <v>406</v>
      </c>
      <c r="D661" t="s">
        <v>407</v>
      </c>
      <c r="E661" t="s">
        <v>65</v>
      </c>
      <c r="F661" t="s">
        <v>408</v>
      </c>
      <c r="G661" t="s">
        <v>409</v>
      </c>
    </row>
    <row r="662" spans="1:7" x14ac:dyDescent="0.25">
      <c r="A662">
        <v>1</v>
      </c>
      <c r="B662">
        <v>1011</v>
      </c>
      <c r="C662">
        <v>24</v>
      </c>
      <c r="D662">
        <v>65</v>
      </c>
      <c r="E662">
        <v>0</v>
      </c>
      <c r="F662">
        <v>5</v>
      </c>
      <c r="G662">
        <v>50</v>
      </c>
    </row>
    <row r="663" spans="1:7" x14ac:dyDescent="0.25">
      <c r="A663">
        <v>20</v>
      </c>
      <c r="B663">
        <v>2624</v>
      </c>
      <c r="C663">
        <v>61</v>
      </c>
      <c r="D663">
        <v>168</v>
      </c>
      <c r="E663">
        <v>0</v>
      </c>
      <c r="F663">
        <v>5</v>
      </c>
      <c r="G663">
        <v>50</v>
      </c>
    </row>
    <row r="664" spans="1:7" x14ac:dyDescent="0.25">
      <c r="A664" t="s">
        <v>410</v>
      </c>
      <c r="B664">
        <v>2491</v>
      </c>
      <c r="C664">
        <v>82</v>
      </c>
      <c r="D664">
        <v>223</v>
      </c>
      <c r="E664">
        <v>0</v>
      </c>
      <c r="F664">
        <v>5</v>
      </c>
      <c r="G664">
        <v>50</v>
      </c>
    </row>
    <row r="665" spans="1:7" x14ac:dyDescent="0.25">
      <c r="A665">
        <v>40</v>
      </c>
      <c r="B665">
        <v>5224</v>
      </c>
      <c r="C665">
        <v>122</v>
      </c>
      <c r="D665">
        <v>334</v>
      </c>
      <c r="E665">
        <v>0</v>
      </c>
      <c r="F665">
        <v>5</v>
      </c>
      <c r="G665">
        <v>50</v>
      </c>
    </row>
    <row r="666" spans="1:7" x14ac:dyDescent="0.25">
      <c r="A666" t="s">
        <v>411</v>
      </c>
      <c r="B666">
        <v>5840</v>
      </c>
      <c r="C666">
        <v>137</v>
      </c>
      <c r="D666">
        <v>373</v>
      </c>
      <c r="E666">
        <v>7.2</v>
      </c>
      <c r="F666">
        <v>5</v>
      </c>
      <c r="G666">
        <v>50</v>
      </c>
    </row>
    <row r="667" spans="1:7" x14ac:dyDescent="0.25">
      <c r="A667">
        <v>50</v>
      </c>
      <c r="B667">
        <v>6719</v>
      </c>
      <c r="C667">
        <v>157</v>
      </c>
      <c r="D667">
        <v>429</v>
      </c>
      <c r="E667">
        <v>7.2</v>
      </c>
      <c r="F667">
        <v>5</v>
      </c>
      <c r="G667">
        <v>50</v>
      </c>
    </row>
    <row r="668" spans="1:7" x14ac:dyDescent="0.25">
      <c r="A668" t="s">
        <v>412</v>
      </c>
      <c r="B668">
        <v>7540</v>
      </c>
      <c r="C668">
        <v>176</v>
      </c>
      <c r="D668">
        <v>482</v>
      </c>
      <c r="E668">
        <v>14.4</v>
      </c>
      <c r="F668">
        <v>5</v>
      </c>
      <c r="G668">
        <v>50</v>
      </c>
    </row>
    <row r="669" spans="1:7" x14ac:dyDescent="0.25">
      <c r="A669">
        <v>60</v>
      </c>
      <c r="B669">
        <v>8429</v>
      </c>
      <c r="C669">
        <v>197</v>
      </c>
      <c r="D669">
        <v>538</v>
      </c>
      <c r="E669">
        <v>14.4</v>
      </c>
      <c r="F669">
        <v>5</v>
      </c>
      <c r="G669">
        <v>50</v>
      </c>
    </row>
    <row r="670" spans="1:7" x14ac:dyDescent="0.25">
      <c r="A670" t="s">
        <v>413</v>
      </c>
      <c r="B670">
        <v>9045</v>
      </c>
      <c r="C670">
        <v>211</v>
      </c>
      <c r="D670">
        <v>578</v>
      </c>
      <c r="E670">
        <v>14.4</v>
      </c>
      <c r="F670">
        <v>5</v>
      </c>
      <c r="G670">
        <v>50</v>
      </c>
    </row>
    <row r="671" spans="1:7" x14ac:dyDescent="0.25">
      <c r="A671">
        <v>70</v>
      </c>
      <c r="B671">
        <v>9941</v>
      </c>
      <c r="C671">
        <v>232</v>
      </c>
      <c r="D671">
        <v>635</v>
      </c>
      <c r="E671">
        <v>14.4</v>
      </c>
      <c r="F671">
        <v>5</v>
      </c>
      <c r="G671">
        <v>50</v>
      </c>
    </row>
    <row r="672" spans="1:7" x14ac:dyDescent="0.25">
      <c r="A672" t="s">
        <v>414</v>
      </c>
      <c r="B672">
        <v>10557</v>
      </c>
      <c r="C672">
        <v>247</v>
      </c>
      <c r="D672">
        <v>674</v>
      </c>
      <c r="E672">
        <v>21.6</v>
      </c>
      <c r="F672">
        <v>5</v>
      </c>
      <c r="G672">
        <v>50</v>
      </c>
    </row>
    <row r="673" spans="1:7" x14ac:dyDescent="0.25">
      <c r="A673">
        <v>80</v>
      </c>
      <c r="B673">
        <v>11463</v>
      </c>
      <c r="C673">
        <v>268</v>
      </c>
      <c r="D673">
        <v>732</v>
      </c>
      <c r="E673">
        <v>21.6</v>
      </c>
      <c r="F673">
        <v>5</v>
      </c>
      <c r="G673">
        <v>50</v>
      </c>
    </row>
    <row r="674" spans="1:7" x14ac:dyDescent="0.25">
      <c r="A674" t="s">
        <v>415</v>
      </c>
      <c r="B674">
        <v>12080</v>
      </c>
      <c r="C674">
        <v>282</v>
      </c>
      <c r="D674">
        <v>772</v>
      </c>
      <c r="E674">
        <v>28.8</v>
      </c>
      <c r="F674">
        <v>5</v>
      </c>
      <c r="G674">
        <v>50</v>
      </c>
    </row>
    <row r="675" spans="1:7" x14ac:dyDescent="0.25">
      <c r="A675">
        <v>90</v>
      </c>
      <c r="B675">
        <v>12993</v>
      </c>
      <c r="C675">
        <v>304</v>
      </c>
      <c r="D675">
        <v>830</v>
      </c>
      <c r="E675">
        <v>28.8</v>
      </c>
      <c r="F675">
        <v>5</v>
      </c>
      <c r="G675">
        <v>50</v>
      </c>
    </row>
    <row r="676" spans="1:7" x14ac:dyDescent="0.25">
      <c r="A676" t="s">
        <v>303</v>
      </c>
      <c r="B676" t="s">
        <v>405</v>
      </c>
      <c r="C676" t="s">
        <v>406</v>
      </c>
      <c r="D676" t="s">
        <v>407</v>
      </c>
      <c r="E676" t="s">
        <v>125</v>
      </c>
      <c r="F676" t="s">
        <v>408</v>
      </c>
      <c r="G676" t="s">
        <v>409</v>
      </c>
    </row>
    <row r="677" spans="1:7" x14ac:dyDescent="0.25">
      <c r="A677">
        <v>1</v>
      </c>
      <c r="B677">
        <v>802</v>
      </c>
      <c r="C677">
        <v>16</v>
      </c>
      <c r="D677">
        <v>53</v>
      </c>
      <c r="E677">
        <v>0</v>
      </c>
      <c r="F677">
        <v>5</v>
      </c>
      <c r="G677">
        <v>50</v>
      </c>
    </row>
    <row r="678" spans="1:7" x14ac:dyDescent="0.25">
      <c r="A678">
        <v>20</v>
      </c>
      <c r="B678">
        <v>2061</v>
      </c>
      <c r="C678">
        <v>42</v>
      </c>
      <c r="D678">
        <v>135</v>
      </c>
      <c r="E678">
        <v>0</v>
      </c>
      <c r="F678">
        <v>5</v>
      </c>
      <c r="G678">
        <v>50</v>
      </c>
    </row>
    <row r="679" spans="1:7" x14ac:dyDescent="0.25">
      <c r="A679" t="s">
        <v>410</v>
      </c>
      <c r="B679">
        <v>2661</v>
      </c>
      <c r="C679">
        <v>54</v>
      </c>
      <c r="D679">
        <v>175</v>
      </c>
      <c r="E679">
        <v>0</v>
      </c>
      <c r="F679">
        <v>5</v>
      </c>
      <c r="G679">
        <v>50</v>
      </c>
    </row>
    <row r="680" spans="1:7" x14ac:dyDescent="0.25">
      <c r="A680">
        <v>40</v>
      </c>
      <c r="B680">
        <v>3985</v>
      </c>
      <c r="C680">
        <v>81</v>
      </c>
      <c r="D680">
        <v>262</v>
      </c>
      <c r="E680">
        <v>0</v>
      </c>
      <c r="F680">
        <v>5</v>
      </c>
      <c r="G680">
        <v>50</v>
      </c>
    </row>
    <row r="681" spans="1:7" x14ac:dyDescent="0.25">
      <c r="A681" t="s">
        <v>411</v>
      </c>
      <c r="B681">
        <v>4411</v>
      </c>
      <c r="C681">
        <v>90</v>
      </c>
      <c r="D681">
        <v>289</v>
      </c>
      <c r="E681">
        <v>6</v>
      </c>
      <c r="F681">
        <v>5</v>
      </c>
      <c r="G681">
        <v>50</v>
      </c>
    </row>
    <row r="682" spans="1:7" x14ac:dyDescent="0.25">
      <c r="A682">
        <v>50</v>
      </c>
      <c r="B682">
        <v>5074</v>
      </c>
      <c r="C682">
        <v>104</v>
      </c>
      <c r="D682">
        <v>333</v>
      </c>
      <c r="E682">
        <v>6</v>
      </c>
      <c r="F682">
        <v>5</v>
      </c>
      <c r="G682">
        <v>50</v>
      </c>
    </row>
    <row r="683" spans="1:7" x14ac:dyDescent="0.25">
      <c r="A683" t="s">
        <v>412</v>
      </c>
      <c r="B683">
        <v>5642</v>
      </c>
      <c r="C683">
        <v>115</v>
      </c>
      <c r="D683">
        <v>370</v>
      </c>
      <c r="E683">
        <v>12</v>
      </c>
      <c r="F683">
        <v>5</v>
      </c>
      <c r="G683">
        <v>50</v>
      </c>
    </row>
    <row r="684" spans="1:7" x14ac:dyDescent="0.25">
      <c r="A684">
        <v>60</v>
      </c>
      <c r="B684">
        <v>6305</v>
      </c>
      <c r="C684">
        <v>129</v>
      </c>
      <c r="D684">
        <v>414</v>
      </c>
      <c r="E684">
        <v>12</v>
      </c>
      <c r="F684">
        <v>5</v>
      </c>
      <c r="G684">
        <v>50</v>
      </c>
    </row>
    <row r="685" spans="1:7" x14ac:dyDescent="0.25">
      <c r="A685" t="s">
        <v>413</v>
      </c>
      <c r="B685">
        <v>6731</v>
      </c>
      <c r="C685">
        <v>137</v>
      </c>
      <c r="D685">
        <v>442</v>
      </c>
      <c r="E685">
        <v>12</v>
      </c>
      <c r="F685">
        <v>5</v>
      </c>
      <c r="G685">
        <v>50</v>
      </c>
    </row>
    <row r="686" spans="1:7" x14ac:dyDescent="0.25">
      <c r="A686">
        <v>70</v>
      </c>
      <c r="B686">
        <v>7393</v>
      </c>
      <c r="C686">
        <v>151</v>
      </c>
      <c r="D686">
        <v>485</v>
      </c>
      <c r="E686">
        <v>12</v>
      </c>
      <c r="F686">
        <v>5</v>
      </c>
      <c r="G686">
        <v>50</v>
      </c>
    </row>
    <row r="687" spans="1:7" x14ac:dyDescent="0.25">
      <c r="A687" t="s">
        <v>414</v>
      </c>
      <c r="B687">
        <v>7818</v>
      </c>
      <c r="C687">
        <v>160</v>
      </c>
      <c r="D687">
        <v>513</v>
      </c>
      <c r="E687">
        <v>18</v>
      </c>
      <c r="F687">
        <v>5</v>
      </c>
      <c r="G687">
        <v>50</v>
      </c>
    </row>
    <row r="688" spans="1:7" x14ac:dyDescent="0.25">
      <c r="A688">
        <v>80</v>
      </c>
      <c r="B688">
        <v>8481</v>
      </c>
      <c r="C688">
        <v>173</v>
      </c>
      <c r="D688">
        <v>556</v>
      </c>
      <c r="E688">
        <v>18</v>
      </c>
      <c r="F688">
        <v>5</v>
      </c>
      <c r="G688">
        <v>50</v>
      </c>
    </row>
    <row r="689" spans="1:7" x14ac:dyDescent="0.25">
      <c r="A689" t="s">
        <v>415</v>
      </c>
      <c r="B689">
        <v>8907</v>
      </c>
      <c r="C689">
        <v>182</v>
      </c>
      <c r="D689">
        <v>584</v>
      </c>
      <c r="E689">
        <v>24</v>
      </c>
      <c r="F689">
        <v>5</v>
      </c>
      <c r="G689">
        <v>50</v>
      </c>
    </row>
    <row r="690" spans="1:7" x14ac:dyDescent="0.25">
      <c r="A690">
        <v>90</v>
      </c>
      <c r="B690">
        <v>9570</v>
      </c>
      <c r="C690">
        <v>195</v>
      </c>
      <c r="D690">
        <v>628</v>
      </c>
      <c r="E690">
        <v>24</v>
      </c>
      <c r="F690">
        <v>5</v>
      </c>
      <c r="G690">
        <v>50</v>
      </c>
    </row>
    <row r="691" spans="1:7" ht="14.1" customHeight="1" x14ac:dyDescent="0.25">
      <c r="A691" t="s">
        <v>1047</v>
      </c>
      <c r="B691" t="s">
        <v>405</v>
      </c>
      <c r="C691" t="s">
        <v>406</v>
      </c>
      <c r="D691" t="s">
        <v>407</v>
      </c>
      <c r="E691" t="s">
        <v>1064</v>
      </c>
      <c r="F691" t="s">
        <v>408</v>
      </c>
      <c r="G691" t="s">
        <v>409</v>
      </c>
    </row>
    <row r="692" spans="1:7" x14ac:dyDescent="0.25">
      <c r="A692">
        <v>1</v>
      </c>
      <c r="B692">
        <v>894</v>
      </c>
      <c r="C692">
        <v>16</v>
      </c>
      <c r="D692">
        <v>62</v>
      </c>
      <c r="E692">
        <v>0</v>
      </c>
      <c r="F692">
        <v>5</v>
      </c>
      <c r="G692">
        <v>50</v>
      </c>
    </row>
    <row r="693" spans="1:7" x14ac:dyDescent="0.25">
      <c r="A693">
        <v>20</v>
      </c>
      <c r="B693">
        <v>2296</v>
      </c>
      <c r="C693">
        <v>41</v>
      </c>
      <c r="D693">
        <v>158</v>
      </c>
      <c r="E693">
        <v>0</v>
      </c>
      <c r="F693">
        <v>5</v>
      </c>
      <c r="G693">
        <v>50</v>
      </c>
    </row>
    <row r="694" spans="1:7" x14ac:dyDescent="0.25">
      <c r="A694" t="s">
        <v>410</v>
      </c>
      <c r="B694">
        <v>2963</v>
      </c>
      <c r="C694">
        <v>53</v>
      </c>
      <c r="D694">
        <v>204</v>
      </c>
      <c r="E694">
        <v>0</v>
      </c>
      <c r="F694">
        <v>5</v>
      </c>
      <c r="G694">
        <v>50</v>
      </c>
    </row>
    <row r="695" spans="1:7" x14ac:dyDescent="0.25">
      <c r="A695">
        <v>40</v>
      </c>
      <c r="B695">
        <v>4438</v>
      </c>
      <c r="C695">
        <v>80</v>
      </c>
      <c r="D695">
        <v>306</v>
      </c>
      <c r="E695">
        <v>0</v>
      </c>
      <c r="F695">
        <v>5</v>
      </c>
      <c r="G695">
        <v>50</v>
      </c>
    </row>
    <row r="696" spans="1:7" x14ac:dyDescent="0.25">
      <c r="A696" t="s">
        <v>411</v>
      </c>
      <c r="B696">
        <v>4913</v>
      </c>
      <c r="C696">
        <v>88</v>
      </c>
      <c r="D696">
        <v>339</v>
      </c>
      <c r="E696">
        <v>6.7</v>
      </c>
      <c r="F696">
        <v>5</v>
      </c>
      <c r="G696">
        <v>50</v>
      </c>
    </row>
    <row r="697" spans="1:7" x14ac:dyDescent="0.25">
      <c r="A697">
        <v>50</v>
      </c>
      <c r="B697">
        <v>5651</v>
      </c>
      <c r="C697">
        <v>101</v>
      </c>
      <c r="D697">
        <v>389</v>
      </c>
      <c r="E697">
        <v>6.7</v>
      </c>
      <c r="F697">
        <v>5</v>
      </c>
      <c r="G697">
        <v>50</v>
      </c>
    </row>
    <row r="698" spans="1:7" x14ac:dyDescent="0.25">
      <c r="A698" t="s">
        <v>412</v>
      </c>
      <c r="B698">
        <v>6283</v>
      </c>
      <c r="C698">
        <v>113</v>
      </c>
      <c r="D698">
        <v>433</v>
      </c>
      <c r="E698">
        <v>13.3</v>
      </c>
      <c r="F698">
        <v>5</v>
      </c>
      <c r="G698">
        <v>50</v>
      </c>
    </row>
    <row r="699" spans="1:7" x14ac:dyDescent="0.25">
      <c r="A699">
        <v>60</v>
      </c>
      <c r="B699">
        <v>7021</v>
      </c>
      <c r="C699">
        <v>126</v>
      </c>
      <c r="D699">
        <v>484</v>
      </c>
      <c r="E699">
        <v>13.3</v>
      </c>
      <c r="F699">
        <v>5</v>
      </c>
      <c r="G699">
        <v>50</v>
      </c>
    </row>
    <row r="700" spans="1:7" x14ac:dyDescent="0.25">
      <c r="A700" t="s">
        <v>413</v>
      </c>
      <c r="B700">
        <v>7495</v>
      </c>
      <c r="C700">
        <v>134</v>
      </c>
      <c r="D700">
        <v>517</v>
      </c>
      <c r="E700">
        <v>13.3</v>
      </c>
      <c r="F700">
        <v>5</v>
      </c>
      <c r="G700">
        <v>50</v>
      </c>
    </row>
    <row r="701" spans="1:7" x14ac:dyDescent="0.25">
      <c r="A701">
        <v>70</v>
      </c>
      <c r="B701">
        <v>8233</v>
      </c>
      <c r="C701">
        <v>148</v>
      </c>
      <c r="D701">
        <v>567</v>
      </c>
      <c r="E701">
        <v>13.3</v>
      </c>
      <c r="F701">
        <v>5</v>
      </c>
      <c r="G701">
        <v>50</v>
      </c>
    </row>
    <row r="702" spans="1:7" x14ac:dyDescent="0.25">
      <c r="A702" t="s">
        <v>414</v>
      </c>
      <c r="B702">
        <v>8707</v>
      </c>
      <c r="C702">
        <v>156</v>
      </c>
      <c r="D702">
        <v>600</v>
      </c>
      <c r="E702">
        <v>20</v>
      </c>
      <c r="F702">
        <v>5</v>
      </c>
      <c r="G702">
        <v>50</v>
      </c>
    </row>
    <row r="703" spans="1:7" x14ac:dyDescent="0.25">
      <c r="A703">
        <v>80</v>
      </c>
      <c r="B703">
        <v>9445</v>
      </c>
      <c r="C703">
        <v>169</v>
      </c>
      <c r="D703">
        <v>651</v>
      </c>
      <c r="E703">
        <v>20</v>
      </c>
      <c r="F703">
        <v>5</v>
      </c>
      <c r="G703">
        <v>50</v>
      </c>
    </row>
    <row r="704" spans="1:7" x14ac:dyDescent="0.25">
      <c r="A704" t="s">
        <v>415</v>
      </c>
      <c r="B704">
        <v>9919</v>
      </c>
      <c r="C704">
        <v>178</v>
      </c>
      <c r="D704">
        <v>684</v>
      </c>
      <c r="E704">
        <v>26.7</v>
      </c>
      <c r="F704">
        <v>5</v>
      </c>
      <c r="G704">
        <v>50</v>
      </c>
    </row>
    <row r="705" spans="1:7" x14ac:dyDescent="0.25">
      <c r="A705">
        <v>90</v>
      </c>
      <c r="B705">
        <v>10657</v>
      </c>
      <c r="C705">
        <v>191</v>
      </c>
      <c r="D705">
        <v>734</v>
      </c>
      <c r="E705">
        <v>26.7</v>
      </c>
      <c r="F705">
        <v>5</v>
      </c>
      <c r="G705">
        <v>50</v>
      </c>
    </row>
    <row r="706" spans="1:7" x14ac:dyDescent="0.25">
      <c r="A706" t="s">
        <v>1145</v>
      </c>
      <c r="B706" t="s">
        <v>405</v>
      </c>
      <c r="C706" t="s">
        <v>406</v>
      </c>
      <c r="D706" t="s">
        <v>407</v>
      </c>
      <c r="E706" t="s">
        <v>408</v>
      </c>
      <c r="F706" t="s">
        <v>409</v>
      </c>
    </row>
    <row r="707" spans="1:7" x14ac:dyDescent="0.25">
      <c r="A707">
        <v>1</v>
      </c>
      <c r="B707">
        <v>912</v>
      </c>
      <c r="C707">
        <v>18</v>
      </c>
      <c r="D707">
        <v>57</v>
      </c>
      <c r="E707">
        <v>5</v>
      </c>
      <c r="F707">
        <v>50</v>
      </c>
    </row>
    <row r="708" spans="1:7" x14ac:dyDescent="0.25">
      <c r="A708">
        <v>20</v>
      </c>
      <c r="E708">
        <v>5</v>
      </c>
      <c r="F708">
        <v>50</v>
      </c>
    </row>
    <row r="709" spans="1:7" x14ac:dyDescent="0.25">
      <c r="A709" t="s">
        <v>410</v>
      </c>
      <c r="E709">
        <v>5</v>
      </c>
      <c r="F709">
        <v>50</v>
      </c>
    </row>
    <row r="710" spans="1:7" x14ac:dyDescent="0.25">
      <c r="A710">
        <v>40</v>
      </c>
      <c r="E710">
        <v>5</v>
      </c>
      <c r="F710">
        <v>50</v>
      </c>
    </row>
    <row r="711" spans="1:7" x14ac:dyDescent="0.25">
      <c r="A711" t="s">
        <v>411</v>
      </c>
      <c r="E711">
        <v>5</v>
      </c>
      <c r="F711">
        <v>50</v>
      </c>
    </row>
    <row r="712" spans="1:7" x14ac:dyDescent="0.25">
      <c r="A712">
        <v>50</v>
      </c>
      <c r="E712">
        <v>5</v>
      </c>
      <c r="F712">
        <v>50</v>
      </c>
    </row>
    <row r="713" spans="1:7" x14ac:dyDescent="0.25">
      <c r="A713" t="s">
        <v>412</v>
      </c>
      <c r="E713">
        <v>5</v>
      </c>
      <c r="F713">
        <v>50</v>
      </c>
    </row>
    <row r="714" spans="1:7" x14ac:dyDescent="0.25">
      <c r="A714">
        <v>60</v>
      </c>
      <c r="E714">
        <v>5</v>
      </c>
      <c r="F714">
        <v>50</v>
      </c>
    </row>
    <row r="715" spans="1:7" x14ac:dyDescent="0.25">
      <c r="A715" t="s">
        <v>413</v>
      </c>
      <c r="E715">
        <v>5</v>
      </c>
      <c r="F715">
        <v>50</v>
      </c>
    </row>
    <row r="716" spans="1:7" x14ac:dyDescent="0.25">
      <c r="A716">
        <v>70</v>
      </c>
      <c r="E716">
        <v>5</v>
      </c>
      <c r="F716">
        <v>50</v>
      </c>
    </row>
    <row r="717" spans="1:7" x14ac:dyDescent="0.25">
      <c r="A717" t="s">
        <v>414</v>
      </c>
      <c r="E717">
        <v>5</v>
      </c>
      <c r="F717">
        <v>50</v>
      </c>
    </row>
    <row r="718" spans="1:7" x14ac:dyDescent="0.25">
      <c r="A718">
        <v>80</v>
      </c>
      <c r="E718">
        <v>5</v>
      </c>
      <c r="F718">
        <v>50</v>
      </c>
    </row>
    <row r="719" spans="1:7" x14ac:dyDescent="0.25">
      <c r="A719" t="s">
        <v>415</v>
      </c>
      <c r="E719">
        <v>5</v>
      </c>
      <c r="F719">
        <v>50</v>
      </c>
    </row>
    <row r="720" spans="1:7" x14ac:dyDescent="0.25">
      <c r="A720">
        <v>90</v>
      </c>
      <c r="B720">
        <v>11284</v>
      </c>
      <c r="C720">
        <v>264</v>
      </c>
      <c r="D720">
        <v>682</v>
      </c>
      <c r="E720">
        <v>5</v>
      </c>
      <c r="F720">
        <v>50</v>
      </c>
    </row>
    <row r="721" spans="1:7" x14ac:dyDescent="0.25">
      <c r="A721" t="s">
        <v>229</v>
      </c>
      <c r="B721" t="s">
        <v>405</v>
      </c>
      <c r="C721" t="s">
        <v>406</v>
      </c>
      <c r="D721" t="s">
        <v>407</v>
      </c>
      <c r="E721" t="s">
        <v>69</v>
      </c>
      <c r="F721" t="s">
        <v>408</v>
      </c>
      <c r="G721" t="s">
        <v>409</v>
      </c>
    </row>
    <row r="722" spans="1:7" x14ac:dyDescent="0.25">
      <c r="A722">
        <v>1</v>
      </c>
      <c r="B722">
        <v>1039</v>
      </c>
      <c r="C722">
        <v>23</v>
      </c>
      <c r="D722">
        <v>63</v>
      </c>
      <c r="E722">
        <v>0</v>
      </c>
      <c r="F722">
        <v>5</v>
      </c>
      <c r="G722">
        <v>50</v>
      </c>
    </row>
    <row r="723" spans="1:7" x14ac:dyDescent="0.25">
      <c r="A723">
        <v>20</v>
      </c>
      <c r="B723">
        <v>2695</v>
      </c>
      <c r="C723">
        <v>60</v>
      </c>
      <c r="D723">
        <v>163</v>
      </c>
      <c r="E723">
        <v>0</v>
      </c>
      <c r="F723">
        <v>5</v>
      </c>
      <c r="G723">
        <v>50</v>
      </c>
    </row>
    <row r="724" spans="1:7" x14ac:dyDescent="0.25">
      <c r="A724" t="s">
        <v>410</v>
      </c>
      <c r="B724">
        <v>3586</v>
      </c>
      <c r="C724">
        <v>80</v>
      </c>
      <c r="D724">
        <v>217</v>
      </c>
      <c r="E724">
        <v>0</v>
      </c>
      <c r="F724">
        <v>5</v>
      </c>
      <c r="G724">
        <v>50</v>
      </c>
    </row>
    <row r="725" spans="1:7" x14ac:dyDescent="0.25">
      <c r="A725">
        <v>40</v>
      </c>
      <c r="B725">
        <v>5366</v>
      </c>
      <c r="C725">
        <v>119</v>
      </c>
      <c r="D725">
        <v>324</v>
      </c>
      <c r="E725">
        <v>0</v>
      </c>
      <c r="F725">
        <v>5</v>
      </c>
      <c r="G725">
        <v>50</v>
      </c>
    </row>
    <row r="726" spans="1:7" x14ac:dyDescent="0.25">
      <c r="A726" t="s">
        <v>411</v>
      </c>
      <c r="B726">
        <v>5999</v>
      </c>
      <c r="C726">
        <v>133</v>
      </c>
      <c r="D726">
        <v>363</v>
      </c>
      <c r="E726">
        <v>28.8</v>
      </c>
      <c r="F726">
        <v>5</v>
      </c>
      <c r="G726">
        <v>50</v>
      </c>
    </row>
    <row r="727" spans="1:7" x14ac:dyDescent="0.25">
      <c r="A727">
        <v>50</v>
      </c>
      <c r="B727">
        <v>6902</v>
      </c>
      <c r="C727">
        <v>153</v>
      </c>
      <c r="D727">
        <v>417</v>
      </c>
      <c r="E727">
        <v>28.8</v>
      </c>
      <c r="F727">
        <v>5</v>
      </c>
      <c r="G727">
        <v>50</v>
      </c>
    </row>
    <row r="728" spans="1:7" x14ac:dyDescent="0.25">
      <c r="A728" t="s">
        <v>412</v>
      </c>
      <c r="B728">
        <v>7747</v>
      </c>
      <c r="C728">
        <v>172</v>
      </c>
      <c r="D728">
        <v>468</v>
      </c>
      <c r="E728">
        <v>57.6</v>
      </c>
      <c r="F728">
        <v>5</v>
      </c>
      <c r="G728">
        <v>50</v>
      </c>
    </row>
    <row r="729" spans="1:7" x14ac:dyDescent="0.25">
      <c r="A729">
        <v>60</v>
      </c>
      <c r="B729">
        <v>8659</v>
      </c>
      <c r="C729">
        <v>192</v>
      </c>
      <c r="D729">
        <v>523</v>
      </c>
      <c r="E729">
        <v>57.6</v>
      </c>
      <c r="F729">
        <v>5</v>
      </c>
      <c r="G729">
        <v>50</v>
      </c>
    </row>
    <row r="730" spans="1:7" x14ac:dyDescent="0.25">
      <c r="A730" t="s">
        <v>413</v>
      </c>
      <c r="B730">
        <v>9292</v>
      </c>
      <c r="C730">
        <v>206</v>
      </c>
      <c r="D730">
        <v>562</v>
      </c>
      <c r="E730">
        <v>57.6</v>
      </c>
      <c r="F730">
        <v>5</v>
      </c>
      <c r="G730">
        <v>50</v>
      </c>
    </row>
    <row r="731" spans="1:7" x14ac:dyDescent="0.25">
      <c r="A731">
        <v>70</v>
      </c>
      <c r="B731">
        <v>10213</v>
      </c>
      <c r="C731">
        <v>227</v>
      </c>
      <c r="D731">
        <v>617</v>
      </c>
      <c r="E731">
        <v>57.6</v>
      </c>
      <c r="F731">
        <v>5</v>
      </c>
      <c r="G731">
        <v>50</v>
      </c>
    </row>
    <row r="732" spans="1:7" x14ac:dyDescent="0.25">
      <c r="A732" t="s">
        <v>414</v>
      </c>
      <c r="B732">
        <v>10846</v>
      </c>
      <c r="C732">
        <v>241</v>
      </c>
      <c r="D732">
        <v>656</v>
      </c>
      <c r="E732">
        <v>86.4</v>
      </c>
      <c r="F732">
        <v>5</v>
      </c>
      <c r="G732">
        <v>50</v>
      </c>
    </row>
    <row r="733" spans="1:7" x14ac:dyDescent="0.25">
      <c r="A733">
        <v>80</v>
      </c>
      <c r="B733">
        <v>11777</v>
      </c>
      <c r="C733">
        <v>262</v>
      </c>
      <c r="D733">
        <v>712</v>
      </c>
      <c r="E733">
        <v>86.4</v>
      </c>
      <c r="F733">
        <v>5</v>
      </c>
      <c r="G733">
        <v>50</v>
      </c>
    </row>
    <row r="734" spans="1:7" x14ac:dyDescent="0.25">
      <c r="A734" t="s">
        <v>415</v>
      </c>
      <c r="B734">
        <v>12410</v>
      </c>
      <c r="C734">
        <v>276</v>
      </c>
      <c r="D734">
        <v>750</v>
      </c>
      <c r="E734">
        <v>115.2</v>
      </c>
      <c r="F734">
        <v>5</v>
      </c>
      <c r="G734">
        <v>50</v>
      </c>
    </row>
    <row r="735" spans="1:7" x14ac:dyDescent="0.25">
      <c r="A735">
        <v>90</v>
      </c>
      <c r="B735">
        <v>13348</v>
      </c>
      <c r="C735">
        <v>297</v>
      </c>
      <c r="D735">
        <v>807</v>
      </c>
      <c r="E735">
        <v>115.2</v>
      </c>
      <c r="F735">
        <v>5</v>
      </c>
      <c r="G735">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76728-7E70-480A-8D4B-6B0391A73FC4}">
  <sheetPr codeName="Sheet12"/>
  <dimension ref="A1:CV263"/>
  <sheetViews>
    <sheetView topLeftCell="A232" zoomScale="80" zoomScaleNormal="80" workbookViewId="0">
      <pane xSplit="1" topLeftCell="BH1" activePane="topRight" state="frozen"/>
      <selection pane="topRight" activeCell="BL243" sqref="BL243"/>
    </sheetView>
  </sheetViews>
  <sheetFormatPr defaultRowHeight="15" x14ac:dyDescent="0.25"/>
  <cols>
    <col min="1" max="1" width="25.5703125" bestFit="1" customWidth="1"/>
    <col min="42" max="42" width="9.28515625" customWidth="1"/>
  </cols>
  <sheetData>
    <row r="1" spans="1:100" x14ac:dyDescent="0.25">
      <c r="A1" t="s">
        <v>556</v>
      </c>
      <c r="B1" s="47" t="s">
        <v>461</v>
      </c>
      <c r="C1" s="51" t="s">
        <v>462</v>
      </c>
      <c r="D1" s="51" t="s">
        <v>463</v>
      </c>
      <c r="E1" s="51" t="s">
        <v>464</v>
      </c>
      <c r="F1" s="51" t="s">
        <v>465</v>
      </c>
      <c r="G1" s="51" t="s">
        <v>466</v>
      </c>
      <c r="H1" s="51" t="s">
        <v>467</v>
      </c>
      <c r="I1" s="51" t="s">
        <v>468</v>
      </c>
      <c r="J1" s="51" t="s">
        <v>469</v>
      </c>
      <c r="K1" s="51" t="s">
        <v>470</v>
      </c>
      <c r="L1" s="51" t="s">
        <v>471</v>
      </c>
      <c r="M1" s="51" t="s">
        <v>472</v>
      </c>
      <c r="N1" s="51" t="s">
        <v>473</v>
      </c>
      <c r="O1" s="51" t="s">
        <v>474</v>
      </c>
      <c r="P1" s="51" t="s">
        <v>475</v>
      </c>
      <c r="Q1" s="51" t="s">
        <v>476</v>
      </c>
      <c r="R1" s="51" t="s">
        <v>477</v>
      </c>
      <c r="S1" s="51" t="s">
        <v>478</v>
      </c>
      <c r="T1" s="51" t="s">
        <v>479</v>
      </c>
      <c r="U1" s="56" t="s">
        <v>480</v>
      </c>
      <c r="V1" s="56" t="s">
        <v>481</v>
      </c>
      <c r="W1" s="56" t="s">
        <v>482</v>
      </c>
      <c r="X1" s="56" t="s">
        <v>483</v>
      </c>
      <c r="Y1" s="56" t="s">
        <v>484</v>
      </c>
      <c r="Z1" s="56" t="s">
        <v>1078</v>
      </c>
      <c r="AA1" s="56" t="s">
        <v>485</v>
      </c>
      <c r="AB1" s="56" t="s">
        <v>486</v>
      </c>
      <c r="AC1" s="56" t="s">
        <v>487</v>
      </c>
      <c r="AD1" s="56" t="s">
        <v>488</v>
      </c>
      <c r="AE1" s="56" t="s">
        <v>489</v>
      </c>
      <c r="AF1" s="56" t="s">
        <v>490</v>
      </c>
      <c r="AG1" s="56" t="s">
        <v>491</v>
      </c>
      <c r="AH1" s="56" t="s">
        <v>975</v>
      </c>
      <c r="AI1" s="56" t="s">
        <v>492</v>
      </c>
      <c r="AJ1" s="56" t="s">
        <v>493</v>
      </c>
      <c r="AK1" s="56" t="s">
        <v>494</v>
      </c>
      <c r="AL1" s="56" t="s">
        <v>495</v>
      </c>
      <c r="AM1" s="56" t="s">
        <v>496</v>
      </c>
      <c r="AN1" s="57" t="s">
        <v>497</v>
      </c>
      <c r="AO1" s="57" t="s">
        <v>498</v>
      </c>
      <c r="AP1" s="57" t="s">
        <v>499</v>
      </c>
      <c r="AQ1" s="57" t="s">
        <v>500</v>
      </c>
      <c r="AR1" s="57" t="s">
        <v>501</v>
      </c>
      <c r="AS1" s="57" t="s">
        <v>502</v>
      </c>
      <c r="AT1" s="57" t="s">
        <v>503</v>
      </c>
      <c r="AU1" s="57" t="s">
        <v>504</v>
      </c>
      <c r="AV1" s="57" t="s">
        <v>505</v>
      </c>
      <c r="AW1" s="57" t="s">
        <v>506</v>
      </c>
      <c r="AX1" s="57" t="s">
        <v>507</v>
      </c>
      <c r="AY1" s="57" t="s">
        <v>508</v>
      </c>
      <c r="AZ1" s="57" t="s">
        <v>509</v>
      </c>
      <c r="BA1" s="57" t="s">
        <v>510</v>
      </c>
      <c r="BB1" s="57" t="s">
        <v>511</v>
      </c>
      <c r="BC1" s="57" t="s">
        <v>512</v>
      </c>
      <c r="BD1" s="57" t="s">
        <v>513</v>
      </c>
      <c r="BE1" s="57" t="s">
        <v>1136</v>
      </c>
      <c r="BF1" s="57" t="s">
        <v>514</v>
      </c>
      <c r="BG1" s="57" t="s">
        <v>515</v>
      </c>
      <c r="BH1" s="57" t="s">
        <v>516</v>
      </c>
      <c r="BI1" s="57" t="s">
        <v>517</v>
      </c>
      <c r="BJ1" s="58" t="s">
        <v>518</v>
      </c>
      <c r="BK1" s="58" t="s">
        <v>1148</v>
      </c>
      <c r="BL1" s="58" t="s">
        <v>519</v>
      </c>
      <c r="BM1" s="58" t="s">
        <v>520</v>
      </c>
      <c r="BN1" s="58" t="s">
        <v>521</v>
      </c>
      <c r="BO1" s="58" t="s">
        <v>522</v>
      </c>
      <c r="BP1" s="58" t="s">
        <v>523</v>
      </c>
      <c r="BQ1" s="58" t="s">
        <v>524</v>
      </c>
      <c r="BR1" s="58" t="s">
        <v>525</v>
      </c>
      <c r="BS1" s="58" t="s">
        <v>526</v>
      </c>
      <c r="BT1" s="58" t="s">
        <v>527</v>
      </c>
      <c r="BU1" s="58" t="s">
        <v>528</v>
      </c>
      <c r="BV1" s="58" t="s">
        <v>529</v>
      </c>
      <c r="BW1" s="58" t="s">
        <v>530</v>
      </c>
      <c r="BX1" s="58" t="s">
        <v>531</v>
      </c>
      <c r="BY1" s="58" t="s">
        <v>532</v>
      </c>
      <c r="BZ1" s="58" t="s">
        <v>533</v>
      </c>
      <c r="CA1" s="58" t="s">
        <v>534</v>
      </c>
      <c r="CB1" s="58" t="s">
        <v>535</v>
      </c>
      <c r="CC1" s="58" t="s">
        <v>536</v>
      </c>
      <c r="CD1" s="59" t="s">
        <v>537</v>
      </c>
      <c r="CE1" s="59" t="s">
        <v>538</v>
      </c>
      <c r="CF1" s="59" t="s">
        <v>539</v>
      </c>
      <c r="CG1" s="59" t="s">
        <v>540</v>
      </c>
      <c r="CH1" s="59" t="s">
        <v>541</v>
      </c>
      <c r="CI1" s="59" t="s">
        <v>542</v>
      </c>
      <c r="CJ1" s="59" t="s">
        <v>543</v>
      </c>
      <c r="CK1" s="59" t="s">
        <v>544</v>
      </c>
      <c r="CL1" s="59" t="s">
        <v>545</v>
      </c>
      <c r="CM1" s="59" t="s">
        <v>546</v>
      </c>
      <c r="CN1" s="59" t="s">
        <v>547</v>
      </c>
      <c r="CO1" s="59" t="s">
        <v>548</v>
      </c>
      <c r="CP1" s="59" t="s">
        <v>549</v>
      </c>
      <c r="CQ1" s="59" t="s">
        <v>1077</v>
      </c>
      <c r="CR1" s="59" t="s">
        <v>550</v>
      </c>
      <c r="CS1" s="59" t="s">
        <v>551</v>
      </c>
      <c r="CT1" s="59" t="s">
        <v>552</v>
      </c>
      <c r="CU1" s="59" t="s">
        <v>553</v>
      </c>
      <c r="CV1" s="59" t="s">
        <v>554</v>
      </c>
    </row>
    <row r="2" spans="1:100" x14ac:dyDescent="0.25">
      <c r="A2" t="s">
        <v>406</v>
      </c>
      <c r="B2" s="48">
        <v>674</v>
      </c>
      <c r="C2" s="52">
        <v>608</v>
      </c>
      <c r="D2" s="52">
        <v>542</v>
      </c>
      <c r="E2" s="52">
        <v>608</v>
      </c>
      <c r="F2" s="52">
        <v>741</v>
      </c>
      <c r="G2" s="52">
        <v>510</v>
      </c>
      <c r="H2" s="52">
        <v>510</v>
      </c>
      <c r="I2" s="52">
        <v>565</v>
      </c>
      <c r="J2" s="52">
        <v>510</v>
      </c>
      <c r="K2" s="52">
        <v>454</v>
      </c>
      <c r="L2" s="52">
        <v>565</v>
      </c>
      <c r="M2" s="52">
        <v>510</v>
      </c>
      <c r="N2" s="52">
        <v>510</v>
      </c>
      <c r="O2" s="52">
        <v>565</v>
      </c>
      <c r="P2" s="52">
        <v>454</v>
      </c>
      <c r="Q2" s="52">
        <v>510</v>
      </c>
      <c r="R2" s="52">
        <v>565</v>
      </c>
      <c r="S2" s="52">
        <v>510</v>
      </c>
      <c r="T2" s="52">
        <v>510</v>
      </c>
      <c r="U2" s="60">
        <v>674</v>
      </c>
      <c r="V2" s="60">
        <v>608</v>
      </c>
      <c r="W2" s="60">
        <v>674</v>
      </c>
      <c r="X2" s="60">
        <v>608</v>
      </c>
      <c r="Y2" s="60">
        <v>608</v>
      </c>
      <c r="Z2" s="60">
        <v>741</v>
      </c>
      <c r="AA2" s="60">
        <v>510</v>
      </c>
      <c r="AB2" s="60">
        <v>565</v>
      </c>
      <c r="AC2" s="60">
        <v>454</v>
      </c>
      <c r="AD2" s="60">
        <v>565</v>
      </c>
      <c r="AE2" s="60">
        <v>510</v>
      </c>
      <c r="AF2" s="60">
        <v>565</v>
      </c>
      <c r="AG2" s="60">
        <v>454</v>
      </c>
      <c r="AH2" s="60">
        <v>620</v>
      </c>
      <c r="AI2" s="60">
        <v>454</v>
      </c>
      <c r="AJ2" s="60">
        <v>565</v>
      </c>
      <c r="AK2" s="60">
        <v>510</v>
      </c>
      <c r="AL2" s="60">
        <v>401</v>
      </c>
      <c r="AM2" s="60">
        <v>354</v>
      </c>
      <c r="AN2" s="61">
        <v>542</v>
      </c>
      <c r="AO2" s="61">
        <v>608</v>
      </c>
      <c r="AP2" s="61">
        <v>674</v>
      </c>
      <c r="AQ2" s="61">
        <v>608</v>
      </c>
      <c r="AR2" s="61">
        <v>608</v>
      </c>
      <c r="AS2" s="61">
        <v>674</v>
      </c>
      <c r="AT2" s="61">
        <v>510</v>
      </c>
      <c r="AU2" s="61">
        <v>510</v>
      </c>
      <c r="AV2" s="61">
        <v>510</v>
      </c>
      <c r="AW2" s="61">
        <v>620</v>
      </c>
      <c r="AX2" s="61">
        <v>454</v>
      </c>
      <c r="AY2" s="61">
        <v>510</v>
      </c>
      <c r="AZ2" s="61">
        <v>565</v>
      </c>
      <c r="BA2" s="61">
        <v>510</v>
      </c>
      <c r="BB2" s="61">
        <v>510</v>
      </c>
      <c r="BC2" s="61">
        <v>454</v>
      </c>
      <c r="BD2" s="61">
        <v>565</v>
      </c>
      <c r="BE2" s="61">
        <v>454</v>
      </c>
      <c r="BF2" s="61">
        <v>454</v>
      </c>
      <c r="BG2" s="61">
        <v>354</v>
      </c>
      <c r="BH2" s="61">
        <v>401</v>
      </c>
      <c r="BI2" s="61">
        <v>401</v>
      </c>
      <c r="BJ2" s="62">
        <v>608</v>
      </c>
      <c r="BK2" s="62">
        <v>608</v>
      </c>
      <c r="BL2" s="62">
        <v>674</v>
      </c>
      <c r="BM2" s="62">
        <v>608</v>
      </c>
      <c r="BN2" s="62">
        <v>608</v>
      </c>
      <c r="BO2" s="62">
        <v>510</v>
      </c>
      <c r="BP2" s="62">
        <v>454</v>
      </c>
      <c r="BQ2" s="62">
        <v>565</v>
      </c>
      <c r="BR2" s="62">
        <v>510</v>
      </c>
      <c r="BS2" s="62">
        <v>510</v>
      </c>
      <c r="BT2" s="62">
        <v>454</v>
      </c>
      <c r="BU2" s="62">
        <v>565</v>
      </c>
      <c r="BV2" s="62">
        <v>510</v>
      </c>
      <c r="BW2" s="62">
        <v>565</v>
      </c>
      <c r="BX2" s="62">
        <v>510</v>
      </c>
      <c r="BY2" s="62">
        <v>454</v>
      </c>
      <c r="BZ2" s="62">
        <v>354</v>
      </c>
      <c r="CA2" s="62">
        <v>510</v>
      </c>
      <c r="CB2" s="62">
        <v>565</v>
      </c>
      <c r="CC2" s="63">
        <v>401</v>
      </c>
      <c r="CD2" s="64">
        <v>608</v>
      </c>
      <c r="CE2" s="64">
        <v>608</v>
      </c>
      <c r="CF2" s="64">
        <v>674</v>
      </c>
      <c r="CG2" s="64">
        <v>608</v>
      </c>
      <c r="CH2" s="64">
        <v>510</v>
      </c>
      <c r="CI2" s="64">
        <v>510</v>
      </c>
      <c r="CJ2" s="64">
        <v>454</v>
      </c>
      <c r="CK2" s="64">
        <v>565</v>
      </c>
      <c r="CL2" s="64">
        <v>510</v>
      </c>
      <c r="CM2" s="64">
        <v>454</v>
      </c>
      <c r="CN2" s="64">
        <v>510</v>
      </c>
      <c r="CO2" s="64">
        <v>565</v>
      </c>
      <c r="CP2" s="64">
        <v>565</v>
      </c>
      <c r="CQ2" s="64">
        <v>454</v>
      </c>
      <c r="CR2" s="64">
        <v>510</v>
      </c>
      <c r="CS2" s="64">
        <v>510</v>
      </c>
      <c r="CT2" s="64">
        <v>510</v>
      </c>
      <c r="CU2" s="64">
        <v>354</v>
      </c>
      <c r="CV2" s="64">
        <v>608</v>
      </c>
    </row>
    <row r="3" spans="1:100" x14ac:dyDescent="0.25">
      <c r="A3" t="s">
        <v>65</v>
      </c>
      <c r="B3" s="49">
        <v>0</v>
      </c>
      <c r="C3" s="53">
        <f>49.6%+IF(char1WeapToggle, 2*char1WeapStacks*(4+(char1Refine-1))%, char1WeapStacks*(4+(char1Refine-1))%)</f>
        <v>0.496</v>
      </c>
      <c r="D3" s="53">
        <v>0</v>
      </c>
      <c r="E3" s="53">
        <f>49.6%+(20+(char1Refine-1)*5)%+IF(char1WeapToggle,(40+(char1Refine-1)*10),0)%</f>
        <v>1.3959999999999999</v>
      </c>
      <c r="F3" s="53">
        <f>IF(char1WeapToggle, (20+(char1Refine-1)*5)%, 0%) + (16+(char1Refine-1)*4)%</f>
        <v>0.54</v>
      </c>
      <c r="G3" s="55">
        <v>0</v>
      </c>
      <c r="H3" s="55">
        <v>0</v>
      </c>
      <c r="I3" s="55">
        <v>0.27600000000000002</v>
      </c>
      <c r="J3" s="53">
        <f>char1WeapStacks*(6+1.5*(char1Refine-1))%</f>
        <v>0</v>
      </c>
      <c r="K3" s="53">
        <v>0</v>
      </c>
      <c r="L3" s="53">
        <v>0</v>
      </c>
      <c r="M3" s="53">
        <v>0</v>
      </c>
      <c r="N3" s="55">
        <f>41.3%+char1WeapStacks*(7+(char1Refine-1))%</f>
        <v>0.41299999999999998</v>
      </c>
      <c r="O3" s="55">
        <v>0.27600000000000002</v>
      </c>
      <c r="P3" s="55">
        <v>0.55100000000000005</v>
      </c>
      <c r="Q3" s="55">
        <v>0</v>
      </c>
      <c r="R3" s="55">
        <v>0</v>
      </c>
      <c r="S3" s="55">
        <v>0.41299999999999998</v>
      </c>
      <c r="T3" s="53">
        <f>char1WeapStacks*(12+(char1Refine-1)*3)%</f>
        <v>0</v>
      </c>
      <c r="U3" s="65">
        <v>0</v>
      </c>
      <c r="V3" s="65">
        <f>MIN((28%+(char1Refine-1)*7%)*(char1FinalER-100%),(80+(char1Refine-1)*10)%)</f>
        <v>0.26737200000000005</v>
      </c>
      <c r="W3" s="65">
        <f>char1WeapStacks*(3.2+(char1Refine-1)*0.7)%</f>
        <v>0</v>
      </c>
      <c r="X3" s="65">
        <f>(49.6+(char1WeapStacks*IF(char1WeapToggle,2,1)*(4+(char1Refine-1)*1)))%</f>
        <v>0.496</v>
      </c>
      <c r="Y3" s="65">
        <v>0</v>
      </c>
      <c r="Z3" s="65">
        <f>IF(char1WeapToggle = FALSE, (3.2%+0.8%*(char1Refine-1))*char1WeapStacks, (3.2%+0.8%*(char1Refine-1))*char1WeapStacks*2)</f>
        <v>0</v>
      </c>
      <c r="AA3" s="65">
        <v>0</v>
      </c>
      <c r="AB3" s="65">
        <v>0</v>
      </c>
      <c r="AC3" s="65">
        <v>0</v>
      </c>
      <c r="AD3" s="65">
        <v>0</v>
      </c>
      <c r="AE3" s="65">
        <v>0</v>
      </c>
      <c r="AF3" s="65">
        <f>(27.6+(7+(char1Refine-1)*1)*char1WeapStacks)%</f>
        <v>0.27600000000000002</v>
      </c>
      <c r="AG3" s="65">
        <v>0</v>
      </c>
      <c r="AH3" s="65">
        <v>0.13800000000000001</v>
      </c>
      <c r="AI3" s="65">
        <f>IF(char1WeapToggle,(24+(char1Refine-1)*6),(16+(char1Refine-1)*4))%</f>
        <v>0.36</v>
      </c>
      <c r="AJ3" s="65">
        <v>0</v>
      </c>
      <c r="AK3" s="65">
        <f>(12+(char1Refine-1)*3)*char1WeapStacks%</f>
        <v>0</v>
      </c>
      <c r="AL3" s="65">
        <v>0</v>
      </c>
      <c r="AM3" s="65">
        <v>0</v>
      </c>
      <c r="AN3" s="66">
        <v>0</v>
      </c>
      <c r="AO3" s="66">
        <f>IF(char1WeapToggle, (20+(char1Refine-1)*5), 0)%</f>
        <v>0.3</v>
      </c>
      <c r="AP3" s="66">
        <v>0</v>
      </c>
      <c r="AQ3" s="66">
        <f>(49.6+IF(char1WeapToggle,(4+(char1Refine-1))*char1WeapStacks*2,(4+(char1Refine-1))*char1WeapStacks))%</f>
        <v>0.496</v>
      </c>
      <c r="AR3" s="66">
        <v>0</v>
      </c>
      <c r="AS3" s="66">
        <f>(20+(char1Refine-1)*5)%</f>
        <v>0.3</v>
      </c>
      <c r="AT3" s="66">
        <v>0</v>
      </c>
      <c r="AU3" s="66">
        <v>0.41299999999999998</v>
      </c>
      <c r="AV3" s="66">
        <v>0</v>
      </c>
      <c r="AW3" s="66">
        <v>0</v>
      </c>
      <c r="AX3" s="66">
        <v>0</v>
      </c>
      <c r="AY3" s="66">
        <v>0.41299999999999998</v>
      </c>
      <c r="AZ3" s="66">
        <f>char1WeapStacks*(4+(char1Refine-1))%</f>
        <v>0</v>
      </c>
      <c r="BA3" s="66">
        <v>0.41299999999999998</v>
      </c>
      <c r="BB3" s="66">
        <v>0</v>
      </c>
      <c r="BC3" s="66">
        <v>0</v>
      </c>
      <c r="BD3" s="66">
        <f>(char1WeapStacks*(12+(char1Refine-1)*3))%</f>
        <v>0</v>
      </c>
      <c r="BE3" s="66">
        <v>0.55100000000000005</v>
      </c>
      <c r="BF3" s="66">
        <v>0</v>
      </c>
      <c r="BG3" s="66">
        <f>IF(char1WeapToggle,12+(char1Refine-1)*3,0)%</f>
        <v>0.18</v>
      </c>
      <c r="BH3" s="66">
        <f>IF(char1WeapToggle, 20+(char1Refine-1)*5)%</f>
        <v>0.3</v>
      </c>
      <c r="BI3" s="66">
        <v>0</v>
      </c>
      <c r="BJ3" s="67">
        <f>(49.6+IF(char1WeapToggle,(4+(char1Refine-1))*char1WeapStacks*2,(4+(char1Refine-1))*char1WeapStacks))%</f>
        <v>0.496</v>
      </c>
      <c r="BK3" s="67">
        <v>0</v>
      </c>
      <c r="BL3" s="68">
        <v>0.33100000000000002</v>
      </c>
      <c r="BM3" s="68">
        <v>0</v>
      </c>
      <c r="BN3" s="68">
        <v>0</v>
      </c>
      <c r="BO3" s="68">
        <v>0.41299999999999998</v>
      </c>
      <c r="BP3" s="68">
        <v>0.55100000000000005</v>
      </c>
      <c r="BQ3" s="68">
        <f>IF(char1WeapToggle, 20+(char1Refine-1)*5,0)%</f>
        <v>0.3</v>
      </c>
      <c r="BR3" s="68">
        <f>IF(char1WeapToggle, 20+(char1Refine-1)*5,0)%</f>
        <v>0.3</v>
      </c>
      <c r="BS3" s="68">
        <v>0</v>
      </c>
      <c r="BT3" s="68">
        <v>0</v>
      </c>
      <c r="BU3" s="68">
        <v>0.27600000000000002</v>
      </c>
      <c r="BV3" s="68">
        <v>0</v>
      </c>
      <c r="BW3" s="68">
        <v>0</v>
      </c>
      <c r="BX3" s="68">
        <v>0</v>
      </c>
      <c r="BY3" s="68">
        <f>(55.1+IF(char1WeapToggle,8+(char1Refine-1)*2))%</f>
        <v>0.67099999999999993</v>
      </c>
      <c r="BZ3" s="68">
        <v>0</v>
      </c>
      <c r="CA3" s="68">
        <f>char1WeapStacks*(12+(char1Refine-1)*3)%</f>
        <v>0</v>
      </c>
      <c r="CB3" s="68">
        <v>0</v>
      </c>
      <c r="CC3" s="68">
        <v>0</v>
      </c>
      <c r="CD3" s="69">
        <f>IF(char1WeapToggle, 20+(char1Refine-1)*5, 0)%</f>
        <v>0.3</v>
      </c>
      <c r="CE3" s="71">
        <f>IF(char1WeapStacks=0, 0, IF(char1WeapStacks=1, 10+(char1Refine-1)*2.5, IF(char1WeapStacks=2, 20+(char1Refine-1)*5, IF(char1WeapStacks=3, 30+(char1Refine-1)*7.5, IF(char1WeapStacks=4, 48+(char1Refine-1)*12,0)))))%</f>
        <v>0</v>
      </c>
      <c r="CF3" s="70">
        <v>0</v>
      </c>
      <c r="CG3" s="72">
        <v>0.496</v>
      </c>
      <c r="CH3" s="72">
        <v>0.41299999999999998</v>
      </c>
      <c r="CI3" s="70">
        <v>0</v>
      </c>
      <c r="CJ3" s="70">
        <f>char1WeapStacks*(4+(char1Refine-1))%</f>
        <v>0</v>
      </c>
      <c r="CK3" s="70">
        <f>char1WeapStacks*(12+(char1Refine-1)*3)%</f>
        <v>0</v>
      </c>
      <c r="CL3" s="70">
        <f>41.3%+IF(char1WeapToggle, 36+(char1Refine-1)*9)%</f>
        <v>0.95300000000000007</v>
      </c>
      <c r="CM3" s="70">
        <v>0</v>
      </c>
      <c r="CN3" s="70">
        <f>IF(char1WeapToggle, 16+(char1Refine-1)*4,0)%</f>
        <v>0.24</v>
      </c>
      <c r="CO3" s="70">
        <v>0.27600000000000002</v>
      </c>
      <c r="CP3" s="70">
        <v>0</v>
      </c>
      <c r="CQ3" s="70">
        <v>0.55100000000000005</v>
      </c>
      <c r="CR3" s="70">
        <v>0</v>
      </c>
      <c r="CS3" s="72">
        <v>0.41299999999999998</v>
      </c>
      <c r="CT3" s="70">
        <v>0</v>
      </c>
      <c r="CU3" s="70">
        <v>0</v>
      </c>
      <c r="CV3" s="70">
        <f>(20+(char1Refine-1)*5)%</f>
        <v>0.3</v>
      </c>
    </row>
    <row r="4" spans="1:100" x14ac:dyDescent="0.25">
      <c r="A4" t="s">
        <v>66</v>
      </c>
      <c r="B4" s="49">
        <v>0</v>
      </c>
      <c r="C4" s="53">
        <v>0</v>
      </c>
      <c r="D4" s="53">
        <f>(28+(char1Refine-1)*7)%</f>
        <v>0.42</v>
      </c>
      <c r="E4" s="53">
        <v>0</v>
      </c>
      <c r="F4" s="53">
        <v>0</v>
      </c>
      <c r="G4" s="55">
        <v>0</v>
      </c>
      <c r="H4" s="55">
        <v>0</v>
      </c>
      <c r="I4" s="55">
        <v>0</v>
      </c>
      <c r="J4" s="55">
        <f>51.7%+char1WeapStacks*(6+1.5*(char1Refine-1))%</f>
        <v>0.51700000000000002</v>
      </c>
      <c r="K4" s="53">
        <v>0</v>
      </c>
      <c r="L4" s="53">
        <v>0</v>
      </c>
      <c r="M4" s="53">
        <v>0</v>
      </c>
      <c r="N4" s="55">
        <v>0</v>
      </c>
      <c r="O4" s="53">
        <v>0</v>
      </c>
      <c r="P4" s="53">
        <v>0</v>
      </c>
      <c r="Q4" s="55">
        <v>0</v>
      </c>
      <c r="R4" s="55">
        <v>0</v>
      </c>
      <c r="S4" s="55">
        <v>0</v>
      </c>
      <c r="T4" s="55">
        <v>0</v>
      </c>
      <c r="U4" s="65">
        <v>0</v>
      </c>
      <c r="V4" s="65">
        <v>0</v>
      </c>
      <c r="W4" s="65">
        <v>0</v>
      </c>
      <c r="X4" s="65">
        <v>0</v>
      </c>
      <c r="Y4" s="65">
        <v>0</v>
      </c>
      <c r="Z4" s="65">
        <v>0</v>
      </c>
      <c r="AA4" s="65">
        <v>0</v>
      </c>
      <c r="AB4" s="65">
        <v>0</v>
      </c>
      <c r="AC4" s="65">
        <v>0</v>
      </c>
      <c r="AD4" s="65">
        <v>0</v>
      </c>
      <c r="AE4" s="65">
        <v>0</v>
      </c>
      <c r="AF4" s="65">
        <v>0</v>
      </c>
      <c r="AG4" s="65">
        <v>0</v>
      </c>
      <c r="AH4" s="65">
        <v>0</v>
      </c>
      <c r="AI4" s="65">
        <f>(16+(char1Refine-1)*4)%</f>
        <v>0.24</v>
      </c>
      <c r="AJ4" s="65">
        <v>0</v>
      </c>
      <c r="AK4" s="65">
        <v>0</v>
      </c>
      <c r="AL4" s="65">
        <v>0</v>
      </c>
      <c r="AM4" s="65">
        <v>0</v>
      </c>
      <c r="AN4" s="66">
        <v>0</v>
      </c>
      <c r="AO4" s="66">
        <v>0</v>
      </c>
      <c r="AP4" s="66">
        <v>0</v>
      </c>
      <c r="AQ4" s="66">
        <v>0</v>
      </c>
      <c r="AR4" s="66">
        <v>0</v>
      </c>
      <c r="AS4" s="66">
        <v>0</v>
      </c>
      <c r="AT4" s="66">
        <v>0</v>
      </c>
      <c r="AU4" s="66">
        <v>0</v>
      </c>
      <c r="AV4" s="66">
        <v>0</v>
      </c>
      <c r="AW4" s="66">
        <v>0</v>
      </c>
      <c r="AX4" s="66">
        <v>0</v>
      </c>
      <c r="AY4" s="66">
        <v>0</v>
      </c>
      <c r="AZ4" s="66">
        <f>char1WeapStacks*(4+(char1Refine-1))%</f>
        <v>0</v>
      </c>
      <c r="BA4" s="66">
        <v>0</v>
      </c>
      <c r="BB4" s="66">
        <v>0</v>
      </c>
      <c r="BC4" s="66">
        <v>0</v>
      </c>
      <c r="BD4" s="66">
        <v>0</v>
      </c>
      <c r="BE4" s="66">
        <v>0</v>
      </c>
      <c r="BF4" s="66">
        <v>0.69</v>
      </c>
      <c r="BG4" s="66">
        <v>0</v>
      </c>
      <c r="BH4" s="66">
        <v>0</v>
      </c>
      <c r="BI4" s="66">
        <v>0</v>
      </c>
      <c r="BJ4" s="68">
        <v>0</v>
      </c>
      <c r="BK4" s="67">
        <v>0</v>
      </c>
      <c r="BL4" s="68">
        <v>0</v>
      </c>
      <c r="BM4" s="68">
        <v>0</v>
      </c>
      <c r="BN4" s="68">
        <v>0</v>
      </c>
      <c r="BO4" s="68">
        <v>0</v>
      </c>
      <c r="BP4" s="68">
        <v>0</v>
      </c>
      <c r="BQ4" s="68">
        <v>0</v>
      </c>
      <c r="BR4" s="68">
        <v>0</v>
      </c>
      <c r="BS4" s="68">
        <v>0</v>
      </c>
      <c r="BT4" s="68">
        <v>0</v>
      </c>
      <c r="BU4" s="68">
        <v>0</v>
      </c>
      <c r="BV4" s="68">
        <v>0</v>
      </c>
      <c r="BW4" s="68">
        <v>0</v>
      </c>
      <c r="BX4" s="68">
        <v>0</v>
      </c>
      <c r="BY4" s="68">
        <v>0</v>
      </c>
      <c r="BZ4" s="68">
        <v>0</v>
      </c>
      <c r="CA4" s="68">
        <v>0</v>
      </c>
      <c r="CB4" s="68">
        <v>0</v>
      </c>
      <c r="CC4" s="68">
        <v>0</v>
      </c>
      <c r="CD4" s="70">
        <v>0</v>
      </c>
      <c r="CE4" s="70">
        <v>0</v>
      </c>
      <c r="CF4" s="70">
        <v>0</v>
      </c>
      <c r="CG4" s="70">
        <v>0</v>
      </c>
      <c r="CH4" s="70">
        <v>0</v>
      </c>
      <c r="CI4" s="70">
        <v>0</v>
      </c>
      <c r="CJ4" s="70">
        <v>0</v>
      </c>
      <c r="CK4" s="70">
        <v>0</v>
      </c>
      <c r="CL4" s="70">
        <v>0</v>
      </c>
      <c r="CM4" s="70">
        <v>0</v>
      </c>
      <c r="CN4" s="70">
        <v>0</v>
      </c>
      <c r="CO4" s="70">
        <v>0</v>
      </c>
      <c r="CP4" s="70">
        <v>0</v>
      </c>
      <c r="CQ4" s="70">
        <v>0</v>
      </c>
      <c r="CR4" s="70">
        <v>0</v>
      </c>
      <c r="CS4" s="70">
        <v>0</v>
      </c>
      <c r="CT4" s="70">
        <v>0</v>
      </c>
      <c r="CU4" s="70">
        <v>0</v>
      </c>
      <c r="CV4" s="70">
        <v>0</v>
      </c>
    </row>
    <row r="5" spans="1:100" x14ac:dyDescent="0.25">
      <c r="A5" s="44" t="s">
        <v>67</v>
      </c>
      <c r="B5" s="49">
        <v>0</v>
      </c>
      <c r="C5" s="53">
        <v>0</v>
      </c>
      <c r="D5" s="53">
        <v>0</v>
      </c>
      <c r="E5" s="53">
        <v>0</v>
      </c>
      <c r="F5" s="53">
        <v>0</v>
      </c>
      <c r="G5" s="55">
        <v>0</v>
      </c>
      <c r="H5" s="55">
        <v>0.41299999999999998</v>
      </c>
      <c r="I5" s="55">
        <v>0</v>
      </c>
      <c r="J5" s="53">
        <v>0</v>
      </c>
      <c r="K5" s="53">
        <v>0</v>
      </c>
      <c r="L5" s="53">
        <v>0</v>
      </c>
      <c r="M5" s="53">
        <v>0</v>
      </c>
      <c r="N5" s="55">
        <v>0</v>
      </c>
      <c r="O5" s="53">
        <v>0</v>
      </c>
      <c r="P5" s="53">
        <v>0</v>
      </c>
      <c r="Q5" s="55">
        <v>0</v>
      </c>
      <c r="R5" s="55">
        <v>0</v>
      </c>
      <c r="S5" s="55">
        <v>0</v>
      </c>
      <c r="T5" s="55">
        <v>0</v>
      </c>
      <c r="U5" s="65">
        <v>0</v>
      </c>
      <c r="V5" s="65">
        <v>0</v>
      </c>
      <c r="W5" s="65">
        <v>0</v>
      </c>
      <c r="X5" s="65">
        <v>0</v>
      </c>
      <c r="Y5" s="65">
        <f>(20+(char1Refine-1)*5)%</f>
        <v>0.3</v>
      </c>
      <c r="Z5" s="65">
        <v>0</v>
      </c>
      <c r="AA5" s="65">
        <v>0</v>
      </c>
      <c r="AB5" s="65">
        <v>0</v>
      </c>
      <c r="AC5" s="65">
        <v>0</v>
      </c>
      <c r="AD5" s="65">
        <v>0</v>
      </c>
      <c r="AE5" s="65">
        <v>0</v>
      </c>
      <c r="AF5" s="65">
        <v>0</v>
      </c>
      <c r="AG5" s="65">
        <v>0</v>
      </c>
      <c r="AH5" s="65">
        <v>0</v>
      </c>
      <c r="AI5" s="65">
        <v>0</v>
      </c>
      <c r="AJ5" s="65">
        <v>0</v>
      </c>
      <c r="AK5" s="65">
        <v>0</v>
      </c>
      <c r="AL5" s="65">
        <v>0</v>
      </c>
      <c r="AM5" s="65">
        <v>0.46899999999999997</v>
      </c>
      <c r="AN5" s="66">
        <f>0.2+(char1Refine-1)*0.05</f>
        <v>0.30000000000000004</v>
      </c>
      <c r="AO5" s="66">
        <v>0</v>
      </c>
      <c r="AP5" s="66">
        <v>0</v>
      </c>
      <c r="AQ5" s="66">
        <v>0</v>
      </c>
      <c r="AR5" s="66">
        <v>0</v>
      </c>
      <c r="AS5" s="66">
        <v>0</v>
      </c>
      <c r="AT5" s="66">
        <v>0</v>
      </c>
      <c r="AU5" s="66">
        <v>0</v>
      </c>
      <c r="AV5" s="66">
        <v>0</v>
      </c>
      <c r="AW5" s="66">
        <v>0</v>
      </c>
      <c r="AX5" s="66">
        <v>0</v>
      </c>
      <c r="AY5" s="66">
        <v>0</v>
      </c>
      <c r="AZ5" s="66">
        <v>0</v>
      </c>
      <c r="BA5" s="66">
        <v>0</v>
      </c>
      <c r="BB5" s="66">
        <v>0</v>
      </c>
      <c r="BC5" s="66">
        <v>0</v>
      </c>
      <c r="BD5" s="66">
        <v>0</v>
      </c>
      <c r="BE5" s="66">
        <v>0</v>
      </c>
      <c r="BF5" s="66">
        <v>0</v>
      </c>
      <c r="BG5" s="66">
        <v>0</v>
      </c>
      <c r="BH5" s="66">
        <v>0</v>
      </c>
      <c r="BI5" s="66">
        <v>0</v>
      </c>
      <c r="BJ5" s="68">
        <v>0</v>
      </c>
      <c r="BK5" s="67">
        <v>0</v>
      </c>
      <c r="BL5" s="68">
        <v>0</v>
      </c>
      <c r="BM5" s="68">
        <v>0</v>
      </c>
      <c r="BN5" s="68">
        <v>0.496</v>
      </c>
      <c r="BO5" s="68">
        <v>0</v>
      </c>
      <c r="BP5" s="68">
        <v>0</v>
      </c>
      <c r="BQ5" s="68">
        <v>0</v>
      </c>
      <c r="BR5" s="68">
        <v>0</v>
      </c>
      <c r="BS5" s="68">
        <v>0</v>
      </c>
      <c r="BT5" s="68">
        <v>0</v>
      </c>
      <c r="BU5" s="68">
        <v>0</v>
      </c>
      <c r="BV5" s="68">
        <v>0.41299999999999998</v>
      </c>
      <c r="BW5" s="68">
        <v>0</v>
      </c>
      <c r="BX5" s="68">
        <v>0</v>
      </c>
      <c r="BY5" s="68">
        <v>0</v>
      </c>
      <c r="BZ5" s="68">
        <v>0</v>
      </c>
      <c r="CA5" s="68">
        <v>0</v>
      </c>
      <c r="CB5" s="68">
        <v>0</v>
      </c>
      <c r="CC5" s="68">
        <v>0.35199999999999998</v>
      </c>
      <c r="CD5" s="70">
        <v>0</v>
      </c>
      <c r="CE5" s="70">
        <v>0</v>
      </c>
      <c r="CF5" s="70">
        <v>0</v>
      </c>
      <c r="CG5" s="70">
        <v>0</v>
      </c>
      <c r="CH5" s="70">
        <v>0</v>
      </c>
      <c r="CI5" s="70">
        <v>0</v>
      </c>
      <c r="CJ5" s="70">
        <v>0</v>
      </c>
      <c r="CK5" s="70">
        <v>0</v>
      </c>
      <c r="CL5" s="70">
        <v>0</v>
      </c>
      <c r="CM5" s="70">
        <v>0</v>
      </c>
      <c r="CN5" s="70">
        <v>0</v>
      </c>
      <c r="CO5" s="70">
        <v>0</v>
      </c>
      <c r="CP5" s="70">
        <v>0</v>
      </c>
      <c r="CQ5" s="70">
        <v>0</v>
      </c>
      <c r="CR5" s="70">
        <v>0</v>
      </c>
      <c r="CS5" s="70">
        <v>0</v>
      </c>
      <c r="CT5" s="70">
        <v>0</v>
      </c>
      <c r="CU5" s="70">
        <v>0</v>
      </c>
      <c r="CV5" s="70">
        <v>0</v>
      </c>
    </row>
    <row r="6" spans="1:100" x14ac:dyDescent="0.25">
      <c r="A6" t="s">
        <v>408</v>
      </c>
      <c r="B6" s="49">
        <v>0</v>
      </c>
      <c r="C6" s="53">
        <v>0</v>
      </c>
      <c r="D6" s="53">
        <v>0</v>
      </c>
      <c r="E6" s="53">
        <v>0</v>
      </c>
      <c r="F6" s="53">
        <v>0</v>
      </c>
      <c r="G6" s="55">
        <v>0.27600000000000002</v>
      </c>
      <c r="H6" s="55">
        <v>0</v>
      </c>
      <c r="I6" s="55">
        <f>(char1WeapStacks*(8%+(char1Refine-1)*2%))</f>
        <v>0</v>
      </c>
      <c r="J6" s="53">
        <v>0</v>
      </c>
      <c r="K6" s="53">
        <v>0</v>
      </c>
      <c r="L6" s="53">
        <v>0</v>
      </c>
      <c r="M6" s="53">
        <v>0</v>
      </c>
      <c r="N6" s="55">
        <f>char1WeapStacks*(3+(char1Refine-1))%</f>
        <v>0</v>
      </c>
      <c r="O6" s="53">
        <v>0</v>
      </c>
      <c r="P6" s="53">
        <v>0</v>
      </c>
      <c r="Q6" s="55">
        <v>0</v>
      </c>
      <c r="R6" s="55">
        <v>0</v>
      </c>
      <c r="S6" s="55">
        <v>0</v>
      </c>
      <c r="T6" s="55">
        <v>0</v>
      </c>
      <c r="U6" s="65">
        <f>(8+(char1Refine-1)*2)%</f>
        <v>0.12</v>
      </c>
      <c r="V6" s="65">
        <v>0</v>
      </c>
      <c r="W6" s="65">
        <v>0.221</v>
      </c>
      <c r="X6" s="65">
        <v>0</v>
      </c>
      <c r="Y6" s="65">
        <v>0</v>
      </c>
      <c r="Z6" s="65">
        <v>0</v>
      </c>
      <c r="AA6" s="65">
        <v>0</v>
      </c>
      <c r="AB6" s="65">
        <v>0</v>
      </c>
      <c r="AC6" s="65">
        <v>0</v>
      </c>
      <c r="AD6" s="65">
        <v>0</v>
      </c>
      <c r="AE6" s="65">
        <v>0</v>
      </c>
      <c r="AF6" s="65">
        <f>(3+(char1Refine-1)*1)*char1WeapStacks%</f>
        <v>0</v>
      </c>
      <c r="AG6" s="65">
        <v>0</v>
      </c>
      <c r="AH6" s="65">
        <v>0</v>
      </c>
      <c r="AI6" s="65">
        <v>0.36799999999999999</v>
      </c>
      <c r="AJ6" s="65">
        <v>0</v>
      </c>
      <c r="AK6" s="65">
        <v>0</v>
      </c>
      <c r="AL6" s="65">
        <v>0.23400000000000001</v>
      </c>
      <c r="AM6" s="65">
        <v>0</v>
      </c>
      <c r="AN6" s="66">
        <v>0.441</v>
      </c>
      <c r="AO6" s="66">
        <v>0</v>
      </c>
      <c r="AP6" s="66">
        <v>0</v>
      </c>
      <c r="AQ6" s="66">
        <v>0</v>
      </c>
      <c r="AR6" s="66">
        <f>(4+(char1Refine-1))%</f>
        <v>0.06</v>
      </c>
      <c r="AS6" s="66">
        <v>0</v>
      </c>
      <c r="AT6" s="66">
        <v>0</v>
      </c>
      <c r="AU6" s="66">
        <v>0</v>
      </c>
      <c r="AV6" s="66">
        <v>0.27600000000000002</v>
      </c>
      <c r="AW6" s="66">
        <v>0</v>
      </c>
      <c r="AX6" s="66">
        <v>0</v>
      </c>
      <c r="AY6" s="66">
        <f>(char1WeapStacks*(8+(char1Refine-1)*2))%</f>
        <v>0</v>
      </c>
      <c r="AZ6" s="66">
        <v>0</v>
      </c>
      <c r="BA6" s="66">
        <v>0</v>
      </c>
      <c r="BB6" s="66">
        <v>0</v>
      </c>
      <c r="BC6" s="66">
        <v>0</v>
      </c>
      <c r="BD6" s="66">
        <v>0</v>
      </c>
      <c r="BE6" s="66">
        <v>0</v>
      </c>
      <c r="BF6" s="66">
        <v>0</v>
      </c>
      <c r="BG6" s="66">
        <v>0</v>
      </c>
      <c r="BH6" s="66">
        <v>0</v>
      </c>
      <c r="BI6" s="66">
        <f>IF(char1WeapToggle,14+(char1Refine-1)*3.5,0)%</f>
        <v>0.21</v>
      </c>
      <c r="BJ6" s="68">
        <v>0</v>
      </c>
      <c r="BK6" s="67">
        <v>0</v>
      </c>
      <c r="BL6" s="68">
        <v>0</v>
      </c>
      <c r="BM6" s="68">
        <v>0.33100000000000002</v>
      </c>
      <c r="BN6" s="68">
        <v>0</v>
      </c>
      <c r="BO6" s="68">
        <v>0</v>
      </c>
      <c r="BP6" s="68">
        <v>0</v>
      </c>
      <c r="BQ6" s="68">
        <v>0</v>
      </c>
      <c r="BR6" s="68">
        <v>0</v>
      </c>
      <c r="BS6" s="68">
        <v>0.27600000000000002</v>
      </c>
      <c r="BT6" s="68">
        <v>0</v>
      </c>
      <c r="BU6" s="68">
        <f>char1WeapStacks*(8+(char1Refine-1)*2)%</f>
        <v>0</v>
      </c>
      <c r="BV6" s="68">
        <v>0</v>
      </c>
      <c r="BW6" s="68">
        <v>0</v>
      </c>
      <c r="BX6" s="68">
        <v>0</v>
      </c>
      <c r="BY6" s="68">
        <v>0</v>
      </c>
      <c r="BZ6" s="68">
        <v>0</v>
      </c>
      <c r="CA6" s="68">
        <v>0</v>
      </c>
      <c r="CB6" s="68">
        <v>0</v>
      </c>
      <c r="CC6" s="68">
        <v>0</v>
      </c>
      <c r="CD6" s="70">
        <v>0</v>
      </c>
      <c r="CE6" s="70">
        <v>0.33100000000000002</v>
      </c>
      <c r="CF6" s="72">
        <v>0.221</v>
      </c>
      <c r="CG6" s="70">
        <v>0</v>
      </c>
      <c r="CH6" s="70">
        <v>0</v>
      </c>
      <c r="CI6" s="70">
        <v>0.27600000000000002</v>
      </c>
      <c r="CJ6" s="70">
        <v>0</v>
      </c>
      <c r="CK6" s="70">
        <v>0</v>
      </c>
      <c r="CL6" s="70">
        <v>0</v>
      </c>
      <c r="CM6" s="70">
        <v>0</v>
      </c>
      <c r="CN6" s="70">
        <v>0</v>
      </c>
      <c r="CO6" s="70">
        <v>0</v>
      </c>
      <c r="CP6" s="70">
        <v>0</v>
      </c>
      <c r="CQ6" s="70">
        <v>0</v>
      </c>
      <c r="CR6" s="70">
        <v>0</v>
      </c>
      <c r="CS6" s="70">
        <f>char1WeapStacks*(8+(char1Refine-1)*2)%</f>
        <v>0</v>
      </c>
      <c r="CT6" s="70">
        <v>0</v>
      </c>
      <c r="CU6" s="70">
        <v>0.312</v>
      </c>
      <c r="CV6" s="70">
        <v>0</v>
      </c>
    </row>
    <row r="7" spans="1:100" x14ac:dyDescent="0.25">
      <c r="A7" t="s">
        <v>409</v>
      </c>
      <c r="B7" s="49">
        <v>0</v>
      </c>
      <c r="C7" s="53">
        <v>0</v>
      </c>
      <c r="D7" s="53">
        <v>0.88200000000000001</v>
      </c>
      <c r="E7" s="53">
        <v>0</v>
      </c>
      <c r="F7" s="53">
        <v>0</v>
      </c>
      <c r="G7" s="55">
        <v>0</v>
      </c>
      <c r="H7" s="55">
        <v>0</v>
      </c>
      <c r="I7" s="55">
        <v>0</v>
      </c>
      <c r="J7" s="53">
        <v>0</v>
      </c>
      <c r="K7" s="53">
        <v>0</v>
      </c>
      <c r="L7" s="53">
        <v>0</v>
      </c>
      <c r="M7" s="53">
        <v>0</v>
      </c>
      <c r="N7" s="55">
        <v>0</v>
      </c>
      <c r="O7" s="53">
        <v>0</v>
      </c>
      <c r="P7" s="53">
        <v>0</v>
      </c>
      <c r="Q7" s="55">
        <v>0</v>
      </c>
      <c r="R7" s="55">
        <v>0</v>
      </c>
      <c r="S7" s="55">
        <v>0</v>
      </c>
      <c r="T7" s="55">
        <v>0.55100000000000005</v>
      </c>
      <c r="U7" s="65">
        <v>0</v>
      </c>
      <c r="V7" s="65">
        <v>0</v>
      </c>
      <c r="W7" s="65">
        <v>0</v>
      </c>
      <c r="X7" s="65">
        <v>0</v>
      </c>
      <c r="Y7" s="65">
        <v>0.66200000000000003</v>
      </c>
      <c r="Z7" s="65">
        <v>0</v>
      </c>
      <c r="AA7" s="65">
        <v>0</v>
      </c>
      <c r="AB7" s="65">
        <v>0</v>
      </c>
      <c r="AC7" s="65">
        <v>0</v>
      </c>
      <c r="AD7" s="65">
        <v>0</v>
      </c>
      <c r="AE7" s="65">
        <v>0</v>
      </c>
      <c r="AF7" s="65">
        <v>0</v>
      </c>
      <c r="AG7" s="65">
        <v>0</v>
      </c>
      <c r="AH7" s="65">
        <v>0</v>
      </c>
      <c r="AI7" s="65">
        <v>0</v>
      </c>
      <c r="AJ7" s="65">
        <v>0</v>
      </c>
      <c r="AK7" s="65">
        <v>0.55100000000000005</v>
      </c>
      <c r="AL7" s="65">
        <v>0</v>
      </c>
      <c r="AM7" s="65">
        <v>0</v>
      </c>
      <c r="AN7" s="66">
        <v>0</v>
      </c>
      <c r="AO7" s="66">
        <v>0</v>
      </c>
      <c r="AP7" s="66">
        <v>0.441</v>
      </c>
      <c r="AQ7" s="66">
        <v>0</v>
      </c>
      <c r="AR7" s="66">
        <v>0</v>
      </c>
      <c r="AS7" s="66">
        <v>0</v>
      </c>
      <c r="AT7" s="66">
        <v>0</v>
      </c>
      <c r="AU7" s="66">
        <v>0</v>
      </c>
      <c r="AV7" s="66">
        <v>0</v>
      </c>
      <c r="AW7" s="66">
        <v>0</v>
      </c>
      <c r="AX7" s="66">
        <v>0</v>
      </c>
      <c r="AY7" s="66">
        <v>0</v>
      </c>
      <c r="AZ7" s="66">
        <v>0</v>
      </c>
      <c r="BA7" s="66">
        <v>0</v>
      </c>
      <c r="BB7" s="66">
        <v>0</v>
      </c>
      <c r="BC7" s="66">
        <v>0</v>
      </c>
      <c r="BD7" s="66">
        <v>0.36799999999999999</v>
      </c>
      <c r="BE7" s="66">
        <v>0</v>
      </c>
      <c r="BF7" s="66">
        <v>0</v>
      </c>
      <c r="BG7" s="66">
        <v>0</v>
      </c>
      <c r="BH7" s="66">
        <v>0</v>
      </c>
      <c r="BI7" s="66">
        <v>0.46899999999999997</v>
      </c>
      <c r="BJ7" s="68">
        <v>0</v>
      </c>
      <c r="BK7" s="67">
        <v>0.66200000000000003</v>
      </c>
      <c r="BL7" s="68">
        <v>0</v>
      </c>
      <c r="BM7" s="68">
        <v>0</v>
      </c>
      <c r="BN7" s="68">
        <v>0</v>
      </c>
      <c r="BO7" s="68">
        <v>0</v>
      </c>
      <c r="BP7" s="68">
        <v>0</v>
      </c>
      <c r="BQ7" s="68">
        <v>0</v>
      </c>
      <c r="BR7" s="68">
        <v>0.55100000000000005</v>
      </c>
      <c r="BS7" s="68">
        <v>0</v>
      </c>
      <c r="BT7" s="68">
        <v>0</v>
      </c>
      <c r="BU7" s="68">
        <v>0</v>
      </c>
      <c r="BV7" s="68">
        <v>0</v>
      </c>
      <c r="BW7" s="68">
        <v>0</v>
      </c>
      <c r="BX7" s="68">
        <v>0</v>
      </c>
      <c r="BY7" s="68">
        <v>0</v>
      </c>
      <c r="BZ7" s="68">
        <v>0</v>
      </c>
      <c r="CA7" s="68">
        <v>0.55100000000000005</v>
      </c>
      <c r="CB7" s="68">
        <v>0</v>
      </c>
      <c r="CC7" s="68">
        <v>0</v>
      </c>
      <c r="CD7" s="70">
        <v>0</v>
      </c>
      <c r="CE7" s="70">
        <v>0</v>
      </c>
      <c r="CF7" s="70">
        <f>(20+(char1Refine-1)*5)%</f>
        <v>0.3</v>
      </c>
      <c r="CG7" s="70">
        <v>0</v>
      </c>
      <c r="CH7" s="70">
        <v>0</v>
      </c>
      <c r="CI7" s="70">
        <v>0</v>
      </c>
      <c r="CJ7" s="70">
        <v>0</v>
      </c>
      <c r="CK7" s="70">
        <v>0.36799999999999999</v>
      </c>
      <c r="CL7" s="70">
        <v>0</v>
      </c>
      <c r="CM7" s="70">
        <v>0</v>
      </c>
      <c r="CN7" s="70">
        <v>0</v>
      </c>
      <c r="CO7" s="70">
        <v>0</v>
      </c>
      <c r="CP7" s="70">
        <v>0</v>
      </c>
      <c r="CQ7" s="70">
        <v>0</v>
      </c>
      <c r="CR7" s="70">
        <v>0</v>
      </c>
      <c r="CS7" s="70">
        <v>0</v>
      </c>
      <c r="CT7" s="70">
        <v>0</v>
      </c>
      <c r="CU7" s="70">
        <v>0</v>
      </c>
      <c r="CV7" s="70">
        <v>0.66200000000000003</v>
      </c>
    </row>
    <row r="8" spans="1:100" x14ac:dyDescent="0.25">
      <c r="A8" t="s">
        <v>68</v>
      </c>
      <c r="B8" s="49">
        <v>0.36799999999999999</v>
      </c>
      <c r="C8" s="53">
        <v>0</v>
      </c>
      <c r="D8" s="53">
        <v>0</v>
      </c>
      <c r="E8" s="53">
        <v>0</v>
      </c>
      <c r="F8" s="53">
        <v>0</v>
      </c>
      <c r="G8" s="55">
        <v>0</v>
      </c>
      <c r="H8" s="55">
        <v>0</v>
      </c>
      <c r="I8" s="55">
        <v>0</v>
      </c>
      <c r="J8" s="53">
        <v>0</v>
      </c>
      <c r="K8" s="55">
        <v>0.61299999999999999</v>
      </c>
      <c r="L8" s="55">
        <v>0</v>
      </c>
      <c r="M8" s="55">
        <v>0</v>
      </c>
      <c r="N8" s="55">
        <v>0</v>
      </c>
      <c r="O8" s="53">
        <v>0</v>
      </c>
      <c r="P8" s="53">
        <v>0</v>
      </c>
      <c r="Q8" s="53">
        <v>0.45900000000000002</v>
      </c>
      <c r="R8" s="53">
        <v>0.30599999999999999</v>
      </c>
      <c r="S8" s="55">
        <v>0</v>
      </c>
      <c r="T8" s="53">
        <v>0</v>
      </c>
      <c r="U8" s="65">
        <v>0.36799999999999999</v>
      </c>
      <c r="V8" s="65">
        <f>55.1%+IF(char1WeapToggle, 30+(char1Refine-1)*5,0)%</f>
        <v>0.95100000000000007</v>
      </c>
      <c r="W8" s="65">
        <v>0</v>
      </c>
      <c r="X8" s="65">
        <v>0</v>
      </c>
      <c r="Y8" s="65">
        <v>0</v>
      </c>
      <c r="Z8" s="65">
        <v>0</v>
      </c>
      <c r="AA8" s="65">
        <v>0.45900000000000002</v>
      </c>
      <c r="AB8" s="65">
        <v>0</v>
      </c>
      <c r="AC8" s="65">
        <v>0</v>
      </c>
      <c r="AD8" s="65">
        <v>0.30599999999999999</v>
      </c>
      <c r="AE8" s="65">
        <v>0.45900000000000002</v>
      </c>
      <c r="AF8" s="65">
        <v>0</v>
      </c>
      <c r="AG8" s="65">
        <v>0</v>
      </c>
      <c r="AH8" s="65">
        <v>0</v>
      </c>
      <c r="AI8" s="65">
        <v>0</v>
      </c>
      <c r="AJ8" s="65">
        <v>0</v>
      </c>
      <c r="AK8" s="65">
        <v>0</v>
      </c>
      <c r="AL8" s="65">
        <v>0</v>
      </c>
      <c r="AM8" s="65">
        <v>0</v>
      </c>
      <c r="AN8" s="66">
        <v>0</v>
      </c>
      <c r="AO8" s="66">
        <v>0</v>
      </c>
      <c r="AP8" s="66">
        <v>0</v>
      </c>
      <c r="AQ8" s="66">
        <v>0</v>
      </c>
      <c r="AR8" s="66">
        <v>0.55100000000000005</v>
      </c>
      <c r="AS8" s="66">
        <v>0</v>
      </c>
      <c r="AT8" s="66">
        <v>0.45900000000000002</v>
      </c>
      <c r="AU8" s="66">
        <v>0</v>
      </c>
      <c r="AV8" s="66">
        <v>0</v>
      </c>
      <c r="AW8" s="66">
        <v>0</v>
      </c>
      <c r="AX8" s="66">
        <v>0.61299999999999999</v>
      </c>
      <c r="AY8" s="66">
        <v>0</v>
      </c>
      <c r="AZ8" s="66">
        <v>0</v>
      </c>
      <c r="BA8" s="66">
        <v>0</v>
      </c>
      <c r="BB8" s="66">
        <v>0</v>
      </c>
      <c r="BC8" s="66">
        <v>0.61299999999999999</v>
      </c>
      <c r="BD8" s="66">
        <v>0</v>
      </c>
      <c r="BE8" s="66">
        <v>0</v>
      </c>
      <c r="BF8" s="66">
        <v>0</v>
      </c>
      <c r="BG8" s="66">
        <v>0.51700000000000002</v>
      </c>
      <c r="BH8" s="66">
        <v>0</v>
      </c>
      <c r="BI8" s="66">
        <v>0</v>
      </c>
      <c r="BJ8" s="68">
        <v>0</v>
      </c>
      <c r="BK8" s="67">
        <v>0</v>
      </c>
      <c r="BL8" s="68">
        <v>0</v>
      </c>
      <c r="BM8" s="68">
        <v>0</v>
      </c>
      <c r="BN8" s="68">
        <v>0</v>
      </c>
      <c r="BO8" s="68">
        <v>0</v>
      </c>
      <c r="BP8" s="68">
        <v>0</v>
      </c>
      <c r="BQ8" s="68">
        <v>0.30599999999999999</v>
      </c>
      <c r="BR8" s="68">
        <v>0</v>
      </c>
      <c r="BS8" s="68">
        <v>0</v>
      </c>
      <c r="BT8" s="68">
        <v>0</v>
      </c>
      <c r="BU8" s="68">
        <v>0</v>
      </c>
      <c r="BV8" s="68">
        <v>0</v>
      </c>
      <c r="BW8" s="68">
        <v>0</v>
      </c>
      <c r="BX8" s="68">
        <v>0.45900000000000002</v>
      </c>
      <c r="BY8" s="68">
        <v>0</v>
      </c>
      <c r="BZ8" s="68">
        <v>0</v>
      </c>
      <c r="CA8" s="68">
        <v>0</v>
      </c>
      <c r="CB8" s="68">
        <v>0.30599999999999999</v>
      </c>
      <c r="CC8" s="68">
        <v>0</v>
      </c>
      <c r="CD8" s="72">
        <v>0.55100000000000005</v>
      </c>
      <c r="CE8" s="72">
        <v>0</v>
      </c>
      <c r="CF8" s="70">
        <v>0</v>
      </c>
      <c r="CG8" s="70">
        <v>0</v>
      </c>
      <c r="CH8" s="70">
        <v>0</v>
      </c>
      <c r="CI8" s="70">
        <v>0</v>
      </c>
      <c r="CJ8" s="70">
        <v>0</v>
      </c>
      <c r="CK8" s="70">
        <v>0</v>
      </c>
      <c r="CL8" s="70">
        <v>0</v>
      </c>
      <c r="CM8" s="70">
        <v>0.61299999999999999</v>
      </c>
      <c r="CN8" s="70">
        <v>0</v>
      </c>
      <c r="CO8" s="70">
        <v>0</v>
      </c>
      <c r="CP8" s="70">
        <v>0.30599999999999999</v>
      </c>
      <c r="CQ8" s="70">
        <v>0</v>
      </c>
      <c r="CR8" s="70">
        <v>0</v>
      </c>
      <c r="CS8" s="70">
        <v>0</v>
      </c>
      <c r="CT8" s="70">
        <v>0</v>
      </c>
      <c r="CU8" s="70">
        <v>0</v>
      </c>
      <c r="CV8" s="70">
        <v>0</v>
      </c>
    </row>
    <row r="9" spans="1:100" x14ac:dyDescent="0.25">
      <c r="A9" t="s">
        <v>70</v>
      </c>
      <c r="B9" s="49">
        <v>0</v>
      </c>
      <c r="C9" s="53">
        <v>0</v>
      </c>
      <c r="D9" s="53">
        <v>0</v>
      </c>
      <c r="E9" s="53">
        <v>0</v>
      </c>
      <c r="F9" s="53">
        <v>0.20699999999999999</v>
      </c>
      <c r="G9" s="55">
        <v>0</v>
      </c>
      <c r="H9" s="55">
        <v>0</v>
      </c>
      <c r="I9" s="55">
        <v>0</v>
      </c>
      <c r="J9" s="53">
        <v>0</v>
      </c>
      <c r="K9" s="53">
        <v>0</v>
      </c>
      <c r="L9" s="53">
        <v>0.34499999999999997</v>
      </c>
      <c r="M9" s="53">
        <v>0</v>
      </c>
      <c r="N9" s="55">
        <v>0</v>
      </c>
      <c r="O9" s="53">
        <v>0</v>
      </c>
      <c r="P9" s="53">
        <v>0</v>
      </c>
      <c r="Q9" s="53">
        <v>0</v>
      </c>
      <c r="R9" s="53">
        <v>0</v>
      </c>
      <c r="S9" s="55">
        <v>0</v>
      </c>
      <c r="T9" s="53">
        <v>0</v>
      </c>
      <c r="U9" s="65">
        <v>0</v>
      </c>
      <c r="V9" s="65">
        <v>0</v>
      </c>
      <c r="W9" s="65">
        <v>0</v>
      </c>
      <c r="X9" s="65">
        <v>0</v>
      </c>
      <c r="Y9" s="65">
        <v>0</v>
      </c>
      <c r="Z9" s="65">
        <v>0</v>
      </c>
      <c r="AA9" s="65">
        <v>0</v>
      </c>
      <c r="AB9" s="65">
        <v>0</v>
      </c>
      <c r="AC9" s="65">
        <v>0.69</v>
      </c>
      <c r="AD9" s="65">
        <v>0</v>
      </c>
      <c r="AE9" s="65">
        <v>0</v>
      </c>
      <c r="AF9" s="65">
        <v>0</v>
      </c>
      <c r="AG9" s="65">
        <v>0</v>
      </c>
      <c r="AH9" s="65">
        <v>0</v>
      </c>
      <c r="AI9" s="65">
        <v>0</v>
      </c>
      <c r="AJ9" s="65">
        <v>0.34499999999999997</v>
      </c>
      <c r="AK9" s="65">
        <v>0</v>
      </c>
      <c r="AL9" s="65">
        <v>0</v>
      </c>
      <c r="AM9" s="65">
        <v>0</v>
      </c>
      <c r="AN9" s="66">
        <v>0</v>
      </c>
      <c r="AO9" s="66">
        <v>0</v>
      </c>
      <c r="AP9" s="66">
        <v>0</v>
      </c>
      <c r="AQ9" s="66">
        <v>0</v>
      </c>
      <c r="AR9" s="66">
        <v>0</v>
      </c>
      <c r="AS9" s="66">
        <v>0.41299999999999998</v>
      </c>
      <c r="AT9" s="66">
        <v>0</v>
      </c>
      <c r="AU9" s="66">
        <v>0</v>
      </c>
      <c r="AV9" s="66">
        <v>0</v>
      </c>
      <c r="AW9" s="66">
        <v>0</v>
      </c>
      <c r="AX9" s="66">
        <v>0</v>
      </c>
      <c r="AY9" s="66">
        <v>0</v>
      </c>
      <c r="AZ9" s="66">
        <v>0.34499999999999997</v>
      </c>
      <c r="BA9" s="66">
        <v>0</v>
      </c>
      <c r="BB9" s="66">
        <v>0</v>
      </c>
      <c r="BC9" s="66">
        <v>0</v>
      </c>
      <c r="BD9" s="66">
        <v>0</v>
      </c>
      <c r="BE9" s="66">
        <v>0</v>
      </c>
      <c r="BF9" s="66">
        <v>0</v>
      </c>
      <c r="BG9" s="66">
        <v>0</v>
      </c>
      <c r="BH9" s="66">
        <v>0</v>
      </c>
      <c r="BI9" s="66">
        <v>0</v>
      </c>
      <c r="BJ9" s="68">
        <v>0</v>
      </c>
      <c r="BK9" s="67">
        <v>0</v>
      </c>
      <c r="BL9" s="68">
        <v>0</v>
      </c>
      <c r="BM9" s="68">
        <v>0</v>
      </c>
      <c r="BN9" s="68">
        <v>0</v>
      </c>
      <c r="BO9" s="68">
        <v>0</v>
      </c>
      <c r="BP9" s="68">
        <v>0</v>
      </c>
      <c r="BQ9" s="68">
        <v>0</v>
      </c>
      <c r="BR9" s="68">
        <v>0</v>
      </c>
      <c r="BS9" s="68">
        <v>0</v>
      </c>
      <c r="BT9" s="68">
        <v>0</v>
      </c>
      <c r="BU9" s="68">
        <v>0</v>
      </c>
      <c r="BV9" s="68">
        <v>0</v>
      </c>
      <c r="BW9" s="68">
        <v>0</v>
      </c>
      <c r="BX9" s="68">
        <v>0</v>
      </c>
      <c r="BY9" s="68">
        <v>0</v>
      </c>
      <c r="BZ9" s="68">
        <v>0</v>
      </c>
      <c r="CA9" s="68">
        <v>0</v>
      </c>
      <c r="CB9" s="68">
        <v>0</v>
      </c>
      <c r="CC9" s="68">
        <v>0</v>
      </c>
      <c r="CD9" s="70">
        <v>0</v>
      </c>
      <c r="CE9" s="70">
        <v>0</v>
      </c>
      <c r="CF9" s="70">
        <v>0</v>
      </c>
      <c r="CG9" s="70">
        <v>0</v>
      </c>
      <c r="CH9" s="70">
        <v>0</v>
      </c>
      <c r="CI9" s="70">
        <v>0</v>
      </c>
      <c r="CJ9" s="70">
        <v>0.69</v>
      </c>
      <c r="CK9" s="70">
        <v>0</v>
      </c>
      <c r="CL9" s="70">
        <v>0</v>
      </c>
      <c r="CM9" s="70">
        <v>0</v>
      </c>
      <c r="CN9" s="70">
        <v>0</v>
      </c>
      <c r="CO9" s="70">
        <v>0</v>
      </c>
      <c r="CP9" s="70">
        <v>0</v>
      </c>
      <c r="CQ9" s="70">
        <v>0</v>
      </c>
      <c r="CR9" s="70">
        <v>0</v>
      </c>
      <c r="CS9" s="70">
        <v>0</v>
      </c>
      <c r="CT9" s="70">
        <v>0.51700000000000002</v>
      </c>
      <c r="CU9" s="70">
        <v>0</v>
      </c>
      <c r="CV9" s="70">
        <v>0</v>
      </c>
    </row>
    <row r="10" spans="1:100" x14ac:dyDescent="0.25">
      <c r="A10" s="44" t="s">
        <v>71</v>
      </c>
      <c r="B10" s="49">
        <v>0</v>
      </c>
      <c r="C10" s="53">
        <v>0</v>
      </c>
      <c r="D10" s="53">
        <v>0</v>
      </c>
      <c r="E10" s="53">
        <v>0</v>
      </c>
      <c r="F10" s="53">
        <v>0</v>
      </c>
      <c r="G10" s="55">
        <v>0</v>
      </c>
      <c r="H10" s="55">
        <v>0</v>
      </c>
      <c r="I10" s="55">
        <v>0</v>
      </c>
      <c r="J10" s="53">
        <v>0</v>
      </c>
      <c r="K10" s="53">
        <v>0</v>
      </c>
      <c r="L10" s="53">
        <v>0</v>
      </c>
      <c r="M10" s="53">
        <v>0</v>
      </c>
      <c r="N10" s="55">
        <v>0</v>
      </c>
      <c r="O10" s="53">
        <v>0</v>
      </c>
      <c r="P10" s="53">
        <v>0</v>
      </c>
      <c r="Q10" s="53">
        <v>0</v>
      </c>
      <c r="R10" s="53">
        <v>0</v>
      </c>
      <c r="S10" s="55">
        <v>0</v>
      </c>
      <c r="T10" s="53">
        <v>0</v>
      </c>
      <c r="U10" s="65">
        <v>0</v>
      </c>
      <c r="V10" s="65">
        <v>0</v>
      </c>
      <c r="W10" s="65">
        <v>0</v>
      </c>
      <c r="X10" s="65">
        <v>0</v>
      </c>
      <c r="Y10" s="65">
        <v>0</v>
      </c>
      <c r="Z10" s="65">
        <f t="shared" ref="Z10:Z15" si="0">12%+3%*(char1Refine-1)</f>
        <v>0.18</v>
      </c>
      <c r="AA10" s="65">
        <v>0</v>
      </c>
      <c r="AB10" s="65">
        <v>0</v>
      </c>
      <c r="AC10" s="65">
        <v>0</v>
      </c>
      <c r="AD10" s="65">
        <v>0</v>
      </c>
      <c r="AE10" s="65">
        <v>0</v>
      </c>
      <c r="AF10" s="65">
        <v>0</v>
      </c>
      <c r="AG10" s="65">
        <v>0</v>
      </c>
      <c r="AH10" s="65">
        <v>0</v>
      </c>
      <c r="AI10" s="65">
        <v>0</v>
      </c>
      <c r="AJ10" s="65">
        <v>0</v>
      </c>
      <c r="AK10" s="65">
        <v>0</v>
      </c>
      <c r="AL10" s="65">
        <v>0</v>
      </c>
      <c r="AM10" s="65">
        <v>0</v>
      </c>
      <c r="AN10" s="66">
        <v>0</v>
      </c>
      <c r="AO10" s="66">
        <v>0</v>
      </c>
      <c r="AP10" s="170">
        <f>(IF('Data Val'!$K$1 = weapons!A10,IF(char1WeapStacks=1, (8+(char1Refine-1)*2)%, IF(char1WeapStacks=2, (16+(char1Refine-1)*4)%, IF(char1WeapStacks=3, (28+(char1Refine-1)*7)%, 0)))))+(12+(char1Refine-1)*3)%</f>
        <v>0.18</v>
      </c>
      <c r="AQ10" s="66">
        <v>0</v>
      </c>
      <c r="AR10" s="66">
        <v>0</v>
      </c>
      <c r="AS10" s="66">
        <v>0</v>
      </c>
      <c r="AT10" s="66">
        <v>0</v>
      </c>
      <c r="AU10" s="66">
        <v>0</v>
      </c>
      <c r="AV10" s="66">
        <v>0</v>
      </c>
      <c r="AW10" s="66">
        <v>0</v>
      </c>
      <c r="AX10" s="66">
        <v>0</v>
      </c>
      <c r="AY10" s="66">
        <v>0</v>
      </c>
      <c r="AZ10" s="66">
        <v>0</v>
      </c>
      <c r="BA10" s="66">
        <v>0</v>
      </c>
      <c r="BB10" s="66">
        <v>0</v>
      </c>
      <c r="BC10" s="66">
        <v>0</v>
      </c>
      <c r="BD10" s="66">
        <v>0</v>
      </c>
      <c r="BE10" s="66">
        <v>0</v>
      </c>
      <c r="BF10" s="66">
        <v>0</v>
      </c>
      <c r="BG10" s="66">
        <v>0</v>
      </c>
      <c r="BH10" s="66">
        <v>0</v>
      </c>
      <c r="BI10" s="66">
        <v>0</v>
      </c>
      <c r="BJ10" s="68">
        <v>0</v>
      </c>
      <c r="BK10" s="67">
        <v>0</v>
      </c>
      <c r="BL10" s="68">
        <f t="shared" ref="BL10:BL15" si="1">(12+(char1Refine-1)*3)%</f>
        <v>0.18</v>
      </c>
      <c r="BM10" s="68">
        <f t="shared" ref="BM10:BM15" si="2">(char1WeapStacks*(8+(char1Refine-1)*2))%</f>
        <v>0</v>
      </c>
      <c r="BN10" s="68">
        <v>0</v>
      </c>
      <c r="BO10" s="68">
        <v>0</v>
      </c>
      <c r="BP10" s="68">
        <v>0</v>
      </c>
      <c r="BQ10" s="68">
        <v>0</v>
      </c>
      <c r="BR10" s="68">
        <f t="shared" ref="BR10:BR15" si="3">IF(char1WeapToggle, 16+(char1Refine-1)*4,0)%</f>
        <v>0.24</v>
      </c>
      <c r="BS10" s="68">
        <v>0</v>
      </c>
      <c r="BT10" s="68">
        <v>0</v>
      </c>
      <c r="BU10" s="68">
        <v>0</v>
      </c>
      <c r="BV10" s="68">
        <v>0</v>
      </c>
      <c r="BW10" s="68">
        <f t="shared" ref="BW10:BW15" si="4">char1WeapStacks*(8+(char1Refine-1)*2)%</f>
        <v>0</v>
      </c>
      <c r="BX10" s="68">
        <v>0</v>
      </c>
      <c r="BY10" s="68">
        <v>0</v>
      </c>
      <c r="BZ10" s="68">
        <v>0</v>
      </c>
      <c r="CA10" s="68">
        <v>0</v>
      </c>
      <c r="CB10" s="68">
        <v>0</v>
      </c>
      <c r="CC10" s="68">
        <v>0</v>
      </c>
      <c r="CD10" s="70">
        <v>0</v>
      </c>
      <c r="CE10" s="70">
        <v>0</v>
      </c>
      <c r="CF10" s="70">
        <v>0</v>
      </c>
      <c r="CG10" s="70">
        <v>0</v>
      </c>
      <c r="CH10" s="70">
        <v>0</v>
      </c>
      <c r="CI10" s="70">
        <v>0</v>
      </c>
      <c r="CJ10" s="70">
        <v>0</v>
      </c>
      <c r="CK10" s="70">
        <v>0</v>
      </c>
      <c r="CL10" s="70">
        <v>0</v>
      </c>
      <c r="CM10" s="70">
        <v>0</v>
      </c>
      <c r="CN10" s="70">
        <v>0</v>
      </c>
      <c r="CO10" s="70">
        <v>0</v>
      </c>
      <c r="CP10" s="70">
        <v>0</v>
      </c>
      <c r="CQ10" s="70">
        <v>0</v>
      </c>
      <c r="CR10" s="70">
        <v>0</v>
      </c>
      <c r="CS10" s="70">
        <v>0</v>
      </c>
      <c r="CT10" s="70">
        <v>0</v>
      </c>
      <c r="CU10" s="70">
        <v>0</v>
      </c>
      <c r="CV10" s="70">
        <v>0</v>
      </c>
    </row>
    <row r="11" spans="1:100" x14ac:dyDescent="0.25">
      <c r="A11" t="s">
        <v>72</v>
      </c>
      <c r="B11" s="49">
        <v>0</v>
      </c>
      <c r="C11" s="53">
        <v>0</v>
      </c>
      <c r="D11" s="53">
        <v>0</v>
      </c>
      <c r="E11" s="53">
        <v>0</v>
      </c>
      <c r="F11" s="53">
        <v>0</v>
      </c>
      <c r="G11" s="55">
        <v>0</v>
      </c>
      <c r="H11" s="55">
        <v>0</v>
      </c>
      <c r="I11" s="55">
        <v>0</v>
      </c>
      <c r="J11" s="53">
        <v>0</v>
      </c>
      <c r="K11" s="53">
        <v>0</v>
      </c>
      <c r="L11" s="53">
        <v>0</v>
      </c>
      <c r="M11" s="53">
        <v>0</v>
      </c>
      <c r="N11" s="55">
        <v>0</v>
      </c>
      <c r="O11" s="53">
        <v>0</v>
      </c>
      <c r="P11" s="53">
        <v>0</v>
      </c>
      <c r="Q11" s="53">
        <v>0</v>
      </c>
      <c r="R11" s="53">
        <v>0</v>
      </c>
      <c r="S11" s="55">
        <v>0</v>
      </c>
      <c r="T11" s="53">
        <v>0</v>
      </c>
      <c r="U11" s="65">
        <v>0</v>
      </c>
      <c r="V11" s="65">
        <v>0</v>
      </c>
      <c r="W11" s="65">
        <v>0</v>
      </c>
      <c r="X11" s="65">
        <v>0</v>
      </c>
      <c r="Y11" s="65">
        <v>0</v>
      </c>
      <c r="Z11" s="65">
        <f t="shared" si="0"/>
        <v>0.18</v>
      </c>
      <c r="AA11" s="65">
        <v>0</v>
      </c>
      <c r="AB11" s="65">
        <v>0</v>
      </c>
      <c r="AC11" s="65">
        <v>0</v>
      </c>
      <c r="AD11" s="65">
        <v>0</v>
      </c>
      <c r="AE11" s="65">
        <v>0</v>
      </c>
      <c r="AF11" s="65">
        <v>0</v>
      </c>
      <c r="AG11" s="65">
        <v>0</v>
      </c>
      <c r="AH11" s="65">
        <v>0</v>
      </c>
      <c r="AI11" s="65">
        <v>0</v>
      </c>
      <c r="AJ11" s="65">
        <v>0</v>
      </c>
      <c r="AK11" s="65">
        <v>0</v>
      </c>
      <c r="AL11" s="65">
        <v>0</v>
      </c>
      <c r="AM11" s="65">
        <v>0</v>
      </c>
      <c r="AN11" s="66">
        <v>0</v>
      </c>
      <c r="AO11" s="66">
        <v>0</v>
      </c>
      <c r="AP11" s="170">
        <f>(IF('Data Val'!$K$1 = weapons!A11,IF(char1WeapStacks=1, (8+(char1Refine-1)*2)%, IF(char1WeapStacks=2, (16+(char1Refine-1)*4)%, IF(char1WeapStacks=3, (28+(char1Refine-1)*7)%, 0)))))+(12+(char1Refine-1)*3)%</f>
        <v>0.18</v>
      </c>
      <c r="AQ11" s="66">
        <v>0</v>
      </c>
      <c r="AR11" s="66">
        <v>0</v>
      </c>
      <c r="AS11" s="66">
        <v>0</v>
      </c>
      <c r="AT11" s="66">
        <v>0</v>
      </c>
      <c r="AU11" s="66">
        <v>0</v>
      </c>
      <c r="AV11" s="66">
        <v>0</v>
      </c>
      <c r="AW11" s="66">
        <v>0</v>
      </c>
      <c r="AX11" s="66">
        <v>0</v>
      </c>
      <c r="AY11" s="66">
        <v>0</v>
      </c>
      <c r="AZ11" s="66">
        <v>0</v>
      </c>
      <c r="BA11" s="66">
        <v>0</v>
      </c>
      <c r="BB11" s="66">
        <v>0</v>
      </c>
      <c r="BC11" s="66">
        <v>0</v>
      </c>
      <c r="BD11" s="66">
        <v>0</v>
      </c>
      <c r="BE11" s="66">
        <v>0</v>
      </c>
      <c r="BF11" s="66">
        <v>0</v>
      </c>
      <c r="BG11" s="66">
        <v>0</v>
      </c>
      <c r="BH11" s="66">
        <v>0</v>
      </c>
      <c r="BI11" s="66">
        <v>0</v>
      </c>
      <c r="BJ11" s="68">
        <v>0</v>
      </c>
      <c r="BK11" s="67">
        <v>0</v>
      </c>
      <c r="BL11" s="68">
        <f t="shared" si="1"/>
        <v>0.18</v>
      </c>
      <c r="BM11" s="68">
        <f t="shared" si="2"/>
        <v>0</v>
      </c>
      <c r="BN11" s="68">
        <v>0</v>
      </c>
      <c r="BO11" s="68">
        <v>0</v>
      </c>
      <c r="BP11" s="68">
        <v>0</v>
      </c>
      <c r="BQ11" s="68">
        <v>0</v>
      </c>
      <c r="BR11" s="68">
        <f t="shared" si="3"/>
        <v>0.24</v>
      </c>
      <c r="BS11" s="68">
        <v>0</v>
      </c>
      <c r="BT11" s="68">
        <v>0</v>
      </c>
      <c r="BU11" s="68">
        <v>0</v>
      </c>
      <c r="BV11" s="68">
        <v>0</v>
      </c>
      <c r="BW11" s="68">
        <f t="shared" si="4"/>
        <v>0</v>
      </c>
      <c r="BX11" s="68">
        <v>0</v>
      </c>
      <c r="BY11" s="68">
        <v>0</v>
      </c>
      <c r="BZ11" s="68">
        <v>0</v>
      </c>
      <c r="CA11" s="68">
        <v>0</v>
      </c>
      <c r="CB11" s="68">
        <v>0</v>
      </c>
      <c r="CC11" s="68">
        <v>0</v>
      </c>
      <c r="CD11" s="70">
        <v>0</v>
      </c>
      <c r="CE11" s="70">
        <v>0</v>
      </c>
      <c r="CF11" s="70">
        <v>0</v>
      </c>
      <c r="CG11" s="70">
        <v>0</v>
      </c>
      <c r="CH11" s="70">
        <v>0</v>
      </c>
      <c r="CI11" s="70">
        <v>0</v>
      </c>
      <c r="CJ11" s="70">
        <v>0</v>
      </c>
      <c r="CK11" s="70">
        <v>0</v>
      </c>
      <c r="CL11" s="70">
        <v>0</v>
      </c>
      <c r="CM11" s="70">
        <v>0</v>
      </c>
      <c r="CN11" s="70">
        <v>0</v>
      </c>
      <c r="CO11" s="70">
        <v>0</v>
      </c>
      <c r="CP11" s="70">
        <v>0</v>
      </c>
      <c r="CQ11" s="70">
        <v>0</v>
      </c>
      <c r="CR11" s="70">
        <v>0</v>
      </c>
      <c r="CS11" s="70">
        <v>0</v>
      </c>
      <c r="CT11" s="70">
        <v>0</v>
      </c>
      <c r="CU11" s="70">
        <v>0</v>
      </c>
      <c r="CV11" s="70">
        <v>0</v>
      </c>
    </row>
    <row r="12" spans="1:100" x14ac:dyDescent="0.25">
      <c r="A12" s="44" t="s">
        <v>73</v>
      </c>
      <c r="B12" s="49">
        <v>0</v>
      </c>
      <c r="C12" s="53">
        <v>0</v>
      </c>
      <c r="D12" s="53">
        <v>0</v>
      </c>
      <c r="E12" s="53">
        <v>0</v>
      </c>
      <c r="F12" s="53">
        <v>0</v>
      </c>
      <c r="G12" s="55">
        <v>0</v>
      </c>
      <c r="H12" s="55">
        <v>0</v>
      </c>
      <c r="I12" s="55">
        <v>0</v>
      </c>
      <c r="J12" s="53">
        <v>0</v>
      </c>
      <c r="K12" s="53">
        <v>0</v>
      </c>
      <c r="L12" s="53">
        <v>0</v>
      </c>
      <c r="M12" s="53">
        <v>0</v>
      </c>
      <c r="N12" s="55">
        <v>0</v>
      </c>
      <c r="O12" s="53">
        <v>0</v>
      </c>
      <c r="P12" s="53">
        <v>0</v>
      </c>
      <c r="Q12" s="53">
        <v>0</v>
      </c>
      <c r="R12" s="53">
        <v>0</v>
      </c>
      <c r="S12" s="55">
        <v>0</v>
      </c>
      <c r="T12" s="53">
        <v>0</v>
      </c>
      <c r="U12" s="65">
        <v>0</v>
      </c>
      <c r="V12" s="65">
        <v>0</v>
      </c>
      <c r="W12" s="65">
        <v>0</v>
      </c>
      <c r="X12" s="65">
        <v>0</v>
      </c>
      <c r="Y12" s="65">
        <v>0</v>
      </c>
      <c r="Z12" s="65">
        <f t="shared" si="0"/>
        <v>0.18</v>
      </c>
      <c r="AA12" s="65">
        <v>0</v>
      </c>
      <c r="AB12" s="65">
        <v>0</v>
      </c>
      <c r="AC12" s="65">
        <v>0</v>
      </c>
      <c r="AD12" s="65">
        <v>0</v>
      </c>
      <c r="AE12" s="65">
        <v>0</v>
      </c>
      <c r="AF12" s="65">
        <v>0</v>
      </c>
      <c r="AG12" s="65">
        <v>0</v>
      </c>
      <c r="AH12" s="65">
        <v>0</v>
      </c>
      <c r="AI12" s="65">
        <v>0</v>
      </c>
      <c r="AJ12" s="65">
        <v>0</v>
      </c>
      <c r="AK12" s="65">
        <v>0</v>
      </c>
      <c r="AL12" s="65">
        <v>0</v>
      </c>
      <c r="AM12" s="65">
        <v>0</v>
      </c>
      <c r="AN12" s="66">
        <v>0</v>
      </c>
      <c r="AO12" s="66">
        <v>0</v>
      </c>
      <c r="AP12" s="170">
        <f>(IF('Data Val'!$K$1 = weapons!A12,IF(char1WeapStacks=1, (8+(char1Refine-1)*2)%, IF(char1WeapStacks=2, (16+(char1Refine-1)*4)%, IF(char1WeapStacks=3, (28+(char1Refine-1)*7)%, 0)))))+(12+(char1Refine-1)*3)%</f>
        <v>0.18</v>
      </c>
      <c r="AQ12" s="66">
        <v>0</v>
      </c>
      <c r="AR12" s="66">
        <v>0</v>
      </c>
      <c r="AS12" s="66">
        <v>0</v>
      </c>
      <c r="AT12" s="66">
        <v>0</v>
      </c>
      <c r="AU12" s="66">
        <v>0</v>
      </c>
      <c r="AV12" s="66">
        <v>0</v>
      </c>
      <c r="AW12" s="66">
        <v>0</v>
      </c>
      <c r="AX12" s="66">
        <v>0</v>
      </c>
      <c r="AY12" s="66">
        <v>0</v>
      </c>
      <c r="AZ12" s="66">
        <v>0</v>
      </c>
      <c r="BA12" s="66">
        <v>0</v>
      </c>
      <c r="BB12" s="66">
        <v>0</v>
      </c>
      <c r="BC12" s="66">
        <v>0</v>
      </c>
      <c r="BD12" s="66">
        <v>0</v>
      </c>
      <c r="BE12" s="66">
        <v>0</v>
      </c>
      <c r="BF12" s="66">
        <v>0</v>
      </c>
      <c r="BG12" s="66">
        <v>0</v>
      </c>
      <c r="BH12" s="66">
        <v>0</v>
      </c>
      <c r="BI12" s="66">
        <v>0</v>
      </c>
      <c r="BJ12" s="68">
        <v>0</v>
      </c>
      <c r="BK12" s="67">
        <v>0</v>
      </c>
      <c r="BL12" s="68">
        <f t="shared" si="1"/>
        <v>0.18</v>
      </c>
      <c r="BM12" s="68">
        <f t="shared" si="2"/>
        <v>0</v>
      </c>
      <c r="BN12" s="68">
        <v>0</v>
      </c>
      <c r="BO12" s="68">
        <v>0</v>
      </c>
      <c r="BP12" s="68">
        <v>0</v>
      </c>
      <c r="BQ12" s="68">
        <v>0</v>
      </c>
      <c r="BR12" s="68">
        <f t="shared" si="3"/>
        <v>0.24</v>
      </c>
      <c r="BS12" s="68">
        <v>0</v>
      </c>
      <c r="BT12" s="68">
        <v>0</v>
      </c>
      <c r="BU12" s="68">
        <v>0</v>
      </c>
      <c r="BV12" s="68">
        <v>0</v>
      </c>
      <c r="BW12" s="68">
        <f t="shared" si="4"/>
        <v>0</v>
      </c>
      <c r="BX12" s="68">
        <v>0</v>
      </c>
      <c r="BY12" s="68">
        <v>0</v>
      </c>
      <c r="BZ12" s="68">
        <v>0</v>
      </c>
      <c r="CA12" s="68">
        <v>0</v>
      </c>
      <c r="CB12" s="68">
        <v>0</v>
      </c>
      <c r="CC12" s="68">
        <v>0</v>
      </c>
      <c r="CD12" s="70">
        <v>0</v>
      </c>
      <c r="CE12" s="70">
        <v>0</v>
      </c>
      <c r="CF12" s="70">
        <v>0</v>
      </c>
      <c r="CG12" s="70">
        <v>0</v>
      </c>
      <c r="CH12" s="70">
        <v>0</v>
      </c>
      <c r="CI12" s="70">
        <v>0</v>
      </c>
      <c r="CJ12" s="70">
        <v>0</v>
      </c>
      <c r="CK12" s="70">
        <v>0</v>
      </c>
      <c r="CL12" s="70">
        <v>0</v>
      </c>
      <c r="CM12" s="70">
        <v>0</v>
      </c>
      <c r="CN12" s="70">
        <v>0</v>
      </c>
      <c r="CO12" s="70">
        <v>0</v>
      </c>
      <c r="CP12" s="70">
        <v>0</v>
      </c>
      <c r="CQ12" s="70">
        <v>0</v>
      </c>
      <c r="CR12" s="70">
        <v>0</v>
      </c>
      <c r="CS12" s="70">
        <v>0</v>
      </c>
      <c r="CT12" s="70">
        <v>0</v>
      </c>
      <c r="CU12" s="70">
        <v>0</v>
      </c>
      <c r="CV12" s="70">
        <v>0</v>
      </c>
    </row>
    <row r="13" spans="1:100" x14ac:dyDescent="0.25">
      <c r="A13" s="44" t="s">
        <v>74</v>
      </c>
      <c r="B13" s="49">
        <v>0</v>
      </c>
      <c r="C13" s="53">
        <v>0</v>
      </c>
      <c r="D13" s="53">
        <v>0</v>
      </c>
      <c r="E13" s="53">
        <v>0</v>
      </c>
      <c r="F13" s="53">
        <v>0</v>
      </c>
      <c r="G13" s="55">
        <v>0</v>
      </c>
      <c r="H13" s="55">
        <v>0</v>
      </c>
      <c r="I13" s="55">
        <v>0</v>
      </c>
      <c r="J13" s="53">
        <v>0</v>
      </c>
      <c r="K13" s="53">
        <v>0</v>
      </c>
      <c r="L13" s="53">
        <v>0</v>
      </c>
      <c r="M13" s="53">
        <v>0</v>
      </c>
      <c r="N13" s="55">
        <v>0</v>
      </c>
      <c r="O13" s="53">
        <v>0</v>
      </c>
      <c r="P13" s="53">
        <v>0</v>
      </c>
      <c r="Q13" s="53">
        <v>0</v>
      </c>
      <c r="R13" s="53">
        <v>0</v>
      </c>
      <c r="S13" s="55">
        <v>0</v>
      </c>
      <c r="T13" s="53">
        <v>0</v>
      </c>
      <c r="U13" s="65">
        <v>0</v>
      </c>
      <c r="V13" s="65">
        <v>0</v>
      </c>
      <c r="W13" s="65">
        <v>0</v>
      </c>
      <c r="X13" s="65">
        <v>0</v>
      </c>
      <c r="Y13" s="65">
        <v>0</v>
      </c>
      <c r="Z13" s="65">
        <f t="shared" si="0"/>
        <v>0.18</v>
      </c>
      <c r="AA13" s="65">
        <v>0</v>
      </c>
      <c r="AB13" s="65">
        <v>0</v>
      </c>
      <c r="AC13" s="65">
        <v>0</v>
      </c>
      <c r="AD13" s="65">
        <v>0</v>
      </c>
      <c r="AE13" s="65">
        <v>0</v>
      </c>
      <c r="AF13" s="65">
        <v>0</v>
      </c>
      <c r="AG13" s="65">
        <v>0</v>
      </c>
      <c r="AH13" s="65">
        <v>0</v>
      </c>
      <c r="AI13" s="65">
        <v>0</v>
      </c>
      <c r="AJ13" s="65">
        <v>0</v>
      </c>
      <c r="AK13" s="65">
        <v>0</v>
      </c>
      <c r="AL13" s="65">
        <v>0</v>
      </c>
      <c r="AM13" s="65">
        <v>0</v>
      </c>
      <c r="AN13" s="66">
        <v>0</v>
      </c>
      <c r="AO13" s="66">
        <v>0</v>
      </c>
      <c r="AP13" s="170">
        <f>(IF('Data Val'!$K$1 = weapons!A13,IF(char1WeapStacks=1, (8+(char1Refine-1)*2)%, IF(char1WeapStacks=2, (16+(char1Refine-1)*4)%, IF(char1WeapStacks=3, (28+(char1Refine-1)*7)%, 0)))))+(12+(char1Refine-1)*3)%</f>
        <v>0.18</v>
      </c>
      <c r="AQ13" s="66">
        <v>0</v>
      </c>
      <c r="AR13" s="66">
        <v>0</v>
      </c>
      <c r="AS13" s="66">
        <v>0</v>
      </c>
      <c r="AT13" s="66">
        <v>0</v>
      </c>
      <c r="AU13" s="66">
        <v>0</v>
      </c>
      <c r="AV13" s="66">
        <v>0</v>
      </c>
      <c r="AW13" s="66">
        <v>0</v>
      </c>
      <c r="AX13" s="66">
        <v>0</v>
      </c>
      <c r="AY13" s="66">
        <v>0</v>
      </c>
      <c r="AZ13" s="66">
        <v>0</v>
      </c>
      <c r="BA13" s="66">
        <v>0</v>
      </c>
      <c r="BB13" s="66">
        <v>0</v>
      </c>
      <c r="BC13" s="66">
        <v>0</v>
      </c>
      <c r="BD13" s="66">
        <v>0</v>
      </c>
      <c r="BE13" s="66">
        <v>0</v>
      </c>
      <c r="BF13" s="66">
        <v>0</v>
      </c>
      <c r="BG13" s="66">
        <v>0</v>
      </c>
      <c r="BH13" s="66">
        <v>0</v>
      </c>
      <c r="BI13" s="66">
        <v>0</v>
      </c>
      <c r="BJ13" s="68">
        <v>0</v>
      </c>
      <c r="BK13" s="67">
        <v>0</v>
      </c>
      <c r="BL13" s="68">
        <f t="shared" si="1"/>
        <v>0.18</v>
      </c>
      <c r="BM13" s="68">
        <f t="shared" si="2"/>
        <v>0</v>
      </c>
      <c r="BN13" s="68">
        <v>0</v>
      </c>
      <c r="BO13" s="68">
        <v>0</v>
      </c>
      <c r="BP13" s="68">
        <v>0</v>
      </c>
      <c r="BQ13" s="68">
        <v>0</v>
      </c>
      <c r="BR13" s="68">
        <f t="shared" si="3"/>
        <v>0.24</v>
      </c>
      <c r="BS13" s="68">
        <v>0</v>
      </c>
      <c r="BT13" s="68">
        <v>0</v>
      </c>
      <c r="BU13" s="68">
        <v>0</v>
      </c>
      <c r="BV13" s="68">
        <v>0</v>
      </c>
      <c r="BW13" s="68">
        <f t="shared" si="4"/>
        <v>0</v>
      </c>
      <c r="BX13" s="68">
        <v>0</v>
      </c>
      <c r="BY13" s="68">
        <v>0</v>
      </c>
      <c r="BZ13" s="68">
        <v>0</v>
      </c>
      <c r="CA13" s="68">
        <v>0</v>
      </c>
      <c r="CB13" s="68">
        <v>0</v>
      </c>
      <c r="CC13" s="68">
        <v>0</v>
      </c>
      <c r="CD13" s="70">
        <v>0</v>
      </c>
      <c r="CE13" s="70">
        <v>0</v>
      </c>
      <c r="CF13" s="70">
        <v>0</v>
      </c>
      <c r="CG13" s="70">
        <v>0</v>
      </c>
      <c r="CH13" s="70">
        <v>0</v>
      </c>
      <c r="CI13" s="70">
        <v>0</v>
      </c>
      <c r="CJ13" s="70">
        <v>0</v>
      </c>
      <c r="CK13" s="70">
        <v>0</v>
      </c>
      <c r="CL13" s="70">
        <v>0</v>
      </c>
      <c r="CM13" s="70">
        <v>0</v>
      </c>
      <c r="CN13" s="70">
        <v>0</v>
      </c>
      <c r="CO13" s="70">
        <v>0</v>
      </c>
      <c r="CP13" s="70">
        <v>0</v>
      </c>
      <c r="CQ13" s="70">
        <v>0</v>
      </c>
      <c r="CR13" s="70">
        <v>0</v>
      </c>
      <c r="CS13" s="70">
        <v>0</v>
      </c>
      <c r="CT13" s="70">
        <v>0</v>
      </c>
      <c r="CU13" s="70">
        <v>0</v>
      </c>
      <c r="CV13" s="70">
        <v>0</v>
      </c>
    </row>
    <row r="14" spans="1:100" x14ac:dyDescent="0.25">
      <c r="A14" s="44" t="s">
        <v>75</v>
      </c>
      <c r="B14" s="49">
        <v>0</v>
      </c>
      <c r="C14" s="53">
        <v>0</v>
      </c>
      <c r="D14" s="53">
        <v>0</v>
      </c>
      <c r="E14" s="53">
        <v>0</v>
      </c>
      <c r="F14" s="53">
        <v>0</v>
      </c>
      <c r="G14" s="55">
        <v>0</v>
      </c>
      <c r="H14" s="55">
        <v>0</v>
      </c>
      <c r="I14" s="55">
        <v>0</v>
      </c>
      <c r="J14" s="53">
        <v>0</v>
      </c>
      <c r="K14" s="53">
        <v>0</v>
      </c>
      <c r="L14" s="53">
        <v>0</v>
      </c>
      <c r="M14" s="53">
        <v>0</v>
      </c>
      <c r="N14" s="55">
        <v>0</v>
      </c>
      <c r="O14" s="53">
        <v>0</v>
      </c>
      <c r="P14" s="53">
        <v>0</v>
      </c>
      <c r="Q14" s="53">
        <v>0</v>
      </c>
      <c r="R14" s="53">
        <v>0</v>
      </c>
      <c r="S14" s="55">
        <v>0</v>
      </c>
      <c r="T14" s="53">
        <v>0</v>
      </c>
      <c r="U14" s="65">
        <v>0</v>
      </c>
      <c r="V14" s="65">
        <v>0</v>
      </c>
      <c r="W14" s="65">
        <v>0</v>
      </c>
      <c r="X14" s="65">
        <v>0</v>
      </c>
      <c r="Y14" s="65">
        <v>0</v>
      </c>
      <c r="Z14" s="65">
        <f t="shared" si="0"/>
        <v>0.18</v>
      </c>
      <c r="AA14" s="65">
        <v>0</v>
      </c>
      <c r="AB14" s="65">
        <v>0</v>
      </c>
      <c r="AC14" s="65">
        <v>0</v>
      </c>
      <c r="AD14" s="65">
        <v>0</v>
      </c>
      <c r="AE14" s="65">
        <v>0</v>
      </c>
      <c r="AF14" s="65">
        <v>0</v>
      </c>
      <c r="AG14" s="65">
        <v>0</v>
      </c>
      <c r="AH14" s="65">
        <v>0</v>
      </c>
      <c r="AI14" s="65">
        <v>0</v>
      </c>
      <c r="AJ14" s="65">
        <v>0</v>
      </c>
      <c r="AK14" s="65">
        <v>0</v>
      </c>
      <c r="AL14" s="65">
        <v>0</v>
      </c>
      <c r="AM14" s="65">
        <v>0</v>
      </c>
      <c r="AN14" s="66">
        <v>0</v>
      </c>
      <c r="AO14" s="66">
        <v>0</v>
      </c>
      <c r="AP14" s="170">
        <f>(IF('Data Val'!$K$1 = weapons!A14,IF(char1WeapStacks=1, (8+(char1Refine-1)*2)%, IF(char1WeapStacks=2, (16+(char1Refine-1)*4)%, IF(char1WeapStacks=3, (28+(char1Refine-1)*7)%, 0)))))+(12+(char1Refine-1)*3)%</f>
        <v>0.18</v>
      </c>
      <c r="AQ14" s="66">
        <v>0</v>
      </c>
      <c r="AR14" s="66">
        <v>0</v>
      </c>
      <c r="AS14" s="66">
        <v>0</v>
      </c>
      <c r="AT14" s="66">
        <v>0</v>
      </c>
      <c r="AU14" s="66">
        <v>0</v>
      </c>
      <c r="AV14" s="66">
        <v>0</v>
      </c>
      <c r="AW14" s="66">
        <v>0</v>
      </c>
      <c r="AX14" s="66">
        <v>0</v>
      </c>
      <c r="AY14" s="66">
        <v>0</v>
      </c>
      <c r="AZ14" s="66">
        <v>0</v>
      </c>
      <c r="BA14" s="66">
        <v>0</v>
      </c>
      <c r="BB14" s="66">
        <v>0</v>
      </c>
      <c r="BC14" s="66">
        <v>0</v>
      </c>
      <c r="BD14" s="66">
        <v>0</v>
      </c>
      <c r="BE14" s="66">
        <v>0</v>
      </c>
      <c r="BF14" s="66">
        <v>0</v>
      </c>
      <c r="BG14" s="66">
        <v>0</v>
      </c>
      <c r="BH14" s="66">
        <v>0</v>
      </c>
      <c r="BI14" s="66">
        <v>0</v>
      </c>
      <c r="BJ14" s="68">
        <v>0</v>
      </c>
      <c r="BK14" s="67">
        <v>0</v>
      </c>
      <c r="BL14" s="68">
        <f t="shared" si="1"/>
        <v>0.18</v>
      </c>
      <c r="BM14" s="68">
        <f t="shared" si="2"/>
        <v>0</v>
      </c>
      <c r="BN14" s="68">
        <v>0</v>
      </c>
      <c r="BO14" s="68">
        <v>0</v>
      </c>
      <c r="BP14" s="68">
        <v>0</v>
      </c>
      <c r="BQ14" s="68">
        <v>0</v>
      </c>
      <c r="BR14" s="68">
        <f t="shared" si="3"/>
        <v>0.24</v>
      </c>
      <c r="BS14" s="68">
        <v>0</v>
      </c>
      <c r="BT14" s="68">
        <v>0</v>
      </c>
      <c r="BU14" s="68">
        <v>0</v>
      </c>
      <c r="BV14" s="68">
        <v>0</v>
      </c>
      <c r="BW14" s="68">
        <f t="shared" si="4"/>
        <v>0</v>
      </c>
      <c r="BX14" s="68">
        <v>0</v>
      </c>
      <c r="BY14" s="68">
        <v>0</v>
      </c>
      <c r="BZ14" s="68">
        <v>0</v>
      </c>
      <c r="CA14" s="68">
        <v>0</v>
      </c>
      <c r="CB14" s="68">
        <v>0</v>
      </c>
      <c r="CC14" s="68">
        <v>0</v>
      </c>
      <c r="CD14" s="70">
        <v>0</v>
      </c>
      <c r="CE14" s="70">
        <v>0</v>
      </c>
      <c r="CF14" s="70">
        <v>0</v>
      </c>
      <c r="CG14" s="70">
        <v>0</v>
      </c>
      <c r="CH14" s="70">
        <v>0</v>
      </c>
      <c r="CI14" s="70">
        <v>0</v>
      </c>
      <c r="CJ14" s="70">
        <v>0</v>
      </c>
      <c r="CK14" s="70">
        <v>0</v>
      </c>
      <c r="CL14" s="70">
        <v>0</v>
      </c>
      <c r="CM14" s="70">
        <v>0</v>
      </c>
      <c r="CN14" s="70">
        <v>0</v>
      </c>
      <c r="CO14" s="70">
        <v>0</v>
      </c>
      <c r="CP14" s="70">
        <v>0</v>
      </c>
      <c r="CQ14" s="70">
        <v>0</v>
      </c>
      <c r="CR14" s="70">
        <v>0</v>
      </c>
      <c r="CS14" s="70">
        <v>0</v>
      </c>
      <c r="CT14" s="70">
        <v>0</v>
      </c>
      <c r="CU14" s="70">
        <v>0</v>
      </c>
      <c r="CV14" s="70">
        <v>0</v>
      </c>
    </row>
    <row r="15" spans="1:100" x14ac:dyDescent="0.25">
      <c r="A15" s="44" t="s">
        <v>76</v>
      </c>
      <c r="B15" s="49">
        <v>0</v>
      </c>
      <c r="C15" s="53">
        <v>0</v>
      </c>
      <c r="D15" s="53">
        <v>0</v>
      </c>
      <c r="E15" s="53">
        <v>0</v>
      </c>
      <c r="F15" s="53">
        <v>0</v>
      </c>
      <c r="G15" s="55">
        <v>0</v>
      </c>
      <c r="H15" s="55">
        <v>0</v>
      </c>
      <c r="I15" s="55">
        <v>0</v>
      </c>
      <c r="J15" s="53">
        <v>0</v>
      </c>
      <c r="K15" s="53">
        <v>0</v>
      </c>
      <c r="L15" s="53">
        <v>0</v>
      </c>
      <c r="M15" s="53">
        <v>0</v>
      </c>
      <c r="N15" s="55">
        <v>0</v>
      </c>
      <c r="O15" s="53">
        <v>0</v>
      </c>
      <c r="P15" s="53">
        <v>0</v>
      </c>
      <c r="Q15" s="53">
        <v>0</v>
      </c>
      <c r="R15" s="53">
        <v>0</v>
      </c>
      <c r="S15" s="55">
        <v>0</v>
      </c>
      <c r="T15" s="53">
        <v>0</v>
      </c>
      <c r="U15" s="65">
        <v>0</v>
      </c>
      <c r="V15" s="65">
        <v>0</v>
      </c>
      <c r="W15" s="65">
        <v>0</v>
      </c>
      <c r="X15" s="65">
        <v>0</v>
      </c>
      <c r="Y15" s="65">
        <v>0</v>
      </c>
      <c r="Z15" s="65">
        <f t="shared" si="0"/>
        <v>0.18</v>
      </c>
      <c r="AA15" s="65">
        <v>0</v>
      </c>
      <c r="AB15" s="65">
        <v>0</v>
      </c>
      <c r="AC15" s="65">
        <v>0</v>
      </c>
      <c r="AD15" s="65">
        <v>0</v>
      </c>
      <c r="AE15" s="65">
        <v>0</v>
      </c>
      <c r="AF15" s="65">
        <v>0</v>
      </c>
      <c r="AG15" s="65">
        <v>0</v>
      </c>
      <c r="AH15" s="65">
        <v>0</v>
      </c>
      <c r="AI15" s="65">
        <v>0</v>
      </c>
      <c r="AJ15" s="65">
        <v>0</v>
      </c>
      <c r="AK15" s="65">
        <v>0</v>
      </c>
      <c r="AL15" s="65">
        <v>0</v>
      </c>
      <c r="AM15" s="65">
        <v>0</v>
      </c>
      <c r="AN15" s="66">
        <v>0</v>
      </c>
      <c r="AO15" s="66">
        <v>0</v>
      </c>
      <c r="AP15" s="170">
        <f>(IF('Data Val'!$K$1 = weapons!A15,IF(char1WeapStacks=1, (8+(char1Refine-1)*2)%, IF(char1WeapStacks=2, (16+(char1Refine-1)*4)%, IF(char1WeapStacks=3, (28+(char1Refine-1)*7)%, 0)))))+(12+(char1Refine-1)*3)%</f>
        <v>0.18</v>
      </c>
      <c r="AQ15" s="66">
        <v>0</v>
      </c>
      <c r="AR15" s="66">
        <v>0</v>
      </c>
      <c r="AS15" s="66">
        <v>0</v>
      </c>
      <c r="AT15" s="66">
        <v>0</v>
      </c>
      <c r="AU15" s="66">
        <v>0</v>
      </c>
      <c r="AV15" s="66">
        <v>0</v>
      </c>
      <c r="AW15" s="66">
        <v>0</v>
      </c>
      <c r="AX15" s="66">
        <v>0</v>
      </c>
      <c r="AY15" s="66">
        <v>0</v>
      </c>
      <c r="AZ15" s="66">
        <v>0</v>
      </c>
      <c r="BA15" s="66">
        <v>0</v>
      </c>
      <c r="BB15" s="66">
        <v>0</v>
      </c>
      <c r="BC15" s="66">
        <v>0</v>
      </c>
      <c r="BD15" s="66">
        <v>0</v>
      </c>
      <c r="BE15" s="66">
        <v>0</v>
      </c>
      <c r="BF15" s="66">
        <v>0</v>
      </c>
      <c r="BG15" s="66">
        <v>0</v>
      </c>
      <c r="BH15" s="66">
        <v>0</v>
      </c>
      <c r="BI15" s="66">
        <v>0</v>
      </c>
      <c r="BJ15" s="68">
        <v>0</v>
      </c>
      <c r="BK15" s="67">
        <v>0</v>
      </c>
      <c r="BL15" s="68">
        <f t="shared" si="1"/>
        <v>0.18</v>
      </c>
      <c r="BM15" s="68">
        <f t="shared" si="2"/>
        <v>0</v>
      </c>
      <c r="BN15" s="68">
        <v>0</v>
      </c>
      <c r="BO15" s="68">
        <v>0</v>
      </c>
      <c r="BP15" s="68">
        <v>0</v>
      </c>
      <c r="BQ15" s="68">
        <v>0</v>
      </c>
      <c r="BR15" s="68">
        <f t="shared" si="3"/>
        <v>0.24</v>
      </c>
      <c r="BS15" s="68">
        <v>0</v>
      </c>
      <c r="BT15" s="68">
        <v>0</v>
      </c>
      <c r="BU15" s="68">
        <v>0</v>
      </c>
      <c r="BV15" s="68">
        <v>0</v>
      </c>
      <c r="BW15" s="68">
        <f t="shared" si="4"/>
        <v>0</v>
      </c>
      <c r="BX15" s="68">
        <v>0</v>
      </c>
      <c r="BY15" s="68">
        <v>0</v>
      </c>
      <c r="BZ15" s="68">
        <v>0</v>
      </c>
      <c r="CA15" s="68">
        <v>0</v>
      </c>
      <c r="CB15" s="68">
        <v>0</v>
      </c>
      <c r="CC15" s="68">
        <v>0</v>
      </c>
      <c r="CD15" s="70">
        <v>0</v>
      </c>
      <c r="CE15" s="70">
        <v>0</v>
      </c>
      <c r="CF15" s="70">
        <v>0</v>
      </c>
      <c r="CG15" s="70">
        <v>0</v>
      </c>
      <c r="CH15" s="70">
        <v>0</v>
      </c>
      <c r="CI15" s="70">
        <v>0</v>
      </c>
      <c r="CJ15" s="70">
        <v>0</v>
      </c>
      <c r="CK15" s="70">
        <v>0</v>
      </c>
      <c r="CL15" s="70">
        <v>0</v>
      </c>
      <c r="CM15" s="70">
        <v>0</v>
      </c>
      <c r="CN15" s="70">
        <v>0</v>
      </c>
      <c r="CO15" s="70">
        <v>0</v>
      </c>
      <c r="CP15" s="70">
        <v>0</v>
      </c>
      <c r="CQ15" s="70">
        <v>0</v>
      </c>
      <c r="CR15" s="70">
        <v>0</v>
      </c>
      <c r="CS15" s="70">
        <v>0</v>
      </c>
      <c r="CT15" s="70">
        <v>0</v>
      </c>
      <c r="CU15" s="70">
        <v>0</v>
      </c>
      <c r="CV15" s="70">
        <v>0</v>
      </c>
    </row>
    <row r="16" spans="1:100" x14ac:dyDescent="0.25">
      <c r="A16" s="44" t="s">
        <v>69</v>
      </c>
      <c r="B16" s="50">
        <v>0</v>
      </c>
      <c r="C16" s="54">
        <v>0</v>
      </c>
      <c r="D16" s="78">
        <v>0</v>
      </c>
      <c r="E16" s="54">
        <v>0</v>
      </c>
      <c r="F16" s="78">
        <v>0</v>
      </c>
      <c r="G16" s="54">
        <v>0</v>
      </c>
      <c r="H16" s="54">
        <v>0</v>
      </c>
      <c r="I16" s="54">
        <v>0</v>
      </c>
      <c r="J16" s="54">
        <v>0</v>
      </c>
      <c r="K16" s="54">
        <v>0</v>
      </c>
      <c r="L16" s="54">
        <v>0</v>
      </c>
      <c r="M16" s="54">
        <v>165</v>
      </c>
      <c r="N16" s="54">
        <v>0</v>
      </c>
      <c r="O16" s="54">
        <v>0</v>
      </c>
      <c r="P16" s="78">
        <v>0</v>
      </c>
      <c r="Q16" s="78">
        <v>0</v>
      </c>
      <c r="R16" s="78">
        <v>0</v>
      </c>
      <c r="S16" s="54">
        <v>0</v>
      </c>
      <c r="T16" s="54">
        <v>0</v>
      </c>
      <c r="U16" s="74">
        <v>0</v>
      </c>
      <c r="V16" s="74">
        <v>0</v>
      </c>
      <c r="W16" s="74">
        <v>0</v>
      </c>
      <c r="X16" s="74">
        <v>0</v>
      </c>
      <c r="Y16" s="74">
        <v>0</v>
      </c>
      <c r="Z16" s="65">
        <v>0</v>
      </c>
      <c r="AA16" s="74">
        <v>0</v>
      </c>
      <c r="AB16" s="74">
        <v>110</v>
      </c>
      <c r="AC16" s="74">
        <v>0</v>
      </c>
      <c r="AD16" s="74">
        <v>0</v>
      </c>
      <c r="AE16" s="74">
        <v>0</v>
      </c>
      <c r="AF16" s="74">
        <v>0</v>
      </c>
      <c r="AG16" s="74">
        <v>221</v>
      </c>
      <c r="AH16" s="74">
        <v>0</v>
      </c>
      <c r="AI16" s="74">
        <v>0</v>
      </c>
      <c r="AJ16" s="74">
        <v>0</v>
      </c>
      <c r="AK16" s="74">
        <v>0</v>
      </c>
      <c r="AL16" s="74">
        <v>0</v>
      </c>
      <c r="AM16" s="74">
        <v>0</v>
      </c>
      <c r="AN16" s="75">
        <v>0</v>
      </c>
      <c r="AO16" s="75">
        <v>198</v>
      </c>
      <c r="AP16" s="75">
        <v>0</v>
      </c>
      <c r="AQ16" s="75">
        <v>0</v>
      </c>
      <c r="AR16" s="75">
        <v>0</v>
      </c>
      <c r="AS16" s="75">
        <v>0</v>
      </c>
      <c r="AT16" s="75">
        <v>0</v>
      </c>
      <c r="AU16" s="75">
        <v>0</v>
      </c>
      <c r="AV16" s="75">
        <v>0</v>
      </c>
      <c r="AW16" s="75">
        <v>55</v>
      </c>
      <c r="AX16" s="75">
        <v>0</v>
      </c>
      <c r="AY16" s="75">
        <v>0</v>
      </c>
      <c r="AZ16" s="75">
        <v>0</v>
      </c>
      <c r="BA16" s="75">
        <v>0</v>
      </c>
      <c r="BB16" s="75">
        <v>165</v>
      </c>
      <c r="BC16" s="75">
        <v>0</v>
      </c>
      <c r="BD16" s="75">
        <v>0</v>
      </c>
      <c r="BE16" s="75">
        <v>0</v>
      </c>
      <c r="BF16" s="75">
        <v>0</v>
      </c>
      <c r="BG16" s="75">
        <v>0</v>
      </c>
      <c r="BH16" s="75">
        <v>141</v>
      </c>
      <c r="BI16" s="75">
        <v>0</v>
      </c>
      <c r="BJ16" s="63">
        <v>0</v>
      </c>
      <c r="BK16" s="67">
        <v>0</v>
      </c>
      <c r="BL16" s="63">
        <v>0</v>
      </c>
      <c r="BM16" s="63">
        <v>0</v>
      </c>
      <c r="BN16" s="63">
        <v>0</v>
      </c>
      <c r="BO16" s="63">
        <v>0</v>
      </c>
      <c r="BP16" s="63">
        <v>0</v>
      </c>
      <c r="BQ16" s="63">
        <v>0</v>
      </c>
      <c r="BR16" s="63">
        <f>IF(char1WeapToggle,80+(char1Refine-1)*20,0)</f>
        <v>120</v>
      </c>
      <c r="BS16" s="63">
        <v>0</v>
      </c>
      <c r="BT16" s="63">
        <v>221</v>
      </c>
      <c r="BU16" s="63">
        <v>0</v>
      </c>
      <c r="BV16" s="63">
        <v>0</v>
      </c>
      <c r="BW16" s="63">
        <v>110</v>
      </c>
      <c r="BX16" s="63">
        <v>0</v>
      </c>
      <c r="BY16" s="63">
        <v>0</v>
      </c>
      <c r="BZ16" s="63">
        <v>187</v>
      </c>
      <c r="CA16" s="63">
        <v>0</v>
      </c>
      <c r="CB16" s="63">
        <v>0</v>
      </c>
      <c r="CC16" s="63">
        <v>0</v>
      </c>
      <c r="CD16" s="76">
        <f>60+(char1Refine-1)*15+IF(char1WeapToggle, 100+(char1Refine-1)*25,0)</f>
        <v>240</v>
      </c>
      <c r="CE16" s="77">
        <v>0</v>
      </c>
      <c r="CF16" s="77">
        <v>0</v>
      </c>
      <c r="CG16" s="77">
        <v>0</v>
      </c>
      <c r="CH16" s="76">
        <v>0</v>
      </c>
      <c r="CI16" s="77">
        <v>0</v>
      </c>
      <c r="CJ16" s="77">
        <v>0</v>
      </c>
      <c r="CK16" s="77">
        <v>0</v>
      </c>
      <c r="CL16" s="77">
        <v>0</v>
      </c>
      <c r="CM16" s="77">
        <v>0</v>
      </c>
      <c r="CN16" s="76">
        <v>165</v>
      </c>
      <c r="CO16" s="77">
        <v>0</v>
      </c>
      <c r="CP16" s="77">
        <v>0</v>
      </c>
      <c r="CQ16" s="77">
        <v>0</v>
      </c>
      <c r="CR16" s="77">
        <v>165</v>
      </c>
      <c r="CS16" s="77">
        <v>0</v>
      </c>
      <c r="CT16" s="77">
        <v>0</v>
      </c>
      <c r="CU16" s="77">
        <v>0</v>
      </c>
      <c r="CV16" s="77">
        <v>0</v>
      </c>
    </row>
    <row r="17" spans="1:100" x14ac:dyDescent="0.25">
      <c r="A17" s="44" t="s">
        <v>452</v>
      </c>
      <c r="B17" s="49">
        <v>0</v>
      </c>
      <c r="C17" s="55">
        <v>0</v>
      </c>
      <c r="D17" s="53">
        <v>0</v>
      </c>
      <c r="E17" s="55">
        <v>0</v>
      </c>
      <c r="F17" s="53">
        <v>0</v>
      </c>
      <c r="G17" s="55">
        <v>0</v>
      </c>
      <c r="H17" s="55">
        <v>0</v>
      </c>
      <c r="I17" s="55">
        <v>0</v>
      </c>
      <c r="J17" s="55">
        <v>0</v>
      </c>
      <c r="K17" s="55">
        <v>0</v>
      </c>
      <c r="L17" s="55">
        <v>0</v>
      </c>
      <c r="M17" s="55">
        <v>0</v>
      </c>
      <c r="N17" s="55">
        <v>0</v>
      </c>
      <c r="O17" s="55">
        <v>0</v>
      </c>
      <c r="P17" s="53">
        <v>0</v>
      </c>
      <c r="Q17" s="53">
        <v>0</v>
      </c>
      <c r="R17" s="53">
        <v>0</v>
      </c>
      <c r="S17" s="55">
        <v>0</v>
      </c>
      <c r="T17" s="55">
        <v>0</v>
      </c>
      <c r="U17" s="65">
        <v>0</v>
      </c>
      <c r="V17" s="65">
        <v>0</v>
      </c>
      <c r="W17" s="65">
        <v>0</v>
      </c>
      <c r="X17" s="65">
        <v>0</v>
      </c>
      <c r="Y17" s="65">
        <v>0</v>
      </c>
      <c r="Z17" s="65">
        <v>0</v>
      </c>
      <c r="AA17" s="65">
        <v>0</v>
      </c>
      <c r="AB17" s="65">
        <v>0</v>
      </c>
      <c r="AC17" s="65">
        <v>0</v>
      </c>
      <c r="AD17" s="65">
        <v>0</v>
      </c>
      <c r="AE17" s="65">
        <v>0</v>
      </c>
      <c r="AF17" s="65">
        <v>0</v>
      </c>
      <c r="AG17" s="65">
        <v>0</v>
      </c>
      <c r="AH17" s="65">
        <v>0</v>
      </c>
      <c r="AI17" s="65">
        <v>0</v>
      </c>
      <c r="AJ17" s="65">
        <v>0</v>
      </c>
      <c r="AK17" s="65">
        <v>0</v>
      </c>
      <c r="AL17" s="65">
        <v>0</v>
      </c>
      <c r="AM17" s="65">
        <v>0</v>
      </c>
      <c r="AN17" s="66">
        <v>0</v>
      </c>
      <c r="AO17" s="66">
        <v>0</v>
      </c>
      <c r="AP17" s="66">
        <v>0</v>
      </c>
      <c r="AQ17" s="66">
        <v>0</v>
      </c>
      <c r="AR17" s="66">
        <v>0</v>
      </c>
      <c r="AS17" s="66">
        <v>0</v>
      </c>
      <c r="AT17" s="66">
        <v>0</v>
      </c>
      <c r="AU17" s="66">
        <v>0</v>
      </c>
      <c r="AV17" s="66">
        <v>0</v>
      </c>
      <c r="AW17" s="66">
        <v>0</v>
      </c>
      <c r="AX17" s="66">
        <v>0</v>
      </c>
      <c r="AY17" s="66">
        <v>0</v>
      </c>
      <c r="AZ17" s="66">
        <v>0</v>
      </c>
      <c r="BA17" s="66">
        <v>0</v>
      </c>
      <c r="BB17" s="66">
        <v>0</v>
      </c>
      <c r="BC17" s="66">
        <v>0</v>
      </c>
      <c r="BD17" s="66">
        <v>0</v>
      </c>
      <c r="BE17" s="66">
        <v>0</v>
      </c>
      <c r="BF17" s="66">
        <v>0</v>
      </c>
      <c r="BG17" s="66">
        <v>0</v>
      </c>
      <c r="BH17" s="66">
        <v>0</v>
      </c>
      <c r="BI17" s="66">
        <v>0</v>
      </c>
      <c r="BJ17" s="68">
        <v>0</v>
      </c>
      <c r="BK17" s="67">
        <v>0</v>
      </c>
      <c r="BL17" s="68">
        <v>0</v>
      </c>
      <c r="BM17" s="68">
        <v>0</v>
      </c>
      <c r="BN17" s="68">
        <v>0</v>
      </c>
      <c r="BO17" s="68">
        <v>0</v>
      </c>
      <c r="BP17" s="68">
        <v>0</v>
      </c>
      <c r="BQ17" s="68">
        <v>0</v>
      </c>
      <c r="BR17" s="68">
        <v>0</v>
      </c>
      <c r="BS17" s="68">
        <v>0</v>
      </c>
      <c r="BT17" s="68">
        <v>0</v>
      </c>
      <c r="BU17" s="68">
        <v>0</v>
      </c>
      <c r="BV17" s="68">
        <v>0</v>
      </c>
      <c r="BW17" s="68">
        <v>0</v>
      </c>
      <c r="BX17" s="68">
        <v>0</v>
      </c>
      <c r="BY17" s="68">
        <v>0</v>
      </c>
      <c r="BZ17" s="68">
        <v>0</v>
      </c>
      <c r="CA17" s="68">
        <v>0</v>
      </c>
      <c r="CB17" s="68">
        <v>0</v>
      </c>
      <c r="CC17" s="68">
        <v>0</v>
      </c>
      <c r="CD17" s="72">
        <v>0</v>
      </c>
      <c r="CE17" s="70">
        <v>0</v>
      </c>
      <c r="CF17" s="70">
        <v>0</v>
      </c>
      <c r="CG17" s="72">
        <v>0</v>
      </c>
      <c r="CH17" s="72">
        <v>0</v>
      </c>
      <c r="CI17" s="70">
        <v>0</v>
      </c>
      <c r="CJ17" s="72">
        <v>0</v>
      </c>
      <c r="CK17" s="70">
        <v>0</v>
      </c>
      <c r="CL17" s="72">
        <v>0</v>
      </c>
      <c r="CM17" s="72">
        <v>0</v>
      </c>
      <c r="CN17" s="72">
        <v>0</v>
      </c>
      <c r="CO17" s="70">
        <v>0</v>
      </c>
      <c r="CP17" s="70">
        <v>0</v>
      </c>
      <c r="CQ17" s="70">
        <v>0</v>
      </c>
      <c r="CR17" s="70">
        <v>0</v>
      </c>
      <c r="CS17" s="72">
        <v>0</v>
      </c>
      <c r="CT17" s="70">
        <v>0</v>
      </c>
      <c r="CU17" s="70">
        <v>0</v>
      </c>
      <c r="CV17" s="70">
        <v>0</v>
      </c>
    </row>
    <row r="18" spans="1:100" x14ac:dyDescent="0.25">
      <c r="A18" s="44" t="s">
        <v>422</v>
      </c>
      <c r="B18" s="49">
        <v>0</v>
      </c>
      <c r="C18" s="53">
        <v>0</v>
      </c>
      <c r="D18" s="53">
        <v>0</v>
      </c>
      <c r="E18" s="55">
        <v>0</v>
      </c>
      <c r="F18" s="53">
        <v>0</v>
      </c>
      <c r="G18" s="55">
        <v>0</v>
      </c>
      <c r="H18" s="55">
        <v>0</v>
      </c>
      <c r="I18" s="55">
        <v>0</v>
      </c>
      <c r="J18" s="55">
        <v>0</v>
      </c>
      <c r="K18" s="55">
        <v>0</v>
      </c>
      <c r="L18" s="55">
        <v>0</v>
      </c>
      <c r="M18" s="55">
        <v>0</v>
      </c>
      <c r="N18" s="55">
        <v>0</v>
      </c>
      <c r="O18" s="55">
        <v>0</v>
      </c>
      <c r="P18" s="53">
        <v>0</v>
      </c>
      <c r="Q18" s="53">
        <v>0</v>
      </c>
      <c r="R18" s="53">
        <v>0</v>
      </c>
      <c r="S18" s="55">
        <v>0</v>
      </c>
      <c r="T18" s="55">
        <v>0</v>
      </c>
      <c r="U18" s="65">
        <v>0</v>
      </c>
      <c r="V18" s="65">
        <v>0</v>
      </c>
      <c r="W18" s="65">
        <v>0</v>
      </c>
      <c r="X18" s="65">
        <v>0</v>
      </c>
      <c r="Y18" s="65">
        <v>0</v>
      </c>
      <c r="Z18" s="65">
        <v>0</v>
      </c>
      <c r="AA18" s="65">
        <v>0</v>
      </c>
      <c r="AB18" s="65">
        <v>0</v>
      </c>
      <c r="AC18" s="65">
        <v>0</v>
      </c>
      <c r="AD18" s="65">
        <v>0</v>
      </c>
      <c r="AE18" s="65">
        <v>0</v>
      </c>
      <c r="AF18" s="65">
        <v>0</v>
      </c>
      <c r="AG18" s="65">
        <v>0</v>
      </c>
      <c r="AH18" s="65">
        <v>0</v>
      </c>
      <c r="AI18" s="65">
        <v>0</v>
      </c>
      <c r="AJ18" s="65">
        <v>0</v>
      </c>
      <c r="AK18" s="65">
        <v>0</v>
      </c>
      <c r="AL18" s="65">
        <v>0</v>
      </c>
      <c r="AM18" s="65">
        <v>0</v>
      </c>
      <c r="AN18" s="66">
        <v>0</v>
      </c>
      <c r="AO18" s="66">
        <v>0</v>
      </c>
      <c r="AP18" s="66">
        <v>0</v>
      </c>
      <c r="AQ18" s="66">
        <v>0</v>
      </c>
      <c r="AR18" s="66">
        <v>0</v>
      </c>
      <c r="AS18" s="66">
        <v>0</v>
      </c>
      <c r="AT18" s="66">
        <v>0</v>
      </c>
      <c r="AU18" s="66">
        <v>0</v>
      </c>
      <c r="AV18" s="66">
        <v>0</v>
      </c>
      <c r="AW18" s="66">
        <v>0</v>
      </c>
      <c r="AX18" s="66">
        <v>0</v>
      </c>
      <c r="AY18" s="66">
        <v>0</v>
      </c>
      <c r="AZ18" s="66">
        <v>0</v>
      </c>
      <c r="BA18" s="66">
        <v>0</v>
      </c>
      <c r="BB18" s="66">
        <v>0</v>
      </c>
      <c r="BC18" s="66">
        <v>0</v>
      </c>
      <c r="BD18" s="66">
        <v>0</v>
      </c>
      <c r="BE18" s="66">
        <v>0</v>
      </c>
      <c r="BF18" s="66">
        <v>0</v>
      </c>
      <c r="BG18" s="66">
        <v>0</v>
      </c>
      <c r="BH18" s="66">
        <v>0</v>
      </c>
      <c r="BI18" s="66">
        <v>0</v>
      </c>
      <c r="BJ18" s="68">
        <v>0</v>
      </c>
      <c r="BK18" s="67">
        <v>0</v>
      </c>
      <c r="BL18" s="68">
        <v>0</v>
      </c>
      <c r="BM18" s="68">
        <v>0</v>
      </c>
      <c r="BN18" s="68">
        <f>(10+(char1Refine-1)*2.5)%</f>
        <v>0.15</v>
      </c>
      <c r="BO18" s="68">
        <v>0</v>
      </c>
      <c r="BP18" s="68">
        <v>0</v>
      </c>
      <c r="BQ18" s="68">
        <v>0</v>
      </c>
      <c r="BR18" s="68">
        <v>0</v>
      </c>
      <c r="BS18" s="68">
        <v>0</v>
      </c>
      <c r="BT18" s="68">
        <v>0</v>
      </c>
      <c r="BU18" s="68">
        <v>0</v>
      </c>
      <c r="BV18" s="68">
        <v>0</v>
      </c>
      <c r="BW18" s="68">
        <v>0</v>
      </c>
      <c r="BX18" s="68">
        <v>0</v>
      </c>
      <c r="BY18" s="68">
        <v>0</v>
      </c>
      <c r="BZ18" s="68">
        <v>0</v>
      </c>
      <c r="CA18" s="68">
        <v>0</v>
      </c>
      <c r="CB18" s="68">
        <v>0</v>
      </c>
      <c r="CC18" s="68">
        <v>0</v>
      </c>
      <c r="CD18" s="72">
        <v>0</v>
      </c>
      <c r="CE18" s="70">
        <v>0</v>
      </c>
      <c r="CF18" s="70">
        <v>0</v>
      </c>
      <c r="CG18" s="70">
        <v>0</v>
      </c>
      <c r="CH18" s="70">
        <v>0</v>
      </c>
      <c r="CI18" s="70">
        <v>0</v>
      </c>
      <c r="CJ18" s="72">
        <v>0</v>
      </c>
      <c r="CK18" s="70">
        <v>0</v>
      </c>
      <c r="CL18" s="72">
        <v>0</v>
      </c>
      <c r="CM18" s="72">
        <v>0</v>
      </c>
      <c r="CN18" s="72">
        <v>0</v>
      </c>
      <c r="CO18" s="70">
        <v>0</v>
      </c>
      <c r="CP18" s="70">
        <v>0</v>
      </c>
      <c r="CQ18" s="70">
        <v>0</v>
      </c>
      <c r="CR18" s="70">
        <v>0</v>
      </c>
      <c r="CS18" s="72">
        <v>0</v>
      </c>
      <c r="CT18" s="70">
        <v>0</v>
      </c>
      <c r="CU18" s="70">
        <v>0</v>
      </c>
      <c r="CV18" s="70">
        <v>0</v>
      </c>
    </row>
    <row r="19" spans="1:100" x14ac:dyDescent="0.25">
      <c r="A19" s="44" t="s">
        <v>77</v>
      </c>
      <c r="B19" s="49">
        <v>0</v>
      </c>
      <c r="C19" s="53">
        <v>0</v>
      </c>
      <c r="D19" s="53">
        <v>0</v>
      </c>
      <c r="E19" s="55">
        <v>0</v>
      </c>
      <c r="F19" s="53">
        <v>0</v>
      </c>
      <c r="G19" s="55">
        <v>0</v>
      </c>
      <c r="H19" s="55">
        <v>0</v>
      </c>
      <c r="I19" s="55">
        <v>0</v>
      </c>
      <c r="J19" s="55">
        <v>0</v>
      </c>
      <c r="K19" s="55">
        <v>0</v>
      </c>
      <c r="L19" s="55">
        <v>0</v>
      </c>
      <c r="M19" s="55">
        <v>0</v>
      </c>
      <c r="N19" s="55">
        <v>0</v>
      </c>
      <c r="O19" s="55">
        <v>0</v>
      </c>
      <c r="P19" s="53">
        <v>0</v>
      </c>
      <c r="Q19" s="53">
        <v>0</v>
      </c>
      <c r="R19" s="53">
        <v>0</v>
      </c>
      <c r="S19" s="55">
        <v>0</v>
      </c>
      <c r="T19" s="55">
        <v>0</v>
      </c>
      <c r="U19" s="65">
        <v>0</v>
      </c>
      <c r="V19" s="65">
        <v>0</v>
      </c>
      <c r="W19" s="65">
        <v>0</v>
      </c>
      <c r="X19" s="65">
        <v>0</v>
      </c>
      <c r="Y19" s="65">
        <v>0</v>
      </c>
      <c r="Z19" s="65">
        <v>0</v>
      </c>
      <c r="AA19" s="65">
        <v>0</v>
      </c>
      <c r="AB19" s="65">
        <v>0</v>
      </c>
      <c r="AC19" s="65">
        <v>0</v>
      </c>
      <c r="AD19" s="65">
        <v>0</v>
      </c>
      <c r="AE19" s="65">
        <f>((8+(char1Refine-1)*4)*char1WeapStacks)%</f>
        <v>0</v>
      </c>
      <c r="AF19" s="65">
        <v>0</v>
      </c>
      <c r="AG19" s="65">
        <v>0</v>
      </c>
      <c r="AH19" s="65">
        <v>0</v>
      </c>
      <c r="AI19" s="65">
        <v>0</v>
      </c>
      <c r="AJ19" s="65">
        <v>0</v>
      </c>
      <c r="AK19" s="65">
        <v>0</v>
      </c>
      <c r="AL19" s="65">
        <f>(24+(char1Refine-1)*6)%</f>
        <v>0.36</v>
      </c>
      <c r="AM19" s="65">
        <v>0</v>
      </c>
      <c r="AN19" s="66">
        <v>0</v>
      </c>
      <c r="AO19" s="66">
        <f>IF(char1WeapToggle, (16+(char1Refine-1)*4), 0)%</f>
        <v>0.24</v>
      </c>
      <c r="AP19" s="66">
        <v>0</v>
      </c>
      <c r="AQ19" s="66">
        <v>0</v>
      </c>
      <c r="AR19" s="66">
        <v>0</v>
      </c>
      <c r="AS19" s="66">
        <v>0</v>
      </c>
      <c r="AT19" s="66">
        <v>0</v>
      </c>
      <c r="AU19" s="66">
        <v>0</v>
      </c>
      <c r="AV19" s="66">
        <f>(20+(char1Refine-1)*5)%</f>
        <v>0.3</v>
      </c>
      <c r="AW19" s="66">
        <v>0</v>
      </c>
      <c r="AX19" s="66">
        <v>0</v>
      </c>
      <c r="AY19" s="66">
        <v>0</v>
      </c>
      <c r="AZ19" s="66">
        <v>0</v>
      </c>
      <c r="BA19" s="66">
        <v>0</v>
      </c>
      <c r="BB19" s="66">
        <v>0</v>
      </c>
      <c r="BC19" s="66">
        <v>0</v>
      </c>
      <c r="BD19" s="66">
        <v>0</v>
      </c>
      <c r="BE19" s="66">
        <v>0</v>
      </c>
      <c r="BF19" s="66">
        <v>0</v>
      </c>
      <c r="BG19" s="66">
        <v>0</v>
      </c>
      <c r="BH19" s="66">
        <v>0</v>
      </c>
      <c r="BI19" s="66">
        <v>0</v>
      </c>
      <c r="BJ19" s="68">
        <v>0</v>
      </c>
      <c r="BK19" s="67">
        <v>0</v>
      </c>
      <c r="BL19" s="68">
        <v>0</v>
      </c>
      <c r="BM19" s="68">
        <v>0</v>
      </c>
      <c r="BN19" s="68">
        <v>0</v>
      </c>
      <c r="BO19" s="68">
        <v>0</v>
      </c>
      <c r="BP19" s="68">
        <v>0</v>
      </c>
      <c r="BQ19" s="68">
        <v>0</v>
      </c>
      <c r="BR19" s="68">
        <v>0</v>
      </c>
      <c r="BS19" s="68">
        <f>IF(char1WeapToggle,20+(char1Refine-1)*5,0)%</f>
        <v>0.3</v>
      </c>
      <c r="BT19" s="68">
        <v>0</v>
      </c>
      <c r="BU19" s="68">
        <v>0</v>
      </c>
      <c r="BV19" s="68">
        <v>0</v>
      </c>
      <c r="BW19" s="68">
        <v>0</v>
      </c>
      <c r="BX19" s="68">
        <v>0</v>
      </c>
      <c r="BY19" s="68">
        <v>0</v>
      </c>
      <c r="BZ19" s="68">
        <v>0</v>
      </c>
      <c r="CA19" s="68">
        <v>0</v>
      </c>
      <c r="CB19" s="68">
        <v>0</v>
      </c>
      <c r="CC19" s="68">
        <v>0</v>
      </c>
      <c r="CD19" s="72">
        <v>0</v>
      </c>
      <c r="CE19" s="70">
        <v>0</v>
      </c>
      <c r="CF19" s="70">
        <v>0</v>
      </c>
      <c r="CG19" s="70">
        <f>(12+(char1Refine-1)*3)%+char1WeapStacks*(8+(char1Refine-1)*2)%</f>
        <v>0.18</v>
      </c>
      <c r="CH19" s="70">
        <f>(40+(char1Refine-1)*10)%</f>
        <v>0.6</v>
      </c>
      <c r="CI19" s="70">
        <v>0</v>
      </c>
      <c r="CJ19" s="72">
        <v>0</v>
      </c>
      <c r="CK19" s="70">
        <v>0</v>
      </c>
      <c r="CL19" s="72">
        <v>0</v>
      </c>
      <c r="CM19" s="72">
        <v>0</v>
      </c>
      <c r="CN19" s="72">
        <v>0</v>
      </c>
      <c r="CO19" s="70">
        <v>0</v>
      </c>
      <c r="CP19" s="70">
        <v>0</v>
      </c>
      <c r="CQ19" s="70">
        <f>IF(char1WeapToggle, 2*(16+(char1Refine-1)*4), 16+(char1Refine-1)*4)%</f>
        <v>0.48</v>
      </c>
      <c r="CR19" s="70">
        <v>0</v>
      </c>
      <c r="CS19" s="72">
        <v>0</v>
      </c>
      <c r="CT19" s="70">
        <f>IF(char1WeapToggle, 20+(char1Refine-1)*5, 0)%</f>
        <v>0.3</v>
      </c>
      <c r="CU19" s="70">
        <f>IF(char1WeapToggle, (36+(char1Refine-1)*6)%, -10%)</f>
        <v>0.48</v>
      </c>
      <c r="CV19" s="70">
        <f>IF(char1WeapStacks=1, (12+(char1Refine-1)*3)%, IF(char1WeapStacks=2, (24+(char1Refine-1)*6)%, IF(char1WeapStacks=3, (40+(char1Refine-1)*10)%, 0)))</f>
        <v>0</v>
      </c>
    </row>
    <row r="20" spans="1:100" x14ac:dyDescent="0.25">
      <c r="A20" s="44" t="s">
        <v>78</v>
      </c>
      <c r="B20" s="49">
        <v>0</v>
      </c>
      <c r="C20" s="53">
        <v>0</v>
      </c>
      <c r="D20" s="53">
        <v>0</v>
      </c>
      <c r="E20" s="55">
        <v>0</v>
      </c>
      <c r="F20" s="53">
        <v>0</v>
      </c>
      <c r="G20" s="55">
        <v>0</v>
      </c>
      <c r="H20" s="55">
        <v>0</v>
      </c>
      <c r="I20" s="55">
        <v>0</v>
      </c>
      <c r="J20" s="55">
        <v>0</v>
      </c>
      <c r="K20" s="55">
        <v>0</v>
      </c>
      <c r="L20" s="55">
        <v>0</v>
      </c>
      <c r="M20" s="55">
        <v>0</v>
      </c>
      <c r="N20" s="55">
        <v>0</v>
      </c>
      <c r="O20" s="55">
        <v>0</v>
      </c>
      <c r="P20" s="53">
        <v>0</v>
      </c>
      <c r="Q20" s="53">
        <v>0</v>
      </c>
      <c r="R20" s="53">
        <v>0</v>
      </c>
      <c r="S20" s="55">
        <v>0</v>
      </c>
      <c r="T20" s="55">
        <v>0</v>
      </c>
      <c r="U20" s="65">
        <v>0</v>
      </c>
      <c r="V20" s="65">
        <v>0</v>
      </c>
      <c r="W20" s="65">
        <v>0</v>
      </c>
      <c r="X20" s="65">
        <v>0</v>
      </c>
      <c r="Y20" s="65">
        <v>0</v>
      </c>
      <c r="Z20" s="65">
        <v>0</v>
      </c>
      <c r="AA20" s="65">
        <v>0</v>
      </c>
      <c r="AB20" s="65">
        <v>0</v>
      </c>
      <c r="AC20" s="65">
        <v>0</v>
      </c>
      <c r="AD20" s="65">
        <v>0</v>
      </c>
      <c r="AE20" s="65">
        <f>((8+(char1Refine-1)*4)*char1WeapStacks)%</f>
        <v>0</v>
      </c>
      <c r="AF20" s="65">
        <v>0</v>
      </c>
      <c r="AG20" s="65">
        <v>0</v>
      </c>
      <c r="AH20" s="65">
        <v>0</v>
      </c>
      <c r="AI20" s="65">
        <v>0</v>
      </c>
      <c r="AJ20" s="65">
        <v>0</v>
      </c>
      <c r="AK20" s="65">
        <v>0</v>
      </c>
      <c r="AL20" s="65">
        <v>0</v>
      </c>
      <c r="AM20" s="65">
        <v>0</v>
      </c>
      <c r="AN20" s="66">
        <v>0</v>
      </c>
      <c r="AO20" s="66">
        <f>IF(char1WeapToggle, (16+(char1Refine-1)*4), 0)%</f>
        <v>0.24</v>
      </c>
      <c r="AP20" s="66">
        <v>0</v>
      </c>
      <c r="AQ20" s="66">
        <v>0</v>
      </c>
      <c r="AR20" s="66">
        <v>0</v>
      </c>
      <c r="AS20" s="66">
        <v>0</v>
      </c>
      <c r="AT20" s="66">
        <v>0</v>
      </c>
      <c r="AU20" s="66">
        <v>0</v>
      </c>
      <c r="AV20" s="66">
        <f>(20+(char1Refine-1)*5)%</f>
        <v>0.3</v>
      </c>
      <c r="AW20" s="66">
        <v>0</v>
      </c>
      <c r="AX20" s="66">
        <v>0</v>
      </c>
      <c r="AY20" s="66">
        <v>0</v>
      </c>
      <c r="AZ20" s="66">
        <v>0</v>
      </c>
      <c r="BA20" s="66">
        <v>0</v>
      </c>
      <c r="BB20" s="66">
        <v>0</v>
      </c>
      <c r="BC20" s="66">
        <v>0</v>
      </c>
      <c r="BD20" s="66">
        <v>0</v>
      </c>
      <c r="BE20" s="66">
        <v>0</v>
      </c>
      <c r="BF20" s="66">
        <v>0</v>
      </c>
      <c r="BG20" s="66">
        <v>0</v>
      </c>
      <c r="BH20" s="66">
        <v>0</v>
      </c>
      <c r="BI20" s="66">
        <v>0</v>
      </c>
      <c r="BJ20" s="68">
        <v>0</v>
      </c>
      <c r="BK20" s="67">
        <v>0</v>
      </c>
      <c r="BL20" s="68">
        <v>0</v>
      </c>
      <c r="BM20" s="68">
        <v>0</v>
      </c>
      <c r="BN20" s="68">
        <v>0</v>
      </c>
      <c r="BO20" s="68">
        <v>0</v>
      </c>
      <c r="BP20" s="68">
        <v>0</v>
      </c>
      <c r="BQ20" s="68">
        <v>0</v>
      </c>
      <c r="BR20" s="68">
        <v>0</v>
      </c>
      <c r="BS20" s="68">
        <v>0</v>
      </c>
      <c r="BT20" s="68">
        <v>0</v>
      </c>
      <c r="BU20" s="68">
        <v>0</v>
      </c>
      <c r="BV20" s="68">
        <v>0</v>
      </c>
      <c r="BW20" s="68">
        <v>0</v>
      </c>
      <c r="BX20" s="68">
        <v>0</v>
      </c>
      <c r="BY20" s="68">
        <f>IF(char1WeapToggle,16+(char1Refine-1)*4,0)%</f>
        <v>0.24</v>
      </c>
      <c r="BZ20" s="68">
        <v>0</v>
      </c>
      <c r="CA20" s="68">
        <v>0</v>
      </c>
      <c r="CB20" s="68">
        <v>0</v>
      </c>
      <c r="CC20" s="68">
        <v>0</v>
      </c>
      <c r="CD20" s="72">
        <v>0</v>
      </c>
      <c r="CE20" s="70">
        <v>0</v>
      </c>
      <c r="CF20" s="70">
        <v>0</v>
      </c>
      <c r="CG20" s="70">
        <f>(12+(char1Refine-1)*3)%+char1WeapStacks*(8+(char1Refine-1)*2)%</f>
        <v>0.18</v>
      </c>
      <c r="CH20" s="70">
        <f>-10%</f>
        <v>-0.1</v>
      </c>
      <c r="CI20" s="70">
        <v>0</v>
      </c>
      <c r="CJ20" s="72">
        <v>0</v>
      </c>
      <c r="CK20" s="70">
        <v>0</v>
      </c>
      <c r="CL20" s="72">
        <v>0</v>
      </c>
      <c r="CM20" s="72">
        <v>0</v>
      </c>
      <c r="CN20" s="72">
        <v>0</v>
      </c>
      <c r="CO20" s="70">
        <v>0</v>
      </c>
      <c r="CP20" s="70">
        <v>0</v>
      </c>
      <c r="CQ20" s="70">
        <f>IF(char1WeapToggle, 2*(12+(char1Refine-1)*3), (12+(char1Refine-1)*3))%</f>
        <v>0.36</v>
      </c>
      <c r="CR20" s="70">
        <v>0</v>
      </c>
      <c r="CS20" s="72">
        <v>0</v>
      </c>
      <c r="CT20" s="70">
        <v>0</v>
      </c>
      <c r="CU20" s="70">
        <f>IF(char1WeapToggle, (36+(char1Refine-1)*6)%, -10%)</f>
        <v>0.48</v>
      </c>
      <c r="CV20" s="70">
        <v>0</v>
      </c>
    </row>
    <row r="21" spans="1:100" x14ac:dyDescent="0.25">
      <c r="A21" s="44" t="s">
        <v>79</v>
      </c>
      <c r="B21" s="49">
        <v>0</v>
      </c>
      <c r="C21" s="55">
        <v>0</v>
      </c>
      <c r="D21" s="53">
        <v>0</v>
      </c>
      <c r="E21" s="55">
        <v>0</v>
      </c>
      <c r="F21" s="53">
        <v>0</v>
      </c>
      <c r="G21" s="55">
        <v>0</v>
      </c>
      <c r="H21" s="55">
        <v>0</v>
      </c>
      <c r="I21" s="55">
        <v>0</v>
      </c>
      <c r="J21" s="55">
        <v>0</v>
      </c>
      <c r="K21" s="55">
        <v>0</v>
      </c>
      <c r="L21" s="55">
        <v>0</v>
      </c>
      <c r="M21" s="55">
        <v>0</v>
      </c>
      <c r="N21" s="55">
        <v>0</v>
      </c>
      <c r="O21" s="55">
        <v>0</v>
      </c>
      <c r="P21" s="53">
        <v>0</v>
      </c>
      <c r="Q21" s="53">
        <v>0</v>
      </c>
      <c r="R21" s="53">
        <v>0</v>
      </c>
      <c r="S21" s="55">
        <v>0</v>
      </c>
      <c r="T21" s="55">
        <v>0</v>
      </c>
      <c r="U21" s="65">
        <v>0</v>
      </c>
      <c r="V21" s="65">
        <v>0</v>
      </c>
      <c r="W21" s="65">
        <v>0</v>
      </c>
      <c r="X21" s="65">
        <v>0</v>
      </c>
      <c r="Y21" s="65">
        <v>0</v>
      </c>
      <c r="Z21" s="65">
        <v>0</v>
      </c>
      <c r="AA21" s="65">
        <v>0</v>
      </c>
      <c r="AB21" s="65">
        <v>0</v>
      </c>
      <c r="AC21" s="65">
        <v>0</v>
      </c>
      <c r="AD21" s="65">
        <v>0</v>
      </c>
      <c r="AE21" s="65">
        <v>0</v>
      </c>
      <c r="AF21" s="65">
        <v>0</v>
      </c>
      <c r="AG21" s="65">
        <v>0</v>
      </c>
      <c r="AH21" s="65">
        <v>0</v>
      </c>
      <c r="AI21" s="65">
        <v>0</v>
      </c>
      <c r="AJ21" s="65">
        <v>0</v>
      </c>
      <c r="AK21" s="65">
        <v>0</v>
      </c>
      <c r="AL21" s="65">
        <v>0</v>
      </c>
      <c r="AM21" s="65">
        <v>0</v>
      </c>
      <c r="AN21" s="66">
        <v>0</v>
      </c>
      <c r="AO21" s="66">
        <f>IF(char1WeapToggle, (16+(char1Refine-1)*4), 0)%</f>
        <v>0.24</v>
      </c>
      <c r="AP21" s="66">
        <v>0</v>
      </c>
      <c r="AQ21" s="66">
        <v>0</v>
      </c>
      <c r="AR21" s="66">
        <v>0</v>
      </c>
      <c r="AS21" s="66">
        <v>0</v>
      </c>
      <c r="AT21" s="66">
        <v>0</v>
      </c>
      <c r="AU21" s="66">
        <v>0</v>
      </c>
      <c r="AV21" s="66">
        <v>0</v>
      </c>
      <c r="AW21" s="66">
        <v>0</v>
      </c>
      <c r="AX21" s="66">
        <v>0</v>
      </c>
      <c r="AY21" s="66">
        <v>0</v>
      </c>
      <c r="AZ21" s="66">
        <v>0</v>
      </c>
      <c r="BA21" s="66">
        <v>0</v>
      </c>
      <c r="BB21" s="66">
        <v>0</v>
      </c>
      <c r="BC21" s="66">
        <v>0</v>
      </c>
      <c r="BD21" s="66">
        <v>0</v>
      </c>
      <c r="BE21" s="66">
        <v>0</v>
      </c>
      <c r="BF21" s="66">
        <v>0</v>
      </c>
      <c r="BG21" s="66">
        <v>0</v>
      </c>
      <c r="BH21" s="66">
        <v>0</v>
      </c>
      <c r="BI21" s="66">
        <v>0</v>
      </c>
      <c r="BJ21" s="68">
        <v>0</v>
      </c>
      <c r="BK21" s="67">
        <v>0</v>
      </c>
      <c r="BL21" s="68">
        <v>0</v>
      </c>
      <c r="BM21" s="68">
        <v>0</v>
      </c>
      <c r="BN21" s="68">
        <v>0</v>
      </c>
      <c r="BO21" s="68">
        <v>0</v>
      </c>
      <c r="BP21" s="68">
        <v>0</v>
      </c>
      <c r="BQ21" s="68">
        <v>0</v>
      </c>
      <c r="BR21" s="68">
        <v>0</v>
      </c>
      <c r="BS21" s="68">
        <v>0</v>
      </c>
      <c r="BT21" s="68">
        <v>0</v>
      </c>
      <c r="BU21" s="68">
        <v>0</v>
      </c>
      <c r="BV21" s="68">
        <v>0</v>
      </c>
      <c r="BW21" s="68">
        <v>0</v>
      </c>
      <c r="BX21" s="68">
        <v>0</v>
      </c>
      <c r="BY21" s="68">
        <v>0</v>
      </c>
      <c r="BZ21" s="68">
        <v>0</v>
      </c>
      <c r="CA21" s="68">
        <v>0</v>
      </c>
      <c r="CB21" s="68">
        <v>0</v>
      </c>
      <c r="CC21" s="68">
        <v>0</v>
      </c>
      <c r="CD21" s="72">
        <v>0</v>
      </c>
      <c r="CE21" s="70">
        <v>0</v>
      </c>
      <c r="CF21" s="70">
        <v>0</v>
      </c>
      <c r="CG21" s="70">
        <v>0</v>
      </c>
      <c r="CH21" s="70">
        <v>0</v>
      </c>
      <c r="CI21" s="70">
        <v>0</v>
      </c>
      <c r="CJ21" s="72">
        <v>0</v>
      </c>
      <c r="CK21" s="70">
        <v>0</v>
      </c>
      <c r="CL21" s="72">
        <v>0</v>
      </c>
      <c r="CM21" s="72">
        <v>0</v>
      </c>
      <c r="CN21" s="72">
        <v>0</v>
      </c>
      <c r="CO21" s="70">
        <v>0</v>
      </c>
      <c r="CP21" s="70">
        <v>0</v>
      </c>
      <c r="CQ21" s="70">
        <v>0</v>
      </c>
      <c r="CR21" s="70">
        <v>0</v>
      </c>
      <c r="CS21" s="72">
        <v>0</v>
      </c>
      <c r="CT21" s="70">
        <v>0</v>
      </c>
      <c r="CU21" s="70">
        <v>0</v>
      </c>
      <c r="CV21" s="70">
        <v>0</v>
      </c>
    </row>
    <row r="22" spans="1:100" x14ac:dyDescent="0.25">
      <c r="A22" s="44" t="s">
        <v>80</v>
      </c>
      <c r="B22" s="49">
        <v>0</v>
      </c>
      <c r="C22" s="53">
        <v>0</v>
      </c>
      <c r="D22" s="53">
        <v>0</v>
      </c>
      <c r="E22" s="55">
        <v>0</v>
      </c>
      <c r="F22" s="53">
        <v>0</v>
      </c>
      <c r="G22" s="55">
        <v>0</v>
      </c>
      <c r="H22" s="55">
        <v>0</v>
      </c>
      <c r="I22" s="55">
        <v>0</v>
      </c>
      <c r="J22" s="55">
        <v>0</v>
      </c>
      <c r="K22" s="55">
        <v>0</v>
      </c>
      <c r="L22" s="55">
        <v>0</v>
      </c>
      <c r="M22" s="55">
        <v>0</v>
      </c>
      <c r="N22" s="55">
        <v>0</v>
      </c>
      <c r="O22" s="55">
        <v>0</v>
      </c>
      <c r="P22" s="53">
        <v>0</v>
      </c>
      <c r="Q22" s="53">
        <v>0</v>
      </c>
      <c r="R22" s="53">
        <v>0</v>
      </c>
      <c r="S22" s="55">
        <v>0</v>
      </c>
      <c r="T22" s="55">
        <v>0</v>
      </c>
      <c r="U22" s="65">
        <v>0</v>
      </c>
      <c r="V22" s="65">
        <v>0</v>
      </c>
      <c r="W22" s="65">
        <v>0</v>
      </c>
      <c r="X22" s="65">
        <v>0</v>
      </c>
      <c r="Y22" s="65">
        <v>0</v>
      </c>
      <c r="Z22" s="65">
        <v>0</v>
      </c>
      <c r="AA22" s="65">
        <v>0</v>
      </c>
      <c r="AB22" s="65">
        <f>(6+(char1Refine-1)*1.5)%</f>
        <v>0.09</v>
      </c>
      <c r="AC22" s="65">
        <v>0</v>
      </c>
      <c r="AD22" s="65">
        <v>0</v>
      </c>
      <c r="AE22" s="65">
        <v>0</v>
      </c>
      <c r="AF22" s="65">
        <v>0</v>
      </c>
      <c r="AG22" s="65">
        <v>0</v>
      </c>
      <c r="AH22" s="65">
        <v>0</v>
      </c>
      <c r="AI22" s="65">
        <v>0</v>
      </c>
      <c r="AJ22" s="65">
        <v>0</v>
      </c>
      <c r="AK22" s="65">
        <v>0</v>
      </c>
      <c r="AL22" s="65">
        <v>0</v>
      </c>
      <c r="AM22" s="65">
        <v>0</v>
      </c>
      <c r="AN22" s="66">
        <v>0</v>
      </c>
      <c r="AO22" s="66">
        <v>0</v>
      </c>
      <c r="AP22" s="66">
        <v>0</v>
      </c>
      <c r="AQ22" s="66">
        <v>0</v>
      </c>
      <c r="AR22" s="66">
        <v>0</v>
      </c>
      <c r="AS22" s="66">
        <v>0</v>
      </c>
      <c r="AT22" s="66">
        <f>(16+(char1Refine-1)*4)%</f>
        <v>0.24</v>
      </c>
      <c r="AU22" s="66">
        <v>0</v>
      </c>
      <c r="AV22" s="66">
        <v>0</v>
      </c>
      <c r="AW22" s="66">
        <v>0</v>
      </c>
      <c r="AX22" s="66">
        <v>0</v>
      </c>
      <c r="AY22" s="66">
        <v>0</v>
      </c>
      <c r="AZ22" s="66">
        <v>0</v>
      </c>
      <c r="BA22" s="66">
        <v>0</v>
      </c>
      <c r="BB22" s="66">
        <v>0</v>
      </c>
      <c r="BC22" s="66">
        <v>0</v>
      </c>
      <c r="BD22" s="66">
        <v>0</v>
      </c>
      <c r="BE22" s="66">
        <v>0</v>
      </c>
      <c r="BF22" s="66">
        <v>0</v>
      </c>
      <c r="BG22" s="66">
        <v>0</v>
      </c>
      <c r="BH22" s="66">
        <v>0</v>
      </c>
      <c r="BI22" s="66">
        <v>0</v>
      </c>
      <c r="BJ22" s="68">
        <v>0</v>
      </c>
      <c r="BK22" s="67">
        <v>0</v>
      </c>
      <c r="BL22" s="68">
        <v>0</v>
      </c>
      <c r="BM22" s="68">
        <v>0</v>
      </c>
      <c r="BN22" s="68">
        <v>0</v>
      </c>
      <c r="BO22" s="68">
        <v>0</v>
      </c>
      <c r="BP22" s="68">
        <v>0</v>
      </c>
      <c r="BQ22" s="68">
        <v>0</v>
      </c>
      <c r="BR22" s="68">
        <v>0</v>
      </c>
      <c r="BS22" s="68">
        <f>IF(char1WeapToggle, 20+(char1Refine-1)*5,0)%</f>
        <v>0.3</v>
      </c>
      <c r="BT22" s="68">
        <v>0</v>
      </c>
      <c r="BU22" s="68">
        <v>0</v>
      </c>
      <c r="BV22" s="68">
        <v>0</v>
      </c>
      <c r="BW22" s="68">
        <v>0</v>
      </c>
      <c r="BX22" s="68">
        <v>0</v>
      </c>
      <c r="BY22" s="68">
        <v>0</v>
      </c>
      <c r="BZ22" s="68">
        <v>0</v>
      </c>
      <c r="CA22" s="68">
        <v>0</v>
      </c>
      <c r="CB22" s="68">
        <v>0</v>
      </c>
      <c r="CC22" s="68">
        <v>0</v>
      </c>
      <c r="CD22" s="72">
        <v>0</v>
      </c>
      <c r="CE22" s="70">
        <f>12%+(char1Refine-1)*3%</f>
        <v>0.18</v>
      </c>
      <c r="CF22" s="70">
        <v>0</v>
      </c>
      <c r="CG22" s="70">
        <v>0</v>
      </c>
      <c r="CH22" s="70">
        <v>0</v>
      </c>
      <c r="CI22" s="70">
        <v>0</v>
      </c>
      <c r="CJ22" s="72">
        <v>0</v>
      </c>
      <c r="CK22" s="70">
        <v>0</v>
      </c>
      <c r="CL22" s="72">
        <v>0</v>
      </c>
      <c r="CM22" s="72">
        <v>0</v>
      </c>
      <c r="CN22" s="72">
        <v>0</v>
      </c>
      <c r="CO22" s="70">
        <v>0</v>
      </c>
      <c r="CP22" s="70">
        <v>0</v>
      </c>
      <c r="CQ22" s="70">
        <v>0</v>
      </c>
      <c r="CR22" s="70">
        <f>(24+(char1Refine-1)*6)%</f>
        <v>0.36</v>
      </c>
      <c r="CS22" s="72">
        <v>0</v>
      </c>
      <c r="CT22" s="70">
        <f>IF(char1WeapToggle, 20+(char1Refine-1)*5, 0)%</f>
        <v>0.3</v>
      </c>
      <c r="CU22" s="70">
        <v>0</v>
      </c>
      <c r="CV22" s="70">
        <v>0</v>
      </c>
    </row>
    <row r="23" spans="1:100" x14ac:dyDescent="0.25">
      <c r="A23" s="44" t="s">
        <v>81</v>
      </c>
      <c r="B23" s="49">
        <v>0</v>
      </c>
      <c r="C23" s="53">
        <v>0</v>
      </c>
      <c r="D23" s="53">
        <v>0</v>
      </c>
      <c r="E23" s="55">
        <v>0</v>
      </c>
      <c r="F23" s="53">
        <v>0</v>
      </c>
      <c r="G23" s="55">
        <v>0</v>
      </c>
      <c r="H23" s="55">
        <v>0</v>
      </c>
      <c r="I23" s="55">
        <v>0</v>
      </c>
      <c r="J23" s="55">
        <v>0</v>
      </c>
      <c r="K23" s="55">
        <v>0</v>
      </c>
      <c r="L23" s="55">
        <v>0</v>
      </c>
      <c r="M23" s="55">
        <v>0</v>
      </c>
      <c r="N23" s="55">
        <v>0</v>
      </c>
      <c r="O23" s="55">
        <v>0</v>
      </c>
      <c r="P23" s="53">
        <f>(12+(char1Refine-1)*3)%</f>
        <v>0.18</v>
      </c>
      <c r="Q23" s="53">
        <v>0</v>
      </c>
      <c r="R23" s="53">
        <v>0</v>
      </c>
      <c r="S23" s="55">
        <f>MIN((40+(char1Refine-1)*10)%, char1WeapStacks*(0.12%+(char1Refine-1)*0.03%))</f>
        <v>0</v>
      </c>
      <c r="T23" s="55">
        <v>0</v>
      </c>
      <c r="U23" s="65">
        <v>0</v>
      </c>
      <c r="V23" s="65">
        <v>0</v>
      </c>
      <c r="W23" s="65">
        <v>0</v>
      </c>
      <c r="X23" s="65">
        <v>0</v>
      </c>
      <c r="Y23" s="65">
        <v>0</v>
      </c>
      <c r="Z23" s="65">
        <v>0</v>
      </c>
      <c r="AA23" s="65">
        <f>(16+(char1Refine-1)*4)%</f>
        <v>0.24</v>
      </c>
      <c r="AB23" s="65">
        <v>0</v>
      </c>
      <c r="AC23" s="65">
        <v>0</v>
      </c>
      <c r="AD23" s="65">
        <v>0</v>
      </c>
      <c r="AE23" s="65">
        <v>0</v>
      </c>
      <c r="AF23" s="65">
        <v>0</v>
      </c>
      <c r="AG23" s="65">
        <v>0</v>
      </c>
      <c r="AH23" s="65">
        <f>MIN((40+(char1Refine-1)*10)%, (0.12+(char1Refine-1)*0.03)*char1WeapStacks%)</f>
        <v>0</v>
      </c>
      <c r="AI23" s="65">
        <v>0</v>
      </c>
      <c r="AJ23" s="65">
        <v>0</v>
      </c>
      <c r="AK23" s="65">
        <v>0</v>
      </c>
      <c r="AL23" s="65">
        <v>0</v>
      </c>
      <c r="AM23" s="65">
        <v>0</v>
      </c>
      <c r="AN23" s="66">
        <v>0</v>
      </c>
      <c r="AO23" s="66">
        <v>0</v>
      </c>
      <c r="AP23" s="66">
        <v>0</v>
      </c>
      <c r="AQ23" s="66">
        <v>0</v>
      </c>
      <c r="AR23" s="66">
        <v>0</v>
      </c>
      <c r="AS23" s="66">
        <v>0</v>
      </c>
      <c r="AT23" s="66">
        <v>0</v>
      </c>
      <c r="AU23" s="66">
        <v>0</v>
      </c>
      <c r="AV23" s="66">
        <v>0</v>
      </c>
      <c r="AW23" s="66">
        <v>0</v>
      </c>
      <c r="AX23" s="66">
        <v>0</v>
      </c>
      <c r="AY23" s="66">
        <v>0</v>
      </c>
      <c r="AZ23" s="66">
        <v>0</v>
      </c>
      <c r="BA23" s="66">
        <v>0</v>
      </c>
      <c r="BB23" s="66">
        <v>0</v>
      </c>
      <c r="BC23" s="66">
        <v>0</v>
      </c>
      <c r="BD23" s="66">
        <v>0</v>
      </c>
      <c r="BE23" s="66">
        <v>0</v>
      </c>
      <c r="BF23" s="66">
        <v>0</v>
      </c>
      <c r="BG23" s="66">
        <v>0</v>
      </c>
      <c r="BH23" s="66">
        <v>0</v>
      </c>
      <c r="BI23" s="66">
        <v>0</v>
      </c>
      <c r="BJ23" s="68">
        <v>0</v>
      </c>
      <c r="BK23" s="67">
        <v>0</v>
      </c>
      <c r="BL23" s="68">
        <v>0</v>
      </c>
      <c r="BM23" s="68">
        <v>0</v>
      </c>
      <c r="BN23" s="68">
        <v>0</v>
      </c>
      <c r="BO23" s="68">
        <v>0</v>
      </c>
      <c r="BP23" s="68">
        <v>0</v>
      </c>
      <c r="BQ23" s="68">
        <v>0</v>
      </c>
      <c r="BR23" s="68">
        <v>0</v>
      </c>
      <c r="BS23" s="68">
        <f>IF(char1WeapToggle, 20+(char1Refine-1)*5,0)%</f>
        <v>0.3</v>
      </c>
      <c r="BT23" s="68">
        <v>0</v>
      </c>
      <c r="BU23" s="68">
        <v>0</v>
      </c>
      <c r="BV23" s="68">
        <v>0</v>
      </c>
      <c r="BW23" s="68">
        <v>0</v>
      </c>
      <c r="BX23" s="68">
        <v>0</v>
      </c>
      <c r="BY23" s="68">
        <v>0</v>
      </c>
      <c r="BZ23" s="68">
        <v>0</v>
      </c>
      <c r="CA23" s="68">
        <v>0</v>
      </c>
      <c r="CB23" s="68">
        <v>0</v>
      </c>
      <c r="CC23" s="68">
        <v>0</v>
      </c>
      <c r="CD23" s="72">
        <v>0</v>
      </c>
      <c r="CE23" s="70">
        <f>12%+(char1Refine-1)*3%</f>
        <v>0.18</v>
      </c>
      <c r="CF23" s="70">
        <v>0</v>
      </c>
      <c r="CG23" s="70">
        <v>0</v>
      </c>
      <c r="CH23" s="70">
        <v>0</v>
      </c>
      <c r="CI23" s="70">
        <v>0</v>
      </c>
      <c r="CJ23" s="72">
        <v>0</v>
      </c>
      <c r="CK23" s="70">
        <v>0</v>
      </c>
      <c r="CL23" s="72">
        <v>0</v>
      </c>
      <c r="CM23" s="72">
        <v>0</v>
      </c>
      <c r="CN23" s="72">
        <v>0</v>
      </c>
      <c r="CO23" s="70">
        <v>0</v>
      </c>
      <c r="CP23" s="70">
        <v>0</v>
      </c>
      <c r="CQ23" s="70">
        <v>0</v>
      </c>
      <c r="CR23" s="70">
        <f>(24+(char1Refine-1)*6)%</f>
        <v>0.36</v>
      </c>
      <c r="CS23" s="72">
        <v>0</v>
      </c>
      <c r="CT23" s="70">
        <v>0</v>
      </c>
      <c r="CU23" s="70">
        <v>0</v>
      </c>
      <c r="CV23" s="70">
        <v>0</v>
      </c>
    </row>
    <row r="24" spans="1:100" x14ac:dyDescent="0.25">
      <c r="A24" t="s">
        <v>82</v>
      </c>
      <c r="B24" s="49">
        <f>(8+(char1Refine-1)*2)%</f>
        <v>0.12</v>
      </c>
      <c r="C24" s="53">
        <v>0</v>
      </c>
      <c r="D24" s="53">
        <v>0</v>
      </c>
      <c r="E24" s="55">
        <v>0</v>
      </c>
      <c r="F24" s="53">
        <v>0</v>
      </c>
      <c r="G24" s="55">
        <f>char1WeapStacks*(6+(char1Refine-1))%</f>
        <v>0</v>
      </c>
      <c r="H24" s="55">
        <f>IF(char1WeapToggle, 12+(char1Refine-1)*3)%</f>
        <v>0.18</v>
      </c>
      <c r="I24" s="55">
        <v>0</v>
      </c>
      <c r="J24" s="55">
        <v>0</v>
      </c>
      <c r="K24" s="55">
        <v>0</v>
      </c>
      <c r="L24" s="55">
        <v>0</v>
      </c>
      <c r="M24" s="55">
        <f>IF(char1WeapToggle, 20+(char1Refine-1)*4, 0)%</f>
        <v>0.28000000000000003</v>
      </c>
      <c r="N24" s="55">
        <v>0</v>
      </c>
      <c r="O24" s="55">
        <v>0</v>
      </c>
      <c r="P24" s="53">
        <v>0</v>
      </c>
      <c r="Q24" s="53">
        <v>0</v>
      </c>
      <c r="R24" s="53">
        <v>0</v>
      </c>
      <c r="S24" s="55">
        <v>0</v>
      </c>
      <c r="T24" s="55">
        <v>0</v>
      </c>
      <c r="U24" s="65">
        <v>0</v>
      </c>
      <c r="V24" s="65">
        <v>0</v>
      </c>
      <c r="W24" s="65">
        <f>IF(char1WeapStacks&gt;=7,(12+(char1Refine-1)*3),0)%</f>
        <v>0</v>
      </c>
      <c r="X24" s="65">
        <v>0</v>
      </c>
      <c r="Y24" s="65">
        <v>0</v>
      </c>
      <c r="Z24" s="65">
        <v>0</v>
      </c>
      <c r="AA24" s="65">
        <v>0</v>
      </c>
      <c r="AB24" s="65">
        <v>0</v>
      </c>
      <c r="AC24" s="65">
        <v>0</v>
      </c>
      <c r="AD24" s="65">
        <v>0</v>
      </c>
      <c r="AE24" s="65">
        <v>0</v>
      </c>
      <c r="AF24" s="65">
        <v>0</v>
      </c>
      <c r="AG24" s="65">
        <f>IF(char1WeapToggle,(20+(char1Refine-1)*4),0)%</f>
        <v>0.28000000000000003</v>
      </c>
      <c r="AH24" s="65">
        <v>0</v>
      </c>
      <c r="AI24" s="65">
        <v>0</v>
      </c>
      <c r="AJ24" s="65">
        <v>0</v>
      </c>
      <c r="AK24" s="65">
        <v>0</v>
      </c>
      <c r="AL24" s="65">
        <v>0</v>
      </c>
      <c r="AM24" s="65">
        <f>IF(char1WeapToggle,(40+(char1Refine-1)*10),0)%</f>
        <v>0.6</v>
      </c>
      <c r="AN24" s="66">
        <v>0</v>
      </c>
      <c r="AO24" s="66">
        <f>(10+(char1Refine-1)*2.5)%</f>
        <v>0.15</v>
      </c>
      <c r="AP24" s="66">
        <v>0</v>
      </c>
      <c r="AQ24" s="66">
        <v>0</v>
      </c>
      <c r="AR24" s="66">
        <v>0</v>
      </c>
      <c r="AS24" s="66">
        <v>0</v>
      </c>
      <c r="AT24" s="66">
        <v>0</v>
      </c>
      <c r="AU24" s="66">
        <v>0</v>
      </c>
      <c r="AV24" s="66">
        <v>0</v>
      </c>
      <c r="AW24" s="66">
        <f>IF(char1WeapToggle,(12+(char1Refine-1)*3),0)%</f>
        <v>0.18</v>
      </c>
      <c r="AX24" s="66">
        <v>0</v>
      </c>
      <c r="AY24" s="66">
        <v>0</v>
      </c>
      <c r="AZ24" s="66">
        <v>0</v>
      </c>
      <c r="BA24" s="66">
        <f>IF(char1WeapToggle,(20+(char1Refine-1)*4),0)%</f>
        <v>0.28000000000000003</v>
      </c>
      <c r="BB24" s="66">
        <f>(char1WeapStacks*(6+(char1Refine-1)*1.5))%</f>
        <v>0</v>
      </c>
      <c r="BC24" s="66">
        <v>0</v>
      </c>
      <c r="BD24" s="66">
        <v>0</v>
      </c>
      <c r="BE24" s="66">
        <v>0</v>
      </c>
      <c r="BF24" s="66">
        <v>0</v>
      </c>
      <c r="BG24" s="66">
        <v>0</v>
      </c>
      <c r="BH24" s="66">
        <v>0</v>
      </c>
      <c r="BI24" s="66">
        <v>0</v>
      </c>
      <c r="BJ24" s="68">
        <v>0</v>
      </c>
      <c r="BK24" s="67">
        <f>IF(char1WeapStacks=3, (3)*(12%+(char1Refine-1)*3%)+(12%+(char1Refine-1)*3%),(char1WeapStacks)*(12%+(char1Refine-1)*3%))</f>
        <v>0</v>
      </c>
      <c r="BL24" s="68">
        <v>0</v>
      </c>
      <c r="BM24" s="68">
        <v>0</v>
      </c>
      <c r="BN24" s="68">
        <v>0</v>
      </c>
      <c r="BO24" s="68">
        <v>0</v>
      </c>
      <c r="BP24" s="68">
        <v>0</v>
      </c>
      <c r="BQ24" s="68">
        <v>0</v>
      </c>
      <c r="BR24" s="68">
        <v>0</v>
      </c>
      <c r="BS24" s="68">
        <v>0</v>
      </c>
      <c r="BT24" s="68">
        <v>0</v>
      </c>
      <c r="BU24" s="68">
        <v>0</v>
      </c>
      <c r="BV24" s="68">
        <v>0</v>
      </c>
      <c r="BW24" s="68">
        <v>0</v>
      </c>
      <c r="BX24" s="68">
        <v>0</v>
      </c>
      <c r="BY24" s="68">
        <v>0</v>
      </c>
      <c r="BZ24" s="68">
        <f>IF(char1WeapToggle, 12+(char1Refine-1)*3, 0)%</f>
        <v>0.18</v>
      </c>
      <c r="CA24" s="68">
        <v>0</v>
      </c>
      <c r="CB24" s="68">
        <f>IF(char1WeapToggle, 10+(char1Refine-1)*2.5,0)%</f>
        <v>0.15</v>
      </c>
      <c r="CC24" s="68">
        <v>0</v>
      </c>
      <c r="CD24" s="72">
        <v>0</v>
      </c>
      <c r="CE24" s="70">
        <v>0</v>
      </c>
      <c r="CF24" s="70">
        <v>0</v>
      </c>
      <c r="CG24" s="70">
        <v>0</v>
      </c>
      <c r="CH24" s="70">
        <v>0</v>
      </c>
      <c r="CI24" s="70">
        <v>0</v>
      </c>
      <c r="CJ24" s="72">
        <v>0</v>
      </c>
      <c r="CK24" s="70">
        <v>0</v>
      </c>
      <c r="CL24" s="72">
        <v>0</v>
      </c>
      <c r="CM24" s="72">
        <v>0</v>
      </c>
      <c r="CN24" s="72">
        <v>0</v>
      </c>
      <c r="CO24" s="70">
        <f>IF(char1WeapToggle, 20%+(char1Refine-1)*4%, 0%)</f>
        <v>0.28000000000000003</v>
      </c>
      <c r="CP24" s="70">
        <v>0</v>
      </c>
      <c r="CQ24" s="70">
        <v>0</v>
      </c>
      <c r="CR24" s="70">
        <v>0</v>
      </c>
      <c r="CS24" s="72">
        <v>0</v>
      </c>
      <c r="CT24" s="70">
        <v>0</v>
      </c>
      <c r="CU24" s="70">
        <v>0</v>
      </c>
      <c r="CV24" s="70">
        <v>0</v>
      </c>
    </row>
    <row r="25" spans="1:100" x14ac:dyDescent="0.25">
      <c r="A25" t="s">
        <v>453</v>
      </c>
      <c r="B25" s="49">
        <v>0</v>
      </c>
      <c r="C25" s="55">
        <f>(20+(char1Refine-1)*5)%</f>
        <v>0.3</v>
      </c>
      <c r="D25" s="53">
        <v>0</v>
      </c>
      <c r="E25" s="55">
        <v>0</v>
      </c>
      <c r="F25" s="53">
        <v>0</v>
      </c>
      <c r="G25" s="55">
        <v>0</v>
      </c>
      <c r="H25" s="55">
        <v>0</v>
      </c>
      <c r="I25" s="55">
        <v>0</v>
      </c>
      <c r="J25" s="55">
        <v>0</v>
      </c>
      <c r="K25" s="55">
        <v>0</v>
      </c>
      <c r="L25" s="55">
        <v>0</v>
      </c>
      <c r="M25" s="55">
        <v>0</v>
      </c>
      <c r="N25" s="55">
        <v>0</v>
      </c>
      <c r="O25" s="55">
        <v>0</v>
      </c>
      <c r="P25" s="53">
        <v>0</v>
      </c>
      <c r="Q25" s="53">
        <v>0</v>
      </c>
      <c r="R25" s="53">
        <v>0</v>
      </c>
      <c r="S25" s="55">
        <v>0</v>
      </c>
      <c r="T25" s="55">
        <v>0</v>
      </c>
      <c r="U25" s="65">
        <v>0</v>
      </c>
      <c r="V25" s="65">
        <v>0</v>
      </c>
      <c r="W25" s="65">
        <v>0</v>
      </c>
      <c r="X25" s="65">
        <f>(20+5*(char1Refine-1))%</f>
        <v>0.3</v>
      </c>
      <c r="Y25" s="65">
        <v>0</v>
      </c>
      <c r="Z25" s="65">
        <v>0</v>
      </c>
      <c r="AA25" s="65">
        <v>0</v>
      </c>
      <c r="AB25" s="65">
        <v>0</v>
      </c>
      <c r="AC25" s="65">
        <v>0</v>
      </c>
      <c r="AD25" s="65">
        <v>0</v>
      </c>
      <c r="AE25" s="65">
        <v>0</v>
      </c>
      <c r="AF25" s="65">
        <v>0</v>
      </c>
      <c r="AG25" s="65">
        <v>0</v>
      </c>
      <c r="AH25" s="65">
        <v>0</v>
      </c>
      <c r="AI25" s="65">
        <v>0</v>
      </c>
      <c r="AJ25" s="65">
        <v>0</v>
      </c>
      <c r="AK25" s="65">
        <v>0</v>
      </c>
      <c r="AL25" s="65">
        <v>0</v>
      </c>
      <c r="AM25" s="65">
        <v>0</v>
      </c>
      <c r="AN25" s="66">
        <v>0</v>
      </c>
      <c r="AO25" s="66">
        <v>0</v>
      </c>
      <c r="AP25" s="66">
        <v>0</v>
      </c>
      <c r="AQ25" s="66">
        <f>(20+5*(char1Refine-1))%</f>
        <v>0.3</v>
      </c>
      <c r="AR25" s="66">
        <v>0</v>
      </c>
      <c r="AS25" s="66">
        <v>0</v>
      </c>
      <c r="AT25" s="66">
        <v>0</v>
      </c>
      <c r="AU25" s="66">
        <v>0</v>
      </c>
      <c r="AV25" s="66">
        <v>0</v>
      </c>
      <c r="AW25" s="66">
        <v>0</v>
      </c>
      <c r="AX25" s="66">
        <v>0</v>
      </c>
      <c r="AY25" s="66">
        <v>0</v>
      </c>
      <c r="AZ25" s="66">
        <v>0</v>
      </c>
      <c r="BA25" s="66">
        <v>0</v>
      </c>
      <c r="BB25" s="66">
        <v>0</v>
      </c>
      <c r="BC25" s="66">
        <v>0</v>
      </c>
      <c r="BD25" s="66">
        <v>0</v>
      </c>
      <c r="BE25" s="66">
        <v>0</v>
      </c>
      <c r="BF25" s="66">
        <v>0</v>
      </c>
      <c r="BG25" s="66">
        <v>0</v>
      </c>
      <c r="BH25" s="66">
        <v>0</v>
      </c>
      <c r="BI25" s="66">
        <v>0</v>
      </c>
      <c r="BJ25" s="68">
        <f>(20+5*(char1Refine-1))%</f>
        <v>0.3</v>
      </c>
      <c r="BK25" s="67">
        <v>0</v>
      </c>
      <c r="BL25" s="68">
        <v>0</v>
      </c>
      <c r="BM25" s="68">
        <v>0</v>
      </c>
      <c r="BN25" s="68">
        <v>0</v>
      </c>
      <c r="BO25" s="68">
        <v>0</v>
      </c>
      <c r="BP25" s="68">
        <v>0</v>
      </c>
      <c r="BQ25" s="68">
        <v>0</v>
      </c>
      <c r="BR25" s="68">
        <v>0</v>
      </c>
      <c r="BS25" s="68">
        <v>0</v>
      </c>
      <c r="BT25" s="68">
        <v>0</v>
      </c>
      <c r="BU25" s="68">
        <v>0</v>
      </c>
      <c r="BV25" s="68">
        <v>0</v>
      </c>
      <c r="BW25" s="68">
        <v>0</v>
      </c>
      <c r="BX25" s="68">
        <v>0</v>
      </c>
      <c r="BY25" s="68">
        <v>0</v>
      </c>
      <c r="BZ25" s="68">
        <v>0</v>
      </c>
      <c r="CA25" s="68">
        <v>0</v>
      </c>
      <c r="CB25" s="68">
        <v>0</v>
      </c>
      <c r="CC25" s="68">
        <v>0</v>
      </c>
      <c r="CD25" s="72">
        <v>0</v>
      </c>
      <c r="CE25" s="70">
        <v>0</v>
      </c>
      <c r="CF25" s="70">
        <v>0</v>
      </c>
      <c r="CG25" s="70">
        <v>0</v>
      </c>
      <c r="CH25" s="70">
        <v>0</v>
      </c>
      <c r="CI25" s="70">
        <v>0</v>
      </c>
      <c r="CJ25" s="72">
        <v>0</v>
      </c>
      <c r="CK25" s="70">
        <v>0</v>
      </c>
      <c r="CL25" s="72">
        <v>0</v>
      </c>
      <c r="CM25" s="72">
        <v>0</v>
      </c>
      <c r="CN25" s="72">
        <v>0</v>
      </c>
      <c r="CO25" s="70">
        <v>0</v>
      </c>
      <c r="CP25" s="70">
        <v>0</v>
      </c>
      <c r="CQ25" s="70">
        <v>0</v>
      </c>
      <c r="CR25" s="70">
        <v>0</v>
      </c>
      <c r="CS25" s="72">
        <v>0</v>
      </c>
      <c r="CT25" s="70">
        <v>0</v>
      </c>
      <c r="CU25" s="70">
        <v>0</v>
      </c>
      <c r="CV25" s="70">
        <v>0</v>
      </c>
    </row>
    <row r="26" spans="1:100" x14ac:dyDescent="0.25">
      <c r="A26" t="s">
        <v>83</v>
      </c>
      <c r="B26" s="49">
        <v>0</v>
      </c>
      <c r="C26" s="55">
        <v>0</v>
      </c>
      <c r="D26" s="53">
        <v>0</v>
      </c>
      <c r="E26" s="55">
        <v>0</v>
      </c>
      <c r="F26" s="53">
        <v>0</v>
      </c>
      <c r="G26" s="55">
        <v>0</v>
      </c>
      <c r="H26" s="55">
        <v>0</v>
      </c>
      <c r="I26" s="55">
        <v>0</v>
      </c>
      <c r="J26" s="55">
        <v>0</v>
      </c>
      <c r="K26" s="55">
        <v>0</v>
      </c>
      <c r="L26" s="55">
        <v>0</v>
      </c>
      <c r="M26" s="55">
        <v>0</v>
      </c>
      <c r="N26" s="55">
        <v>0</v>
      </c>
      <c r="O26" s="55">
        <v>0</v>
      </c>
      <c r="P26" s="53">
        <v>0</v>
      </c>
      <c r="Q26" s="53">
        <v>0</v>
      </c>
      <c r="R26" s="53">
        <v>0</v>
      </c>
      <c r="S26" s="55">
        <v>0</v>
      </c>
      <c r="T26" s="55">
        <v>0</v>
      </c>
      <c r="U26" s="65">
        <v>0</v>
      </c>
      <c r="V26" s="65">
        <v>0</v>
      </c>
      <c r="W26" s="65">
        <v>0</v>
      </c>
      <c r="X26" s="65">
        <v>0</v>
      </c>
      <c r="Y26" s="65">
        <v>0</v>
      </c>
      <c r="Z26" s="65">
        <v>0</v>
      </c>
      <c r="AA26" s="65">
        <v>0</v>
      </c>
      <c r="AB26" s="65">
        <v>0</v>
      </c>
      <c r="AC26" s="65">
        <v>0</v>
      </c>
      <c r="AD26" s="65">
        <v>0</v>
      </c>
      <c r="AE26" s="65">
        <v>0</v>
      </c>
      <c r="AF26" s="65">
        <v>0</v>
      </c>
      <c r="AG26" s="65">
        <v>0</v>
      </c>
      <c r="AH26" s="65">
        <v>0</v>
      </c>
      <c r="AI26" s="65">
        <v>0</v>
      </c>
      <c r="AJ26" s="65">
        <v>0</v>
      </c>
      <c r="AK26" s="65">
        <v>0</v>
      </c>
      <c r="AL26" s="65">
        <v>0</v>
      </c>
      <c r="AM26" s="65">
        <v>0</v>
      </c>
      <c r="AN26" s="66">
        <v>0</v>
      </c>
      <c r="AO26" s="66">
        <v>0</v>
      </c>
      <c r="AP26" s="66">
        <v>0</v>
      </c>
      <c r="AQ26" s="66">
        <v>0</v>
      </c>
      <c r="AR26" s="66">
        <v>0</v>
      </c>
      <c r="AS26" s="66">
        <v>0</v>
      </c>
      <c r="AT26" s="66">
        <v>0</v>
      </c>
      <c r="AU26" s="66">
        <v>0</v>
      </c>
      <c r="AV26" s="66">
        <v>0</v>
      </c>
      <c r="AW26" s="66">
        <v>0</v>
      </c>
      <c r="AX26" s="66">
        <v>0</v>
      </c>
      <c r="AY26" s="66">
        <v>0</v>
      </c>
      <c r="AZ26" s="66">
        <v>0</v>
      </c>
      <c r="BA26" s="66">
        <v>0</v>
      </c>
      <c r="BB26" s="66">
        <v>0</v>
      </c>
      <c r="BC26" s="66">
        <v>0</v>
      </c>
      <c r="BD26" s="66">
        <v>0</v>
      </c>
      <c r="BE26" s="66">
        <v>0</v>
      </c>
      <c r="BF26" s="66">
        <v>0</v>
      </c>
      <c r="BG26" s="66">
        <v>0</v>
      </c>
      <c r="BH26" s="66">
        <v>0</v>
      </c>
      <c r="BI26" s="66">
        <v>0</v>
      </c>
      <c r="BJ26" s="68">
        <v>0</v>
      </c>
      <c r="BK26" s="67">
        <v>0</v>
      </c>
      <c r="BL26" s="68">
        <v>0</v>
      </c>
      <c r="BM26" s="68">
        <v>0</v>
      </c>
      <c r="BN26" s="68">
        <v>0</v>
      </c>
      <c r="BO26" s="68">
        <v>0</v>
      </c>
      <c r="BP26" s="68">
        <v>0</v>
      </c>
      <c r="BQ26" s="68">
        <v>0</v>
      </c>
      <c r="BR26" s="68">
        <v>0</v>
      </c>
      <c r="BS26" s="68">
        <v>0</v>
      </c>
      <c r="BT26" s="68">
        <v>0</v>
      </c>
      <c r="BU26" s="68">
        <v>0</v>
      </c>
      <c r="BV26" s="68">
        <v>0</v>
      </c>
      <c r="BW26" s="68">
        <v>0</v>
      </c>
      <c r="BX26" s="68">
        <v>0</v>
      </c>
      <c r="BY26" s="68">
        <v>0</v>
      </c>
      <c r="BZ26" s="68">
        <v>0</v>
      </c>
      <c r="CA26" s="68">
        <v>0</v>
      </c>
      <c r="CB26" s="68">
        <v>0</v>
      </c>
      <c r="CC26" s="68">
        <v>0</v>
      </c>
      <c r="CD26" s="72">
        <v>0</v>
      </c>
      <c r="CE26" s="70">
        <v>0</v>
      </c>
      <c r="CF26" s="70">
        <v>0</v>
      </c>
      <c r="CG26" s="70">
        <v>0</v>
      </c>
      <c r="CH26" s="70">
        <v>0</v>
      </c>
      <c r="CI26" s="70">
        <v>0</v>
      </c>
      <c r="CJ26" s="72">
        <v>0</v>
      </c>
      <c r="CK26" s="70">
        <v>0</v>
      </c>
      <c r="CL26" s="72">
        <v>0</v>
      </c>
      <c r="CM26" s="72">
        <v>0</v>
      </c>
      <c r="CN26" s="72">
        <v>0</v>
      </c>
      <c r="CO26" s="70">
        <v>0</v>
      </c>
      <c r="CP26" s="70">
        <v>0</v>
      </c>
      <c r="CQ26" s="70">
        <v>0</v>
      </c>
      <c r="CR26" s="70">
        <v>0</v>
      </c>
      <c r="CS26" s="72">
        <v>0</v>
      </c>
      <c r="CT26" s="70">
        <v>0</v>
      </c>
      <c r="CU26" s="70">
        <v>0</v>
      </c>
      <c r="CV26" s="70">
        <v>0</v>
      </c>
    </row>
    <row r="27" spans="1:100" x14ac:dyDescent="0.25">
      <c r="A27" t="s">
        <v>84</v>
      </c>
      <c r="B27" s="49">
        <v>0</v>
      </c>
      <c r="C27" s="55">
        <v>0</v>
      </c>
      <c r="D27" s="53">
        <v>0</v>
      </c>
      <c r="E27" s="55">
        <v>0</v>
      </c>
      <c r="F27" s="53">
        <v>0</v>
      </c>
      <c r="G27" s="55">
        <v>0</v>
      </c>
      <c r="H27" s="55">
        <v>0</v>
      </c>
      <c r="I27" s="55">
        <v>0</v>
      </c>
      <c r="J27" s="55">
        <v>0</v>
      </c>
      <c r="K27" s="55">
        <v>0</v>
      </c>
      <c r="L27" s="55">
        <v>0</v>
      </c>
      <c r="M27" s="55">
        <v>0</v>
      </c>
      <c r="N27" s="55">
        <v>0</v>
      </c>
      <c r="O27" s="55">
        <v>0</v>
      </c>
      <c r="P27" s="53">
        <v>0</v>
      </c>
      <c r="Q27" s="53">
        <v>0</v>
      </c>
      <c r="R27" s="53">
        <v>0</v>
      </c>
      <c r="S27" s="55">
        <v>0</v>
      </c>
      <c r="T27" s="55">
        <v>0</v>
      </c>
      <c r="U27" s="65">
        <v>0</v>
      </c>
      <c r="V27" s="65">
        <v>0</v>
      </c>
      <c r="W27" s="65">
        <v>0</v>
      </c>
      <c r="X27" s="65">
        <v>0</v>
      </c>
      <c r="Y27" s="65">
        <v>0</v>
      </c>
      <c r="Z27" s="65">
        <v>0</v>
      </c>
      <c r="AA27" s="65">
        <v>0</v>
      </c>
      <c r="AB27" s="65">
        <v>0</v>
      </c>
      <c r="AC27" s="65">
        <v>0</v>
      </c>
      <c r="AD27" s="65">
        <v>0</v>
      </c>
      <c r="AE27" s="65">
        <v>0</v>
      </c>
      <c r="AF27" s="65">
        <v>0</v>
      </c>
      <c r="AG27" s="65">
        <v>0</v>
      </c>
      <c r="AH27" s="65">
        <v>0</v>
      </c>
      <c r="AI27" s="65">
        <v>0</v>
      </c>
      <c r="AJ27" s="65">
        <v>0</v>
      </c>
      <c r="AK27" s="65">
        <v>0</v>
      </c>
      <c r="AL27" s="65">
        <v>0</v>
      </c>
      <c r="AM27" s="65">
        <v>0</v>
      </c>
      <c r="AN27" s="66">
        <v>0</v>
      </c>
      <c r="AO27" s="66">
        <v>0</v>
      </c>
      <c r="AP27" s="66">
        <v>0</v>
      </c>
      <c r="AQ27" s="66">
        <v>0</v>
      </c>
      <c r="AR27" s="66">
        <v>0</v>
      </c>
      <c r="AS27" s="66">
        <v>0</v>
      </c>
      <c r="AT27" s="66">
        <v>0</v>
      </c>
      <c r="AU27" s="66">
        <v>0</v>
      </c>
      <c r="AV27" s="66">
        <v>0</v>
      </c>
      <c r="AW27" s="66">
        <v>0</v>
      </c>
      <c r="AX27" s="66">
        <v>0</v>
      </c>
      <c r="AY27" s="66">
        <v>0</v>
      </c>
      <c r="AZ27" s="66">
        <v>0</v>
      </c>
      <c r="BA27" s="66">
        <v>0</v>
      </c>
      <c r="BB27" s="66">
        <v>0</v>
      </c>
      <c r="BC27" s="66">
        <v>0</v>
      </c>
      <c r="BD27" s="66">
        <v>0</v>
      </c>
      <c r="BE27" s="66">
        <v>0</v>
      </c>
      <c r="BF27" s="66">
        <v>0</v>
      </c>
      <c r="BG27" s="66">
        <v>0</v>
      </c>
      <c r="BH27" s="66">
        <v>0</v>
      </c>
      <c r="BI27" s="66">
        <v>0</v>
      </c>
      <c r="BJ27" s="68">
        <v>0</v>
      </c>
      <c r="BK27" s="67">
        <v>0</v>
      </c>
      <c r="BL27" s="68">
        <v>0</v>
      </c>
      <c r="BM27" s="68">
        <v>0</v>
      </c>
      <c r="BN27" s="68">
        <v>0</v>
      </c>
      <c r="BO27" s="68">
        <v>0</v>
      </c>
      <c r="BP27" s="68">
        <v>0</v>
      </c>
      <c r="BQ27" s="68">
        <v>0</v>
      </c>
      <c r="BR27" s="68">
        <v>0</v>
      </c>
      <c r="BS27" s="68">
        <v>0</v>
      </c>
      <c r="BT27" s="68">
        <v>0</v>
      </c>
      <c r="BU27" s="68">
        <v>0</v>
      </c>
      <c r="BV27" s="68">
        <v>0</v>
      </c>
      <c r="BW27" s="68">
        <v>0</v>
      </c>
      <c r="BX27" s="68">
        <v>0</v>
      </c>
      <c r="BY27" s="68">
        <v>0</v>
      </c>
      <c r="BZ27" s="68">
        <v>0</v>
      </c>
      <c r="CA27" s="68">
        <v>0</v>
      </c>
      <c r="CB27" s="68">
        <v>0</v>
      </c>
      <c r="CC27" s="68">
        <v>0</v>
      </c>
      <c r="CD27" s="72">
        <v>0</v>
      </c>
      <c r="CE27" s="70">
        <v>0</v>
      </c>
      <c r="CF27" s="70">
        <v>0</v>
      </c>
      <c r="CG27" s="70">
        <v>0</v>
      </c>
      <c r="CH27" s="70">
        <v>0</v>
      </c>
      <c r="CI27" s="70">
        <v>0</v>
      </c>
      <c r="CJ27" s="72">
        <v>0</v>
      </c>
      <c r="CK27" s="70">
        <v>0</v>
      </c>
      <c r="CL27" s="72">
        <v>0</v>
      </c>
      <c r="CM27" s="72">
        <v>0</v>
      </c>
      <c r="CN27" s="72">
        <v>0</v>
      </c>
      <c r="CO27" s="70">
        <v>0</v>
      </c>
      <c r="CP27" s="70">
        <v>0</v>
      </c>
      <c r="CQ27" s="70">
        <v>0</v>
      </c>
      <c r="CR27" s="70">
        <v>0</v>
      </c>
      <c r="CS27" s="72">
        <v>0</v>
      </c>
      <c r="CT27" s="70">
        <v>0</v>
      </c>
      <c r="CU27" s="70">
        <v>0</v>
      </c>
      <c r="CV27" s="70">
        <v>0</v>
      </c>
    </row>
    <row r="28" spans="1:100" x14ac:dyDescent="0.25">
      <c r="A28" t="s">
        <v>85</v>
      </c>
      <c r="B28" s="49">
        <v>0</v>
      </c>
      <c r="C28" s="55">
        <v>0</v>
      </c>
      <c r="D28" s="53">
        <v>0</v>
      </c>
      <c r="E28" s="55">
        <v>0</v>
      </c>
      <c r="F28" s="53">
        <v>0</v>
      </c>
      <c r="G28" s="55">
        <v>0</v>
      </c>
      <c r="H28" s="55">
        <v>0</v>
      </c>
      <c r="I28" s="55">
        <v>0</v>
      </c>
      <c r="J28" s="55">
        <v>0</v>
      </c>
      <c r="K28" s="55">
        <v>0</v>
      </c>
      <c r="L28" s="55">
        <v>0</v>
      </c>
      <c r="M28" s="55">
        <v>0</v>
      </c>
      <c r="N28" s="55">
        <v>0</v>
      </c>
      <c r="O28" s="55">
        <v>0</v>
      </c>
      <c r="P28" s="53">
        <v>0</v>
      </c>
      <c r="Q28" s="53">
        <v>0</v>
      </c>
      <c r="R28" s="53">
        <v>0</v>
      </c>
      <c r="S28" s="55">
        <v>0</v>
      </c>
      <c r="T28" s="55">
        <v>0</v>
      </c>
      <c r="U28" s="65">
        <v>0</v>
      </c>
      <c r="V28" s="65">
        <v>0</v>
      </c>
      <c r="W28" s="65">
        <v>0</v>
      </c>
      <c r="X28" s="65">
        <v>0</v>
      </c>
      <c r="Y28" s="65">
        <v>0</v>
      </c>
      <c r="Z28" s="65">
        <v>0</v>
      </c>
      <c r="AA28" s="65">
        <v>0</v>
      </c>
      <c r="AB28" s="65">
        <v>0</v>
      </c>
      <c r="AC28" s="65">
        <v>0</v>
      </c>
      <c r="AD28" s="65">
        <v>0</v>
      </c>
      <c r="AE28" s="65">
        <v>0</v>
      </c>
      <c r="AF28" s="65">
        <v>0</v>
      </c>
      <c r="AG28" s="65">
        <v>0</v>
      </c>
      <c r="AH28" s="65">
        <v>0</v>
      </c>
      <c r="AI28" s="65">
        <v>0</v>
      </c>
      <c r="AJ28" s="65">
        <v>0</v>
      </c>
      <c r="AK28" s="65">
        <v>0</v>
      </c>
      <c r="AL28" s="65">
        <v>0</v>
      </c>
      <c r="AM28" s="65">
        <v>0</v>
      </c>
      <c r="AN28" s="66">
        <v>0</v>
      </c>
      <c r="AO28" s="66">
        <v>0</v>
      </c>
      <c r="AP28" s="66">
        <v>0</v>
      </c>
      <c r="AQ28" s="66">
        <v>0</v>
      </c>
      <c r="AR28" s="66">
        <v>0</v>
      </c>
      <c r="AS28" s="66">
        <v>0</v>
      </c>
      <c r="AT28" s="66">
        <v>0</v>
      </c>
      <c r="AU28" s="66">
        <v>0</v>
      </c>
      <c r="AV28" s="66">
        <v>0</v>
      </c>
      <c r="AW28" s="66">
        <v>0</v>
      </c>
      <c r="AX28" s="66">
        <v>0</v>
      </c>
      <c r="AY28" s="66">
        <v>0</v>
      </c>
      <c r="AZ28" s="66">
        <v>0</v>
      </c>
      <c r="BA28" s="66">
        <v>0</v>
      </c>
      <c r="BB28" s="66">
        <v>0</v>
      </c>
      <c r="BC28" s="66">
        <v>0</v>
      </c>
      <c r="BD28" s="66">
        <v>0</v>
      </c>
      <c r="BE28" s="66">
        <v>0</v>
      </c>
      <c r="BF28" s="66">
        <v>0</v>
      </c>
      <c r="BG28" s="66">
        <v>0</v>
      </c>
      <c r="BH28" s="66">
        <v>0</v>
      </c>
      <c r="BI28" s="66">
        <v>0</v>
      </c>
      <c r="BJ28" s="68">
        <v>0</v>
      </c>
      <c r="BK28" s="67">
        <v>0</v>
      </c>
      <c r="BL28" s="68">
        <v>0</v>
      </c>
      <c r="BM28" s="68">
        <v>0</v>
      </c>
      <c r="BN28" s="68">
        <v>0</v>
      </c>
      <c r="BO28" s="68">
        <v>0</v>
      </c>
      <c r="BP28" s="68">
        <v>0</v>
      </c>
      <c r="BQ28" s="68">
        <v>0</v>
      </c>
      <c r="BR28" s="68">
        <v>0</v>
      </c>
      <c r="BS28" s="68">
        <v>0</v>
      </c>
      <c r="BT28" s="68">
        <v>0</v>
      </c>
      <c r="BU28" s="68">
        <v>0</v>
      </c>
      <c r="BV28" s="68">
        <v>0</v>
      </c>
      <c r="BW28" s="68">
        <v>0</v>
      </c>
      <c r="BX28" s="68">
        <v>0</v>
      </c>
      <c r="BY28" s="68">
        <v>0</v>
      </c>
      <c r="BZ28" s="68">
        <v>0</v>
      </c>
      <c r="CA28" s="68">
        <v>0</v>
      </c>
      <c r="CB28" s="68">
        <v>0</v>
      </c>
      <c r="CC28" s="68">
        <v>0</v>
      </c>
      <c r="CD28" s="72">
        <v>0</v>
      </c>
      <c r="CE28" s="70">
        <v>0</v>
      </c>
      <c r="CF28" s="70">
        <v>0</v>
      </c>
      <c r="CG28" s="70">
        <v>0</v>
      </c>
      <c r="CH28" s="70">
        <v>0</v>
      </c>
      <c r="CI28" s="70">
        <v>0</v>
      </c>
      <c r="CJ28" s="72">
        <v>0</v>
      </c>
      <c r="CK28" s="70">
        <v>0</v>
      </c>
      <c r="CL28" s="72">
        <v>0</v>
      </c>
      <c r="CM28" s="72">
        <v>0</v>
      </c>
      <c r="CN28" s="72">
        <v>0</v>
      </c>
      <c r="CO28" s="70">
        <v>0</v>
      </c>
      <c r="CP28" s="70">
        <v>0</v>
      </c>
      <c r="CQ28" s="70">
        <v>0</v>
      </c>
      <c r="CR28" s="70">
        <v>0</v>
      </c>
      <c r="CS28" s="72">
        <v>0</v>
      </c>
      <c r="CT28" s="70">
        <v>0</v>
      </c>
      <c r="CU28" s="70">
        <v>0</v>
      </c>
      <c r="CV28" s="70">
        <v>0</v>
      </c>
    </row>
    <row r="29" spans="1:100" x14ac:dyDescent="0.25">
      <c r="A29" t="s">
        <v>87</v>
      </c>
      <c r="B29" s="49">
        <v>0</v>
      </c>
      <c r="C29" s="55">
        <v>0</v>
      </c>
      <c r="D29" s="53">
        <v>0</v>
      </c>
      <c r="E29" s="55">
        <v>0</v>
      </c>
      <c r="F29" s="53">
        <v>0</v>
      </c>
      <c r="G29" s="55">
        <v>0</v>
      </c>
      <c r="H29" s="55">
        <v>0</v>
      </c>
      <c r="I29" s="55">
        <v>0</v>
      </c>
      <c r="J29" s="55">
        <v>0</v>
      </c>
      <c r="K29" s="55">
        <v>0</v>
      </c>
      <c r="L29" s="55">
        <v>0</v>
      </c>
      <c r="M29" s="55">
        <v>0</v>
      </c>
      <c r="N29" s="55">
        <v>0</v>
      </c>
      <c r="O29" s="55">
        <v>0</v>
      </c>
      <c r="P29" s="53">
        <v>0</v>
      </c>
      <c r="Q29" s="53">
        <v>0</v>
      </c>
      <c r="R29" s="53">
        <v>0</v>
      </c>
      <c r="S29" s="55">
        <v>0</v>
      </c>
      <c r="T29" s="55">
        <v>0</v>
      </c>
      <c r="U29" s="65">
        <v>0</v>
      </c>
      <c r="V29" s="65">
        <v>0</v>
      </c>
      <c r="W29" s="65">
        <v>0</v>
      </c>
      <c r="X29" s="65">
        <v>0</v>
      </c>
      <c r="Y29" s="65">
        <v>0</v>
      </c>
      <c r="Z29" s="65">
        <v>0</v>
      </c>
      <c r="AA29" s="65">
        <v>0</v>
      </c>
      <c r="AB29" s="65">
        <v>0</v>
      </c>
      <c r="AC29" s="65">
        <v>0</v>
      </c>
      <c r="AD29" s="65">
        <v>0</v>
      </c>
      <c r="AE29" s="65">
        <v>0</v>
      </c>
      <c r="AF29" s="65">
        <v>0</v>
      </c>
      <c r="AG29" s="65">
        <v>0</v>
      </c>
      <c r="AH29" s="65">
        <v>0</v>
      </c>
      <c r="AI29" s="65">
        <v>0</v>
      </c>
      <c r="AJ29" s="65">
        <v>0</v>
      </c>
      <c r="AK29" s="65">
        <v>0</v>
      </c>
      <c r="AL29" s="65">
        <v>0</v>
      </c>
      <c r="AM29" s="65">
        <v>0</v>
      </c>
      <c r="AN29" s="66">
        <v>0</v>
      </c>
      <c r="AO29" s="66">
        <v>0</v>
      </c>
      <c r="AP29" s="66">
        <v>0</v>
      </c>
      <c r="AQ29" s="66">
        <v>0</v>
      </c>
      <c r="AR29" s="66">
        <v>0</v>
      </c>
      <c r="AS29" s="66">
        <v>0</v>
      </c>
      <c r="AT29" s="66">
        <v>0</v>
      </c>
      <c r="AU29" s="66">
        <v>0</v>
      </c>
      <c r="AV29" s="66">
        <v>0</v>
      </c>
      <c r="AW29" s="66">
        <v>0</v>
      </c>
      <c r="AX29" s="66">
        <v>0</v>
      </c>
      <c r="AY29" s="66">
        <v>0</v>
      </c>
      <c r="AZ29" s="66">
        <v>0</v>
      </c>
      <c r="BA29" s="66">
        <v>0</v>
      </c>
      <c r="BB29" s="66">
        <v>0</v>
      </c>
      <c r="BC29" s="66">
        <v>0</v>
      </c>
      <c r="BD29" s="66">
        <v>0</v>
      </c>
      <c r="BE29" s="66">
        <v>0</v>
      </c>
      <c r="BF29" s="66">
        <v>0</v>
      </c>
      <c r="BG29" s="66">
        <v>0</v>
      </c>
      <c r="BH29" s="66">
        <v>0</v>
      </c>
      <c r="BI29" s="66">
        <v>0</v>
      </c>
      <c r="BJ29" s="68">
        <v>0</v>
      </c>
      <c r="BK29" s="67">
        <v>0</v>
      </c>
      <c r="BL29" s="68">
        <v>0</v>
      </c>
      <c r="BM29" s="68">
        <v>0</v>
      </c>
      <c r="BN29" s="68">
        <v>0</v>
      </c>
      <c r="BO29" s="68">
        <v>0</v>
      </c>
      <c r="BP29" s="68">
        <v>0</v>
      </c>
      <c r="BQ29" s="68">
        <v>0</v>
      </c>
      <c r="BR29" s="68">
        <v>0</v>
      </c>
      <c r="BS29" s="68">
        <v>0</v>
      </c>
      <c r="BT29" s="68">
        <v>0</v>
      </c>
      <c r="BU29" s="68">
        <v>0</v>
      </c>
      <c r="BV29" s="68">
        <v>0</v>
      </c>
      <c r="BW29" s="68">
        <v>0</v>
      </c>
      <c r="BX29" s="68">
        <v>0</v>
      </c>
      <c r="BY29" s="68">
        <v>0</v>
      </c>
      <c r="BZ29" s="68">
        <v>0</v>
      </c>
      <c r="CA29" s="68">
        <v>0</v>
      </c>
      <c r="CB29" s="68">
        <v>0</v>
      </c>
      <c r="CC29" s="68">
        <v>0</v>
      </c>
      <c r="CD29" s="72">
        <v>0</v>
      </c>
      <c r="CE29" s="70">
        <v>0</v>
      </c>
      <c r="CF29" s="70">
        <v>0</v>
      </c>
      <c r="CG29" s="70">
        <v>0</v>
      </c>
      <c r="CH29" s="70">
        <v>0</v>
      </c>
      <c r="CI29" s="70">
        <v>0</v>
      </c>
      <c r="CJ29" s="72">
        <v>0</v>
      </c>
      <c r="CK29" s="70">
        <v>0</v>
      </c>
      <c r="CL29" s="72">
        <v>0</v>
      </c>
      <c r="CM29" s="72">
        <v>0</v>
      </c>
      <c r="CN29" s="72">
        <v>0</v>
      </c>
      <c r="CO29" s="70">
        <v>0</v>
      </c>
      <c r="CP29" s="70">
        <v>0</v>
      </c>
      <c r="CQ29" s="70">
        <v>0</v>
      </c>
      <c r="CR29" s="70">
        <v>0</v>
      </c>
      <c r="CS29" s="72">
        <v>0</v>
      </c>
      <c r="CT29" s="70">
        <v>0</v>
      </c>
      <c r="CU29" s="70">
        <v>0</v>
      </c>
      <c r="CV29" s="70">
        <v>0</v>
      </c>
    </row>
    <row r="30" spans="1:100" x14ac:dyDescent="0.25">
      <c r="A30" t="s">
        <v>86</v>
      </c>
      <c r="B30" s="49">
        <v>0</v>
      </c>
      <c r="C30" s="55">
        <v>0</v>
      </c>
      <c r="D30" s="53">
        <v>0</v>
      </c>
      <c r="E30" s="55">
        <v>0</v>
      </c>
      <c r="F30" s="53">
        <v>0</v>
      </c>
      <c r="G30" s="55">
        <v>0</v>
      </c>
      <c r="H30" s="55">
        <v>0</v>
      </c>
      <c r="I30" s="55">
        <v>0</v>
      </c>
      <c r="J30" s="55">
        <v>0</v>
      </c>
      <c r="K30" s="55">
        <v>0</v>
      </c>
      <c r="L30" s="55">
        <v>0</v>
      </c>
      <c r="M30" s="55">
        <v>0</v>
      </c>
      <c r="N30" s="55">
        <v>0</v>
      </c>
      <c r="O30" s="55">
        <v>0</v>
      </c>
      <c r="P30" s="53">
        <v>0</v>
      </c>
      <c r="Q30" s="53">
        <v>0</v>
      </c>
      <c r="R30" s="53">
        <v>0</v>
      </c>
      <c r="S30" s="55">
        <v>0</v>
      </c>
      <c r="T30" s="55">
        <v>0</v>
      </c>
      <c r="U30" s="65">
        <v>0</v>
      </c>
      <c r="V30" s="65">
        <v>0</v>
      </c>
      <c r="W30" s="65">
        <v>0</v>
      </c>
      <c r="X30" s="65">
        <v>0</v>
      </c>
      <c r="Y30" s="65">
        <v>0</v>
      </c>
      <c r="Z30" s="65">
        <v>0</v>
      </c>
      <c r="AA30" s="65">
        <v>0</v>
      </c>
      <c r="AB30" s="65">
        <v>0</v>
      </c>
      <c r="AC30" s="65">
        <v>0</v>
      </c>
      <c r="AD30" s="65">
        <v>0</v>
      </c>
      <c r="AE30" s="65">
        <v>0</v>
      </c>
      <c r="AF30" s="65">
        <v>0</v>
      </c>
      <c r="AG30" s="65">
        <v>0</v>
      </c>
      <c r="AH30" s="65">
        <v>0</v>
      </c>
      <c r="AI30" s="65">
        <v>0</v>
      </c>
      <c r="AJ30" s="65">
        <v>0</v>
      </c>
      <c r="AK30" s="65">
        <v>0</v>
      </c>
      <c r="AL30" s="65">
        <v>0</v>
      </c>
      <c r="AM30" s="65">
        <v>0</v>
      </c>
      <c r="AN30" s="66">
        <v>0</v>
      </c>
      <c r="AO30" s="66">
        <v>0</v>
      </c>
      <c r="AP30" s="66">
        <v>0</v>
      </c>
      <c r="AQ30" s="66">
        <v>0</v>
      </c>
      <c r="AR30" s="66">
        <v>0</v>
      </c>
      <c r="AS30" s="66">
        <v>0</v>
      </c>
      <c r="AT30" s="66">
        <v>0</v>
      </c>
      <c r="AU30" s="66">
        <v>0</v>
      </c>
      <c r="AV30" s="66">
        <v>0</v>
      </c>
      <c r="AW30" s="66">
        <v>0</v>
      </c>
      <c r="AX30" s="66">
        <v>0</v>
      </c>
      <c r="AY30" s="66">
        <v>0</v>
      </c>
      <c r="AZ30" s="66">
        <v>0</v>
      </c>
      <c r="BA30" s="66">
        <v>0</v>
      </c>
      <c r="BB30" s="66">
        <v>0</v>
      </c>
      <c r="BC30" s="66">
        <v>0</v>
      </c>
      <c r="BD30" s="66">
        <v>0</v>
      </c>
      <c r="BE30" s="66">
        <v>0</v>
      </c>
      <c r="BF30" s="66">
        <v>0</v>
      </c>
      <c r="BG30" s="66">
        <v>0</v>
      </c>
      <c r="BH30" s="66">
        <v>0</v>
      </c>
      <c r="BI30" s="66">
        <v>0</v>
      </c>
      <c r="BJ30" s="68">
        <v>0</v>
      </c>
      <c r="BK30" s="67">
        <v>0</v>
      </c>
      <c r="BL30" s="68">
        <v>0</v>
      </c>
      <c r="BM30" s="68">
        <v>0</v>
      </c>
      <c r="BN30" s="68">
        <v>0</v>
      </c>
      <c r="BO30" s="68">
        <v>0</v>
      </c>
      <c r="BP30" s="68">
        <v>0</v>
      </c>
      <c r="BQ30" s="68">
        <v>0</v>
      </c>
      <c r="BR30" s="68">
        <v>0</v>
      </c>
      <c r="BS30" s="68">
        <v>0</v>
      </c>
      <c r="BT30" s="68">
        <v>0</v>
      </c>
      <c r="BU30" s="68">
        <v>0</v>
      </c>
      <c r="BV30" s="68">
        <v>0</v>
      </c>
      <c r="BW30" s="68">
        <v>0</v>
      </c>
      <c r="BX30" s="68">
        <v>0</v>
      </c>
      <c r="BY30" s="68">
        <v>0</v>
      </c>
      <c r="BZ30" s="68">
        <v>0</v>
      </c>
      <c r="CA30" s="68">
        <v>0</v>
      </c>
      <c r="CB30" s="68">
        <v>0</v>
      </c>
      <c r="CC30" s="68">
        <v>0</v>
      </c>
      <c r="CD30" s="72">
        <v>0</v>
      </c>
      <c r="CE30" s="70">
        <v>0</v>
      </c>
      <c r="CF30" s="70">
        <v>0</v>
      </c>
      <c r="CG30" s="70">
        <v>0</v>
      </c>
      <c r="CH30" s="70">
        <v>0</v>
      </c>
      <c r="CI30" s="70">
        <v>0</v>
      </c>
      <c r="CJ30" s="72">
        <v>0</v>
      </c>
      <c r="CK30" s="70">
        <v>0</v>
      </c>
      <c r="CL30" s="72">
        <v>0</v>
      </c>
      <c r="CM30" s="72">
        <v>0</v>
      </c>
      <c r="CN30" s="72">
        <v>0</v>
      </c>
      <c r="CO30" s="70">
        <v>0</v>
      </c>
      <c r="CP30" s="70">
        <v>0</v>
      </c>
      <c r="CQ30" s="70">
        <v>0</v>
      </c>
      <c r="CR30" s="70">
        <v>0</v>
      </c>
      <c r="CS30" s="72">
        <v>0</v>
      </c>
      <c r="CT30" s="70">
        <v>0</v>
      </c>
      <c r="CU30" s="70">
        <v>0</v>
      </c>
      <c r="CV30" s="70">
        <v>0</v>
      </c>
    </row>
    <row r="31" spans="1:100" x14ac:dyDescent="0.25">
      <c r="A31" t="s">
        <v>88</v>
      </c>
      <c r="B31" s="49">
        <v>0</v>
      </c>
      <c r="C31" s="55">
        <v>0</v>
      </c>
      <c r="D31" s="53">
        <v>0</v>
      </c>
      <c r="E31" s="55">
        <v>0</v>
      </c>
      <c r="F31" s="53">
        <v>0</v>
      </c>
      <c r="G31" s="55">
        <v>0</v>
      </c>
      <c r="H31" s="55">
        <v>0</v>
      </c>
      <c r="I31" s="55">
        <v>0</v>
      </c>
      <c r="J31" s="55">
        <v>0</v>
      </c>
      <c r="K31" s="55">
        <v>0</v>
      </c>
      <c r="L31" s="55">
        <v>0</v>
      </c>
      <c r="M31" s="55">
        <v>0</v>
      </c>
      <c r="N31" s="55">
        <v>0</v>
      </c>
      <c r="O31" s="55">
        <v>0</v>
      </c>
      <c r="P31" s="53">
        <v>0</v>
      </c>
      <c r="Q31" s="53">
        <v>0</v>
      </c>
      <c r="R31" s="53">
        <v>0</v>
      </c>
      <c r="S31" s="55">
        <v>0</v>
      </c>
      <c r="T31" s="55">
        <v>0</v>
      </c>
      <c r="U31" s="65">
        <v>0</v>
      </c>
      <c r="V31" s="65">
        <v>0</v>
      </c>
      <c r="W31" s="65">
        <v>0</v>
      </c>
      <c r="X31" s="65">
        <v>0</v>
      </c>
      <c r="Y31" s="65">
        <v>0</v>
      </c>
      <c r="Z31" s="65">
        <v>0</v>
      </c>
      <c r="AA31" s="65">
        <v>0</v>
      </c>
      <c r="AB31" s="65">
        <v>0</v>
      </c>
      <c r="AC31" s="65">
        <v>0</v>
      </c>
      <c r="AD31" s="65">
        <v>0</v>
      </c>
      <c r="AE31" s="65">
        <v>0</v>
      </c>
      <c r="AF31" s="65">
        <v>0</v>
      </c>
      <c r="AG31" s="65">
        <v>0</v>
      </c>
      <c r="AH31" s="65">
        <v>0</v>
      </c>
      <c r="AI31" s="65">
        <v>0</v>
      </c>
      <c r="AJ31" s="65">
        <v>0</v>
      </c>
      <c r="AK31" s="65">
        <v>0</v>
      </c>
      <c r="AL31" s="65">
        <v>0</v>
      </c>
      <c r="AM31" s="65">
        <v>0</v>
      </c>
      <c r="AN31" s="66">
        <v>0</v>
      </c>
      <c r="AO31" s="66">
        <v>0</v>
      </c>
      <c r="AP31" s="66">
        <v>0</v>
      </c>
      <c r="AQ31" s="66">
        <v>0</v>
      </c>
      <c r="AR31" s="66">
        <v>0</v>
      </c>
      <c r="AS31" s="66">
        <v>0</v>
      </c>
      <c r="AT31" s="66">
        <v>0</v>
      </c>
      <c r="AU31" s="66">
        <v>0</v>
      </c>
      <c r="AV31" s="66">
        <v>0</v>
      </c>
      <c r="AW31" s="66">
        <v>0</v>
      </c>
      <c r="AX31" s="66">
        <v>0</v>
      </c>
      <c r="AY31" s="66">
        <v>0</v>
      </c>
      <c r="AZ31" s="66">
        <v>0</v>
      </c>
      <c r="BA31" s="66">
        <v>0</v>
      </c>
      <c r="BB31" s="66">
        <v>0</v>
      </c>
      <c r="BC31" s="66">
        <v>0</v>
      </c>
      <c r="BD31" s="66">
        <v>0</v>
      </c>
      <c r="BE31" s="66">
        <v>0</v>
      </c>
      <c r="BF31" s="66">
        <v>0</v>
      </c>
      <c r="BG31" s="66">
        <v>0</v>
      </c>
      <c r="BH31" s="66">
        <v>0</v>
      </c>
      <c r="BI31" s="66">
        <v>0</v>
      </c>
      <c r="BJ31" s="68">
        <v>0</v>
      </c>
      <c r="BK31" s="67">
        <v>0</v>
      </c>
      <c r="BL31" s="68">
        <v>0</v>
      </c>
      <c r="BM31" s="68">
        <v>0</v>
      </c>
      <c r="BN31" s="68">
        <v>0</v>
      </c>
      <c r="BO31" s="68">
        <v>0</v>
      </c>
      <c r="BP31" s="68">
        <v>0</v>
      </c>
      <c r="BQ31" s="68">
        <v>0</v>
      </c>
      <c r="BR31" s="68">
        <v>0</v>
      </c>
      <c r="BS31" s="68">
        <v>0</v>
      </c>
      <c r="BT31" s="68">
        <v>0</v>
      </c>
      <c r="BU31" s="68">
        <v>0</v>
      </c>
      <c r="BV31" s="68">
        <v>0</v>
      </c>
      <c r="BW31" s="68">
        <v>0</v>
      </c>
      <c r="BX31" s="68">
        <v>0</v>
      </c>
      <c r="BY31" s="68">
        <v>0</v>
      </c>
      <c r="BZ31" s="68">
        <v>0</v>
      </c>
      <c r="CA31" s="68">
        <v>0</v>
      </c>
      <c r="CB31" s="68">
        <v>0</v>
      </c>
      <c r="CC31" s="68">
        <v>0</v>
      </c>
      <c r="CD31" s="72">
        <v>0</v>
      </c>
      <c r="CE31" s="70">
        <v>0</v>
      </c>
      <c r="CF31" s="70">
        <v>0</v>
      </c>
      <c r="CG31" s="70">
        <v>0</v>
      </c>
      <c r="CH31" s="70">
        <v>0</v>
      </c>
      <c r="CI31" s="70">
        <v>0</v>
      </c>
      <c r="CJ31" s="72">
        <v>0</v>
      </c>
      <c r="CK31" s="70">
        <v>0</v>
      </c>
      <c r="CL31" s="72">
        <v>0</v>
      </c>
      <c r="CM31" s="72">
        <v>0</v>
      </c>
      <c r="CN31" s="72">
        <v>0</v>
      </c>
      <c r="CO31" s="70">
        <v>0</v>
      </c>
      <c r="CP31" s="70">
        <v>0</v>
      </c>
      <c r="CQ31" s="70">
        <v>0</v>
      </c>
      <c r="CR31" s="70">
        <v>0</v>
      </c>
      <c r="CS31" s="72">
        <v>0</v>
      </c>
      <c r="CT31" s="70">
        <v>0</v>
      </c>
      <c r="CU31" s="70">
        <v>0</v>
      </c>
      <c r="CV31" s="70">
        <v>0</v>
      </c>
    </row>
    <row r="32" spans="1:100" x14ac:dyDescent="0.25">
      <c r="A32" t="s">
        <v>89</v>
      </c>
      <c r="B32" s="49">
        <v>0</v>
      </c>
      <c r="C32" s="55">
        <v>0</v>
      </c>
      <c r="D32" s="53">
        <v>0</v>
      </c>
      <c r="E32" s="55">
        <v>0</v>
      </c>
      <c r="F32" s="53">
        <v>0</v>
      </c>
      <c r="G32" s="55">
        <v>0</v>
      </c>
      <c r="H32" s="55">
        <v>0</v>
      </c>
      <c r="I32" s="55">
        <v>0</v>
      </c>
      <c r="J32" s="55">
        <v>0</v>
      </c>
      <c r="K32" s="55">
        <v>0</v>
      </c>
      <c r="L32" s="55">
        <v>0</v>
      </c>
      <c r="M32" s="55">
        <v>0</v>
      </c>
      <c r="N32" s="55">
        <v>0</v>
      </c>
      <c r="O32" s="55">
        <v>0</v>
      </c>
      <c r="P32" s="53">
        <v>0</v>
      </c>
      <c r="Q32" s="53">
        <v>0</v>
      </c>
      <c r="R32" s="53">
        <v>0</v>
      </c>
      <c r="S32" s="55">
        <v>0</v>
      </c>
      <c r="T32" s="55">
        <v>0</v>
      </c>
      <c r="U32" s="65">
        <v>0</v>
      </c>
      <c r="V32" s="65">
        <v>0</v>
      </c>
      <c r="W32" s="65">
        <v>0</v>
      </c>
      <c r="X32" s="65">
        <v>0</v>
      </c>
      <c r="Y32" s="65">
        <v>0</v>
      </c>
      <c r="Z32" s="65">
        <v>0</v>
      </c>
      <c r="AA32" s="65">
        <v>0</v>
      </c>
      <c r="AB32" s="65">
        <v>0</v>
      </c>
      <c r="AC32" s="65">
        <v>0</v>
      </c>
      <c r="AD32" s="65">
        <v>0</v>
      </c>
      <c r="AE32" s="65">
        <v>0</v>
      </c>
      <c r="AF32" s="65">
        <v>0</v>
      </c>
      <c r="AG32" s="65">
        <v>0</v>
      </c>
      <c r="AH32" s="65">
        <v>0</v>
      </c>
      <c r="AI32" s="65">
        <v>0</v>
      </c>
      <c r="AJ32" s="65">
        <v>0</v>
      </c>
      <c r="AK32" s="65">
        <v>0</v>
      </c>
      <c r="AL32" s="65">
        <v>0</v>
      </c>
      <c r="AM32" s="65">
        <v>0</v>
      </c>
      <c r="AN32" s="66">
        <v>0</v>
      </c>
      <c r="AO32" s="66">
        <v>0</v>
      </c>
      <c r="AP32" s="66">
        <v>0</v>
      </c>
      <c r="AQ32" s="66">
        <v>0</v>
      </c>
      <c r="AR32" s="66">
        <v>0</v>
      </c>
      <c r="AS32" s="66">
        <v>0</v>
      </c>
      <c r="AT32" s="66">
        <v>0</v>
      </c>
      <c r="AU32" s="66">
        <v>0</v>
      </c>
      <c r="AV32" s="66">
        <v>0</v>
      </c>
      <c r="AW32" s="66">
        <v>0</v>
      </c>
      <c r="AX32" s="66">
        <v>0</v>
      </c>
      <c r="AY32" s="66">
        <v>0</v>
      </c>
      <c r="AZ32" s="66">
        <v>0</v>
      </c>
      <c r="BA32" s="66">
        <v>0</v>
      </c>
      <c r="BB32" s="66">
        <v>0</v>
      </c>
      <c r="BC32" s="66">
        <v>0</v>
      </c>
      <c r="BD32" s="66">
        <v>0</v>
      </c>
      <c r="BE32" s="66">
        <v>0</v>
      </c>
      <c r="BF32" s="66">
        <v>0</v>
      </c>
      <c r="BG32" s="66">
        <v>0</v>
      </c>
      <c r="BH32" s="66">
        <v>0</v>
      </c>
      <c r="BI32" s="66">
        <v>0</v>
      </c>
      <c r="BJ32" s="68">
        <v>0</v>
      </c>
      <c r="BK32" s="67">
        <v>0</v>
      </c>
      <c r="BL32" s="68">
        <v>0</v>
      </c>
      <c r="BM32" s="68">
        <v>0</v>
      </c>
      <c r="BN32" s="68">
        <v>0</v>
      </c>
      <c r="BO32" s="68">
        <v>0</v>
      </c>
      <c r="BP32" s="68">
        <v>0</v>
      </c>
      <c r="BQ32" s="68">
        <v>0</v>
      </c>
      <c r="BR32" s="68">
        <v>0</v>
      </c>
      <c r="BS32" s="68">
        <v>0</v>
      </c>
      <c r="BT32" s="68">
        <v>0</v>
      </c>
      <c r="BU32" s="68">
        <v>0</v>
      </c>
      <c r="BV32" s="68">
        <v>0</v>
      </c>
      <c r="BW32" s="68">
        <v>0</v>
      </c>
      <c r="BX32" s="68">
        <v>0</v>
      </c>
      <c r="BY32" s="68">
        <v>0</v>
      </c>
      <c r="BZ32" s="68">
        <v>0</v>
      </c>
      <c r="CA32" s="68">
        <v>0</v>
      </c>
      <c r="CB32" s="68">
        <v>0</v>
      </c>
      <c r="CC32" s="68">
        <v>0</v>
      </c>
      <c r="CD32" s="72">
        <v>0</v>
      </c>
      <c r="CE32" s="70">
        <v>0</v>
      </c>
      <c r="CF32" s="70">
        <v>0</v>
      </c>
      <c r="CG32" s="70">
        <v>0</v>
      </c>
      <c r="CH32" s="70">
        <v>0</v>
      </c>
      <c r="CI32" s="70">
        <v>0</v>
      </c>
      <c r="CJ32" s="72">
        <v>0</v>
      </c>
      <c r="CK32" s="70">
        <v>0</v>
      </c>
      <c r="CL32" s="72">
        <v>0</v>
      </c>
      <c r="CM32" s="72">
        <v>0</v>
      </c>
      <c r="CN32" s="72">
        <v>0</v>
      </c>
      <c r="CO32" s="70">
        <v>0</v>
      </c>
      <c r="CP32" s="70">
        <v>0</v>
      </c>
      <c r="CQ32" s="70">
        <v>0</v>
      </c>
      <c r="CR32" s="70">
        <v>0</v>
      </c>
      <c r="CS32" s="72">
        <v>0</v>
      </c>
      <c r="CT32" s="70">
        <v>0</v>
      </c>
      <c r="CU32" s="70">
        <v>0</v>
      </c>
      <c r="CV32" s="70">
        <v>0</v>
      </c>
    </row>
    <row r="33" spans="1:100" x14ac:dyDescent="0.25">
      <c r="A33" t="s">
        <v>90</v>
      </c>
      <c r="B33" s="49">
        <v>0</v>
      </c>
      <c r="C33" s="55">
        <v>0</v>
      </c>
      <c r="D33" s="53">
        <v>0</v>
      </c>
      <c r="E33" s="55">
        <v>0</v>
      </c>
      <c r="F33" s="53">
        <v>0</v>
      </c>
      <c r="G33" s="55">
        <v>0</v>
      </c>
      <c r="H33" s="55">
        <v>0</v>
      </c>
      <c r="I33" s="55">
        <v>0</v>
      </c>
      <c r="J33" s="55">
        <v>0</v>
      </c>
      <c r="K33" s="55">
        <v>0</v>
      </c>
      <c r="L33" s="55">
        <v>0</v>
      </c>
      <c r="M33" s="55">
        <v>0</v>
      </c>
      <c r="N33" s="55">
        <v>0</v>
      </c>
      <c r="O33" s="55">
        <v>0</v>
      </c>
      <c r="P33" s="53">
        <v>0</v>
      </c>
      <c r="Q33" s="53">
        <v>0</v>
      </c>
      <c r="R33" s="53">
        <v>0</v>
      </c>
      <c r="S33" s="55">
        <v>0</v>
      </c>
      <c r="T33" s="55">
        <v>0</v>
      </c>
      <c r="U33" s="65">
        <v>0</v>
      </c>
      <c r="V33" s="65">
        <v>0</v>
      </c>
      <c r="W33" s="65">
        <v>0</v>
      </c>
      <c r="X33" s="65">
        <v>0</v>
      </c>
      <c r="Y33" s="65">
        <v>0</v>
      </c>
      <c r="Z33" s="65">
        <v>0</v>
      </c>
      <c r="AA33" s="65">
        <v>0</v>
      </c>
      <c r="AB33" s="65">
        <v>0</v>
      </c>
      <c r="AC33" s="65">
        <v>0</v>
      </c>
      <c r="AD33" s="65">
        <v>0</v>
      </c>
      <c r="AE33" s="65">
        <v>0</v>
      </c>
      <c r="AF33" s="65">
        <v>0</v>
      </c>
      <c r="AG33" s="65">
        <v>0</v>
      </c>
      <c r="AH33" s="65">
        <v>0</v>
      </c>
      <c r="AI33" s="65">
        <v>0</v>
      </c>
      <c r="AJ33" s="65">
        <v>0</v>
      </c>
      <c r="AK33" s="65">
        <v>0</v>
      </c>
      <c r="AL33" s="65">
        <v>0</v>
      </c>
      <c r="AM33" s="65">
        <v>0</v>
      </c>
      <c r="AN33" s="66">
        <v>0</v>
      </c>
      <c r="AO33" s="66">
        <v>0</v>
      </c>
      <c r="AP33" s="66">
        <v>0</v>
      </c>
      <c r="AQ33" s="66">
        <v>0</v>
      </c>
      <c r="AR33" s="66">
        <v>0</v>
      </c>
      <c r="AS33" s="66">
        <v>0</v>
      </c>
      <c r="AT33" s="66">
        <v>0</v>
      </c>
      <c r="AU33" s="66">
        <v>0</v>
      </c>
      <c r="AV33" s="66">
        <v>0</v>
      </c>
      <c r="AW33" s="66">
        <v>0</v>
      </c>
      <c r="AX33" s="66">
        <v>0</v>
      </c>
      <c r="AY33" s="66">
        <v>0</v>
      </c>
      <c r="AZ33" s="66">
        <v>0</v>
      </c>
      <c r="BA33" s="66">
        <v>0</v>
      </c>
      <c r="BB33" s="66">
        <v>0</v>
      </c>
      <c r="BC33" s="66">
        <v>0</v>
      </c>
      <c r="BD33" s="66">
        <v>0</v>
      </c>
      <c r="BE33" s="66">
        <v>0</v>
      </c>
      <c r="BF33" s="66">
        <v>0</v>
      </c>
      <c r="BG33" s="66">
        <v>0</v>
      </c>
      <c r="BH33" s="66">
        <v>0</v>
      </c>
      <c r="BI33" s="66">
        <v>0</v>
      </c>
      <c r="BJ33" s="68">
        <v>0</v>
      </c>
      <c r="BK33" s="67">
        <v>0</v>
      </c>
      <c r="BL33" s="68">
        <v>0</v>
      </c>
      <c r="BM33" s="68">
        <v>0</v>
      </c>
      <c r="BN33" s="68">
        <v>0</v>
      </c>
      <c r="BO33" s="68">
        <v>0</v>
      </c>
      <c r="BP33" s="68">
        <v>0</v>
      </c>
      <c r="BQ33" s="68">
        <v>0</v>
      </c>
      <c r="BR33" s="68">
        <v>0</v>
      </c>
      <c r="BS33" s="68">
        <v>0</v>
      </c>
      <c r="BT33" s="68">
        <v>0</v>
      </c>
      <c r="BU33" s="68">
        <v>0</v>
      </c>
      <c r="BV33" s="68">
        <v>0</v>
      </c>
      <c r="BW33" s="68">
        <v>0</v>
      </c>
      <c r="BX33" s="68">
        <v>0</v>
      </c>
      <c r="BY33" s="68">
        <v>0</v>
      </c>
      <c r="BZ33" s="68">
        <v>0</v>
      </c>
      <c r="CA33" s="68">
        <v>0</v>
      </c>
      <c r="CB33" s="68">
        <v>0</v>
      </c>
      <c r="CC33" s="68">
        <v>0</v>
      </c>
      <c r="CD33" s="72">
        <v>0</v>
      </c>
      <c r="CE33" s="70">
        <v>0</v>
      </c>
      <c r="CF33" s="70">
        <v>0</v>
      </c>
      <c r="CG33" s="70">
        <v>0</v>
      </c>
      <c r="CH33" s="70">
        <v>0</v>
      </c>
      <c r="CI33" s="70">
        <v>0</v>
      </c>
      <c r="CJ33" s="72">
        <v>0</v>
      </c>
      <c r="CK33" s="70">
        <v>0</v>
      </c>
      <c r="CL33" s="72">
        <v>0</v>
      </c>
      <c r="CM33" s="72">
        <v>0</v>
      </c>
      <c r="CN33" s="72">
        <v>0</v>
      </c>
      <c r="CO33" s="70">
        <v>0</v>
      </c>
      <c r="CP33" s="70">
        <v>0</v>
      </c>
      <c r="CQ33" s="70">
        <v>0</v>
      </c>
      <c r="CR33" s="70">
        <v>0</v>
      </c>
      <c r="CS33" s="72">
        <v>0</v>
      </c>
      <c r="CT33" s="70">
        <v>0</v>
      </c>
      <c r="CU33" s="70">
        <v>0</v>
      </c>
      <c r="CV33" s="70">
        <v>0</v>
      </c>
    </row>
    <row r="34" spans="1:100" x14ac:dyDescent="0.25">
      <c r="A34" t="s">
        <v>454</v>
      </c>
      <c r="B34" s="49">
        <v>0</v>
      </c>
      <c r="C34" s="55">
        <v>0</v>
      </c>
      <c r="D34" s="53">
        <v>0</v>
      </c>
      <c r="E34" s="55">
        <v>0</v>
      </c>
      <c r="F34" s="53">
        <v>0</v>
      </c>
      <c r="G34" s="55">
        <v>0</v>
      </c>
      <c r="H34" s="55">
        <v>0</v>
      </c>
      <c r="I34" s="55">
        <v>0</v>
      </c>
      <c r="J34" s="55">
        <v>0</v>
      </c>
      <c r="K34" s="55">
        <v>0</v>
      </c>
      <c r="L34" s="55">
        <v>0</v>
      </c>
      <c r="M34" s="55">
        <v>0</v>
      </c>
      <c r="N34" s="55">
        <v>0</v>
      </c>
      <c r="O34" s="55">
        <v>0</v>
      </c>
      <c r="P34" s="53">
        <v>0</v>
      </c>
      <c r="Q34" s="53">
        <v>0</v>
      </c>
      <c r="R34" s="53">
        <v>0</v>
      </c>
      <c r="S34" s="55">
        <v>0</v>
      </c>
      <c r="T34" s="55">
        <v>0</v>
      </c>
      <c r="U34" s="65">
        <v>0</v>
      </c>
      <c r="V34" s="65">
        <v>0</v>
      </c>
      <c r="W34" s="65">
        <v>0</v>
      </c>
      <c r="X34" s="65">
        <v>0</v>
      </c>
      <c r="Y34" s="65">
        <v>0</v>
      </c>
      <c r="Z34" s="65">
        <v>0</v>
      </c>
      <c r="AA34" s="65">
        <v>0</v>
      </c>
      <c r="AB34" s="65">
        <v>0</v>
      </c>
      <c r="AC34" s="65">
        <v>0</v>
      </c>
      <c r="AD34" s="65">
        <v>0</v>
      </c>
      <c r="AE34" s="65">
        <v>0</v>
      </c>
      <c r="AF34" s="65">
        <v>0</v>
      </c>
      <c r="AG34" s="65">
        <v>0</v>
      </c>
      <c r="AH34" s="65">
        <v>0</v>
      </c>
      <c r="AI34" s="65">
        <v>0</v>
      </c>
      <c r="AJ34" s="65">
        <v>0</v>
      </c>
      <c r="AK34" s="65">
        <v>0</v>
      </c>
      <c r="AL34" s="65">
        <v>0</v>
      </c>
      <c r="AM34" s="65">
        <v>0</v>
      </c>
      <c r="AN34" s="66">
        <v>0</v>
      </c>
      <c r="AO34" s="66">
        <v>0</v>
      </c>
      <c r="AP34" s="66">
        <v>0</v>
      </c>
      <c r="AQ34" s="66">
        <v>0</v>
      </c>
      <c r="AR34" s="66">
        <v>0</v>
      </c>
      <c r="AS34" s="66">
        <v>0</v>
      </c>
      <c r="AT34" s="66">
        <v>0</v>
      </c>
      <c r="AU34" s="66">
        <v>0</v>
      </c>
      <c r="AV34" s="66">
        <v>0</v>
      </c>
      <c r="AW34" s="66">
        <v>0</v>
      </c>
      <c r="AX34" s="66">
        <v>0</v>
      </c>
      <c r="AY34" s="66">
        <v>0</v>
      </c>
      <c r="AZ34" s="66">
        <v>0</v>
      </c>
      <c r="BA34" s="66">
        <v>0</v>
      </c>
      <c r="BB34" s="66">
        <v>0</v>
      </c>
      <c r="BC34" s="66">
        <v>0</v>
      </c>
      <c r="BD34" s="66">
        <v>0</v>
      </c>
      <c r="BE34" s="66">
        <v>0</v>
      </c>
      <c r="BF34" s="66">
        <v>0</v>
      </c>
      <c r="BG34" s="66">
        <v>0</v>
      </c>
      <c r="BH34" s="66">
        <v>0</v>
      </c>
      <c r="BI34" s="66">
        <v>0</v>
      </c>
      <c r="BJ34" s="68">
        <v>0</v>
      </c>
      <c r="BK34" s="67">
        <v>0</v>
      </c>
      <c r="BL34" s="68">
        <v>0</v>
      </c>
      <c r="BM34" s="68">
        <v>0</v>
      </c>
      <c r="BN34" s="68">
        <v>0</v>
      </c>
      <c r="BO34" s="68">
        <v>0</v>
      </c>
      <c r="BP34" s="68">
        <v>0</v>
      </c>
      <c r="BQ34" s="68">
        <v>0</v>
      </c>
      <c r="BR34" s="68">
        <v>0</v>
      </c>
      <c r="BS34" s="68">
        <v>0</v>
      </c>
      <c r="BT34" s="68">
        <v>0</v>
      </c>
      <c r="BU34" s="68">
        <v>0</v>
      </c>
      <c r="BV34" s="68">
        <v>0</v>
      </c>
      <c r="BW34" s="68">
        <v>0</v>
      </c>
      <c r="BX34" s="68">
        <v>0</v>
      </c>
      <c r="BY34" s="68">
        <v>0</v>
      </c>
      <c r="BZ34" s="68">
        <v>0</v>
      </c>
      <c r="CA34" s="68">
        <v>0</v>
      </c>
      <c r="CB34" s="68">
        <v>0</v>
      </c>
      <c r="CC34" s="68">
        <v>0</v>
      </c>
      <c r="CD34" s="72">
        <v>0</v>
      </c>
      <c r="CE34" s="70">
        <v>0</v>
      </c>
      <c r="CF34" s="70">
        <v>0</v>
      </c>
      <c r="CG34" s="70">
        <v>0</v>
      </c>
      <c r="CH34" s="70">
        <v>0</v>
      </c>
      <c r="CI34" s="70">
        <v>0</v>
      </c>
      <c r="CJ34" s="72">
        <v>0</v>
      </c>
      <c r="CK34" s="70">
        <v>0</v>
      </c>
      <c r="CL34" s="72">
        <v>0</v>
      </c>
      <c r="CM34" s="72">
        <v>0</v>
      </c>
      <c r="CN34" s="72">
        <v>0</v>
      </c>
      <c r="CO34" s="70">
        <v>0</v>
      </c>
      <c r="CP34" s="70">
        <v>0</v>
      </c>
      <c r="CQ34" s="70">
        <v>0</v>
      </c>
      <c r="CR34" s="70">
        <v>0</v>
      </c>
      <c r="CS34" s="72">
        <v>0</v>
      </c>
      <c r="CT34" s="70">
        <v>0</v>
      </c>
      <c r="CU34" s="70">
        <v>0</v>
      </c>
      <c r="CV34" s="70">
        <v>0</v>
      </c>
    </row>
    <row r="35" spans="1:100" x14ac:dyDescent="0.25">
      <c r="A35" t="s">
        <v>455</v>
      </c>
      <c r="B35" s="49">
        <v>0</v>
      </c>
      <c r="C35" s="55">
        <v>0</v>
      </c>
      <c r="D35" s="53">
        <v>0</v>
      </c>
      <c r="E35" s="55">
        <v>0</v>
      </c>
      <c r="F35" s="53">
        <v>0</v>
      </c>
      <c r="G35" s="55">
        <v>0</v>
      </c>
      <c r="H35" s="55">
        <v>0</v>
      </c>
      <c r="I35" s="55">
        <v>0</v>
      </c>
      <c r="J35" s="55">
        <v>0</v>
      </c>
      <c r="K35" s="55">
        <v>0</v>
      </c>
      <c r="L35" s="55">
        <v>0</v>
      </c>
      <c r="M35" s="55">
        <v>0</v>
      </c>
      <c r="N35" s="55">
        <v>0</v>
      </c>
      <c r="O35" s="55">
        <v>0</v>
      </c>
      <c r="P35" s="53">
        <v>0</v>
      </c>
      <c r="Q35" s="53">
        <v>0</v>
      </c>
      <c r="R35" s="53">
        <v>0</v>
      </c>
      <c r="S35" s="55">
        <v>0</v>
      </c>
      <c r="T35" s="55">
        <v>0</v>
      </c>
      <c r="U35" s="65">
        <v>0</v>
      </c>
      <c r="V35" s="65">
        <v>0</v>
      </c>
      <c r="W35" s="65">
        <v>0</v>
      </c>
      <c r="X35" s="65">
        <v>0</v>
      </c>
      <c r="Y35" s="65">
        <v>0</v>
      </c>
      <c r="Z35" s="65">
        <v>0</v>
      </c>
      <c r="AA35" s="65">
        <v>0</v>
      </c>
      <c r="AB35" s="65">
        <v>0</v>
      </c>
      <c r="AC35" s="65">
        <v>0</v>
      </c>
      <c r="AD35" s="65">
        <v>0</v>
      </c>
      <c r="AE35" s="65">
        <v>0</v>
      </c>
      <c r="AF35" s="65">
        <v>0</v>
      </c>
      <c r="AG35" s="65">
        <v>0</v>
      </c>
      <c r="AH35" s="65">
        <v>0</v>
      </c>
      <c r="AI35" s="65">
        <v>0</v>
      </c>
      <c r="AJ35" s="65">
        <v>0</v>
      </c>
      <c r="AK35" s="65">
        <v>0</v>
      </c>
      <c r="AL35" s="65">
        <v>0</v>
      </c>
      <c r="AM35" s="65">
        <v>0</v>
      </c>
      <c r="AN35" s="66">
        <v>0</v>
      </c>
      <c r="AO35" s="66">
        <v>0</v>
      </c>
      <c r="AP35" s="66">
        <v>0</v>
      </c>
      <c r="AQ35" s="66">
        <v>0</v>
      </c>
      <c r="AR35" s="66">
        <v>0</v>
      </c>
      <c r="AS35" s="66">
        <v>0</v>
      </c>
      <c r="AT35" s="66">
        <v>0</v>
      </c>
      <c r="AU35" s="66">
        <v>0</v>
      </c>
      <c r="AV35" s="66">
        <v>0</v>
      </c>
      <c r="AW35" s="66">
        <v>0</v>
      </c>
      <c r="AX35" s="66">
        <v>0</v>
      </c>
      <c r="AY35" s="66">
        <v>0</v>
      </c>
      <c r="AZ35" s="66">
        <v>0</v>
      </c>
      <c r="BA35" s="66">
        <v>0</v>
      </c>
      <c r="BB35" s="66">
        <v>0</v>
      </c>
      <c r="BC35" s="66">
        <v>0</v>
      </c>
      <c r="BD35" s="66">
        <v>0</v>
      </c>
      <c r="BE35" s="66">
        <v>0</v>
      </c>
      <c r="BF35" s="66">
        <v>0</v>
      </c>
      <c r="BG35" s="66">
        <v>0</v>
      </c>
      <c r="BH35" s="66">
        <v>0</v>
      </c>
      <c r="BI35" s="66">
        <v>0</v>
      </c>
      <c r="BJ35" s="68">
        <v>0</v>
      </c>
      <c r="BK35" s="67">
        <v>0</v>
      </c>
      <c r="BL35" s="68">
        <v>0</v>
      </c>
      <c r="BM35" s="68">
        <v>0</v>
      </c>
      <c r="BN35" s="68">
        <v>0</v>
      </c>
      <c r="BO35" s="68">
        <v>0</v>
      </c>
      <c r="BP35" s="68">
        <v>0</v>
      </c>
      <c r="BQ35" s="68">
        <v>0</v>
      </c>
      <c r="BR35" s="68">
        <v>0</v>
      </c>
      <c r="BS35" s="68">
        <v>0</v>
      </c>
      <c r="BT35" s="68">
        <v>0</v>
      </c>
      <c r="BU35" s="68">
        <v>0</v>
      </c>
      <c r="BV35" s="68">
        <v>0</v>
      </c>
      <c r="BW35" s="68">
        <v>0</v>
      </c>
      <c r="BX35" s="68">
        <v>0</v>
      </c>
      <c r="BY35" s="68">
        <v>0</v>
      </c>
      <c r="BZ35" s="68">
        <v>0</v>
      </c>
      <c r="CA35" s="68">
        <v>0</v>
      </c>
      <c r="CB35" s="68">
        <v>0</v>
      </c>
      <c r="CC35" s="68">
        <v>0</v>
      </c>
      <c r="CD35" s="72">
        <v>0</v>
      </c>
      <c r="CE35" s="70">
        <v>0</v>
      </c>
      <c r="CF35" s="70">
        <v>0</v>
      </c>
      <c r="CG35" s="70">
        <v>0</v>
      </c>
      <c r="CH35" s="70">
        <v>0</v>
      </c>
      <c r="CI35" s="70">
        <v>0</v>
      </c>
      <c r="CJ35" s="72">
        <v>0</v>
      </c>
      <c r="CK35" s="70">
        <v>0</v>
      </c>
      <c r="CL35" s="72">
        <v>0</v>
      </c>
      <c r="CM35" s="72">
        <v>0</v>
      </c>
      <c r="CN35" s="72">
        <v>0</v>
      </c>
      <c r="CO35" s="70">
        <v>0</v>
      </c>
      <c r="CP35" s="70">
        <v>0</v>
      </c>
      <c r="CQ35" s="70">
        <v>0</v>
      </c>
      <c r="CR35" s="70">
        <v>0</v>
      </c>
      <c r="CS35" s="72">
        <v>0</v>
      </c>
      <c r="CT35" s="70">
        <v>0</v>
      </c>
      <c r="CU35" s="70">
        <v>0</v>
      </c>
      <c r="CV35" s="70">
        <v>0</v>
      </c>
    </row>
    <row r="36" spans="1:100" x14ac:dyDescent="0.25">
      <c r="A36" t="s">
        <v>456</v>
      </c>
      <c r="B36" s="49">
        <v>0</v>
      </c>
      <c r="C36" s="55">
        <v>0</v>
      </c>
      <c r="D36" s="53">
        <v>0</v>
      </c>
      <c r="E36" s="55">
        <v>0</v>
      </c>
      <c r="F36" s="53">
        <v>0</v>
      </c>
      <c r="G36" s="55">
        <v>0</v>
      </c>
      <c r="H36" s="55">
        <v>0</v>
      </c>
      <c r="I36" s="55">
        <v>0</v>
      </c>
      <c r="J36" s="55">
        <v>0</v>
      </c>
      <c r="K36" s="55">
        <v>0</v>
      </c>
      <c r="L36" s="55">
        <v>0</v>
      </c>
      <c r="M36" s="55">
        <v>0</v>
      </c>
      <c r="N36" s="55">
        <v>0</v>
      </c>
      <c r="O36" s="55">
        <v>0</v>
      </c>
      <c r="P36" s="53">
        <v>0</v>
      </c>
      <c r="Q36" s="53">
        <v>0</v>
      </c>
      <c r="R36" s="53">
        <v>0</v>
      </c>
      <c r="S36" s="55">
        <v>0</v>
      </c>
      <c r="T36" s="55">
        <v>0</v>
      </c>
      <c r="U36" s="65">
        <v>0</v>
      </c>
      <c r="V36" s="65">
        <v>0</v>
      </c>
      <c r="W36" s="65">
        <v>0</v>
      </c>
      <c r="X36" s="65">
        <v>0</v>
      </c>
      <c r="Y36" s="65">
        <v>0</v>
      </c>
      <c r="Z36" s="65">
        <v>0</v>
      </c>
      <c r="AA36" s="65">
        <v>0</v>
      </c>
      <c r="AB36" s="65">
        <v>0</v>
      </c>
      <c r="AC36" s="65">
        <v>0</v>
      </c>
      <c r="AD36" s="65">
        <v>0</v>
      </c>
      <c r="AE36" s="65">
        <v>0</v>
      </c>
      <c r="AF36" s="65">
        <v>0</v>
      </c>
      <c r="AG36" s="65">
        <v>0</v>
      </c>
      <c r="AH36" s="65">
        <v>0</v>
      </c>
      <c r="AI36" s="65">
        <v>0</v>
      </c>
      <c r="AJ36" s="65">
        <v>0</v>
      </c>
      <c r="AK36" s="65">
        <v>0</v>
      </c>
      <c r="AL36" s="65">
        <v>0</v>
      </c>
      <c r="AM36" s="65">
        <v>0</v>
      </c>
      <c r="AN36" s="66">
        <v>0</v>
      </c>
      <c r="AO36" s="66">
        <v>0</v>
      </c>
      <c r="AP36" s="66">
        <v>0</v>
      </c>
      <c r="AQ36" s="66">
        <v>0</v>
      </c>
      <c r="AR36" s="66">
        <v>0</v>
      </c>
      <c r="AS36" s="66">
        <v>0</v>
      </c>
      <c r="AT36" s="66">
        <v>0</v>
      </c>
      <c r="AU36" s="66">
        <v>0</v>
      </c>
      <c r="AV36" s="66">
        <v>0</v>
      </c>
      <c r="AW36" s="66">
        <v>0</v>
      </c>
      <c r="AX36" s="66">
        <v>0</v>
      </c>
      <c r="AY36" s="66">
        <v>0</v>
      </c>
      <c r="AZ36" s="66">
        <v>0</v>
      </c>
      <c r="BA36" s="66">
        <v>0</v>
      </c>
      <c r="BB36" s="66">
        <v>0</v>
      </c>
      <c r="BC36" s="66">
        <v>0</v>
      </c>
      <c r="BD36" s="66">
        <v>0</v>
      </c>
      <c r="BE36" s="66">
        <v>0</v>
      </c>
      <c r="BF36" s="66">
        <v>0</v>
      </c>
      <c r="BG36" s="66">
        <v>0</v>
      </c>
      <c r="BH36" s="66">
        <v>0</v>
      </c>
      <c r="BI36" s="66">
        <v>0</v>
      </c>
      <c r="BJ36" s="68">
        <v>0</v>
      </c>
      <c r="BK36" s="67">
        <v>0</v>
      </c>
      <c r="BL36" s="68">
        <v>0</v>
      </c>
      <c r="BM36" s="68">
        <v>0</v>
      </c>
      <c r="BN36" s="68">
        <v>0</v>
      </c>
      <c r="BO36" s="68">
        <v>0</v>
      </c>
      <c r="BP36" s="68">
        <v>0</v>
      </c>
      <c r="BQ36" s="68">
        <v>0</v>
      </c>
      <c r="BR36" s="68">
        <v>0</v>
      </c>
      <c r="BS36" s="68">
        <v>0</v>
      </c>
      <c r="BT36" s="68">
        <v>0</v>
      </c>
      <c r="BU36" s="68">
        <v>0</v>
      </c>
      <c r="BV36" s="68">
        <v>0</v>
      </c>
      <c r="BW36" s="68">
        <v>0</v>
      </c>
      <c r="BX36" s="68">
        <v>0</v>
      </c>
      <c r="BY36" s="68">
        <v>0</v>
      </c>
      <c r="BZ36" s="68">
        <v>0</v>
      </c>
      <c r="CA36" s="68">
        <v>0</v>
      </c>
      <c r="CB36" s="68">
        <v>0</v>
      </c>
      <c r="CC36" s="68">
        <v>0</v>
      </c>
      <c r="CD36" s="72">
        <v>0</v>
      </c>
      <c r="CE36" s="70">
        <v>0</v>
      </c>
      <c r="CF36" s="70">
        <v>0</v>
      </c>
      <c r="CG36" s="70">
        <v>0</v>
      </c>
      <c r="CH36" s="70">
        <v>0</v>
      </c>
      <c r="CI36" s="70">
        <v>0</v>
      </c>
      <c r="CJ36" s="72">
        <v>0</v>
      </c>
      <c r="CK36" s="70">
        <v>0</v>
      </c>
      <c r="CL36" s="72">
        <v>0</v>
      </c>
      <c r="CM36" s="72">
        <v>0</v>
      </c>
      <c r="CN36" s="72">
        <v>0</v>
      </c>
      <c r="CO36" s="70">
        <v>0</v>
      </c>
      <c r="CP36" s="70">
        <v>0</v>
      </c>
      <c r="CQ36" s="70">
        <v>0</v>
      </c>
      <c r="CR36" s="70">
        <v>0</v>
      </c>
      <c r="CS36" s="72">
        <v>0</v>
      </c>
      <c r="CT36" s="70">
        <v>0</v>
      </c>
      <c r="CU36" s="70">
        <v>0</v>
      </c>
      <c r="CV36" s="70">
        <v>0</v>
      </c>
    </row>
    <row r="37" spans="1:100" x14ac:dyDescent="0.25">
      <c r="A37" t="s">
        <v>457</v>
      </c>
      <c r="B37" s="49">
        <v>0</v>
      </c>
      <c r="C37" s="55">
        <v>0</v>
      </c>
      <c r="D37" s="53">
        <v>0</v>
      </c>
      <c r="E37" s="55">
        <v>0</v>
      </c>
      <c r="F37" s="53">
        <v>0</v>
      </c>
      <c r="G37" s="55">
        <v>0</v>
      </c>
      <c r="H37" s="55">
        <v>0</v>
      </c>
      <c r="I37" s="55">
        <v>0</v>
      </c>
      <c r="J37" s="55">
        <v>0</v>
      </c>
      <c r="K37" s="55">
        <v>0</v>
      </c>
      <c r="L37" s="55">
        <v>0</v>
      </c>
      <c r="M37" s="55">
        <v>0</v>
      </c>
      <c r="N37" s="55">
        <v>0</v>
      </c>
      <c r="O37" s="55">
        <v>0</v>
      </c>
      <c r="P37" s="53">
        <v>0</v>
      </c>
      <c r="Q37" s="53">
        <v>0</v>
      </c>
      <c r="R37" s="53">
        <v>0</v>
      </c>
      <c r="S37" s="55">
        <v>0</v>
      </c>
      <c r="T37" s="55">
        <v>0</v>
      </c>
      <c r="U37" s="65">
        <v>0</v>
      </c>
      <c r="V37" s="65">
        <v>0</v>
      </c>
      <c r="W37" s="65">
        <v>0</v>
      </c>
      <c r="X37" s="65">
        <v>0</v>
      </c>
      <c r="Y37" s="65">
        <v>0</v>
      </c>
      <c r="Z37" s="65">
        <v>0</v>
      </c>
      <c r="AA37" s="65">
        <v>0</v>
      </c>
      <c r="AB37" s="65">
        <v>0</v>
      </c>
      <c r="AC37" s="65">
        <v>0</v>
      </c>
      <c r="AD37" s="65">
        <v>0</v>
      </c>
      <c r="AE37" s="65">
        <v>0</v>
      </c>
      <c r="AF37" s="65">
        <v>0</v>
      </c>
      <c r="AG37" s="65">
        <v>0</v>
      </c>
      <c r="AH37" s="65">
        <v>0</v>
      </c>
      <c r="AI37" s="65">
        <v>0</v>
      </c>
      <c r="AJ37" s="65">
        <v>0</v>
      </c>
      <c r="AK37" s="65">
        <v>0</v>
      </c>
      <c r="AL37" s="65">
        <v>0</v>
      </c>
      <c r="AM37" s="65">
        <v>0</v>
      </c>
      <c r="AN37" s="66">
        <v>0</v>
      </c>
      <c r="AO37" s="66">
        <v>0</v>
      </c>
      <c r="AP37" s="66">
        <v>0</v>
      </c>
      <c r="AQ37" s="66">
        <v>0</v>
      </c>
      <c r="AR37" s="66">
        <v>0</v>
      </c>
      <c r="AS37" s="66">
        <v>0</v>
      </c>
      <c r="AT37" s="66">
        <v>0</v>
      </c>
      <c r="AU37" s="66">
        <v>0</v>
      </c>
      <c r="AV37" s="66">
        <v>0</v>
      </c>
      <c r="AW37" s="66">
        <v>0</v>
      </c>
      <c r="AX37" s="66">
        <v>0</v>
      </c>
      <c r="AY37" s="66">
        <v>0</v>
      </c>
      <c r="AZ37" s="66">
        <v>0</v>
      </c>
      <c r="BA37" s="66">
        <v>0</v>
      </c>
      <c r="BB37" s="66">
        <v>0</v>
      </c>
      <c r="BC37" s="66">
        <v>0</v>
      </c>
      <c r="BD37" s="66">
        <v>0</v>
      </c>
      <c r="BE37" s="66">
        <v>0</v>
      </c>
      <c r="BF37" s="66">
        <v>0</v>
      </c>
      <c r="BG37" s="66">
        <v>0</v>
      </c>
      <c r="BH37" s="66">
        <v>0</v>
      </c>
      <c r="BI37" s="66">
        <v>0</v>
      </c>
      <c r="BJ37" s="68">
        <v>0</v>
      </c>
      <c r="BK37" s="67">
        <v>0</v>
      </c>
      <c r="BL37" s="68">
        <v>0</v>
      </c>
      <c r="BM37" s="68">
        <v>0</v>
      </c>
      <c r="BN37" s="68">
        <v>0</v>
      </c>
      <c r="BO37" s="68">
        <v>0</v>
      </c>
      <c r="BP37" s="68">
        <v>0</v>
      </c>
      <c r="BQ37" s="68">
        <v>0</v>
      </c>
      <c r="BR37" s="68">
        <v>0</v>
      </c>
      <c r="BS37" s="68">
        <v>0</v>
      </c>
      <c r="BT37" s="68">
        <v>0</v>
      </c>
      <c r="BU37" s="68">
        <v>0</v>
      </c>
      <c r="BV37" s="68">
        <v>0</v>
      </c>
      <c r="BW37" s="68">
        <v>0</v>
      </c>
      <c r="BX37" s="68">
        <v>0</v>
      </c>
      <c r="BY37" s="68">
        <v>0</v>
      </c>
      <c r="BZ37" s="68">
        <v>0</v>
      </c>
      <c r="CA37" s="68">
        <v>0</v>
      </c>
      <c r="CB37" s="68">
        <v>0</v>
      </c>
      <c r="CC37" s="68">
        <v>0</v>
      </c>
      <c r="CD37" s="72">
        <v>0</v>
      </c>
      <c r="CE37" s="70">
        <v>0</v>
      </c>
      <c r="CF37" s="70">
        <v>0</v>
      </c>
      <c r="CG37" s="70">
        <v>0</v>
      </c>
      <c r="CH37" s="70">
        <v>0</v>
      </c>
      <c r="CI37" s="70">
        <v>0</v>
      </c>
      <c r="CJ37" s="72">
        <v>0</v>
      </c>
      <c r="CK37" s="70">
        <v>0</v>
      </c>
      <c r="CL37" s="72">
        <v>0</v>
      </c>
      <c r="CM37" s="72">
        <v>0</v>
      </c>
      <c r="CN37" s="72">
        <v>0</v>
      </c>
      <c r="CO37" s="70">
        <v>0</v>
      </c>
      <c r="CP37" s="70">
        <v>0</v>
      </c>
      <c r="CQ37" s="70">
        <v>0</v>
      </c>
      <c r="CR37" s="70">
        <v>0</v>
      </c>
      <c r="CS37" s="72">
        <v>0</v>
      </c>
      <c r="CT37" s="70">
        <v>0</v>
      </c>
      <c r="CU37" s="70">
        <v>0</v>
      </c>
      <c r="CV37" s="70">
        <v>0</v>
      </c>
    </row>
    <row r="38" spans="1:100" x14ac:dyDescent="0.25">
      <c r="A38" t="s">
        <v>458</v>
      </c>
      <c r="B38" s="49">
        <v>0</v>
      </c>
      <c r="C38" s="55">
        <v>0</v>
      </c>
      <c r="D38" s="53">
        <v>0</v>
      </c>
      <c r="E38" s="55">
        <v>0</v>
      </c>
      <c r="F38" s="53">
        <v>0</v>
      </c>
      <c r="G38" s="55">
        <v>0</v>
      </c>
      <c r="H38" s="55">
        <v>0</v>
      </c>
      <c r="I38" s="55">
        <v>0</v>
      </c>
      <c r="J38" s="55">
        <v>0</v>
      </c>
      <c r="K38" s="55">
        <v>0</v>
      </c>
      <c r="L38" s="55">
        <v>0</v>
      </c>
      <c r="M38" s="55">
        <v>0</v>
      </c>
      <c r="N38" s="55">
        <v>0</v>
      </c>
      <c r="O38" s="55">
        <v>0</v>
      </c>
      <c r="P38" s="53">
        <v>0</v>
      </c>
      <c r="Q38" s="53">
        <v>0</v>
      </c>
      <c r="R38" s="53">
        <v>0</v>
      </c>
      <c r="S38" s="55">
        <v>0</v>
      </c>
      <c r="T38" s="55">
        <v>0</v>
      </c>
      <c r="U38" s="65">
        <v>0</v>
      </c>
      <c r="V38" s="65">
        <v>0</v>
      </c>
      <c r="W38" s="65">
        <v>0</v>
      </c>
      <c r="X38" s="65">
        <v>0</v>
      </c>
      <c r="Y38" s="65">
        <v>0</v>
      </c>
      <c r="Z38" s="65">
        <v>0</v>
      </c>
      <c r="AA38" s="65">
        <v>0</v>
      </c>
      <c r="AB38" s="65">
        <v>0</v>
      </c>
      <c r="AC38" s="65">
        <v>0</v>
      </c>
      <c r="AD38" s="65">
        <v>0</v>
      </c>
      <c r="AE38" s="65">
        <v>0</v>
      </c>
      <c r="AF38" s="65">
        <v>0</v>
      </c>
      <c r="AG38" s="65">
        <v>0</v>
      </c>
      <c r="AH38" s="65">
        <v>0</v>
      </c>
      <c r="AI38" s="65">
        <v>0</v>
      </c>
      <c r="AJ38" s="65">
        <v>0</v>
      </c>
      <c r="AK38" s="65">
        <v>0</v>
      </c>
      <c r="AL38" s="65">
        <v>0</v>
      </c>
      <c r="AM38" s="65">
        <v>0</v>
      </c>
      <c r="AN38" s="66">
        <v>0</v>
      </c>
      <c r="AO38" s="66">
        <v>0</v>
      </c>
      <c r="AP38" s="66">
        <v>0</v>
      </c>
      <c r="AQ38" s="66">
        <v>0</v>
      </c>
      <c r="AR38" s="66">
        <v>0</v>
      </c>
      <c r="AS38" s="66">
        <v>0</v>
      </c>
      <c r="AT38" s="66">
        <v>0</v>
      </c>
      <c r="AU38" s="66">
        <v>0</v>
      </c>
      <c r="AV38" s="66">
        <v>0</v>
      </c>
      <c r="AW38" s="66">
        <v>0</v>
      </c>
      <c r="AX38" s="66">
        <v>0</v>
      </c>
      <c r="AY38" s="66">
        <v>0</v>
      </c>
      <c r="AZ38" s="66">
        <v>0</v>
      </c>
      <c r="BA38" s="66">
        <v>0</v>
      </c>
      <c r="BB38" s="66">
        <v>0</v>
      </c>
      <c r="BC38" s="66">
        <v>0</v>
      </c>
      <c r="BD38" s="66">
        <v>0</v>
      </c>
      <c r="BE38" s="66">
        <v>0</v>
      </c>
      <c r="BF38" s="66">
        <v>0</v>
      </c>
      <c r="BG38" s="66">
        <v>0</v>
      </c>
      <c r="BH38" s="66">
        <v>0</v>
      </c>
      <c r="BI38" s="66">
        <v>0</v>
      </c>
      <c r="BJ38" s="68">
        <v>0</v>
      </c>
      <c r="BK38" s="67">
        <v>0</v>
      </c>
      <c r="BL38" s="68">
        <v>0</v>
      </c>
      <c r="BM38" s="68">
        <v>0</v>
      </c>
      <c r="BN38" s="68">
        <v>0</v>
      </c>
      <c r="BO38" s="68">
        <v>0</v>
      </c>
      <c r="BP38" s="68">
        <v>0</v>
      </c>
      <c r="BQ38" s="68">
        <v>0</v>
      </c>
      <c r="BR38" s="68">
        <v>0</v>
      </c>
      <c r="BS38" s="68">
        <v>0</v>
      </c>
      <c r="BT38" s="68">
        <v>0</v>
      </c>
      <c r="BU38" s="68">
        <v>0</v>
      </c>
      <c r="BV38" s="68">
        <v>0</v>
      </c>
      <c r="BW38" s="68">
        <v>0</v>
      </c>
      <c r="BX38" s="68">
        <v>0</v>
      </c>
      <c r="BY38" s="68">
        <v>0</v>
      </c>
      <c r="BZ38" s="68">
        <v>0</v>
      </c>
      <c r="CA38" s="68">
        <v>0</v>
      </c>
      <c r="CB38" s="68">
        <v>0</v>
      </c>
      <c r="CC38" s="68">
        <v>0</v>
      </c>
      <c r="CD38" s="72">
        <v>0</v>
      </c>
      <c r="CE38" s="70">
        <v>0</v>
      </c>
      <c r="CF38" s="70">
        <v>0</v>
      </c>
      <c r="CG38" s="70">
        <v>0</v>
      </c>
      <c r="CH38" s="70">
        <v>0</v>
      </c>
      <c r="CI38" s="70">
        <v>0</v>
      </c>
      <c r="CJ38" s="72">
        <v>0</v>
      </c>
      <c r="CK38" s="70">
        <v>0</v>
      </c>
      <c r="CL38" s="72">
        <v>0</v>
      </c>
      <c r="CM38" s="72">
        <v>0</v>
      </c>
      <c r="CN38" s="72">
        <v>0</v>
      </c>
      <c r="CO38" s="70">
        <v>0</v>
      </c>
      <c r="CP38" s="70">
        <v>0</v>
      </c>
      <c r="CQ38" s="70">
        <v>0</v>
      </c>
      <c r="CR38" s="70">
        <v>0</v>
      </c>
      <c r="CS38" s="72">
        <v>0</v>
      </c>
      <c r="CT38" s="70">
        <v>0</v>
      </c>
      <c r="CU38" s="70">
        <v>0</v>
      </c>
      <c r="CV38" s="70">
        <v>0</v>
      </c>
    </row>
    <row r="39" spans="1:100" x14ac:dyDescent="0.25">
      <c r="A39" t="s">
        <v>459</v>
      </c>
      <c r="B39" s="49">
        <v>0</v>
      </c>
      <c r="C39" s="55">
        <v>0</v>
      </c>
      <c r="D39" s="53">
        <v>0</v>
      </c>
      <c r="E39" s="55">
        <v>0</v>
      </c>
      <c r="F39" s="53">
        <v>0</v>
      </c>
      <c r="G39" s="55">
        <v>0</v>
      </c>
      <c r="H39" s="55">
        <v>0</v>
      </c>
      <c r="I39" s="55">
        <v>0</v>
      </c>
      <c r="J39" s="55">
        <v>0</v>
      </c>
      <c r="K39" s="55">
        <v>0</v>
      </c>
      <c r="L39" s="55">
        <v>0</v>
      </c>
      <c r="M39" s="55">
        <v>0</v>
      </c>
      <c r="N39" s="55">
        <v>0</v>
      </c>
      <c r="O39" s="55">
        <v>0</v>
      </c>
      <c r="P39" s="53">
        <v>0</v>
      </c>
      <c r="Q39" s="53">
        <v>0</v>
      </c>
      <c r="R39" s="53">
        <v>0</v>
      </c>
      <c r="S39" s="55">
        <v>0</v>
      </c>
      <c r="T39" s="55">
        <v>0</v>
      </c>
      <c r="U39" s="65">
        <v>0</v>
      </c>
      <c r="V39" s="65">
        <v>0</v>
      </c>
      <c r="W39" s="65">
        <v>0</v>
      </c>
      <c r="X39" s="65">
        <v>0</v>
      </c>
      <c r="Y39" s="65">
        <v>0</v>
      </c>
      <c r="Z39" s="65">
        <v>0</v>
      </c>
      <c r="AA39" s="65">
        <v>0</v>
      </c>
      <c r="AB39" s="65">
        <v>0</v>
      </c>
      <c r="AC39" s="65">
        <v>0</v>
      </c>
      <c r="AD39" s="65">
        <v>0</v>
      </c>
      <c r="AE39" s="65">
        <v>0</v>
      </c>
      <c r="AF39" s="65">
        <v>0</v>
      </c>
      <c r="AG39" s="65">
        <v>0</v>
      </c>
      <c r="AH39" s="65">
        <v>0</v>
      </c>
      <c r="AI39" s="65">
        <v>0</v>
      </c>
      <c r="AJ39" s="65">
        <v>0</v>
      </c>
      <c r="AK39" s="65">
        <v>0</v>
      </c>
      <c r="AL39" s="65">
        <v>0</v>
      </c>
      <c r="AM39" s="65">
        <v>0</v>
      </c>
      <c r="AN39" s="66">
        <v>0</v>
      </c>
      <c r="AO39" s="66">
        <v>0</v>
      </c>
      <c r="AP39" s="66">
        <v>0</v>
      </c>
      <c r="AQ39" s="66">
        <v>0</v>
      </c>
      <c r="AR39" s="66">
        <v>0</v>
      </c>
      <c r="AS39" s="66">
        <v>0</v>
      </c>
      <c r="AT39" s="66">
        <v>0</v>
      </c>
      <c r="AU39" s="66">
        <v>0</v>
      </c>
      <c r="AV39" s="66">
        <v>0</v>
      </c>
      <c r="AW39" s="66">
        <v>0</v>
      </c>
      <c r="AX39" s="66">
        <v>0</v>
      </c>
      <c r="AY39" s="66">
        <v>0</v>
      </c>
      <c r="AZ39" s="66">
        <v>0</v>
      </c>
      <c r="BA39" s="66">
        <v>0</v>
      </c>
      <c r="BB39" s="66">
        <v>0</v>
      </c>
      <c r="BC39" s="66">
        <v>0</v>
      </c>
      <c r="BD39" s="66">
        <v>0</v>
      </c>
      <c r="BE39" s="66">
        <v>0</v>
      </c>
      <c r="BF39" s="66">
        <v>0</v>
      </c>
      <c r="BG39" s="66">
        <v>0</v>
      </c>
      <c r="BH39" s="66">
        <v>0</v>
      </c>
      <c r="BI39" s="66">
        <v>0</v>
      </c>
      <c r="BJ39" s="68">
        <v>0</v>
      </c>
      <c r="BK39" s="67">
        <v>0</v>
      </c>
      <c r="BL39" s="68">
        <v>0</v>
      </c>
      <c r="BM39" s="68">
        <v>0</v>
      </c>
      <c r="BN39" s="68">
        <v>0</v>
      </c>
      <c r="BO39" s="68">
        <v>0</v>
      </c>
      <c r="BP39" s="68">
        <v>0</v>
      </c>
      <c r="BQ39" s="68">
        <v>0</v>
      </c>
      <c r="BR39" s="68">
        <v>0</v>
      </c>
      <c r="BS39" s="68">
        <v>0</v>
      </c>
      <c r="BT39" s="68">
        <v>0</v>
      </c>
      <c r="BU39" s="68">
        <v>0</v>
      </c>
      <c r="BV39" s="68">
        <v>0</v>
      </c>
      <c r="BW39" s="68">
        <v>0</v>
      </c>
      <c r="BX39" s="68">
        <v>0</v>
      </c>
      <c r="BY39" s="68">
        <v>0</v>
      </c>
      <c r="BZ39" s="68">
        <v>0</v>
      </c>
      <c r="CA39" s="68">
        <v>0</v>
      </c>
      <c r="CB39" s="68">
        <v>0</v>
      </c>
      <c r="CC39" s="68">
        <v>0</v>
      </c>
      <c r="CD39" s="72">
        <v>0</v>
      </c>
      <c r="CE39" s="70">
        <v>0</v>
      </c>
      <c r="CF39" s="70">
        <v>0</v>
      </c>
      <c r="CG39" s="70">
        <v>0</v>
      </c>
      <c r="CH39" s="70">
        <v>0</v>
      </c>
      <c r="CI39" s="70">
        <v>0</v>
      </c>
      <c r="CJ39" s="72">
        <v>0</v>
      </c>
      <c r="CK39" s="70">
        <v>0</v>
      </c>
      <c r="CL39" s="72">
        <v>0</v>
      </c>
      <c r="CM39" s="72">
        <v>0</v>
      </c>
      <c r="CN39" s="72">
        <v>0</v>
      </c>
      <c r="CO39" s="70">
        <v>0</v>
      </c>
      <c r="CP39" s="70">
        <v>0</v>
      </c>
      <c r="CQ39" s="70">
        <v>0</v>
      </c>
      <c r="CR39" s="70">
        <v>0</v>
      </c>
      <c r="CS39" s="72">
        <v>0</v>
      </c>
      <c r="CT39" s="70">
        <v>0</v>
      </c>
      <c r="CU39" s="70">
        <v>0</v>
      </c>
      <c r="CV39" s="70">
        <v>0</v>
      </c>
    </row>
    <row r="40" spans="1:100" x14ac:dyDescent="0.25">
      <c r="A40" t="s">
        <v>460</v>
      </c>
      <c r="B40" s="49">
        <v>0</v>
      </c>
      <c r="C40" s="55">
        <v>0</v>
      </c>
      <c r="D40" s="53">
        <v>0</v>
      </c>
      <c r="E40" s="55">
        <v>0</v>
      </c>
      <c r="F40" s="53">
        <v>0</v>
      </c>
      <c r="G40" s="55">
        <v>0</v>
      </c>
      <c r="H40" s="55">
        <v>0</v>
      </c>
      <c r="I40" s="55">
        <v>0</v>
      </c>
      <c r="J40" s="55">
        <v>0</v>
      </c>
      <c r="K40" s="55">
        <v>0</v>
      </c>
      <c r="L40" s="55">
        <v>0</v>
      </c>
      <c r="M40" s="55">
        <v>0</v>
      </c>
      <c r="N40" s="55">
        <v>0</v>
      </c>
      <c r="O40" s="55">
        <v>0</v>
      </c>
      <c r="P40" s="53">
        <v>0</v>
      </c>
      <c r="Q40" s="53">
        <v>0</v>
      </c>
      <c r="R40" s="53">
        <v>0</v>
      </c>
      <c r="S40" s="55">
        <v>0</v>
      </c>
      <c r="T40" s="55">
        <v>0</v>
      </c>
      <c r="U40" s="65">
        <v>0</v>
      </c>
      <c r="V40" s="65">
        <v>0</v>
      </c>
      <c r="W40" s="65">
        <v>0</v>
      </c>
      <c r="X40" s="65">
        <v>0</v>
      </c>
      <c r="Y40" s="65">
        <v>0</v>
      </c>
      <c r="Z40" s="65">
        <v>0</v>
      </c>
      <c r="AA40" s="65">
        <v>0</v>
      </c>
      <c r="AB40" s="65">
        <v>0</v>
      </c>
      <c r="AC40" s="65">
        <v>0</v>
      </c>
      <c r="AD40" s="65">
        <v>0</v>
      </c>
      <c r="AE40" s="65">
        <v>0</v>
      </c>
      <c r="AF40" s="65">
        <v>0</v>
      </c>
      <c r="AG40" s="65">
        <v>0</v>
      </c>
      <c r="AH40" s="65">
        <v>0</v>
      </c>
      <c r="AI40" s="65">
        <v>0</v>
      </c>
      <c r="AJ40" s="65">
        <v>0</v>
      </c>
      <c r="AK40" s="65">
        <v>0</v>
      </c>
      <c r="AL40" s="65">
        <v>0</v>
      </c>
      <c r="AM40" s="65">
        <v>0</v>
      </c>
      <c r="AN40" s="66">
        <v>0</v>
      </c>
      <c r="AO40" s="66">
        <v>0</v>
      </c>
      <c r="AP40" s="66">
        <v>0</v>
      </c>
      <c r="AQ40" s="66">
        <v>0</v>
      </c>
      <c r="AR40" s="66">
        <v>0</v>
      </c>
      <c r="AS40" s="66">
        <v>0</v>
      </c>
      <c r="AT40" s="66">
        <v>0</v>
      </c>
      <c r="AU40" s="66">
        <v>0</v>
      </c>
      <c r="AV40" s="66">
        <v>0</v>
      </c>
      <c r="AW40" s="66">
        <v>0</v>
      </c>
      <c r="AX40" s="66">
        <v>0</v>
      </c>
      <c r="AY40" s="66">
        <v>0</v>
      </c>
      <c r="AZ40" s="66">
        <v>0</v>
      </c>
      <c r="BA40" s="66">
        <v>0</v>
      </c>
      <c r="BB40" s="66">
        <v>0</v>
      </c>
      <c r="BC40" s="66">
        <v>0</v>
      </c>
      <c r="BD40" s="66">
        <v>0</v>
      </c>
      <c r="BE40" s="66">
        <v>0</v>
      </c>
      <c r="BF40" s="66">
        <v>0</v>
      </c>
      <c r="BG40" s="66">
        <v>0</v>
      </c>
      <c r="BH40" s="66">
        <v>0</v>
      </c>
      <c r="BI40" s="66">
        <v>0</v>
      </c>
      <c r="BJ40" s="68">
        <v>0</v>
      </c>
      <c r="BK40" s="67">
        <v>0</v>
      </c>
      <c r="BL40" s="68">
        <v>0</v>
      </c>
      <c r="BM40" s="68">
        <v>0</v>
      </c>
      <c r="BN40" s="68">
        <v>0</v>
      </c>
      <c r="BO40" s="68">
        <v>0</v>
      </c>
      <c r="BP40" s="68">
        <v>0</v>
      </c>
      <c r="BQ40" s="68">
        <v>0</v>
      </c>
      <c r="BR40" s="68">
        <v>0</v>
      </c>
      <c r="BS40" s="68">
        <v>0</v>
      </c>
      <c r="BT40" s="68">
        <v>0</v>
      </c>
      <c r="BU40" s="68">
        <v>0</v>
      </c>
      <c r="BV40" s="68">
        <v>0</v>
      </c>
      <c r="BW40" s="68">
        <v>0</v>
      </c>
      <c r="BX40" s="68">
        <v>0</v>
      </c>
      <c r="BY40" s="68">
        <v>0</v>
      </c>
      <c r="BZ40" s="68">
        <v>0</v>
      </c>
      <c r="CA40" s="68">
        <v>0</v>
      </c>
      <c r="CB40" s="68">
        <v>0</v>
      </c>
      <c r="CC40" s="68">
        <v>0</v>
      </c>
      <c r="CD40" s="72">
        <v>0</v>
      </c>
      <c r="CE40" s="72">
        <v>0</v>
      </c>
      <c r="CF40" s="70">
        <v>0</v>
      </c>
      <c r="CG40" s="70">
        <v>0</v>
      </c>
      <c r="CH40" s="70">
        <v>0</v>
      </c>
      <c r="CI40" s="70">
        <v>0</v>
      </c>
      <c r="CJ40" s="72">
        <v>0</v>
      </c>
      <c r="CK40" s="70">
        <v>0</v>
      </c>
      <c r="CL40" s="72">
        <v>0</v>
      </c>
      <c r="CM40" s="72">
        <v>0</v>
      </c>
      <c r="CN40" s="72">
        <v>0</v>
      </c>
      <c r="CO40" s="70">
        <v>0</v>
      </c>
      <c r="CP40" s="70">
        <v>0</v>
      </c>
      <c r="CQ40" s="70">
        <v>0</v>
      </c>
      <c r="CR40" s="70">
        <v>0</v>
      </c>
      <c r="CS40" s="72">
        <v>0</v>
      </c>
      <c r="CT40" s="70">
        <v>0</v>
      </c>
      <c r="CU40" s="70">
        <v>0</v>
      </c>
      <c r="CV40" s="70">
        <v>0</v>
      </c>
    </row>
    <row r="41" spans="1:100" x14ac:dyDescent="0.25">
      <c r="A41" t="s">
        <v>420</v>
      </c>
      <c r="B41" s="49">
        <v>0</v>
      </c>
      <c r="C41" s="49">
        <v>0</v>
      </c>
      <c r="D41" s="49">
        <v>0</v>
      </c>
      <c r="E41" s="49">
        <v>0</v>
      </c>
      <c r="F41" s="49">
        <v>0</v>
      </c>
      <c r="G41" s="49">
        <v>0</v>
      </c>
      <c r="H41" s="49">
        <v>0</v>
      </c>
      <c r="I41" s="49">
        <v>0</v>
      </c>
      <c r="J41" s="49">
        <v>0</v>
      </c>
      <c r="K41" s="49">
        <v>0</v>
      </c>
      <c r="L41" s="49">
        <v>0</v>
      </c>
      <c r="M41" s="49">
        <v>0</v>
      </c>
      <c r="N41" s="49">
        <v>0</v>
      </c>
      <c r="O41" s="49">
        <v>0</v>
      </c>
      <c r="P41" s="49">
        <v>0</v>
      </c>
      <c r="Q41" s="49">
        <v>0</v>
      </c>
      <c r="R41" s="49">
        <v>0</v>
      </c>
      <c r="S41" s="49">
        <v>0</v>
      </c>
      <c r="T41" s="49">
        <v>0</v>
      </c>
      <c r="U41" s="65">
        <v>0</v>
      </c>
      <c r="V41" s="65">
        <v>0</v>
      </c>
      <c r="W41" s="65">
        <v>0</v>
      </c>
      <c r="X41" s="65">
        <v>0</v>
      </c>
      <c r="Y41" s="65">
        <v>0</v>
      </c>
      <c r="Z41" s="65">
        <v>0</v>
      </c>
      <c r="AA41" s="65">
        <v>0</v>
      </c>
      <c r="AB41" s="65">
        <v>0</v>
      </c>
      <c r="AC41" s="65">
        <v>0</v>
      </c>
      <c r="AD41" s="65">
        <v>0</v>
      </c>
      <c r="AE41" s="65">
        <v>0</v>
      </c>
      <c r="AF41" s="65">
        <v>0</v>
      </c>
      <c r="AG41" s="65">
        <v>0</v>
      </c>
      <c r="AH41" s="65">
        <v>0</v>
      </c>
      <c r="AI41" s="65">
        <v>0</v>
      </c>
      <c r="AJ41" s="65">
        <v>0</v>
      </c>
      <c r="AK41" s="65">
        <v>0</v>
      </c>
      <c r="AL41" s="65">
        <v>0</v>
      </c>
      <c r="AM41" s="65">
        <v>0</v>
      </c>
      <c r="AN41" s="66">
        <v>0</v>
      </c>
      <c r="AO41" s="66">
        <v>0</v>
      </c>
      <c r="AP41" s="66">
        <v>0</v>
      </c>
      <c r="AQ41" s="66">
        <v>0</v>
      </c>
      <c r="AR41" s="66">
        <v>0</v>
      </c>
      <c r="AS41" s="66">
        <v>0</v>
      </c>
      <c r="AT41" s="66">
        <f>6%+(char1Refine-1)*2%</f>
        <v>0.1</v>
      </c>
      <c r="AU41" s="66">
        <v>0</v>
      </c>
      <c r="AV41" s="66">
        <v>0</v>
      </c>
      <c r="AW41" s="66">
        <v>0</v>
      </c>
      <c r="AX41" s="66">
        <v>0</v>
      </c>
      <c r="AY41" s="66">
        <v>0</v>
      </c>
      <c r="AZ41" s="66">
        <v>0</v>
      </c>
      <c r="BA41" s="66">
        <v>0</v>
      </c>
      <c r="BB41" s="66">
        <v>0</v>
      </c>
      <c r="BC41" s="66">
        <v>0</v>
      </c>
      <c r="BD41" s="66">
        <v>0</v>
      </c>
      <c r="BE41" s="66">
        <v>0</v>
      </c>
      <c r="BF41" s="66">
        <v>0</v>
      </c>
      <c r="BG41" s="66">
        <v>0</v>
      </c>
      <c r="BH41" s="66">
        <v>0</v>
      </c>
      <c r="BI41" s="66">
        <v>0</v>
      </c>
      <c r="BJ41" s="68">
        <v>0</v>
      </c>
      <c r="BK41" s="67">
        <v>0</v>
      </c>
      <c r="BL41" s="68">
        <v>0</v>
      </c>
      <c r="BM41" s="68">
        <v>0</v>
      </c>
      <c r="BN41" s="68">
        <v>0</v>
      </c>
      <c r="BO41" s="68">
        <v>0</v>
      </c>
      <c r="BP41" s="68">
        <v>0</v>
      </c>
      <c r="BQ41" s="68">
        <v>0</v>
      </c>
      <c r="BR41" s="68">
        <v>0</v>
      </c>
      <c r="BS41" s="68">
        <v>0</v>
      </c>
      <c r="BT41" s="68">
        <v>0</v>
      </c>
      <c r="BU41" s="68">
        <v>0</v>
      </c>
      <c r="BV41" s="68">
        <v>0</v>
      </c>
      <c r="BW41" s="68">
        <v>0</v>
      </c>
      <c r="BX41" s="68">
        <v>0</v>
      </c>
      <c r="BY41" s="68">
        <v>0</v>
      </c>
      <c r="BZ41" s="68">
        <v>0</v>
      </c>
      <c r="CA41" s="68">
        <v>0</v>
      </c>
      <c r="CB41" s="68">
        <v>0</v>
      </c>
      <c r="CC41" s="68">
        <v>0</v>
      </c>
      <c r="CD41" s="72">
        <v>0</v>
      </c>
      <c r="CE41" s="72">
        <v>0</v>
      </c>
      <c r="CF41" s="72">
        <v>0</v>
      </c>
      <c r="CG41" s="72">
        <v>0</v>
      </c>
      <c r="CH41" s="72">
        <v>0</v>
      </c>
      <c r="CI41" s="72">
        <v>0</v>
      </c>
      <c r="CJ41" s="72">
        <v>0</v>
      </c>
      <c r="CK41" s="72">
        <v>0</v>
      </c>
      <c r="CL41" s="72">
        <v>0</v>
      </c>
      <c r="CM41" s="72">
        <v>0</v>
      </c>
      <c r="CN41" s="72">
        <v>0</v>
      </c>
      <c r="CO41" s="72">
        <v>0</v>
      </c>
      <c r="CP41" s="72">
        <v>0</v>
      </c>
      <c r="CQ41" s="72">
        <v>0</v>
      </c>
      <c r="CR41" s="72">
        <v>0</v>
      </c>
      <c r="CS41" s="72">
        <v>0</v>
      </c>
      <c r="CT41" s="72">
        <v>0</v>
      </c>
      <c r="CU41" s="72">
        <v>0</v>
      </c>
      <c r="CV41" s="72">
        <v>0</v>
      </c>
    </row>
    <row r="42" spans="1:100" x14ac:dyDescent="0.25">
      <c r="A42" t="s">
        <v>419</v>
      </c>
      <c r="B42" s="49">
        <v>0</v>
      </c>
      <c r="C42" s="49">
        <v>0</v>
      </c>
      <c r="D42" s="49">
        <v>0</v>
      </c>
      <c r="E42" s="49">
        <v>0</v>
      </c>
      <c r="F42" s="49">
        <v>0</v>
      </c>
      <c r="G42" s="49">
        <v>0</v>
      </c>
      <c r="H42" s="49">
        <v>0</v>
      </c>
      <c r="I42" s="49">
        <v>0</v>
      </c>
      <c r="J42" s="49">
        <v>0</v>
      </c>
      <c r="K42" s="49">
        <v>0</v>
      </c>
      <c r="L42" s="49">
        <v>0</v>
      </c>
      <c r="M42" s="49">
        <v>0</v>
      </c>
      <c r="N42" s="49">
        <v>0</v>
      </c>
      <c r="O42" s="49">
        <v>0</v>
      </c>
      <c r="P42" s="49">
        <v>0</v>
      </c>
      <c r="Q42" s="49">
        <v>0</v>
      </c>
      <c r="R42" s="49">
        <v>0</v>
      </c>
      <c r="S42" s="49">
        <v>0</v>
      </c>
      <c r="T42" s="49">
        <v>0</v>
      </c>
      <c r="U42" s="65">
        <v>0</v>
      </c>
      <c r="V42" s="65">
        <v>0</v>
      </c>
      <c r="W42" s="65">
        <v>0</v>
      </c>
      <c r="X42" s="65">
        <v>0</v>
      </c>
      <c r="Y42" s="65">
        <v>0</v>
      </c>
      <c r="Z42" s="65">
        <v>0</v>
      </c>
      <c r="AA42" s="65">
        <f>6%+(char1Refine-1)*1.5%</f>
        <v>0.09</v>
      </c>
      <c r="AB42" s="65">
        <v>0</v>
      </c>
      <c r="AC42" s="65">
        <v>0</v>
      </c>
      <c r="AD42" s="65">
        <v>0</v>
      </c>
      <c r="AE42" s="65">
        <v>0</v>
      </c>
      <c r="AF42" s="65">
        <v>0</v>
      </c>
      <c r="AG42" s="65">
        <v>0</v>
      </c>
      <c r="AH42" s="65">
        <v>0</v>
      </c>
      <c r="AI42" s="65">
        <v>0</v>
      </c>
      <c r="AJ42" s="65">
        <v>0</v>
      </c>
      <c r="AK42" s="65">
        <v>0</v>
      </c>
      <c r="AL42" s="65">
        <v>0</v>
      </c>
      <c r="AM42" s="65">
        <v>0</v>
      </c>
      <c r="AN42" s="66">
        <v>0</v>
      </c>
      <c r="AO42" s="66">
        <v>0</v>
      </c>
      <c r="AP42" s="66">
        <v>0</v>
      </c>
      <c r="AQ42" s="66">
        <v>0</v>
      </c>
      <c r="AR42" s="66">
        <v>0</v>
      </c>
      <c r="AS42" s="66">
        <v>0</v>
      </c>
      <c r="AT42" s="66">
        <v>0</v>
      </c>
      <c r="AU42" s="66">
        <v>0</v>
      </c>
      <c r="AV42" s="66">
        <v>0</v>
      </c>
      <c r="AW42" s="66">
        <v>0</v>
      </c>
      <c r="AX42" s="66">
        <v>0</v>
      </c>
      <c r="AY42" s="66">
        <v>0</v>
      </c>
      <c r="AZ42" s="66">
        <v>0</v>
      </c>
      <c r="BA42" s="66">
        <v>0</v>
      </c>
      <c r="BB42" s="66">
        <v>0</v>
      </c>
      <c r="BC42" s="66">
        <v>0</v>
      </c>
      <c r="BD42" s="66">
        <v>0</v>
      </c>
      <c r="BE42" s="66">
        <v>0</v>
      </c>
      <c r="BF42" s="66">
        <v>0</v>
      </c>
      <c r="BG42" s="66">
        <v>0</v>
      </c>
      <c r="BH42" s="66">
        <v>0</v>
      </c>
      <c r="BI42" s="66">
        <v>0</v>
      </c>
      <c r="BJ42" s="68">
        <v>0</v>
      </c>
      <c r="BK42" s="67">
        <v>0</v>
      </c>
      <c r="BL42" s="68">
        <v>0</v>
      </c>
      <c r="BM42" s="68">
        <v>0</v>
      </c>
      <c r="BN42" s="68">
        <v>0</v>
      </c>
      <c r="BO42" s="68">
        <v>0</v>
      </c>
      <c r="BP42" s="68">
        <v>0</v>
      </c>
      <c r="BQ42" s="68">
        <v>0</v>
      </c>
      <c r="BR42" s="68">
        <v>0</v>
      </c>
      <c r="BS42" s="68">
        <v>0</v>
      </c>
      <c r="BT42" s="68">
        <v>0</v>
      </c>
      <c r="BU42" s="68">
        <v>0</v>
      </c>
      <c r="BV42" s="68">
        <v>0</v>
      </c>
      <c r="BW42" s="68">
        <v>0</v>
      </c>
      <c r="BX42" s="68">
        <v>0</v>
      </c>
      <c r="BY42" s="68">
        <v>0</v>
      </c>
      <c r="BZ42" s="68">
        <v>0</v>
      </c>
      <c r="CA42" s="68">
        <v>0</v>
      </c>
      <c r="CB42" s="68">
        <v>0</v>
      </c>
      <c r="CC42" s="68">
        <v>0</v>
      </c>
      <c r="CD42" s="72">
        <v>0</v>
      </c>
      <c r="CE42" s="72">
        <v>0</v>
      </c>
      <c r="CF42" s="72">
        <v>0</v>
      </c>
      <c r="CG42" s="72">
        <v>0</v>
      </c>
      <c r="CH42" s="72">
        <v>0</v>
      </c>
      <c r="CI42" s="72">
        <v>0</v>
      </c>
      <c r="CJ42" s="72">
        <v>0</v>
      </c>
      <c r="CK42" s="72">
        <v>0</v>
      </c>
      <c r="CL42" s="72">
        <v>0</v>
      </c>
      <c r="CM42" s="72">
        <v>0</v>
      </c>
      <c r="CN42" s="72">
        <v>0</v>
      </c>
      <c r="CO42" s="72">
        <v>0</v>
      </c>
      <c r="CP42" s="72">
        <v>0</v>
      </c>
      <c r="CQ42" s="72">
        <v>0</v>
      </c>
      <c r="CR42" s="72">
        <v>0</v>
      </c>
      <c r="CS42" s="72">
        <v>0</v>
      </c>
      <c r="CT42" s="72">
        <v>0</v>
      </c>
      <c r="CU42" s="72">
        <v>0</v>
      </c>
      <c r="CV42" s="72">
        <v>0</v>
      </c>
    </row>
    <row r="43" spans="1:100" x14ac:dyDescent="0.25">
      <c r="A43" t="s">
        <v>421</v>
      </c>
      <c r="B43" s="49">
        <v>0</v>
      </c>
      <c r="C43" s="49">
        <v>0</v>
      </c>
      <c r="D43" s="49">
        <v>0</v>
      </c>
      <c r="E43" s="49">
        <v>0</v>
      </c>
      <c r="F43" s="49">
        <v>0</v>
      </c>
      <c r="G43" s="49">
        <v>0</v>
      </c>
      <c r="H43" s="49">
        <v>0</v>
      </c>
      <c r="I43" s="49">
        <v>0</v>
      </c>
      <c r="J43" s="49">
        <v>0</v>
      </c>
      <c r="K43" s="49">
        <v>0</v>
      </c>
      <c r="L43" s="49">
        <v>0</v>
      </c>
      <c r="M43" s="49">
        <v>0</v>
      </c>
      <c r="N43" s="49">
        <v>0</v>
      </c>
      <c r="O43" s="49">
        <v>0</v>
      </c>
      <c r="P43" s="49">
        <v>0</v>
      </c>
      <c r="Q43" s="49">
        <v>0</v>
      </c>
      <c r="R43" s="49">
        <v>0</v>
      </c>
      <c r="S43" s="49">
        <v>0</v>
      </c>
      <c r="T43" s="49">
        <v>0</v>
      </c>
      <c r="U43" s="65">
        <v>0</v>
      </c>
      <c r="V43" s="65">
        <v>0</v>
      </c>
      <c r="W43" s="65">
        <v>0</v>
      </c>
      <c r="X43" s="65">
        <v>0</v>
      </c>
      <c r="Y43" s="65">
        <v>0</v>
      </c>
      <c r="Z43" s="65">
        <v>0</v>
      </c>
      <c r="AA43" s="65">
        <v>0</v>
      </c>
      <c r="AB43" s="65">
        <v>0</v>
      </c>
      <c r="AC43" s="65">
        <v>0</v>
      </c>
      <c r="AD43" s="65">
        <v>0</v>
      </c>
      <c r="AE43" s="65">
        <v>0</v>
      </c>
      <c r="AF43" s="65">
        <v>0</v>
      </c>
      <c r="AG43" s="65">
        <v>0</v>
      </c>
      <c r="AH43" s="65">
        <v>0</v>
      </c>
      <c r="AI43" s="65">
        <v>0</v>
      </c>
      <c r="AJ43" s="65">
        <v>0</v>
      </c>
      <c r="AK43" s="65">
        <v>0</v>
      </c>
      <c r="AL43" s="65">
        <v>0</v>
      </c>
      <c r="AM43" s="65">
        <v>0</v>
      </c>
      <c r="AN43" s="66">
        <v>0</v>
      </c>
      <c r="AO43" s="66">
        <v>0</v>
      </c>
      <c r="AP43" s="66">
        <v>0</v>
      </c>
      <c r="AQ43" s="66">
        <v>0</v>
      </c>
      <c r="AR43" s="66">
        <v>0</v>
      </c>
      <c r="AS43" s="66">
        <v>0</v>
      </c>
      <c r="AT43" s="66">
        <v>0</v>
      </c>
      <c r="AU43" s="66">
        <v>0</v>
      </c>
      <c r="AV43" s="66">
        <v>0</v>
      </c>
      <c r="AW43" s="66">
        <v>0</v>
      </c>
      <c r="AX43" s="66">
        <v>0</v>
      </c>
      <c r="AY43" s="66">
        <v>0</v>
      </c>
      <c r="AZ43" s="66">
        <v>0</v>
      </c>
      <c r="BA43" s="66">
        <v>0</v>
      </c>
      <c r="BB43" s="66">
        <v>0</v>
      </c>
      <c r="BC43" s="66">
        <v>0</v>
      </c>
      <c r="BD43" s="66">
        <v>0</v>
      </c>
      <c r="BE43" s="66">
        <v>0</v>
      </c>
      <c r="BF43" s="66">
        <v>0</v>
      </c>
      <c r="BG43" s="66">
        <v>0</v>
      </c>
      <c r="BH43" s="66">
        <v>0</v>
      </c>
      <c r="BI43" s="66">
        <v>0</v>
      </c>
      <c r="BJ43" s="68">
        <v>0</v>
      </c>
      <c r="BK43" s="67">
        <v>0</v>
      </c>
      <c r="BL43" s="68">
        <v>0</v>
      </c>
      <c r="BM43" s="68">
        <v>0</v>
      </c>
      <c r="BN43" s="68">
        <v>0</v>
      </c>
      <c r="BO43" s="68">
        <v>0</v>
      </c>
      <c r="BP43" s="68">
        <v>0</v>
      </c>
      <c r="BQ43" s="68">
        <v>0</v>
      </c>
      <c r="BR43" s="68">
        <v>0</v>
      </c>
      <c r="BS43" s="68">
        <v>0</v>
      </c>
      <c r="BT43" s="68">
        <v>0</v>
      </c>
      <c r="BU43" s="68">
        <v>0</v>
      </c>
      <c r="BV43" s="68">
        <v>0</v>
      </c>
      <c r="BW43" s="68">
        <v>0</v>
      </c>
      <c r="BX43" s="68">
        <v>0</v>
      </c>
      <c r="BY43" s="68">
        <v>0</v>
      </c>
      <c r="BZ43" s="68">
        <v>0</v>
      </c>
      <c r="CA43" s="68">
        <v>0</v>
      </c>
      <c r="CB43" s="68">
        <v>0</v>
      </c>
      <c r="CC43" s="68">
        <v>0</v>
      </c>
      <c r="CD43" s="72">
        <v>0</v>
      </c>
      <c r="CE43" s="72">
        <v>0</v>
      </c>
      <c r="CF43" s="72">
        <v>0</v>
      </c>
      <c r="CG43" s="72">
        <v>0</v>
      </c>
      <c r="CH43" s="72">
        <v>0</v>
      </c>
      <c r="CI43" s="72">
        <v>0</v>
      </c>
      <c r="CJ43" s="72">
        <v>0</v>
      </c>
      <c r="CK43" s="72">
        <v>0</v>
      </c>
      <c r="CL43" s="72">
        <v>0</v>
      </c>
      <c r="CM43" s="72">
        <v>0</v>
      </c>
      <c r="CN43" s="72">
        <v>0</v>
      </c>
      <c r="CO43" s="72">
        <v>0</v>
      </c>
      <c r="CP43" s="72">
        <v>0</v>
      </c>
      <c r="CQ43" s="72">
        <v>0</v>
      </c>
      <c r="CR43" s="72">
        <v>0</v>
      </c>
      <c r="CS43" s="72">
        <v>0</v>
      </c>
      <c r="CT43" s="72">
        <v>0</v>
      </c>
      <c r="CU43" s="72">
        <v>0</v>
      </c>
      <c r="CV43" s="72">
        <v>0</v>
      </c>
    </row>
    <row r="44" spans="1:100" x14ac:dyDescent="0.25">
      <c r="A44" t="s">
        <v>433</v>
      </c>
      <c r="B44" s="49">
        <v>0</v>
      </c>
      <c r="C44" s="49">
        <v>0</v>
      </c>
      <c r="D44" s="49">
        <v>0</v>
      </c>
      <c r="E44" s="49">
        <v>0</v>
      </c>
      <c r="F44" s="49">
        <v>0</v>
      </c>
      <c r="G44" s="49">
        <v>0</v>
      </c>
      <c r="H44" s="49">
        <v>0</v>
      </c>
      <c r="I44" s="49">
        <v>0</v>
      </c>
      <c r="J44" s="49">
        <v>0</v>
      </c>
      <c r="K44" s="49">
        <v>0</v>
      </c>
      <c r="L44" s="49">
        <v>0</v>
      </c>
      <c r="M44" s="49">
        <v>0</v>
      </c>
      <c r="N44" s="49">
        <v>0</v>
      </c>
      <c r="O44" s="49">
        <v>0</v>
      </c>
      <c r="P44" s="49">
        <v>0</v>
      </c>
      <c r="Q44" s="49">
        <v>0</v>
      </c>
      <c r="R44" s="49">
        <v>0</v>
      </c>
      <c r="S44" s="49">
        <v>0</v>
      </c>
      <c r="T44" s="49">
        <v>0</v>
      </c>
      <c r="U44" s="65">
        <v>0</v>
      </c>
      <c r="V44" s="65">
        <v>0</v>
      </c>
      <c r="W44" s="65">
        <v>0</v>
      </c>
      <c r="X44" s="65">
        <v>0</v>
      </c>
      <c r="Y44" s="65">
        <v>0</v>
      </c>
      <c r="Z44" s="65">
        <v>0</v>
      </c>
      <c r="AA44" s="65">
        <v>0</v>
      </c>
      <c r="AB44" s="65">
        <v>0</v>
      </c>
      <c r="AC44" s="65">
        <v>0</v>
      </c>
      <c r="AD44" s="65">
        <v>0</v>
      </c>
      <c r="AE44" s="65">
        <v>0</v>
      </c>
      <c r="AF44" s="65">
        <v>0</v>
      </c>
      <c r="AG44" s="65">
        <v>0</v>
      </c>
      <c r="AH44" s="65">
        <v>0</v>
      </c>
      <c r="AI44" s="65">
        <v>0</v>
      </c>
      <c r="AJ44" s="65">
        <v>0</v>
      </c>
      <c r="AK44" s="65">
        <v>0</v>
      </c>
      <c r="AL44" s="65">
        <v>0</v>
      </c>
      <c r="AM44" s="65">
        <v>0</v>
      </c>
      <c r="AN44" s="66">
        <v>0</v>
      </c>
      <c r="AO44" s="66">
        <v>0</v>
      </c>
      <c r="AP44" s="66">
        <v>0</v>
      </c>
      <c r="AQ44" s="66">
        <v>0</v>
      </c>
      <c r="AR44" s="66">
        <v>0</v>
      </c>
      <c r="AS44" s="66">
        <v>0</v>
      </c>
      <c r="AT44" s="66">
        <v>0</v>
      </c>
      <c r="AU44" s="66">
        <v>0</v>
      </c>
      <c r="AV44" s="66">
        <v>0</v>
      </c>
      <c r="AW44" s="66">
        <v>0</v>
      </c>
      <c r="AX44" s="66">
        <v>0</v>
      </c>
      <c r="AY44" s="66">
        <v>0</v>
      </c>
      <c r="AZ44" s="66">
        <v>0</v>
      </c>
      <c r="BA44" s="66">
        <v>0</v>
      </c>
      <c r="BB44" s="66">
        <v>0</v>
      </c>
      <c r="BC44" s="66">
        <v>0</v>
      </c>
      <c r="BD44" s="66">
        <v>0</v>
      </c>
      <c r="BE44" s="66">
        <v>0</v>
      </c>
      <c r="BF44" s="66">
        <v>0</v>
      </c>
      <c r="BG44" s="66">
        <v>0</v>
      </c>
      <c r="BH44" s="66">
        <v>0</v>
      </c>
      <c r="BI44" s="66">
        <v>0</v>
      </c>
      <c r="BJ44" s="68">
        <v>0</v>
      </c>
      <c r="BK44" s="67">
        <v>0</v>
      </c>
      <c r="BL44" s="68">
        <v>0</v>
      </c>
      <c r="BM44" s="68">
        <v>0</v>
      </c>
      <c r="BN44" s="68">
        <v>0</v>
      </c>
      <c r="BO44" s="68">
        <v>0</v>
      </c>
      <c r="BP44" s="68">
        <v>0</v>
      </c>
      <c r="BQ44" s="68">
        <v>0</v>
      </c>
      <c r="BR44" s="68">
        <v>0</v>
      </c>
      <c r="BS44" s="68">
        <v>0</v>
      </c>
      <c r="BT44" s="68">
        <v>0</v>
      </c>
      <c r="BU44" s="68">
        <v>0</v>
      </c>
      <c r="BV44" s="68">
        <v>0</v>
      </c>
      <c r="BW44" s="68">
        <v>0</v>
      </c>
      <c r="BX44" s="68">
        <v>0</v>
      </c>
      <c r="BY44" s="68">
        <v>0</v>
      </c>
      <c r="BZ44" s="68">
        <v>0</v>
      </c>
      <c r="CA44" s="68">
        <v>0</v>
      </c>
      <c r="CB44" s="68">
        <v>0</v>
      </c>
      <c r="CC44" s="68">
        <v>0</v>
      </c>
      <c r="CD44" s="72">
        <v>0</v>
      </c>
      <c r="CE44" s="72">
        <v>0</v>
      </c>
      <c r="CF44" s="72">
        <v>0</v>
      </c>
      <c r="CG44" s="72">
        <v>0</v>
      </c>
      <c r="CH44" s="72">
        <v>0</v>
      </c>
      <c r="CI44" s="72">
        <v>0</v>
      </c>
      <c r="CJ44" s="72">
        <v>0</v>
      </c>
      <c r="CK44" s="72">
        <v>0</v>
      </c>
      <c r="CL44" s="72">
        <v>0</v>
      </c>
      <c r="CM44" s="72">
        <v>0</v>
      </c>
      <c r="CN44" s="72">
        <v>0</v>
      </c>
      <c r="CO44" s="72">
        <v>0</v>
      </c>
      <c r="CP44" s="72">
        <v>0</v>
      </c>
      <c r="CQ44" s="72">
        <v>0</v>
      </c>
      <c r="CR44" s="72">
        <v>0</v>
      </c>
      <c r="CS44" s="72">
        <v>0</v>
      </c>
      <c r="CT44" s="72">
        <v>0</v>
      </c>
      <c r="CU44" s="72">
        <v>0</v>
      </c>
      <c r="CV44" s="72">
        <v>0</v>
      </c>
    </row>
    <row r="45" spans="1:100" x14ac:dyDescent="0.25">
      <c r="A45" s="44" t="s">
        <v>62</v>
      </c>
      <c r="B45" s="50">
        <v>0</v>
      </c>
      <c r="C45" s="54">
        <v>0</v>
      </c>
      <c r="D45" s="78">
        <v>0</v>
      </c>
      <c r="E45" s="54">
        <v>0</v>
      </c>
      <c r="F45" s="78">
        <v>0</v>
      </c>
      <c r="G45" s="54">
        <v>0</v>
      </c>
      <c r="H45" s="54">
        <v>0</v>
      </c>
      <c r="I45" s="54">
        <v>0</v>
      </c>
      <c r="J45" s="54">
        <v>0</v>
      </c>
      <c r="K45" s="54">
        <v>0</v>
      </c>
      <c r="L45" s="54">
        <v>0</v>
      </c>
      <c r="M45" s="54">
        <v>0</v>
      </c>
      <c r="N45" s="54">
        <v>0</v>
      </c>
      <c r="O45" s="54">
        <v>0</v>
      </c>
      <c r="P45" s="78">
        <v>0</v>
      </c>
      <c r="Q45" s="78">
        <v>0</v>
      </c>
      <c r="R45" s="78">
        <v>0</v>
      </c>
      <c r="S45" s="54">
        <v>0</v>
      </c>
      <c r="T45" s="54">
        <v>0</v>
      </c>
      <c r="U45" s="74">
        <v>0</v>
      </c>
      <c r="V45" s="74">
        <v>0</v>
      </c>
      <c r="W45" s="74">
        <v>0</v>
      </c>
      <c r="X45" s="74">
        <v>0</v>
      </c>
      <c r="Y45" s="74" cm="1">
        <f t="array" ref="Y45">IF(char1WeapToggle,(char1FinalHP*(0.008+(char1Refine-1)*0.002))+(char1FinalHP*(0.01+(char1Refine-1)*0.002)),(char1FinalHP*(0.008+(char1Refine-1)*0.002)))</f>
        <v>508.81442560000005</v>
      </c>
      <c r="Z45" s="65">
        <v>0</v>
      </c>
      <c r="AA45" s="74">
        <v>0</v>
      </c>
      <c r="AB45" s="74">
        <v>0</v>
      </c>
      <c r="AC45" s="74">
        <v>0</v>
      </c>
      <c r="AD45" s="74">
        <v>0</v>
      </c>
      <c r="AE45" s="74">
        <v>0</v>
      </c>
      <c r="AF45" s="74">
        <v>0</v>
      </c>
      <c r="AG45" s="74">
        <v>0</v>
      </c>
      <c r="AH45" s="74">
        <v>0</v>
      </c>
      <c r="AI45" s="74">
        <v>0</v>
      </c>
      <c r="AJ45" s="74">
        <v>0</v>
      </c>
      <c r="AK45" s="74">
        <v>0</v>
      </c>
      <c r="AL45" s="74">
        <v>0</v>
      </c>
      <c r="AM45" s="74">
        <v>0</v>
      </c>
      <c r="AN45" s="75">
        <f>((1.2+(char1Refine-1)*0.3)/100)*char1FinalHP</f>
        <v>352.25614079999997</v>
      </c>
      <c r="AO45" s="75">
        <v>0</v>
      </c>
      <c r="AP45" s="75">
        <v>0</v>
      </c>
      <c r="AQ45" s="75">
        <v>0</v>
      </c>
      <c r="AR45" s="75">
        <v>0</v>
      </c>
      <c r="AS45" s="75">
        <v>0</v>
      </c>
      <c r="AT45" s="75">
        <v>0</v>
      </c>
      <c r="AU45" s="75">
        <v>0</v>
      </c>
      <c r="AV45" s="75">
        <v>0</v>
      </c>
      <c r="AW45" s="75">
        <v>0</v>
      </c>
      <c r="AX45" s="75">
        <v>0</v>
      </c>
      <c r="AY45" s="75">
        <v>0</v>
      </c>
      <c r="AZ45" s="75">
        <v>0</v>
      </c>
      <c r="BA45" s="75">
        <v>0</v>
      </c>
      <c r="BB45" s="75">
        <v>0</v>
      </c>
      <c r="BC45" s="75">
        <v>0</v>
      </c>
      <c r="BD45" s="75">
        <v>0</v>
      </c>
      <c r="BE45" s="75">
        <v>0</v>
      </c>
      <c r="BF45" s="75">
        <v>0</v>
      </c>
      <c r="BG45" s="75">
        <v>0</v>
      </c>
      <c r="BH45" s="75">
        <v>0</v>
      </c>
      <c r="BI45" s="75">
        <v>0</v>
      </c>
      <c r="BJ45" s="63">
        <v>0</v>
      </c>
      <c r="BK45" s="67">
        <v>0</v>
      </c>
      <c r="BL45" s="63">
        <v>0</v>
      </c>
      <c r="BM45" s="63">
        <v>0</v>
      </c>
      <c r="BN45" s="63">
        <v>0</v>
      </c>
      <c r="BO45" s="63">
        <v>0</v>
      </c>
      <c r="BP45" s="63">
        <v>0</v>
      </c>
      <c r="BQ45" s="63">
        <v>0</v>
      </c>
      <c r="BR45" s="63">
        <v>0</v>
      </c>
      <c r="BS45" s="63">
        <v>0</v>
      </c>
      <c r="BT45" s="63">
        <v>0</v>
      </c>
      <c r="BU45" s="63">
        <v>0</v>
      </c>
      <c r="BV45" s="63">
        <v>0</v>
      </c>
      <c r="BW45" s="63">
        <v>0</v>
      </c>
      <c r="BX45" s="63">
        <v>0</v>
      </c>
      <c r="BY45" s="63">
        <v>0</v>
      </c>
      <c r="BZ45" s="63">
        <v>0</v>
      </c>
      <c r="CA45" s="63">
        <v>0</v>
      </c>
      <c r="CB45" s="63">
        <v>0</v>
      </c>
      <c r="CC45" s="63">
        <v>0</v>
      </c>
      <c r="CD45" s="76">
        <v>0</v>
      </c>
      <c r="CE45" s="77">
        <v>0</v>
      </c>
      <c r="CF45" s="76">
        <v>0</v>
      </c>
      <c r="CG45" s="76">
        <v>0</v>
      </c>
      <c r="CH45" s="76">
        <v>0</v>
      </c>
      <c r="CI45" s="76">
        <v>0</v>
      </c>
      <c r="CJ45" s="76">
        <v>0</v>
      </c>
      <c r="CK45" s="77">
        <v>0</v>
      </c>
      <c r="CL45" s="76">
        <v>0</v>
      </c>
      <c r="CM45" s="76">
        <v>0</v>
      </c>
      <c r="CN45" s="76">
        <v>0</v>
      </c>
      <c r="CO45" s="76">
        <v>0</v>
      </c>
      <c r="CP45" s="76">
        <v>0</v>
      </c>
      <c r="CQ45" s="77">
        <v>0</v>
      </c>
      <c r="CR45" s="76">
        <v>0</v>
      </c>
      <c r="CS45" s="76">
        <v>0</v>
      </c>
      <c r="CT45" s="76">
        <v>0</v>
      </c>
      <c r="CU45" s="76">
        <v>0</v>
      </c>
      <c r="CV45" s="77">
        <v>0</v>
      </c>
    </row>
    <row r="46" spans="1:100" x14ac:dyDescent="0.25">
      <c r="A46" s="44" t="s">
        <v>64</v>
      </c>
      <c r="B46" s="50">
        <v>0</v>
      </c>
      <c r="C46" s="54">
        <v>0</v>
      </c>
      <c r="D46" s="78">
        <v>0</v>
      </c>
      <c r="E46" s="54">
        <v>0</v>
      </c>
      <c r="F46" s="78">
        <v>0</v>
      </c>
      <c r="G46" s="54">
        <v>0</v>
      </c>
      <c r="H46" s="54">
        <v>0</v>
      </c>
      <c r="I46" s="54">
        <v>0</v>
      </c>
      <c r="J46" s="54">
        <v>0</v>
      </c>
      <c r="K46" s="54">
        <v>0</v>
      </c>
      <c r="L46" s="54">
        <v>0</v>
      </c>
      <c r="M46" s="54">
        <v>0</v>
      </c>
      <c r="N46" s="54">
        <v>0</v>
      </c>
      <c r="O46" s="54">
        <v>0</v>
      </c>
      <c r="P46" s="78">
        <v>0</v>
      </c>
      <c r="Q46" s="78">
        <v>0</v>
      </c>
      <c r="R46" s="78">
        <v>0</v>
      </c>
      <c r="S46" s="54">
        <v>0</v>
      </c>
      <c r="T46" s="54">
        <v>0</v>
      </c>
      <c r="U46" s="74">
        <v>0</v>
      </c>
      <c r="V46" s="74">
        <v>0</v>
      </c>
      <c r="W46" s="74">
        <v>0</v>
      </c>
      <c r="X46" s="74">
        <v>0</v>
      </c>
      <c r="Y46" s="74">
        <v>0</v>
      </c>
      <c r="Z46" s="65">
        <v>0</v>
      </c>
      <c r="AA46" s="74">
        <v>0</v>
      </c>
      <c r="AB46" s="74">
        <v>0</v>
      </c>
      <c r="AC46" s="74">
        <v>0</v>
      </c>
      <c r="AD46" s="74">
        <v>0</v>
      </c>
      <c r="AE46" s="74">
        <v>0</v>
      </c>
      <c r="AF46" s="74">
        <v>0</v>
      </c>
      <c r="AG46" s="74">
        <v>0</v>
      </c>
      <c r="AH46" s="74">
        <v>0</v>
      </c>
      <c r="AI46" s="74">
        <v>0</v>
      </c>
      <c r="AJ46" s="74">
        <v>0</v>
      </c>
      <c r="AK46" s="74">
        <v>0</v>
      </c>
      <c r="AL46" s="74">
        <v>0</v>
      </c>
      <c r="AM46" s="74">
        <v>0</v>
      </c>
      <c r="AN46" s="75">
        <v>0</v>
      </c>
      <c r="AO46" s="75">
        <v>0</v>
      </c>
      <c r="AP46" s="75">
        <v>0</v>
      </c>
      <c r="AQ46" s="75">
        <v>0</v>
      </c>
      <c r="AR46" s="75">
        <v>0</v>
      </c>
      <c r="AS46" s="75">
        <v>0</v>
      </c>
      <c r="AT46" s="75">
        <v>0</v>
      </c>
      <c r="AU46" s="75">
        <v>0</v>
      </c>
      <c r="AV46" s="75">
        <v>0</v>
      </c>
      <c r="AW46" s="75">
        <v>0</v>
      </c>
      <c r="AX46" s="75">
        <v>0</v>
      </c>
      <c r="AY46" s="75">
        <v>0</v>
      </c>
      <c r="AZ46" s="75">
        <v>0</v>
      </c>
      <c r="BA46" s="75">
        <v>0</v>
      </c>
      <c r="BB46" s="75">
        <v>0</v>
      </c>
      <c r="BC46" s="75">
        <v>0</v>
      </c>
      <c r="BD46" s="75">
        <v>0</v>
      </c>
      <c r="BE46" s="75">
        <v>0</v>
      </c>
      <c r="BF46" s="75">
        <v>0</v>
      </c>
      <c r="BG46" s="75">
        <v>0</v>
      </c>
      <c r="BH46" s="75">
        <v>0</v>
      </c>
      <c r="BI46" s="75">
        <v>0</v>
      </c>
      <c r="BJ46" s="63">
        <v>0</v>
      </c>
      <c r="BK46" s="67">
        <v>0</v>
      </c>
      <c r="BL46" s="63">
        <v>0</v>
      </c>
      <c r="BM46" s="63">
        <v>0</v>
      </c>
      <c r="BN46" s="63">
        <v>0</v>
      </c>
      <c r="BO46" s="63">
        <v>0</v>
      </c>
      <c r="BP46" s="63">
        <v>0</v>
      </c>
      <c r="BQ46" s="63">
        <v>0</v>
      </c>
      <c r="BR46" s="63">
        <v>0</v>
      </c>
      <c r="BS46" s="63">
        <v>0</v>
      </c>
      <c r="BT46" s="63">
        <v>0</v>
      </c>
      <c r="BU46" s="63">
        <v>0</v>
      </c>
      <c r="BV46" s="63">
        <v>0</v>
      </c>
      <c r="BW46" s="63">
        <v>0</v>
      </c>
      <c r="BX46" s="63">
        <v>0</v>
      </c>
      <c r="BY46" s="63">
        <v>0</v>
      </c>
      <c r="BZ46" s="63">
        <v>0</v>
      </c>
      <c r="CA46" s="63">
        <v>0</v>
      </c>
      <c r="CB46" s="63">
        <v>0</v>
      </c>
      <c r="CC46" s="63">
        <v>0</v>
      </c>
      <c r="CD46" s="76">
        <v>0</v>
      </c>
      <c r="CE46" s="77">
        <v>0</v>
      </c>
      <c r="CF46" s="76">
        <v>0</v>
      </c>
      <c r="CG46" s="76">
        <v>0</v>
      </c>
      <c r="CH46" s="76">
        <v>0</v>
      </c>
      <c r="CI46" s="76">
        <v>0</v>
      </c>
      <c r="CJ46" s="76">
        <v>0</v>
      </c>
      <c r="CK46" s="77">
        <v>0</v>
      </c>
      <c r="CL46" s="76">
        <v>0</v>
      </c>
      <c r="CM46" s="76">
        <v>0</v>
      </c>
      <c r="CN46" s="76">
        <v>0</v>
      </c>
      <c r="CO46" s="76">
        <v>0</v>
      </c>
      <c r="CP46" s="76">
        <v>0</v>
      </c>
      <c r="CQ46" s="77">
        <v>0</v>
      </c>
      <c r="CR46" s="76">
        <v>0</v>
      </c>
      <c r="CS46" s="76">
        <v>0</v>
      </c>
      <c r="CT46" s="76">
        <v>0</v>
      </c>
      <c r="CU46" s="76">
        <v>0</v>
      </c>
      <c r="CV46" s="77">
        <v>0</v>
      </c>
    </row>
    <row r="47" spans="1:100" x14ac:dyDescent="0.25">
      <c r="A47" s="44" t="s">
        <v>63</v>
      </c>
      <c r="B47" s="50">
        <v>0</v>
      </c>
      <c r="C47" s="54">
        <v>0</v>
      </c>
      <c r="D47" s="78">
        <v>0</v>
      </c>
      <c r="E47" s="54">
        <v>0</v>
      </c>
      <c r="F47" s="78">
        <v>0</v>
      </c>
      <c r="G47" s="54">
        <v>0</v>
      </c>
      <c r="H47" s="54">
        <v>0</v>
      </c>
      <c r="I47" s="54">
        <v>0</v>
      </c>
      <c r="J47" s="54">
        <v>0</v>
      </c>
      <c r="K47" s="54">
        <v>0</v>
      </c>
      <c r="L47" s="54">
        <v>0</v>
      </c>
      <c r="M47" s="54">
        <v>0</v>
      </c>
      <c r="N47" s="54">
        <v>0</v>
      </c>
      <c r="O47" s="54">
        <v>0</v>
      </c>
      <c r="P47" s="78">
        <v>0</v>
      </c>
      <c r="Q47" s="78">
        <v>0</v>
      </c>
      <c r="R47" s="78">
        <v>0</v>
      </c>
      <c r="S47" s="54">
        <v>0</v>
      </c>
      <c r="T47" s="54">
        <v>0</v>
      </c>
      <c r="U47" s="74">
        <v>0</v>
      </c>
      <c r="V47" s="74">
        <v>0</v>
      </c>
      <c r="W47" s="74">
        <v>0</v>
      </c>
      <c r="X47" s="74">
        <v>0</v>
      </c>
      <c r="Y47" s="74">
        <v>0</v>
      </c>
      <c r="Z47" s="65">
        <v>0</v>
      </c>
      <c r="AA47" s="74">
        <v>0</v>
      </c>
      <c r="AB47" s="74">
        <v>0</v>
      </c>
      <c r="AC47" s="74">
        <v>0</v>
      </c>
      <c r="AD47" s="74">
        <v>0</v>
      </c>
      <c r="AE47" s="74">
        <v>0</v>
      </c>
      <c r="AF47" s="74">
        <v>0</v>
      </c>
      <c r="AG47" s="74">
        <v>0</v>
      </c>
      <c r="AH47" s="74">
        <v>0</v>
      </c>
      <c r="AI47" s="74">
        <v>0</v>
      </c>
      <c r="AJ47" s="74">
        <v>0</v>
      </c>
      <c r="AK47" s="74">
        <v>0</v>
      </c>
      <c r="AL47" s="74">
        <v>0</v>
      </c>
      <c r="AM47" s="74">
        <v>0</v>
      </c>
      <c r="AN47" s="75">
        <v>0</v>
      </c>
      <c r="AO47" s="75">
        <v>0</v>
      </c>
      <c r="AP47" s="75">
        <v>0</v>
      </c>
      <c r="AQ47" s="75">
        <v>0</v>
      </c>
      <c r="AR47" s="75">
        <v>0</v>
      </c>
      <c r="AS47" s="75">
        <v>0</v>
      </c>
      <c r="AT47" s="75">
        <v>0</v>
      </c>
      <c r="AU47" s="75">
        <v>0</v>
      </c>
      <c r="AV47" s="75">
        <v>0</v>
      </c>
      <c r="AW47" s="75">
        <v>0</v>
      </c>
      <c r="AX47" s="75">
        <v>0</v>
      </c>
      <c r="AY47" s="75">
        <v>0</v>
      </c>
      <c r="AZ47" s="75">
        <v>0</v>
      </c>
      <c r="BA47" s="75">
        <v>0</v>
      </c>
      <c r="BB47" s="75">
        <v>0</v>
      </c>
      <c r="BC47" s="75">
        <v>0</v>
      </c>
      <c r="BD47" s="75">
        <v>0</v>
      </c>
      <c r="BE47" s="75">
        <v>0</v>
      </c>
      <c r="BF47" s="75">
        <v>0</v>
      </c>
      <c r="BG47" s="75">
        <v>0</v>
      </c>
      <c r="BH47" s="75">
        <v>0</v>
      </c>
      <c r="BI47" s="75">
        <v>0</v>
      </c>
      <c r="BJ47" s="63">
        <v>0</v>
      </c>
      <c r="BK47" s="67">
        <v>0</v>
      </c>
      <c r="BL47" s="63">
        <v>0</v>
      </c>
      <c r="BM47" s="63">
        <v>0</v>
      </c>
      <c r="BN47" s="63">
        <v>0</v>
      </c>
      <c r="BO47" s="63">
        <v>0</v>
      </c>
      <c r="BP47" s="63">
        <v>0</v>
      </c>
      <c r="BQ47" s="63">
        <v>0</v>
      </c>
      <c r="BR47" s="63">
        <v>0</v>
      </c>
      <c r="BS47" s="63">
        <v>0</v>
      </c>
      <c r="BT47" s="63">
        <v>0</v>
      </c>
      <c r="BU47" s="63">
        <v>0</v>
      </c>
      <c r="BV47" s="63">
        <v>0</v>
      </c>
      <c r="BW47" s="63">
        <v>0</v>
      </c>
      <c r="BX47" s="63">
        <v>0</v>
      </c>
      <c r="BY47" s="63">
        <v>0</v>
      </c>
      <c r="BZ47" s="63">
        <v>0</v>
      </c>
      <c r="CA47" s="63">
        <v>0</v>
      </c>
      <c r="CB47" s="63">
        <v>0</v>
      </c>
      <c r="CC47" s="63">
        <v>0</v>
      </c>
      <c r="CD47" s="76">
        <v>0</v>
      </c>
      <c r="CE47" s="77">
        <v>0</v>
      </c>
      <c r="CF47" s="76">
        <v>0</v>
      </c>
      <c r="CG47" s="76">
        <v>0</v>
      </c>
      <c r="CH47" s="76">
        <v>0</v>
      </c>
      <c r="CI47" s="76">
        <v>0</v>
      </c>
      <c r="CJ47" s="76">
        <v>0</v>
      </c>
      <c r="CK47" s="77">
        <v>0</v>
      </c>
      <c r="CL47" s="76">
        <v>0</v>
      </c>
      <c r="CM47" s="76">
        <v>0</v>
      </c>
      <c r="CN47" s="76">
        <v>0</v>
      </c>
      <c r="CO47" s="76">
        <v>0</v>
      </c>
      <c r="CP47" s="76">
        <v>0</v>
      </c>
      <c r="CQ47" s="77">
        <v>0</v>
      </c>
      <c r="CR47" s="76">
        <v>0</v>
      </c>
      <c r="CS47" s="76">
        <v>0</v>
      </c>
      <c r="CT47" s="76">
        <v>0</v>
      </c>
      <c r="CU47" s="76">
        <v>0</v>
      </c>
      <c r="CV47" s="77">
        <v>0</v>
      </c>
    </row>
    <row r="48" spans="1:100" x14ac:dyDescent="0.25">
      <c r="A48" s="44" t="s">
        <v>719</v>
      </c>
      <c r="B48" s="132" t="b">
        <v>1</v>
      </c>
      <c r="C48" s="132" t="b">
        <v>0</v>
      </c>
      <c r="D48" s="132" t="b">
        <v>1</v>
      </c>
      <c r="E48" s="132" t="b">
        <v>0</v>
      </c>
      <c r="F48" s="132" t="b">
        <v>0</v>
      </c>
      <c r="G48" s="132" t="b">
        <v>0</v>
      </c>
      <c r="H48" s="132" t="b">
        <v>0</v>
      </c>
      <c r="I48" s="132" t="b">
        <v>0</v>
      </c>
      <c r="J48" s="132" t="b">
        <v>0</v>
      </c>
      <c r="K48" s="132" t="b">
        <v>0</v>
      </c>
      <c r="L48" s="132" t="b">
        <v>1</v>
      </c>
      <c r="M48" s="132" t="b">
        <v>0</v>
      </c>
      <c r="N48" s="132" t="b">
        <v>0</v>
      </c>
      <c r="O48" s="132" t="b">
        <v>1</v>
      </c>
      <c r="P48" s="132" t="b">
        <v>1</v>
      </c>
      <c r="Q48" s="132" t="b">
        <v>0</v>
      </c>
      <c r="R48" s="132" t="b">
        <v>0</v>
      </c>
      <c r="S48" s="132" t="b">
        <v>0</v>
      </c>
      <c r="T48" s="132" t="b">
        <v>0</v>
      </c>
      <c r="U48" s="137" t="b">
        <v>1</v>
      </c>
      <c r="V48" s="137" t="b">
        <v>0</v>
      </c>
      <c r="W48" s="137" t="b">
        <v>0</v>
      </c>
      <c r="X48" s="137" t="b">
        <v>0</v>
      </c>
      <c r="Y48" s="137" t="b">
        <v>0</v>
      </c>
      <c r="Z48" s="137" t="b">
        <v>0</v>
      </c>
      <c r="AA48" s="137" t="b">
        <v>0</v>
      </c>
      <c r="AB48" s="137" t="b">
        <v>0</v>
      </c>
      <c r="AC48" s="137" t="b">
        <v>1</v>
      </c>
      <c r="AD48" s="137" t="b">
        <v>0</v>
      </c>
      <c r="AE48" s="137" t="b">
        <v>1</v>
      </c>
      <c r="AF48" s="137" t="b">
        <v>0</v>
      </c>
      <c r="AG48" s="137" t="b">
        <v>0</v>
      </c>
      <c r="AH48" s="137" t="b">
        <v>0</v>
      </c>
      <c r="AI48" s="137" t="b">
        <v>0</v>
      </c>
      <c r="AJ48" s="137" t="b">
        <v>1</v>
      </c>
      <c r="AK48" s="137" t="b">
        <v>0</v>
      </c>
      <c r="AL48" s="137" t="b">
        <v>0</v>
      </c>
      <c r="AM48" s="137" t="b">
        <v>0</v>
      </c>
      <c r="AN48" s="138" t="b">
        <v>0</v>
      </c>
      <c r="AO48" s="138" t="b">
        <v>0</v>
      </c>
      <c r="AP48" s="138" t="b">
        <v>0</v>
      </c>
      <c r="AQ48" s="138" t="b">
        <v>0</v>
      </c>
      <c r="AR48" s="138" t="b">
        <v>1</v>
      </c>
      <c r="AS48" s="138" t="b">
        <v>1</v>
      </c>
      <c r="AT48" s="138" t="b">
        <v>0</v>
      </c>
      <c r="AU48" s="138" t="b">
        <v>1</v>
      </c>
      <c r="AV48" s="138" t="b">
        <v>0</v>
      </c>
      <c r="AW48" s="138" t="b">
        <v>0</v>
      </c>
      <c r="AX48" s="138" t="b">
        <v>0</v>
      </c>
      <c r="AY48" s="138" t="b">
        <v>0</v>
      </c>
      <c r="AZ48" s="138" t="b">
        <v>0</v>
      </c>
      <c r="BA48" s="138" t="b">
        <v>0</v>
      </c>
      <c r="BB48" s="138" t="b">
        <v>0</v>
      </c>
      <c r="BC48" s="138" t="b">
        <v>0</v>
      </c>
      <c r="BD48" s="138" t="b">
        <v>0</v>
      </c>
      <c r="BE48" s="138" t="b">
        <v>0</v>
      </c>
      <c r="BF48" s="138" t="b">
        <v>1</v>
      </c>
      <c r="BG48" s="138" t="b">
        <v>0</v>
      </c>
      <c r="BH48" s="138" t="b">
        <v>0</v>
      </c>
      <c r="BI48" s="138" t="b">
        <v>0</v>
      </c>
      <c r="BJ48" s="140" t="b">
        <v>0</v>
      </c>
      <c r="BK48" s="140" t="b">
        <v>0</v>
      </c>
      <c r="BL48" s="140" t="b">
        <v>1</v>
      </c>
      <c r="BM48" s="140" t="b">
        <v>0</v>
      </c>
      <c r="BN48" s="140" t="b">
        <v>1</v>
      </c>
      <c r="BO48" s="140" t="b">
        <v>1</v>
      </c>
      <c r="BP48" s="140" t="b">
        <v>1</v>
      </c>
      <c r="BQ48" s="140" t="b">
        <v>0</v>
      </c>
      <c r="BR48" s="140" t="b">
        <v>0</v>
      </c>
      <c r="BS48" s="140" t="b">
        <v>0</v>
      </c>
      <c r="BT48" s="140" t="b">
        <v>0</v>
      </c>
      <c r="BU48" s="140" t="b">
        <v>0</v>
      </c>
      <c r="BV48" s="140" t="b">
        <v>1</v>
      </c>
      <c r="BW48" s="140" t="b">
        <v>0</v>
      </c>
      <c r="BX48" s="140" t="b">
        <v>0</v>
      </c>
      <c r="BY48" s="140" t="b">
        <v>0</v>
      </c>
      <c r="BZ48" s="140" t="b">
        <v>0</v>
      </c>
      <c r="CA48" s="140" t="b">
        <v>0</v>
      </c>
      <c r="CB48" s="140" t="b">
        <v>0</v>
      </c>
      <c r="CC48" s="140" t="b">
        <v>0</v>
      </c>
      <c r="CD48" s="142" t="b">
        <v>0</v>
      </c>
      <c r="CE48" s="76" t="b">
        <v>0</v>
      </c>
      <c r="CF48" s="142" t="b">
        <v>0</v>
      </c>
      <c r="CG48" s="142" t="b">
        <v>0</v>
      </c>
      <c r="CH48" s="142" t="b">
        <v>0</v>
      </c>
      <c r="CI48" s="142" t="b">
        <v>0</v>
      </c>
      <c r="CJ48" s="142" t="b">
        <v>0</v>
      </c>
      <c r="CK48" s="142" t="b">
        <v>0</v>
      </c>
      <c r="CL48" s="142" t="b">
        <v>0</v>
      </c>
      <c r="CM48" s="142" t="b">
        <v>0</v>
      </c>
      <c r="CN48" s="142" t="b">
        <v>0</v>
      </c>
      <c r="CO48" s="142" t="b">
        <v>0</v>
      </c>
      <c r="CP48" s="142" t="b">
        <v>0</v>
      </c>
      <c r="CQ48" s="142" t="b">
        <v>0</v>
      </c>
      <c r="CR48" s="142" t="b">
        <v>0</v>
      </c>
      <c r="CS48" s="142" t="b">
        <v>0</v>
      </c>
      <c r="CT48" s="142" t="b">
        <v>0</v>
      </c>
      <c r="CU48" s="142" t="b">
        <v>0</v>
      </c>
      <c r="CV48" s="142" t="b">
        <v>0</v>
      </c>
    </row>
    <row r="49" spans="1:100" x14ac:dyDescent="0.25">
      <c r="A49" s="44" t="s">
        <v>720</v>
      </c>
      <c r="B49" s="132" t="b">
        <v>0</v>
      </c>
      <c r="C49" s="132" t="b">
        <v>0</v>
      </c>
      <c r="D49" s="132" t="b">
        <v>1</v>
      </c>
      <c r="E49" s="132" t="b">
        <v>0</v>
      </c>
      <c r="F49" s="132" t="b">
        <v>0</v>
      </c>
      <c r="G49" s="132" t="b">
        <v>0</v>
      </c>
      <c r="H49" s="132" t="b">
        <v>0</v>
      </c>
      <c r="I49" s="132" t="b">
        <v>0</v>
      </c>
      <c r="J49" s="132" t="b">
        <v>0</v>
      </c>
      <c r="K49" s="132" t="b">
        <v>0</v>
      </c>
      <c r="L49" s="132" t="b">
        <v>1</v>
      </c>
      <c r="M49" s="132" t="b">
        <v>0</v>
      </c>
      <c r="N49" s="132" t="b">
        <v>0</v>
      </c>
      <c r="O49" s="132" t="b">
        <v>0</v>
      </c>
      <c r="P49" s="132" t="b">
        <v>0</v>
      </c>
      <c r="Q49" s="132" t="b">
        <v>0</v>
      </c>
      <c r="R49" s="132" t="b">
        <v>0</v>
      </c>
      <c r="S49" s="132" t="b">
        <v>0</v>
      </c>
      <c r="T49" s="132" t="b">
        <v>0</v>
      </c>
      <c r="U49" s="137" t="b">
        <v>0</v>
      </c>
      <c r="V49" s="137" t="b">
        <v>0</v>
      </c>
      <c r="W49" s="137" t="b">
        <v>0</v>
      </c>
      <c r="X49" s="137" t="b">
        <v>0</v>
      </c>
      <c r="Y49" s="137" t="b">
        <v>0</v>
      </c>
      <c r="Z49" s="137" t="b">
        <v>0</v>
      </c>
      <c r="AA49" s="137" t="b">
        <v>0</v>
      </c>
      <c r="AB49" s="137" t="b">
        <v>0</v>
      </c>
      <c r="AC49" s="137" t="b">
        <v>1</v>
      </c>
      <c r="AD49" s="137" t="b">
        <v>0</v>
      </c>
      <c r="AE49" s="137" t="b">
        <v>0</v>
      </c>
      <c r="AF49" s="137" t="b">
        <v>0</v>
      </c>
      <c r="AG49" s="137" t="b">
        <v>0</v>
      </c>
      <c r="AH49" s="137" t="b">
        <v>0</v>
      </c>
      <c r="AI49" s="137" t="b">
        <v>0</v>
      </c>
      <c r="AJ49" s="137" t="b">
        <v>0</v>
      </c>
      <c r="AK49" s="137" t="b">
        <v>0</v>
      </c>
      <c r="AL49" s="137" t="b">
        <v>0</v>
      </c>
      <c r="AM49" s="137" t="b">
        <v>0</v>
      </c>
      <c r="AN49" s="138" t="b">
        <v>0</v>
      </c>
      <c r="AO49" s="138" t="b">
        <v>0</v>
      </c>
      <c r="AP49" s="138" t="b">
        <v>0</v>
      </c>
      <c r="AQ49" s="138" t="b">
        <v>0</v>
      </c>
      <c r="AR49" s="138" t="b">
        <v>0</v>
      </c>
      <c r="AS49" s="138" t="b">
        <v>0</v>
      </c>
      <c r="AT49" s="138" t="b">
        <v>0</v>
      </c>
      <c r="AU49" s="138" t="b">
        <v>0</v>
      </c>
      <c r="AV49" s="138" t="b">
        <v>0</v>
      </c>
      <c r="AW49" s="138" t="b">
        <v>0</v>
      </c>
      <c r="AX49" s="138" t="b">
        <v>0</v>
      </c>
      <c r="AY49" s="138" t="b">
        <v>0</v>
      </c>
      <c r="AZ49" s="138" t="b">
        <v>0</v>
      </c>
      <c r="BA49" s="138" t="b">
        <v>0</v>
      </c>
      <c r="BB49" s="138" t="b">
        <v>0</v>
      </c>
      <c r="BC49" s="138" t="b">
        <v>0</v>
      </c>
      <c r="BD49" s="138" t="b">
        <v>0</v>
      </c>
      <c r="BE49" s="138" t="b">
        <v>0</v>
      </c>
      <c r="BF49" s="138" t="b">
        <v>0</v>
      </c>
      <c r="BG49" s="138" t="b">
        <v>0</v>
      </c>
      <c r="BH49" s="138" t="b">
        <v>0</v>
      </c>
      <c r="BI49" s="138" t="b">
        <v>0</v>
      </c>
      <c r="BJ49" s="140" t="b">
        <v>0</v>
      </c>
      <c r="BK49" s="140" t="b">
        <v>0</v>
      </c>
      <c r="BL49" s="140" t="b">
        <v>0</v>
      </c>
      <c r="BM49" s="140" t="b">
        <v>0</v>
      </c>
      <c r="BN49" s="140" t="b">
        <v>0</v>
      </c>
      <c r="BO49" s="140" t="b">
        <v>1</v>
      </c>
      <c r="BP49" s="140" t="b">
        <v>0</v>
      </c>
      <c r="BQ49" s="140" t="b">
        <v>0</v>
      </c>
      <c r="BR49" s="140" t="b">
        <v>0</v>
      </c>
      <c r="BS49" s="140" t="b">
        <v>0</v>
      </c>
      <c r="BT49" s="140" t="b">
        <v>0</v>
      </c>
      <c r="BU49" s="140" t="b">
        <v>0</v>
      </c>
      <c r="BV49" s="140" t="b">
        <v>0</v>
      </c>
      <c r="BW49" s="140" t="b">
        <v>0</v>
      </c>
      <c r="BX49" s="140" t="b">
        <v>0</v>
      </c>
      <c r="BY49" s="140" t="b">
        <v>0</v>
      </c>
      <c r="BZ49" s="140" t="b">
        <v>0</v>
      </c>
      <c r="CA49" s="140" t="b">
        <v>0</v>
      </c>
      <c r="CB49" s="140" t="b">
        <v>0</v>
      </c>
      <c r="CC49" s="140" t="b">
        <v>0</v>
      </c>
      <c r="CD49" s="142" t="b">
        <v>0</v>
      </c>
      <c r="CE49" s="76" t="b">
        <v>0</v>
      </c>
      <c r="CF49" s="142" t="b">
        <v>0</v>
      </c>
      <c r="CG49" s="142" t="b">
        <v>0</v>
      </c>
      <c r="CH49" s="142" t="b">
        <v>0</v>
      </c>
      <c r="CI49" s="142" t="b">
        <v>0</v>
      </c>
      <c r="CJ49" s="142" t="b">
        <v>0</v>
      </c>
      <c r="CK49" s="142" t="b">
        <v>0</v>
      </c>
      <c r="CL49" s="142" t="b">
        <v>0</v>
      </c>
      <c r="CM49" s="142" t="b">
        <v>0</v>
      </c>
      <c r="CN49" s="142" t="b">
        <v>0</v>
      </c>
      <c r="CO49" s="142" t="b">
        <v>0</v>
      </c>
      <c r="CP49" s="142" t="b">
        <v>0</v>
      </c>
      <c r="CQ49" s="142" t="b">
        <v>0</v>
      </c>
      <c r="CR49" s="142" t="b">
        <v>0</v>
      </c>
      <c r="CS49" s="142" t="b">
        <v>0</v>
      </c>
      <c r="CT49" s="142" t="b">
        <v>0</v>
      </c>
      <c r="CU49" s="142" t="b">
        <v>0</v>
      </c>
      <c r="CV49" s="142" t="b">
        <v>0</v>
      </c>
    </row>
    <row r="50" spans="1:100" x14ac:dyDescent="0.25">
      <c r="A50" s="44" t="s">
        <v>721</v>
      </c>
      <c r="B50" s="132" t="b">
        <v>0</v>
      </c>
      <c r="C50" s="132" t="b">
        <v>0</v>
      </c>
      <c r="D50" s="132" t="b">
        <v>0</v>
      </c>
      <c r="E50" s="132" t="b">
        <v>0</v>
      </c>
      <c r="F50" s="132" t="b">
        <v>0</v>
      </c>
      <c r="G50" s="132" t="b">
        <v>0</v>
      </c>
      <c r="H50" s="132" t="b">
        <v>0</v>
      </c>
      <c r="I50" s="132" t="b">
        <v>0</v>
      </c>
      <c r="J50" s="132" t="b">
        <v>0</v>
      </c>
      <c r="K50" s="132" t="b">
        <v>0</v>
      </c>
      <c r="L50" s="132" t="b">
        <v>0</v>
      </c>
      <c r="M50" s="132" t="b">
        <v>0</v>
      </c>
      <c r="N50" s="132" t="b">
        <v>0</v>
      </c>
      <c r="O50" s="132" t="b">
        <v>0</v>
      </c>
      <c r="P50" s="132" t="b">
        <v>0</v>
      </c>
      <c r="Q50" s="132" t="b">
        <v>0</v>
      </c>
      <c r="R50" s="132" t="b">
        <v>0</v>
      </c>
      <c r="S50" s="132" t="b">
        <v>0</v>
      </c>
      <c r="T50" s="132" t="b">
        <v>0</v>
      </c>
      <c r="U50" s="137" t="b">
        <v>0</v>
      </c>
      <c r="V50" s="137" t="b">
        <v>0</v>
      </c>
      <c r="W50" s="137" t="b">
        <v>0</v>
      </c>
      <c r="X50" s="137" t="b">
        <v>0</v>
      </c>
      <c r="Y50" s="137" t="b">
        <v>0</v>
      </c>
      <c r="Z50" s="137" t="b">
        <v>0</v>
      </c>
      <c r="AA50" s="137" t="b">
        <v>0</v>
      </c>
      <c r="AB50" s="137" t="b">
        <v>0</v>
      </c>
      <c r="AC50" s="137" t="b">
        <v>0</v>
      </c>
      <c r="AD50" s="137" t="b">
        <v>0</v>
      </c>
      <c r="AE50" s="137" t="b">
        <v>0</v>
      </c>
      <c r="AF50" s="137" t="b">
        <v>0</v>
      </c>
      <c r="AG50" s="137" t="b">
        <v>0</v>
      </c>
      <c r="AH50" s="137" t="b">
        <v>0</v>
      </c>
      <c r="AI50" s="137" t="b">
        <v>0</v>
      </c>
      <c r="AJ50" s="137" t="b">
        <v>0</v>
      </c>
      <c r="AK50" s="137" t="b">
        <v>0</v>
      </c>
      <c r="AL50" s="137" t="b">
        <v>0</v>
      </c>
      <c r="AM50" s="137" t="b">
        <v>0</v>
      </c>
      <c r="AN50" s="138" t="b">
        <v>0</v>
      </c>
      <c r="AO50" s="138" t="b">
        <v>0</v>
      </c>
      <c r="AP50" s="138" t="b">
        <v>0</v>
      </c>
      <c r="AQ50" s="138" t="b">
        <v>0</v>
      </c>
      <c r="AR50" s="138" t="b">
        <v>0</v>
      </c>
      <c r="AS50" s="138" t="b">
        <v>0</v>
      </c>
      <c r="AT50" s="138" t="b">
        <v>0</v>
      </c>
      <c r="AU50" s="138" t="b">
        <v>0</v>
      </c>
      <c r="AV50" s="138" t="b">
        <v>0</v>
      </c>
      <c r="AW50" s="138" t="b">
        <v>0</v>
      </c>
      <c r="AX50" s="138" t="b">
        <v>0</v>
      </c>
      <c r="AY50" s="138" t="b">
        <v>0</v>
      </c>
      <c r="AZ50" s="138" t="b">
        <v>0</v>
      </c>
      <c r="BA50" s="138" t="b">
        <v>0</v>
      </c>
      <c r="BB50" s="138" t="b">
        <v>0</v>
      </c>
      <c r="BC50" s="138" t="b">
        <v>0</v>
      </c>
      <c r="BD50" s="138" t="b">
        <v>0</v>
      </c>
      <c r="BE50" s="138" t="b">
        <v>0</v>
      </c>
      <c r="BF50" s="138" t="b">
        <v>0</v>
      </c>
      <c r="BG50" s="138" t="b">
        <v>0</v>
      </c>
      <c r="BH50" s="138" t="b">
        <v>0</v>
      </c>
      <c r="BI50" s="138" t="b">
        <v>0</v>
      </c>
      <c r="BJ50" s="140" t="b">
        <v>0</v>
      </c>
      <c r="BK50" s="140" t="b">
        <v>0</v>
      </c>
      <c r="BL50" s="140" t="b">
        <v>0</v>
      </c>
      <c r="BM50" s="140" t="b">
        <v>0</v>
      </c>
      <c r="BN50" s="140" t="b">
        <v>0</v>
      </c>
      <c r="BO50" s="140" t="b">
        <v>0</v>
      </c>
      <c r="BP50" s="140" t="b">
        <v>0</v>
      </c>
      <c r="BQ50" s="140" t="b">
        <v>0</v>
      </c>
      <c r="BR50" s="140" t="b">
        <v>0</v>
      </c>
      <c r="BS50" s="140" t="b">
        <v>0</v>
      </c>
      <c r="BT50" s="140" t="b">
        <v>0</v>
      </c>
      <c r="BU50" s="140" t="b">
        <v>0</v>
      </c>
      <c r="BV50" s="140" t="b">
        <v>0</v>
      </c>
      <c r="BW50" s="140" t="b">
        <v>0</v>
      </c>
      <c r="BX50" s="140" t="b">
        <v>0</v>
      </c>
      <c r="BY50" s="140" t="b">
        <v>0</v>
      </c>
      <c r="BZ50" s="140" t="b">
        <v>0</v>
      </c>
      <c r="CA50" s="140" t="b">
        <v>0</v>
      </c>
      <c r="CB50" s="140" t="b">
        <v>0</v>
      </c>
      <c r="CC50" s="140" t="b">
        <v>0</v>
      </c>
      <c r="CD50" s="142" t="b">
        <v>0</v>
      </c>
      <c r="CE50" s="76" t="b">
        <v>0</v>
      </c>
      <c r="CF50" s="142" t="b">
        <v>0</v>
      </c>
      <c r="CG50" s="142" t="b">
        <v>0</v>
      </c>
      <c r="CH50" s="142" t="b">
        <v>0</v>
      </c>
      <c r="CI50" s="142" t="b">
        <v>0</v>
      </c>
      <c r="CJ50" s="142" t="b">
        <v>0</v>
      </c>
      <c r="CK50" s="142" t="b">
        <v>0</v>
      </c>
      <c r="CL50" s="142" t="b">
        <v>0</v>
      </c>
      <c r="CM50" s="142" t="b">
        <v>0</v>
      </c>
      <c r="CN50" s="142" t="b">
        <v>0</v>
      </c>
      <c r="CO50" s="142" t="b">
        <v>0</v>
      </c>
      <c r="CP50" s="142" t="b">
        <v>0</v>
      </c>
      <c r="CQ50" s="142" t="b">
        <v>0</v>
      </c>
      <c r="CR50" s="142" t="b">
        <v>0</v>
      </c>
      <c r="CS50" s="142" t="b">
        <v>0</v>
      </c>
      <c r="CT50" s="142" t="b">
        <v>0</v>
      </c>
      <c r="CU50" s="142" t="b">
        <v>0</v>
      </c>
      <c r="CV50" s="142" t="b">
        <v>0</v>
      </c>
    </row>
    <row r="51" spans="1:100" x14ac:dyDescent="0.25">
      <c r="A51" s="44" t="s">
        <v>722</v>
      </c>
      <c r="B51" s="132" t="s">
        <v>697</v>
      </c>
      <c r="C51" s="132"/>
      <c r="D51" s="132" t="s">
        <v>698</v>
      </c>
      <c r="E51" s="132"/>
      <c r="F51" s="133"/>
      <c r="G51" s="132"/>
      <c r="H51" s="132"/>
      <c r="I51" s="134"/>
      <c r="J51" s="132"/>
      <c r="K51" s="135"/>
      <c r="L51" s="132" t="s">
        <v>699</v>
      </c>
      <c r="M51" s="132"/>
      <c r="N51" s="135"/>
      <c r="O51" s="135" t="s">
        <v>700</v>
      </c>
      <c r="P51" s="132" t="s">
        <v>701</v>
      </c>
      <c r="Q51" s="133"/>
      <c r="R51" s="133"/>
      <c r="S51" s="133"/>
      <c r="T51" s="135"/>
      <c r="U51" s="136" t="s">
        <v>702</v>
      </c>
      <c r="V51" s="137"/>
      <c r="W51" s="136"/>
      <c r="X51" s="136"/>
      <c r="Y51" s="136"/>
      <c r="Z51" s="136"/>
      <c r="AA51" s="137"/>
      <c r="AB51" s="137"/>
      <c r="AC51" s="136" t="s">
        <v>703</v>
      </c>
      <c r="AD51" s="136"/>
      <c r="AE51" s="136" t="s">
        <v>1022</v>
      </c>
      <c r="AF51" s="136"/>
      <c r="AG51" s="136"/>
      <c r="AH51" s="136"/>
      <c r="AI51" s="136"/>
      <c r="AJ51" s="136" t="s">
        <v>704</v>
      </c>
      <c r="AK51" s="136"/>
      <c r="AL51" s="136"/>
      <c r="AM51" s="136"/>
      <c r="AN51" s="73"/>
      <c r="AO51" s="138"/>
      <c r="AP51" s="138"/>
      <c r="AQ51" s="73"/>
      <c r="AR51" s="73" t="s">
        <v>705</v>
      </c>
      <c r="AS51" s="73" t="s">
        <v>706</v>
      </c>
      <c r="AT51" s="73"/>
      <c r="AU51" s="73" t="s">
        <v>707</v>
      </c>
      <c r="AV51" s="73"/>
      <c r="AW51" s="73"/>
      <c r="AX51" s="73"/>
      <c r="AY51" s="73"/>
      <c r="AZ51" s="73"/>
      <c r="BA51" s="73"/>
      <c r="BB51" s="73"/>
      <c r="BC51" s="73"/>
      <c r="BD51" s="73"/>
      <c r="BE51" s="138"/>
      <c r="BF51" s="73" t="s">
        <v>708</v>
      </c>
      <c r="BG51" s="73"/>
      <c r="BH51" s="138"/>
      <c r="BI51" s="73"/>
      <c r="BJ51" s="139"/>
      <c r="BK51" s="139"/>
      <c r="BL51" s="139" t="s">
        <v>709</v>
      </c>
      <c r="BM51" s="139"/>
      <c r="BN51" s="140" t="s">
        <v>710</v>
      </c>
      <c r="BO51" s="139" t="s">
        <v>711</v>
      </c>
      <c r="BP51" s="139" t="s">
        <v>712</v>
      </c>
      <c r="BQ51" s="139"/>
      <c r="BR51" s="139"/>
      <c r="BS51" s="139"/>
      <c r="BT51" s="139"/>
      <c r="BU51" s="139"/>
      <c r="BV51" s="139" t="s">
        <v>1022</v>
      </c>
      <c r="BW51" s="139"/>
      <c r="BX51" s="139"/>
      <c r="BY51" s="139"/>
      <c r="BZ51" s="140"/>
      <c r="CA51" s="140"/>
      <c r="CB51" s="140"/>
      <c r="CC51" s="139"/>
      <c r="CD51" s="141"/>
      <c r="CE51" s="76"/>
      <c r="CF51" s="141" t="s">
        <v>713</v>
      </c>
      <c r="CG51" s="141"/>
      <c r="CH51" s="141"/>
      <c r="CI51" s="141" t="s">
        <v>714</v>
      </c>
      <c r="CJ51" s="141"/>
      <c r="CK51" s="141"/>
      <c r="CL51" s="141"/>
      <c r="CM51" s="141"/>
      <c r="CN51" s="141"/>
      <c r="CO51" s="141"/>
      <c r="CP51" s="141"/>
      <c r="CQ51" s="141"/>
      <c r="CR51" s="141"/>
      <c r="CS51" s="141"/>
      <c r="CT51" s="141"/>
      <c r="CU51" s="141"/>
      <c r="CV51" s="141"/>
    </row>
    <row r="52" spans="1:100" x14ac:dyDescent="0.25">
      <c r="A52" s="44" t="s">
        <v>723</v>
      </c>
      <c r="B52" s="132" t="s">
        <v>246</v>
      </c>
      <c r="C52" s="132"/>
      <c r="D52" s="132" t="s">
        <v>6</v>
      </c>
      <c r="E52" s="132"/>
      <c r="F52" s="133"/>
      <c r="G52" s="132"/>
      <c r="H52" s="132"/>
      <c r="I52" s="134"/>
      <c r="J52" s="132"/>
      <c r="K52" s="135"/>
      <c r="L52" s="132" t="s">
        <v>246</v>
      </c>
      <c r="M52" s="132"/>
      <c r="N52" s="135"/>
      <c r="O52" s="135" t="s">
        <v>246</v>
      </c>
      <c r="P52" s="132" t="s">
        <v>246</v>
      </c>
      <c r="Q52" s="133"/>
      <c r="R52" s="133"/>
      <c r="S52" s="133"/>
      <c r="T52" s="135"/>
      <c r="U52" s="136" t="s">
        <v>246</v>
      </c>
      <c r="V52" s="137"/>
      <c r="W52" s="136"/>
      <c r="X52" s="136"/>
      <c r="Y52" s="136"/>
      <c r="Z52" s="136"/>
      <c r="AA52" s="137"/>
      <c r="AB52" s="137"/>
      <c r="AC52" s="136" t="s">
        <v>246</v>
      </c>
      <c r="AD52" s="136"/>
      <c r="AE52" s="136" t="s">
        <v>947</v>
      </c>
      <c r="AF52" s="136"/>
      <c r="AG52" s="136"/>
      <c r="AH52" s="136"/>
      <c r="AI52" s="136"/>
      <c r="AJ52" s="136" t="s">
        <v>246</v>
      </c>
      <c r="AK52" s="136"/>
      <c r="AL52" s="136"/>
      <c r="AM52" s="136"/>
      <c r="AN52" s="73"/>
      <c r="AO52" s="138"/>
      <c r="AP52" s="138"/>
      <c r="AQ52" s="73"/>
      <c r="AR52" s="73" t="s">
        <v>246</v>
      </c>
      <c r="AS52" s="73" t="s">
        <v>246</v>
      </c>
      <c r="AT52" s="73"/>
      <c r="AU52" s="73" t="s">
        <v>246</v>
      </c>
      <c r="AV52" s="73"/>
      <c r="AW52" s="73"/>
      <c r="AX52" s="73"/>
      <c r="AY52" s="73"/>
      <c r="AZ52" s="73"/>
      <c r="BA52" s="73"/>
      <c r="BB52" s="73"/>
      <c r="BC52" s="73"/>
      <c r="BD52" s="73"/>
      <c r="BE52" s="138"/>
      <c r="BF52" s="73" t="s">
        <v>19</v>
      </c>
      <c r="BG52" s="73"/>
      <c r="BH52" s="138"/>
      <c r="BI52" s="73"/>
      <c r="BJ52" s="139"/>
      <c r="BK52" s="139"/>
      <c r="BL52" s="139" t="s">
        <v>246</v>
      </c>
      <c r="BM52" s="139"/>
      <c r="BN52" s="140" t="s">
        <v>6</v>
      </c>
      <c r="BO52" s="139" t="s">
        <v>246</v>
      </c>
      <c r="BP52" s="139" t="s">
        <v>246</v>
      </c>
      <c r="BQ52" s="139"/>
      <c r="BR52" s="139"/>
      <c r="BS52" s="139"/>
      <c r="BT52" s="139"/>
      <c r="BU52" s="139"/>
      <c r="BV52" s="139" t="s">
        <v>947</v>
      </c>
      <c r="BW52" s="139"/>
      <c r="BX52" s="139"/>
      <c r="BY52" s="139"/>
      <c r="BZ52" s="140"/>
      <c r="CA52" s="140"/>
      <c r="CB52" s="140"/>
      <c r="CC52" s="139"/>
      <c r="CD52" s="141"/>
      <c r="CE52" s="76"/>
      <c r="CF52" s="141" t="s">
        <v>246</v>
      </c>
      <c r="CG52" s="141"/>
      <c r="CH52" s="141"/>
      <c r="CI52" s="141" t="s">
        <v>246</v>
      </c>
      <c r="CJ52" s="141"/>
      <c r="CK52" s="141"/>
      <c r="CL52" s="141"/>
      <c r="CM52" s="141"/>
      <c r="CN52" s="141"/>
      <c r="CO52" s="141"/>
      <c r="CP52" s="141"/>
      <c r="CQ52" s="141"/>
      <c r="CR52" s="141"/>
      <c r="CS52" s="141"/>
      <c r="CT52" s="141"/>
      <c r="CU52" s="141"/>
      <c r="CV52" s="141"/>
    </row>
    <row r="53" spans="1:100" x14ac:dyDescent="0.25">
      <c r="A53" s="44" t="s">
        <v>724</v>
      </c>
      <c r="B53" s="132" t="s">
        <v>125</v>
      </c>
      <c r="C53" s="132"/>
      <c r="D53" s="132" t="s">
        <v>128</v>
      </c>
      <c r="E53" s="132"/>
      <c r="F53" s="133"/>
      <c r="G53" s="132"/>
      <c r="H53" s="132"/>
      <c r="I53" s="134"/>
      <c r="J53" s="132"/>
      <c r="K53" s="135"/>
      <c r="L53" s="132" t="s">
        <v>125</v>
      </c>
      <c r="M53" s="132"/>
      <c r="N53" s="135"/>
      <c r="O53" s="135" t="s">
        <v>125</v>
      </c>
      <c r="P53" s="132" t="s">
        <v>125</v>
      </c>
      <c r="Q53" s="133"/>
      <c r="R53" s="133"/>
      <c r="S53" s="133"/>
      <c r="T53" s="135"/>
      <c r="U53" s="136" t="s">
        <v>125</v>
      </c>
      <c r="V53" s="137"/>
      <c r="W53" s="136"/>
      <c r="X53" s="136"/>
      <c r="Y53" s="136"/>
      <c r="Z53" s="136"/>
      <c r="AA53" s="137"/>
      <c r="AB53" s="137"/>
      <c r="AC53" s="136" t="s">
        <v>125</v>
      </c>
      <c r="AD53" s="136"/>
      <c r="AE53" s="136" t="s">
        <v>223</v>
      </c>
      <c r="AF53" s="136"/>
      <c r="AG53" s="136"/>
      <c r="AH53" s="136"/>
      <c r="AI53" s="136"/>
      <c r="AJ53" s="136" t="s">
        <v>125</v>
      </c>
      <c r="AK53" s="136"/>
      <c r="AL53" s="136"/>
      <c r="AM53" s="136"/>
      <c r="AN53" s="73"/>
      <c r="AO53" s="138"/>
      <c r="AP53" s="138"/>
      <c r="AQ53" s="73"/>
      <c r="AR53" s="73" t="s">
        <v>125</v>
      </c>
      <c r="AS53" s="73" t="s">
        <v>125</v>
      </c>
      <c r="AT53" s="73"/>
      <c r="AU53" s="73" t="s">
        <v>125</v>
      </c>
      <c r="AV53" s="73"/>
      <c r="AW53" s="73"/>
      <c r="AX53" s="73"/>
      <c r="AY53" s="73"/>
      <c r="AZ53" s="73"/>
      <c r="BA53" s="73"/>
      <c r="BB53" s="73"/>
      <c r="BC53" s="73"/>
      <c r="BD53" s="73"/>
      <c r="BE53" s="138"/>
      <c r="BF53" s="73" t="s">
        <v>128</v>
      </c>
      <c r="BG53" s="73"/>
      <c r="BH53" s="138"/>
      <c r="BI53" s="73"/>
      <c r="BJ53" s="139"/>
      <c r="BK53" s="139"/>
      <c r="BL53" s="139" t="s">
        <v>125</v>
      </c>
      <c r="BM53" s="139"/>
      <c r="BN53" s="140" t="s">
        <v>223</v>
      </c>
      <c r="BO53" s="139" t="s">
        <v>125</v>
      </c>
      <c r="BP53" s="139" t="s">
        <v>125</v>
      </c>
      <c r="BQ53" s="139"/>
      <c r="BR53" s="139"/>
      <c r="BS53" s="139"/>
      <c r="BT53" s="139"/>
      <c r="BU53" s="139"/>
      <c r="BV53" s="139" t="s">
        <v>223</v>
      </c>
      <c r="BW53" s="139"/>
      <c r="BX53" s="139"/>
      <c r="BY53" s="139"/>
      <c r="BZ53" s="140"/>
      <c r="CA53" s="140"/>
      <c r="CB53" s="140"/>
      <c r="CC53" s="139"/>
      <c r="CD53" s="141"/>
      <c r="CE53" s="76"/>
      <c r="CF53" s="141" t="s">
        <v>125</v>
      </c>
      <c r="CG53" s="141"/>
      <c r="CH53" s="141"/>
      <c r="CI53" s="141" t="s">
        <v>125</v>
      </c>
      <c r="CJ53" s="141"/>
      <c r="CK53" s="141"/>
      <c r="CL53" s="141"/>
      <c r="CM53" s="141"/>
      <c r="CN53" s="141"/>
      <c r="CO53" s="141"/>
      <c r="CP53" s="141"/>
      <c r="CQ53" s="141"/>
      <c r="CR53" s="141"/>
      <c r="CS53" s="141"/>
      <c r="CT53" s="141"/>
      <c r="CU53" s="141"/>
      <c r="CV53" s="141"/>
    </row>
    <row r="54" spans="1:100" x14ac:dyDescent="0.25">
      <c r="A54" s="44" t="s">
        <v>725</v>
      </c>
      <c r="B54" s="134">
        <f>80%+(char1Refine-1)*20%</f>
        <v>1.2000000000000002</v>
      </c>
      <c r="C54" s="132"/>
      <c r="D54" s="143">
        <f>40%+(char1Refine-1)*10%</f>
        <v>0.60000000000000009</v>
      </c>
      <c r="E54" s="132"/>
      <c r="F54" s="133"/>
      <c r="G54" s="132"/>
      <c r="H54" s="132"/>
      <c r="I54" s="134"/>
      <c r="J54" s="132"/>
      <c r="K54" s="135"/>
      <c r="L54" s="143">
        <f>80%+(char1Refine-1)*15%</f>
        <v>1.1000000000000001</v>
      </c>
      <c r="M54" s="132"/>
      <c r="N54" s="135"/>
      <c r="O54" s="143">
        <f>240%+(char1Refine-1)*60%</f>
        <v>3.5999999999999996</v>
      </c>
      <c r="P54" s="134">
        <f>100%+(char1Refine-1)*25%</f>
        <v>1.5</v>
      </c>
      <c r="Q54" s="133"/>
      <c r="R54" s="133"/>
      <c r="S54" s="133"/>
      <c r="T54" s="135"/>
      <c r="U54" s="136">
        <f>40%+(char1Refine-1)*15%</f>
        <v>0.7</v>
      </c>
      <c r="V54" s="137"/>
      <c r="W54" s="136"/>
      <c r="X54" s="136"/>
      <c r="Y54" s="136"/>
      <c r="Z54" s="136"/>
      <c r="AA54" s="137"/>
      <c r="AB54" s="137"/>
      <c r="AC54" s="136">
        <f>60%+(char1Refine-1)*15%</f>
        <v>0.89999999999999991</v>
      </c>
      <c r="AD54" s="136"/>
      <c r="AE54" s="136">
        <v>0.04</v>
      </c>
      <c r="AF54" s="136"/>
      <c r="AG54" s="136"/>
      <c r="AH54" s="136"/>
      <c r="AI54" s="136"/>
      <c r="AJ54" s="136">
        <f>20%+(char1Refine-1)*5%</f>
        <v>0.30000000000000004</v>
      </c>
      <c r="AK54" s="136"/>
      <c r="AL54" s="136"/>
      <c r="AM54" s="136"/>
      <c r="AN54" s="73"/>
      <c r="AO54" s="138"/>
      <c r="AP54" s="138"/>
      <c r="AQ54" s="73"/>
      <c r="AR54" s="73">
        <f>20%+(char1Refine-1)*5%</f>
        <v>0.30000000000000004</v>
      </c>
      <c r="AS54" s="73">
        <f>200%+(char1Refine-1)*30%</f>
        <v>2.6</v>
      </c>
      <c r="AT54" s="73"/>
      <c r="AU54" s="73">
        <f>100%+(char1Refine-1)*25%</f>
        <v>1.5</v>
      </c>
      <c r="AV54" s="73"/>
      <c r="AW54" s="73"/>
      <c r="AX54" s="73"/>
      <c r="AY54" s="73"/>
      <c r="AZ54" s="73"/>
      <c r="BA54" s="73"/>
      <c r="BB54" s="73"/>
      <c r="BC54" s="73"/>
      <c r="BD54" s="73"/>
      <c r="BE54" s="138"/>
      <c r="BF54" s="73">
        <f>40%+(char1Refine-1)*10%</f>
        <v>0.60000000000000009</v>
      </c>
      <c r="BG54" s="73"/>
      <c r="BH54" s="138"/>
      <c r="BI54" s="73"/>
      <c r="BJ54" s="139"/>
      <c r="BK54" s="139"/>
      <c r="BL54" s="139">
        <f>160%+(char1Refine-1)*40%</f>
        <v>2.4000000000000004</v>
      </c>
      <c r="BM54" s="139"/>
      <c r="BN54" s="139">
        <f>1%+(char1Refine-1)*0.5%</f>
        <v>0.02</v>
      </c>
      <c r="BO54" s="139">
        <f>60%+(char1Refine-1)*15%</f>
        <v>0.89999999999999991</v>
      </c>
      <c r="BP54" s="139">
        <f>240%+(char1Refine-1)*30%</f>
        <v>3</v>
      </c>
      <c r="BQ54" s="139"/>
      <c r="BR54" s="139"/>
      <c r="BS54" s="139"/>
      <c r="BT54" s="139"/>
      <c r="BU54" s="139"/>
      <c r="BV54" s="139">
        <f>4%+0.5%*(char1Refine-1)</f>
        <v>0.05</v>
      </c>
      <c r="BW54" s="139"/>
      <c r="BX54" s="139"/>
      <c r="BY54" s="139"/>
      <c r="BZ54" s="140"/>
      <c r="CA54" s="140"/>
      <c r="CB54" s="140"/>
      <c r="CC54" s="139"/>
      <c r="CD54" s="141"/>
      <c r="CE54" s="76"/>
      <c r="CF54" s="144">
        <v>1.25</v>
      </c>
      <c r="CG54" s="141"/>
      <c r="CH54" s="141"/>
      <c r="CI54" s="145">
        <f>40%+(char1Refine-1)*10%</f>
        <v>0.60000000000000009</v>
      </c>
      <c r="CJ54" s="141"/>
      <c r="CK54" s="141"/>
      <c r="CL54" s="141"/>
      <c r="CM54" s="141"/>
      <c r="CN54" s="141"/>
      <c r="CO54" s="141"/>
      <c r="CP54" s="141"/>
      <c r="CQ54" s="141"/>
      <c r="CR54" s="141"/>
      <c r="CS54" s="141"/>
      <c r="CT54" s="141"/>
      <c r="CU54" s="141"/>
      <c r="CV54" s="141"/>
    </row>
    <row r="55" spans="1:100" x14ac:dyDescent="0.25">
      <c r="A55" s="44" t="s">
        <v>726</v>
      </c>
      <c r="B55" s="132" t="s">
        <v>715</v>
      </c>
      <c r="C55" s="132"/>
      <c r="D55" s="132" t="str">
        <f>char1NAElement</f>
        <v>Cryo</v>
      </c>
      <c r="E55" s="132"/>
      <c r="F55" s="133"/>
      <c r="G55" s="132"/>
      <c r="H55" s="132"/>
      <c r="I55" s="134"/>
      <c r="J55" s="132"/>
      <c r="K55" s="135"/>
      <c r="L55" s="132" t="s">
        <v>715</v>
      </c>
      <c r="M55" s="132"/>
      <c r="N55" s="135"/>
      <c r="O55" s="135" t="s">
        <v>715</v>
      </c>
      <c r="P55" s="132" t="s">
        <v>715</v>
      </c>
      <c r="Q55" s="133"/>
      <c r="R55" s="133"/>
      <c r="S55" s="133"/>
      <c r="T55" s="135"/>
      <c r="U55" s="136" t="s">
        <v>715</v>
      </c>
      <c r="V55" s="137"/>
      <c r="W55" s="136"/>
      <c r="X55" s="136"/>
      <c r="Y55" s="136"/>
      <c r="Z55" s="136"/>
      <c r="AA55" s="137"/>
      <c r="AB55" s="137"/>
      <c r="AC55" s="136" t="s">
        <v>715</v>
      </c>
      <c r="AD55" s="136"/>
      <c r="AE55" s="136" t="s">
        <v>246</v>
      </c>
      <c r="AF55" s="136"/>
      <c r="AG55" s="136"/>
      <c r="AH55" s="136"/>
      <c r="AI55" s="136"/>
      <c r="AJ55" s="136"/>
      <c r="AK55" s="136"/>
      <c r="AL55" s="136"/>
      <c r="AM55" s="136"/>
      <c r="AN55" s="73"/>
      <c r="AO55" s="138"/>
      <c r="AP55" s="138"/>
      <c r="AQ55" s="73"/>
      <c r="AR55" s="73" t="s">
        <v>715</v>
      </c>
      <c r="AS55" s="73" t="s">
        <v>715</v>
      </c>
      <c r="AT55" s="73"/>
      <c r="AU55" s="73" t="s">
        <v>715</v>
      </c>
      <c r="AV55" s="73"/>
      <c r="AW55" s="73"/>
      <c r="AX55" s="73"/>
      <c r="AY55" s="73"/>
      <c r="AZ55" s="73"/>
      <c r="BA55" s="73"/>
      <c r="BB55" s="73"/>
      <c r="BC55" s="73"/>
      <c r="BD55" s="73"/>
      <c r="BE55" s="138"/>
      <c r="BF55" s="73" t="str">
        <f>char1SkillElement</f>
        <v>Cryo</v>
      </c>
      <c r="BG55" s="73"/>
      <c r="BH55" s="138"/>
      <c r="BI55" s="73"/>
      <c r="BJ55" s="139"/>
      <c r="BK55" s="139"/>
      <c r="BL55" s="139" t="s">
        <v>715</v>
      </c>
      <c r="BM55" s="139"/>
      <c r="BN55" s="140" t="str">
        <f>char1NAElement</f>
        <v>Cryo</v>
      </c>
      <c r="BO55" s="139" t="s">
        <v>715</v>
      </c>
      <c r="BP55" s="139" t="s">
        <v>715</v>
      </c>
      <c r="BQ55" s="139"/>
      <c r="BR55" s="139"/>
      <c r="BS55" s="139"/>
      <c r="BT55" s="139"/>
      <c r="BU55" s="139"/>
      <c r="BV55" s="139" t="s">
        <v>246</v>
      </c>
      <c r="BW55" s="139"/>
      <c r="BX55" s="139"/>
      <c r="BY55" s="139"/>
      <c r="BZ55" s="140"/>
      <c r="CA55" s="140"/>
      <c r="CB55" s="140"/>
      <c r="CC55" s="139"/>
      <c r="CD55" s="141"/>
      <c r="CE55" s="76"/>
      <c r="CF55" s="141" t="s">
        <v>715</v>
      </c>
      <c r="CG55" s="141"/>
      <c r="CH55" s="141"/>
      <c r="CI55" s="141" t="s">
        <v>715</v>
      </c>
      <c r="CJ55" s="141"/>
      <c r="CK55" s="141"/>
      <c r="CL55" s="141"/>
      <c r="CM55" s="141"/>
      <c r="CN55" s="141"/>
      <c r="CO55" s="141"/>
      <c r="CP55" s="141"/>
      <c r="CQ55" s="141"/>
      <c r="CR55" s="141"/>
      <c r="CS55" s="141"/>
      <c r="CT55" s="141"/>
      <c r="CU55" s="141"/>
      <c r="CV55" s="141"/>
    </row>
    <row r="56" spans="1:100" x14ac:dyDescent="0.25">
      <c r="A56" s="44" t="s">
        <v>727</v>
      </c>
      <c r="B56" s="132"/>
      <c r="C56" s="132"/>
      <c r="D56" s="132" t="s">
        <v>716</v>
      </c>
      <c r="E56" s="132"/>
      <c r="F56" s="133"/>
      <c r="G56" s="132"/>
      <c r="H56" s="132"/>
      <c r="I56" s="134"/>
      <c r="J56" s="132"/>
      <c r="K56" s="135"/>
      <c r="L56" s="132" t="s">
        <v>717</v>
      </c>
      <c r="M56" s="132"/>
      <c r="N56" s="135"/>
      <c r="O56" s="135"/>
      <c r="P56" s="132"/>
      <c r="Q56" s="133"/>
      <c r="R56" s="133"/>
      <c r="S56" s="133"/>
      <c r="T56" s="135"/>
      <c r="U56" s="136"/>
      <c r="V56" s="137"/>
      <c r="W56" s="136"/>
      <c r="X56" s="136"/>
      <c r="Y56" s="136"/>
      <c r="Z56" s="136"/>
      <c r="AA56" s="137"/>
      <c r="AB56" s="137"/>
      <c r="AC56" s="136" t="s">
        <v>718</v>
      </c>
      <c r="AD56" s="136"/>
      <c r="AE56" s="136"/>
      <c r="AF56" s="136"/>
      <c r="AG56" s="136"/>
      <c r="AH56" s="136"/>
      <c r="AI56" s="136"/>
      <c r="AJ56" s="136"/>
      <c r="AK56" s="136"/>
      <c r="AL56" s="136"/>
      <c r="AM56" s="136"/>
      <c r="AN56" s="73"/>
      <c r="AO56" s="138"/>
      <c r="AP56" s="138"/>
      <c r="AQ56" s="73"/>
      <c r="AR56" s="73"/>
      <c r="AS56" s="73"/>
      <c r="AT56" s="73"/>
      <c r="AU56" s="73"/>
      <c r="AV56" s="73"/>
      <c r="AW56" s="73"/>
      <c r="AX56" s="73"/>
      <c r="AY56" s="73"/>
      <c r="AZ56" s="73"/>
      <c r="BA56" s="73"/>
      <c r="BB56" s="73"/>
      <c r="BC56" s="73"/>
      <c r="BD56" s="73"/>
      <c r="BE56" s="138"/>
      <c r="BF56" s="73"/>
      <c r="BG56" s="73"/>
      <c r="BH56" s="138"/>
      <c r="BI56" s="73"/>
      <c r="BJ56" s="139"/>
      <c r="BK56" s="139"/>
      <c r="BL56" s="139"/>
      <c r="BM56" s="139"/>
      <c r="BN56" s="140"/>
      <c r="BO56" s="139" t="s">
        <v>718</v>
      </c>
      <c r="BP56" s="139"/>
      <c r="BQ56" s="139"/>
      <c r="BR56" s="139"/>
      <c r="BS56" s="139"/>
      <c r="BT56" s="139"/>
      <c r="BU56" s="139"/>
      <c r="BV56" s="139"/>
      <c r="BW56" s="139"/>
      <c r="BX56" s="139"/>
      <c r="BY56" s="139"/>
      <c r="BZ56" s="140"/>
      <c r="CA56" s="140"/>
      <c r="CB56" s="140"/>
      <c r="CC56" s="139"/>
      <c r="CD56" s="141"/>
      <c r="CE56" s="76"/>
      <c r="CF56" s="141"/>
      <c r="CG56" s="141"/>
      <c r="CH56" s="141"/>
      <c r="CI56" s="141"/>
      <c r="CJ56" s="141"/>
      <c r="CK56" s="141"/>
      <c r="CL56" s="141"/>
      <c r="CM56" s="141"/>
      <c r="CN56" s="141"/>
      <c r="CO56" s="141"/>
      <c r="CP56" s="141"/>
      <c r="CQ56" s="141"/>
      <c r="CR56" s="141"/>
      <c r="CS56" s="141"/>
      <c r="CT56" s="141"/>
      <c r="CU56" s="141"/>
      <c r="CV56" s="141"/>
    </row>
    <row r="57" spans="1:100" x14ac:dyDescent="0.25">
      <c r="A57" s="44" t="s">
        <v>728</v>
      </c>
      <c r="B57" s="132"/>
      <c r="C57" s="132"/>
      <c r="D57" s="132" t="s">
        <v>5</v>
      </c>
      <c r="E57" s="132"/>
      <c r="F57" s="133"/>
      <c r="G57" s="132"/>
      <c r="H57" s="132"/>
      <c r="I57" s="134"/>
      <c r="J57" s="132"/>
      <c r="K57" s="135"/>
      <c r="L57" s="132" t="s">
        <v>246</v>
      </c>
      <c r="M57" s="132"/>
      <c r="N57" s="135"/>
      <c r="O57" s="135"/>
      <c r="P57" s="132"/>
      <c r="Q57" s="133"/>
      <c r="R57" s="133"/>
      <c r="S57" s="133"/>
      <c r="T57" s="135"/>
      <c r="U57" s="136"/>
      <c r="V57" s="137"/>
      <c r="W57" s="136"/>
      <c r="X57" s="136"/>
      <c r="Y57" s="136"/>
      <c r="Z57" s="136"/>
      <c r="AA57" s="137"/>
      <c r="AB57" s="137"/>
      <c r="AC57" s="136" t="s">
        <v>246</v>
      </c>
      <c r="AD57" s="136"/>
      <c r="AE57" s="136"/>
      <c r="AF57" s="136"/>
      <c r="AG57" s="136"/>
      <c r="AH57" s="136"/>
      <c r="AI57" s="136"/>
      <c r="AJ57" s="136"/>
      <c r="AK57" s="136"/>
      <c r="AL57" s="136"/>
      <c r="AM57" s="136"/>
      <c r="AN57" s="73"/>
      <c r="AO57" s="138"/>
      <c r="AP57" s="138"/>
      <c r="AQ57" s="73"/>
      <c r="AR57" s="73"/>
      <c r="AS57" s="73"/>
      <c r="AT57" s="73"/>
      <c r="AU57" s="73"/>
      <c r="AV57" s="73"/>
      <c r="AW57" s="73"/>
      <c r="AX57" s="73"/>
      <c r="AY57" s="73"/>
      <c r="AZ57" s="73"/>
      <c r="BA57" s="73"/>
      <c r="BB57" s="73"/>
      <c r="BC57" s="73"/>
      <c r="BD57" s="73"/>
      <c r="BE57" s="138"/>
      <c r="BF57" s="73"/>
      <c r="BG57" s="73"/>
      <c r="BH57" s="138"/>
      <c r="BI57" s="73"/>
      <c r="BJ57" s="139"/>
      <c r="BK57" s="139"/>
      <c r="BL57" s="139"/>
      <c r="BM57" s="139"/>
      <c r="BN57" s="140"/>
      <c r="BO57" s="139" t="s">
        <v>246</v>
      </c>
      <c r="BP57" s="139"/>
      <c r="BQ57" s="139"/>
      <c r="BR57" s="139"/>
      <c r="BS57" s="139"/>
      <c r="BT57" s="139"/>
      <c r="BU57" s="139"/>
      <c r="BV57" s="139"/>
      <c r="BW57" s="139"/>
      <c r="BX57" s="139"/>
      <c r="BY57" s="139"/>
      <c r="BZ57" s="140"/>
      <c r="CA57" s="140"/>
      <c r="CB57" s="140"/>
      <c r="CC57" s="139"/>
      <c r="CD57" s="141"/>
      <c r="CE57" s="76"/>
      <c r="CF57" s="141"/>
      <c r="CG57" s="141"/>
      <c r="CH57" s="141"/>
      <c r="CI57" s="141"/>
      <c r="CJ57" s="141"/>
      <c r="CK57" s="141"/>
      <c r="CL57" s="141"/>
      <c r="CM57" s="141"/>
      <c r="CN57" s="141"/>
      <c r="CO57" s="141"/>
      <c r="CP57" s="141"/>
      <c r="CQ57" s="141"/>
      <c r="CR57" s="141"/>
      <c r="CS57" s="141"/>
      <c r="CT57" s="141"/>
      <c r="CU57" s="141"/>
      <c r="CV57" s="141"/>
    </row>
    <row r="58" spans="1:100" x14ac:dyDescent="0.25">
      <c r="A58" s="44" t="s">
        <v>729</v>
      </c>
      <c r="B58" s="132"/>
      <c r="C58" s="132"/>
      <c r="D58" s="132" t="s">
        <v>128</v>
      </c>
      <c r="E58" s="132"/>
      <c r="F58" s="133"/>
      <c r="G58" s="132"/>
      <c r="H58" s="132"/>
      <c r="I58" s="134"/>
      <c r="J58" s="132"/>
      <c r="K58" s="135"/>
      <c r="L58" s="132" t="s">
        <v>125</v>
      </c>
      <c r="M58" s="132"/>
      <c r="N58" s="135"/>
      <c r="O58" s="135"/>
      <c r="P58" s="132"/>
      <c r="Q58" s="133"/>
      <c r="R58" s="133"/>
      <c r="S58" s="133"/>
      <c r="T58" s="135"/>
      <c r="U58" s="136"/>
      <c r="V58" s="137"/>
      <c r="W58" s="136"/>
      <c r="X58" s="136"/>
      <c r="Y58" s="136"/>
      <c r="Z58" s="136"/>
      <c r="AA58" s="137"/>
      <c r="AB58" s="137"/>
      <c r="AC58" s="136" t="s">
        <v>125</v>
      </c>
      <c r="AD58" s="136"/>
      <c r="AE58" s="136"/>
      <c r="AF58" s="136"/>
      <c r="AG58" s="136"/>
      <c r="AH58" s="136"/>
      <c r="AI58" s="136"/>
      <c r="AJ58" s="136"/>
      <c r="AK58" s="136"/>
      <c r="AL58" s="136"/>
      <c r="AM58" s="136"/>
      <c r="AN58" s="73"/>
      <c r="AO58" s="138"/>
      <c r="AP58" s="138"/>
      <c r="AQ58" s="73"/>
      <c r="AR58" s="73"/>
      <c r="AS58" s="73"/>
      <c r="AT58" s="73"/>
      <c r="AU58" s="73"/>
      <c r="AV58" s="73"/>
      <c r="AW58" s="73"/>
      <c r="AX58" s="73"/>
      <c r="AY58" s="73"/>
      <c r="AZ58" s="73"/>
      <c r="BA58" s="73"/>
      <c r="BB58" s="73"/>
      <c r="BC58" s="73"/>
      <c r="BD58" s="73"/>
      <c r="BE58" s="138"/>
      <c r="BF58" s="73"/>
      <c r="BG58" s="73"/>
      <c r="BH58" s="138"/>
      <c r="BI58" s="73"/>
      <c r="BJ58" s="139"/>
      <c r="BK58" s="139"/>
      <c r="BL58" s="139"/>
      <c r="BM58" s="139"/>
      <c r="BN58" s="140"/>
      <c r="BO58" s="139" t="s">
        <v>125</v>
      </c>
      <c r="BP58" s="139"/>
      <c r="BQ58" s="139"/>
      <c r="BR58" s="139"/>
      <c r="BS58" s="139"/>
      <c r="BT58" s="139"/>
      <c r="BU58" s="139"/>
      <c r="BV58" s="139"/>
      <c r="BW58" s="139"/>
      <c r="BX58" s="139"/>
      <c r="BY58" s="139"/>
      <c r="BZ58" s="140"/>
      <c r="CA58" s="140"/>
      <c r="CB58" s="140"/>
      <c r="CC58" s="139"/>
      <c r="CD58" s="141"/>
      <c r="CE58" s="76"/>
      <c r="CF58" s="141"/>
      <c r="CG58" s="141"/>
      <c r="CH58" s="141"/>
      <c r="CI58" s="141"/>
      <c r="CJ58" s="141"/>
      <c r="CK58" s="141"/>
      <c r="CL58" s="141"/>
      <c r="CM58" s="141"/>
      <c r="CN58" s="141"/>
      <c r="CO58" s="141"/>
      <c r="CP58" s="141"/>
      <c r="CQ58" s="141"/>
      <c r="CR58" s="141"/>
      <c r="CS58" s="141"/>
      <c r="CT58" s="141"/>
      <c r="CU58" s="141"/>
      <c r="CV58" s="141"/>
    </row>
    <row r="59" spans="1:100" x14ac:dyDescent="0.25">
      <c r="A59" s="44" t="s">
        <v>730</v>
      </c>
      <c r="B59" s="132"/>
      <c r="C59" s="132"/>
      <c r="D59" s="146">
        <f>0.4+(char1Refine-1)*0.1</f>
        <v>0.60000000000000009</v>
      </c>
      <c r="E59" s="132"/>
      <c r="F59" s="133"/>
      <c r="G59" s="132"/>
      <c r="H59" s="132"/>
      <c r="I59" s="134"/>
      <c r="J59" s="132"/>
      <c r="K59" s="135"/>
      <c r="L59" s="143">
        <f>200%+(char1Refine-1)*40%</f>
        <v>2.8</v>
      </c>
      <c r="M59" s="132"/>
      <c r="N59" s="135"/>
      <c r="O59" s="135"/>
      <c r="P59" s="132"/>
      <c r="Q59" s="133"/>
      <c r="R59" s="133"/>
      <c r="S59" s="133"/>
      <c r="T59" s="135"/>
      <c r="U59" s="136"/>
      <c r="V59" s="137"/>
      <c r="W59" s="136"/>
      <c r="X59" s="136"/>
      <c r="Y59" s="136"/>
      <c r="Z59" s="136"/>
      <c r="AA59" s="137"/>
      <c r="AB59" s="137"/>
      <c r="AC59" s="136">
        <f>200%+(char1Refine-1)*40%</f>
        <v>2.8</v>
      </c>
      <c r="AD59" s="136"/>
      <c r="AE59" s="136"/>
      <c r="AF59" s="136"/>
      <c r="AG59" s="136"/>
      <c r="AH59" s="136"/>
      <c r="AI59" s="136"/>
      <c r="AJ59" s="136"/>
      <c r="AK59" s="136"/>
      <c r="AL59" s="136"/>
      <c r="AM59" s="136"/>
      <c r="AN59" s="73"/>
      <c r="AO59" s="138"/>
      <c r="AP59" s="138"/>
      <c r="AQ59" s="73"/>
      <c r="AR59" s="73"/>
      <c r="AS59" s="73"/>
      <c r="AT59" s="73"/>
      <c r="AU59" s="73"/>
      <c r="AV59" s="73"/>
      <c r="AW59" s="73"/>
      <c r="AX59" s="73"/>
      <c r="AY59" s="73"/>
      <c r="AZ59" s="73"/>
      <c r="BA59" s="73"/>
      <c r="BB59" s="73"/>
      <c r="BC59" s="73"/>
      <c r="BD59" s="73"/>
      <c r="BE59" s="138"/>
      <c r="BF59" s="73"/>
      <c r="BG59" s="73"/>
      <c r="BH59" s="138"/>
      <c r="BI59" s="73"/>
      <c r="BJ59" s="139"/>
      <c r="BK59" s="139"/>
      <c r="BL59" s="139"/>
      <c r="BM59" s="139"/>
      <c r="BN59" s="140"/>
      <c r="BO59" s="139">
        <f>200%+(char1Refine-1)*40%</f>
        <v>2.8</v>
      </c>
      <c r="BP59" s="139"/>
      <c r="BQ59" s="139"/>
      <c r="BR59" s="139"/>
      <c r="BS59" s="139"/>
      <c r="BT59" s="139"/>
      <c r="BU59" s="139"/>
      <c r="BV59" s="139"/>
      <c r="BW59" s="139"/>
      <c r="BX59" s="139"/>
      <c r="BY59" s="139"/>
      <c r="BZ59" s="140"/>
      <c r="CA59" s="140"/>
      <c r="CB59" s="140"/>
      <c r="CC59" s="139"/>
      <c r="CD59" s="141"/>
      <c r="CE59" s="76"/>
      <c r="CF59" s="141"/>
      <c r="CG59" s="141"/>
      <c r="CH59" s="141"/>
      <c r="CI59" s="141"/>
      <c r="CJ59" s="141"/>
      <c r="CK59" s="141"/>
      <c r="CL59" s="141"/>
      <c r="CM59" s="141"/>
      <c r="CN59" s="141"/>
      <c r="CO59" s="141"/>
      <c r="CP59" s="141"/>
      <c r="CQ59" s="141"/>
      <c r="CR59" s="141"/>
      <c r="CS59" s="141"/>
      <c r="CT59" s="141"/>
      <c r="CU59" s="141"/>
      <c r="CV59" s="141"/>
    </row>
    <row r="60" spans="1:100" x14ac:dyDescent="0.25">
      <c r="A60" s="44" t="s">
        <v>731</v>
      </c>
      <c r="B60" s="132"/>
      <c r="C60" s="132"/>
      <c r="D60" s="146" t="str">
        <f>char1CAElement</f>
        <v>Cryo</v>
      </c>
      <c r="E60" s="132"/>
      <c r="F60" s="133"/>
      <c r="G60" s="132"/>
      <c r="H60" s="132"/>
      <c r="I60" s="134"/>
      <c r="J60" s="132"/>
      <c r="K60" s="135"/>
      <c r="L60" s="132" t="s">
        <v>715</v>
      </c>
      <c r="M60" s="132"/>
      <c r="N60" s="135"/>
      <c r="O60" s="135"/>
      <c r="P60" s="132"/>
      <c r="Q60" s="133"/>
      <c r="R60" s="133"/>
      <c r="S60" s="133"/>
      <c r="T60" s="135"/>
      <c r="U60" s="136"/>
      <c r="V60" s="137"/>
      <c r="W60" s="136"/>
      <c r="X60" s="136"/>
      <c r="Y60" s="136"/>
      <c r="Z60" s="136"/>
      <c r="AA60" s="137"/>
      <c r="AB60" s="137"/>
      <c r="AC60" s="136" t="s">
        <v>715</v>
      </c>
      <c r="AD60" s="136"/>
      <c r="AE60" s="136"/>
      <c r="AF60" s="136"/>
      <c r="AG60" s="136"/>
      <c r="AH60" s="136"/>
      <c r="AI60" s="136"/>
      <c r="AJ60" s="136"/>
      <c r="AK60" s="136"/>
      <c r="AL60" s="136"/>
      <c r="AM60" s="136"/>
      <c r="AN60" s="73"/>
      <c r="AO60" s="138"/>
      <c r="AP60" s="138"/>
      <c r="AQ60" s="73"/>
      <c r="AR60" s="73"/>
      <c r="AS60" s="73"/>
      <c r="AT60" s="73"/>
      <c r="AU60" s="73"/>
      <c r="AV60" s="73"/>
      <c r="AW60" s="73"/>
      <c r="AX60" s="73"/>
      <c r="AY60" s="73"/>
      <c r="AZ60" s="73"/>
      <c r="BA60" s="73"/>
      <c r="BB60" s="73"/>
      <c r="BC60" s="73"/>
      <c r="BD60" s="73"/>
      <c r="BE60" s="138"/>
      <c r="BF60" s="73"/>
      <c r="BG60" s="73"/>
      <c r="BH60" s="138"/>
      <c r="BI60" s="73"/>
      <c r="BJ60" s="139"/>
      <c r="BK60" s="139"/>
      <c r="BL60" s="139"/>
      <c r="BM60" s="139"/>
      <c r="BN60" s="140"/>
      <c r="BO60" s="139" t="s">
        <v>715</v>
      </c>
      <c r="BP60" s="139"/>
      <c r="BQ60" s="139"/>
      <c r="BR60" s="139"/>
      <c r="BS60" s="139"/>
      <c r="BT60" s="139"/>
      <c r="BU60" s="139"/>
      <c r="BV60" s="139"/>
      <c r="BW60" s="139"/>
      <c r="BX60" s="139"/>
      <c r="BY60" s="139"/>
      <c r="BZ60" s="140"/>
      <c r="CA60" s="140"/>
      <c r="CB60" s="140"/>
      <c r="CC60" s="139"/>
      <c r="CD60" s="141"/>
      <c r="CE60" s="76"/>
      <c r="CF60" s="141"/>
      <c r="CG60" s="141"/>
      <c r="CH60" s="141"/>
      <c r="CI60" s="141"/>
      <c r="CJ60" s="141"/>
      <c r="CK60" s="141"/>
      <c r="CL60" s="141"/>
      <c r="CM60" s="141"/>
      <c r="CN60" s="141"/>
      <c r="CO60" s="141"/>
      <c r="CP60" s="141"/>
      <c r="CQ60" s="141"/>
      <c r="CR60" s="141"/>
      <c r="CS60" s="141"/>
      <c r="CT60" s="141"/>
      <c r="CU60" s="141"/>
      <c r="CV60" s="141"/>
    </row>
    <row r="61" spans="1:100" x14ac:dyDescent="0.25">
      <c r="A61" s="44" t="s">
        <v>732</v>
      </c>
      <c r="B61" s="132"/>
      <c r="C61" s="132"/>
      <c r="D61" s="132"/>
      <c r="E61" s="132"/>
      <c r="F61" s="133"/>
      <c r="G61" s="132"/>
      <c r="H61" s="132"/>
      <c r="I61" s="134"/>
      <c r="J61" s="132"/>
      <c r="K61" s="135"/>
      <c r="L61" s="132"/>
      <c r="M61" s="132"/>
      <c r="N61" s="135"/>
      <c r="O61" s="135"/>
      <c r="P61" s="132"/>
      <c r="Q61" s="133"/>
      <c r="R61" s="133"/>
      <c r="S61" s="133"/>
      <c r="T61" s="135"/>
      <c r="U61" s="136"/>
      <c r="V61" s="137"/>
      <c r="W61" s="136"/>
      <c r="X61" s="136"/>
      <c r="Y61" s="136"/>
      <c r="Z61" s="136"/>
      <c r="AA61" s="137"/>
      <c r="AB61" s="137"/>
      <c r="AC61" s="136"/>
      <c r="AD61" s="136"/>
      <c r="AE61" s="136"/>
      <c r="AF61" s="136"/>
      <c r="AG61" s="136"/>
      <c r="AH61" s="136"/>
      <c r="AI61" s="136"/>
      <c r="AJ61" s="136"/>
      <c r="AK61" s="136"/>
      <c r="AL61" s="136"/>
      <c r="AM61" s="136"/>
      <c r="AN61" s="73"/>
      <c r="AO61" s="138"/>
      <c r="AP61" s="138"/>
      <c r="AQ61" s="73"/>
      <c r="AR61" s="73"/>
      <c r="AS61" s="73"/>
      <c r="AT61" s="73"/>
      <c r="AU61" s="73"/>
      <c r="AV61" s="73"/>
      <c r="AW61" s="73"/>
      <c r="AX61" s="73"/>
      <c r="AY61" s="73"/>
      <c r="AZ61" s="73"/>
      <c r="BA61" s="73"/>
      <c r="BB61" s="73"/>
      <c r="BC61" s="73"/>
      <c r="BD61" s="73"/>
      <c r="BE61" s="138"/>
      <c r="BF61" s="73"/>
      <c r="BG61" s="73"/>
      <c r="BH61" s="138"/>
      <c r="BI61" s="73"/>
      <c r="BJ61" s="139"/>
      <c r="BK61" s="139"/>
      <c r="BL61" s="139"/>
      <c r="BM61" s="139"/>
      <c r="BN61" s="140"/>
      <c r="BO61" s="139"/>
      <c r="BP61" s="139"/>
      <c r="BQ61" s="139"/>
      <c r="BR61" s="139"/>
      <c r="BS61" s="139"/>
      <c r="BT61" s="139"/>
      <c r="BU61" s="139"/>
      <c r="BV61" s="139"/>
      <c r="BW61" s="139"/>
      <c r="BX61" s="139"/>
      <c r="BY61" s="139"/>
      <c r="BZ61" s="140"/>
      <c r="CA61" s="140"/>
      <c r="CB61" s="140"/>
      <c r="CC61" s="139"/>
      <c r="CD61" s="141"/>
      <c r="CE61" s="76"/>
      <c r="CF61" s="141"/>
      <c r="CG61" s="141"/>
      <c r="CH61" s="141"/>
      <c r="CI61" s="141"/>
      <c r="CJ61" s="141"/>
      <c r="CK61" s="141"/>
      <c r="CL61" s="141"/>
      <c r="CM61" s="141"/>
      <c r="CN61" s="141"/>
      <c r="CO61" s="141"/>
      <c r="CP61" s="141"/>
      <c r="CQ61" s="141"/>
      <c r="CR61" s="141"/>
      <c r="CS61" s="141"/>
      <c r="CT61" s="141"/>
      <c r="CU61" s="141"/>
      <c r="CV61" s="141"/>
    </row>
    <row r="62" spans="1:100" x14ac:dyDescent="0.25">
      <c r="A62" s="44" t="s">
        <v>733</v>
      </c>
      <c r="B62" s="132"/>
      <c r="C62" s="132"/>
      <c r="D62" s="132"/>
      <c r="E62" s="132"/>
      <c r="F62" s="133"/>
      <c r="G62" s="132"/>
      <c r="H62" s="132"/>
      <c r="I62" s="134"/>
      <c r="J62" s="132"/>
      <c r="K62" s="135"/>
      <c r="L62" s="132"/>
      <c r="M62" s="132"/>
      <c r="N62" s="135"/>
      <c r="O62" s="135"/>
      <c r="P62" s="132"/>
      <c r="Q62" s="133"/>
      <c r="R62" s="133"/>
      <c r="S62" s="133"/>
      <c r="T62" s="135"/>
      <c r="U62" s="136"/>
      <c r="V62" s="137"/>
      <c r="W62" s="136"/>
      <c r="X62" s="136"/>
      <c r="Y62" s="136"/>
      <c r="Z62" s="136"/>
      <c r="AA62" s="137"/>
      <c r="AB62" s="137"/>
      <c r="AC62" s="136"/>
      <c r="AD62" s="136"/>
      <c r="AE62" s="136"/>
      <c r="AF62" s="136"/>
      <c r="AG62" s="136"/>
      <c r="AH62" s="136"/>
      <c r="AI62" s="136"/>
      <c r="AJ62" s="136"/>
      <c r="AK62" s="136"/>
      <c r="AL62" s="136"/>
      <c r="AM62" s="136"/>
      <c r="AN62" s="73"/>
      <c r="AO62" s="138"/>
      <c r="AP62" s="138"/>
      <c r="AQ62" s="73"/>
      <c r="AR62" s="73"/>
      <c r="AS62" s="73"/>
      <c r="AT62" s="73"/>
      <c r="AU62" s="73"/>
      <c r="AV62" s="73"/>
      <c r="AW62" s="73"/>
      <c r="AX62" s="73"/>
      <c r="AY62" s="73"/>
      <c r="AZ62" s="73"/>
      <c r="BA62" s="73"/>
      <c r="BB62" s="73"/>
      <c r="BC62" s="73"/>
      <c r="BD62" s="73"/>
      <c r="BE62" s="138"/>
      <c r="BF62" s="73"/>
      <c r="BG62" s="73"/>
      <c r="BH62" s="138"/>
      <c r="BI62" s="73"/>
      <c r="BJ62" s="139"/>
      <c r="BK62" s="139"/>
      <c r="BL62" s="139"/>
      <c r="BM62" s="139"/>
      <c r="BN62" s="140"/>
      <c r="BO62" s="139"/>
      <c r="BP62" s="139"/>
      <c r="BQ62" s="139"/>
      <c r="BR62" s="139"/>
      <c r="BS62" s="139"/>
      <c r="BT62" s="139"/>
      <c r="BU62" s="139"/>
      <c r="BV62" s="139"/>
      <c r="BW62" s="139"/>
      <c r="BX62" s="139"/>
      <c r="BY62" s="139"/>
      <c r="BZ62" s="140"/>
      <c r="CA62" s="140"/>
      <c r="CB62" s="140"/>
      <c r="CC62" s="139"/>
      <c r="CD62" s="141"/>
      <c r="CE62" s="76"/>
      <c r="CF62" s="141"/>
      <c r="CG62" s="141"/>
      <c r="CH62" s="141"/>
      <c r="CI62" s="141"/>
      <c r="CJ62" s="141"/>
      <c r="CK62" s="141"/>
      <c r="CL62" s="141"/>
      <c r="CM62" s="141"/>
      <c r="CN62" s="141"/>
      <c r="CO62" s="141"/>
      <c r="CP62" s="141"/>
      <c r="CQ62" s="141"/>
      <c r="CR62" s="141"/>
      <c r="CS62" s="141"/>
      <c r="CT62" s="141"/>
      <c r="CU62" s="141"/>
      <c r="CV62" s="141"/>
    </row>
    <row r="63" spans="1:100" x14ac:dyDescent="0.25">
      <c r="A63" s="44" t="s">
        <v>734</v>
      </c>
      <c r="B63" s="132"/>
      <c r="C63" s="132"/>
      <c r="D63" s="132"/>
      <c r="E63" s="132"/>
      <c r="F63" s="133"/>
      <c r="G63" s="132"/>
      <c r="H63" s="132"/>
      <c r="I63" s="134"/>
      <c r="J63" s="132"/>
      <c r="K63" s="135"/>
      <c r="L63" s="132"/>
      <c r="M63" s="132"/>
      <c r="N63" s="135"/>
      <c r="O63" s="135"/>
      <c r="P63" s="132"/>
      <c r="Q63" s="133"/>
      <c r="R63" s="133"/>
      <c r="S63" s="133"/>
      <c r="T63" s="135"/>
      <c r="U63" s="136"/>
      <c r="V63" s="137"/>
      <c r="W63" s="136"/>
      <c r="X63" s="136"/>
      <c r="Y63" s="136"/>
      <c r="Z63" s="136"/>
      <c r="AA63" s="137"/>
      <c r="AB63" s="137"/>
      <c r="AC63" s="136"/>
      <c r="AD63" s="136"/>
      <c r="AE63" s="136"/>
      <c r="AF63" s="136"/>
      <c r="AG63" s="136"/>
      <c r="AH63" s="136"/>
      <c r="AI63" s="136"/>
      <c r="AJ63" s="136"/>
      <c r="AK63" s="136"/>
      <c r="AL63" s="136"/>
      <c r="AM63" s="136"/>
      <c r="AN63" s="73"/>
      <c r="AO63" s="138"/>
      <c r="AP63" s="138"/>
      <c r="AQ63" s="73"/>
      <c r="AR63" s="73"/>
      <c r="AS63" s="73"/>
      <c r="AT63" s="73"/>
      <c r="AU63" s="73"/>
      <c r="AV63" s="73"/>
      <c r="AW63" s="73"/>
      <c r="AX63" s="73"/>
      <c r="AY63" s="73"/>
      <c r="AZ63" s="73"/>
      <c r="BA63" s="73"/>
      <c r="BB63" s="73"/>
      <c r="BC63" s="73"/>
      <c r="BD63" s="73"/>
      <c r="BE63" s="138"/>
      <c r="BF63" s="73"/>
      <c r="BG63" s="73"/>
      <c r="BH63" s="138"/>
      <c r="BI63" s="73"/>
      <c r="BJ63" s="139"/>
      <c r="BK63" s="139"/>
      <c r="BL63" s="139"/>
      <c r="BM63" s="139"/>
      <c r="BN63" s="140"/>
      <c r="BO63" s="139"/>
      <c r="BP63" s="139"/>
      <c r="BQ63" s="139"/>
      <c r="BR63" s="139"/>
      <c r="BS63" s="139"/>
      <c r="BT63" s="139"/>
      <c r="BU63" s="139"/>
      <c r="BV63" s="139"/>
      <c r="BW63" s="139"/>
      <c r="BX63" s="139"/>
      <c r="BY63" s="139"/>
      <c r="BZ63" s="140"/>
      <c r="CA63" s="140"/>
      <c r="CB63" s="140"/>
      <c r="CC63" s="139"/>
      <c r="CD63" s="141"/>
      <c r="CE63" s="76"/>
      <c r="CF63" s="141"/>
      <c r="CG63" s="141"/>
      <c r="CH63" s="141"/>
      <c r="CI63" s="141"/>
      <c r="CJ63" s="141"/>
      <c r="CK63" s="141"/>
      <c r="CL63" s="141"/>
      <c r="CM63" s="141"/>
      <c r="CN63" s="141"/>
      <c r="CO63" s="141"/>
      <c r="CP63" s="141"/>
      <c r="CQ63" s="141"/>
      <c r="CR63" s="141"/>
      <c r="CS63" s="141"/>
      <c r="CT63" s="141"/>
      <c r="CU63" s="141"/>
      <c r="CV63" s="141"/>
    </row>
    <row r="64" spans="1:100" x14ac:dyDescent="0.25">
      <c r="A64" s="44" t="s">
        <v>735</v>
      </c>
      <c r="B64" s="132"/>
      <c r="C64" s="132"/>
      <c r="D64" s="132"/>
      <c r="E64" s="132"/>
      <c r="F64" s="133"/>
      <c r="G64" s="132"/>
      <c r="H64" s="132"/>
      <c r="I64" s="134"/>
      <c r="J64" s="132"/>
      <c r="K64" s="135"/>
      <c r="L64" s="132"/>
      <c r="M64" s="132"/>
      <c r="N64" s="135"/>
      <c r="O64" s="135"/>
      <c r="P64" s="132"/>
      <c r="Q64" s="133"/>
      <c r="R64" s="133"/>
      <c r="S64" s="133"/>
      <c r="T64" s="135"/>
      <c r="U64" s="136"/>
      <c r="V64" s="137"/>
      <c r="W64" s="136"/>
      <c r="X64" s="136"/>
      <c r="Y64" s="136"/>
      <c r="Z64" s="136"/>
      <c r="AA64" s="137"/>
      <c r="AB64" s="137"/>
      <c r="AC64" s="136"/>
      <c r="AD64" s="136"/>
      <c r="AE64" s="136"/>
      <c r="AF64" s="136"/>
      <c r="AG64" s="136"/>
      <c r="AH64" s="136"/>
      <c r="AI64" s="136"/>
      <c r="AJ64" s="136"/>
      <c r="AK64" s="136"/>
      <c r="AL64" s="136"/>
      <c r="AM64" s="136"/>
      <c r="AN64" s="73"/>
      <c r="AO64" s="138"/>
      <c r="AP64" s="138"/>
      <c r="AQ64" s="73"/>
      <c r="AR64" s="73"/>
      <c r="AS64" s="73"/>
      <c r="AT64" s="73"/>
      <c r="AU64" s="73"/>
      <c r="AV64" s="73"/>
      <c r="AW64" s="73"/>
      <c r="AX64" s="73"/>
      <c r="AY64" s="73"/>
      <c r="AZ64" s="73"/>
      <c r="BA64" s="73"/>
      <c r="BB64" s="73"/>
      <c r="BC64" s="73"/>
      <c r="BD64" s="73"/>
      <c r="BE64" s="138"/>
      <c r="BF64" s="73"/>
      <c r="BG64" s="73"/>
      <c r="BH64" s="138"/>
      <c r="BI64" s="73"/>
      <c r="BJ64" s="139"/>
      <c r="BK64" s="139"/>
      <c r="BL64" s="139"/>
      <c r="BM64" s="139"/>
      <c r="BN64" s="140"/>
      <c r="BO64" s="139"/>
      <c r="BP64" s="139"/>
      <c r="BQ64" s="139"/>
      <c r="BR64" s="139"/>
      <c r="BS64" s="139"/>
      <c r="BT64" s="139"/>
      <c r="BU64" s="139"/>
      <c r="BV64" s="139"/>
      <c r="BW64" s="139"/>
      <c r="BX64" s="139"/>
      <c r="BY64" s="139"/>
      <c r="BZ64" s="140"/>
      <c r="CA64" s="140"/>
      <c r="CB64" s="140"/>
      <c r="CC64" s="139"/>
      <c r="CD64" s="141"/>
      <c r="CE64" s="76"/>
      <c r="CF64" s="141"/>
      <c r="CG64" s="141"/>
      <c r="CH64" s="141"/>
      <c r="CI64" s="141"/>
      <c r="CJ64" s="141"/>
      <c r="CK64" s="141"/>
      <c r="CL64" s="141"/>
      <c r="CM64" s="141"/>
      <c r="CN64" s="141"/>
      <c r="CO64" s="141"/>
      <c r="CP64" s="141"/>
      <c r="CQ64" s="141"/>
      <c r="CR64" s="141"/>
      <c r="CS64" s="141"/>
      <c r="CT64" s="141"/>
      <c r="CU64" s="141"/>
      <c r="CV64" s="141"/>
    </row>
    <row r="65" spans="1:100" x14ac:dyDescent="0.25">
      <c r="A65" s="44" t="s">
        <v>736</v>
      </c>
      <c r="B65" s="132"/>
      <c r="C65" s="132"/>
      <c r="D65" s="132"/>
      <c r="E65" s="132"/>
      <c r="F65" s="133"/>
      <c r="G65" s="132"/>
      <c r="H65" s="132"/>
      <c r="I65" s="134"/>
      <c r="J65" s="132"/>
      <c r="K65" s="135"/>
      <c r="L65" s="132"/>
      <c r="M65" s="132"/>
      <c r="N65" s="135"/>
      <c r="O65" s="135"/>
      <c r="P65" s="132"/>
      <c r="Q65" s="133"/>
      <c r="R65" s="133"/>
      <c r="S65" s="133"/>
      <c r="T65" s="135"/>
      <c r="U65" s="136"/>
      <c r="V65" s="137"/>
      <c r="W65" s="136"/>
      <c r="X65" s="136"/>
      <c r="Y65" s="136"/>
      <c r="Z65" s="136"/>
      <c r="AA65" s="137"/>
      <c r="AB65" s="137"/>
      <c r="AC65" s="136"/>
      <c r="AD65" s="136"/>
      <c r="AE65" s="136"/>
      <c r="AF65" s="136"/>
      <c r="AG65" s="136"/>
      <c r="AH65" s="136"/>
      <c r="AI65" s="136"/>
      <c r="AJ65" s="136"/>
      <c r="AK65" s="136"/>
      <c r="AL65" s="136"/>
      <c r="AM65" s="136"/>
      <c r="AN65" s="73"/>
      <c r="AO65" s="138"/>
      <c r="AP65" s="138"/>
      <c r="AQ65" s="73"/>
      <c r="AR65" s="73"/>
      <c r="AS65" s="73"/>
      <c r="AT65" s="73"/>
      <c r="AU65" s="73"/>
      <c r="AV65" s="73"/>
      <c r="AW65" s="73"/>
      <c r="AX65" s="73"/>
      <c r="AY65" s="73"/>
      <c r="AZ65" s="73"/>
      <c r="BA65" s="73"/>
      <c r="BB65" s="73"/>
      <c r="BC65" s="73"/>
      <c r="BD65" s="73"/>
      <c r="BE65" s="138"/>
      <c r="BF65" s="73"/>
      <c r="BG65" s="73"/>
      <c r="BH65" s="138"/>
      <c r="BI65" s="73"/>
      <c r="BJ65" s="139"/>
      <c r="BK65" s="139"/>
      <c r="BL65" s="139"/>
      <c r="BM65" s="139"/>
      <c r="BN65" s="140"/>
      <c r="BO65" s="139"/>
      <c r="BP65" s="139"/>
      <c r="BQ65" s="139"/>
      <c r="BR65" s="139"/>
      <c r="BS65" s="139"/>
      <c r="BT65" s="139"/>
      <c r="BU65" s="139"/>
      <c r="BV65" s="139"/>
      <c r="BW65" s="139"/>
      <c r="BX65" s="139"/>
      <c r="BY65" s="139"/>
      <c r="BZ65" s="140"/>
      <c r="CA65" s="140"/>
      <c r="CB65" s="140"/>
      <c r="CC65" s="139"/>
      <c r="CD65" s="141"/>
      <c r="CE65" s="142"/>
      <c r="CF65" s="141"/>
      <c r="CG65" s="141"/>
      <c r="CH65" s="141"/>
      <c r="CI65" s="141"/>
      <c r="CJ65" s="141"/>
      <c r="CK65" s="141"/>
      <c r="CL65" s="141"/>
      <c r="CM65" s="141"/>
      <c r="CN65" s="141"/>
      <c r="CO65" s="141"/>
      <c r="CP65" s="141"/>
      <c r="CQ65" s="141"/>
      <c r="CR65" s="141"/>
      <c r="CS65" s="141"/>
      <c r="CT65" s="141"/>
      <c r="CU65" s="141"/>
      <c r="CV65" s="141"/>
    </row>
    <row r="67" spans="1:100" x14ac:dyDescent="0.25">
      <c r="A67" s="44" t="s">
        <v>737</v>
      </c>
      <c r="B67" s="153" t="s">
        <v>461</v>
      </c>
      <c r="C67" s="154" t="s">
        <v>462</v>
      </c>
      <c r="D67" s="154" t="s">
        <v>463</v>
      </c>
      <c r="E67" s="154" t="s">
        <v>464</v>
      </c>
      <c r="F67" s="154" t="s">
        <v>465</v>
      </c>
      <c r="G67" s="154" t="s">
        <v>466</v>
      </c>
      <c r="H67" s="154" t="s">
        <v>467</v>
      </c>
      <c r="I67" s="154" t="s">
        <v>468</v>
      </c>
      <c r="J67" s="154" t="s">
        <v>469</v>
      </c>
      <c r="K67" s="154" t="s">
        <v>470</v>
      </c>
      <c r="L67" s="154" t="s">
        <v>471</v>
      </c>
      <c r="M67" s="154" t="s">
        <v>472</v>
      </c>
      <c r="N67" s="154" t="s">
        <v>473</v>
      </c>
      <c r="O67" s="154" t="s">
        <v>474</v>
      </c>
      <c r="P67" s="154" t="s">
        <v>475</v>
      </c>
      <c r="Q67" s="154" t="s">
        <v>476</v>
      </c>
      <c r="R67" s="154" t="s">
        <v>477</v>
      </c>
      <c r="S67" s="154" t="s">
        <v>478</v>
      </c>
      <c r="T67" s="154" t="s">
        <v>479</v>
      </c>
      <c r="U67" s="155" t="s">
        <v>480</v>
      </c>
      <c r="V67" s="155" t="s">
        <v>481</v>
      </c>
      <c r="W67" s="155" t="s">
        <v>482</v>
      </c>
      <c r="X67" s="155" t="s">
        <v>483</v>
      </c>
      <c r="Y67" s="155" t="s">
        <v>484</v>
      </c>
      <c r="Z67" s="56" t="s">
        <v>1078</v>
      </c>
      <c r="AA67" s="155" t="s">
        <v>485</v>
      </c>
      <c r="AB67" s="155" t="s">
        <v>486</v>
      </c>
      <c r="AC67" s="155" t="s">
        <v>487</v>
      </c>
      <c r="AD67" s="155" t="s">
        <v>488</v>
      </c>
      <c r="AE67" s="155" t="s">
        <v>489</v>
      </c>
      <c r="AF67" s="155" t="s">
        <v>490</v>
      </c>
      <c r="AG67" s="155" t="s">
        <v>491</v>
      </c>
      <c r="AH67" s="56" t="s">
        <v>975</v>
      </c>
      <c r="AI67" s="155" t="s">
        <v>492</v>
      </c>
      <c r="AJ67" s="155" t="s">
        <v>493</v>
      </c>
      <c r="AK67" s="155" t="s">
        <v>494</v>
      </c>
      <c r="AL67" s="155" t="s">
        <v>495</v>
      </c>
      <c r="AM67" s="155" t="s">
        <v>496</v>
      </c>
      <c r="AN67" s="156" t="s">
        <v>497</v>
      </c>
      <c r="AO67" s="156" t="s">
        <v>498</v>
      </c>
      <c r="AP67" s="156" t="s">
        <v>499</v>
      </c>
      <c r="AQ67" s="156" t="s">
        <v>500</v>
      </c>
      <c r="AR67" s="156" t="s">
        <v>501</v>
      </c>
      <c r="AS67" s="156" t="s">
        <v>502</v>
      </c>
      <c r="AT67" s="156" t="s">
        <v>503</v>
      </c>
      <c r="AU67" s="156" t="s">
        <v>504</v>
      </c>
      <c r="AV67" s="156" t="s">
        <v>505</v>
      </c>
      <c r="AW67" s="156" t="s">
        <v>506</v>
      </c>
      <c r="AX67" s="156" t="s">
        <v>507</v>
      </c>
      <c r="AY67" s="156" t="s">
        <v>508</v>
      </c>
      <c r="AZ67" s="156" t="s">
        <v>509</v>
      </c>
      <c r="BA67" s="156" t="s">
        <v>510</v>
      </c>
      <c r="BB67" s="156" t="s">
        <v>511</v>
      </c>
      <c r="BC67" s="156" t="s">
        <v>512</v>
      </c>
      <c r="BD67" s="156" t="s">
        <v>513</v>
      </c>
      <c r="BE67" s="57" t="s">
        <v>1136</v>
      </c>
      <c r="BF67" s="156" t="s">
        <v>514</v>
      </c>
      <c r="BG67" s="156" t="s">
        <v>515</v>
      </c>
      <c r="BH67" s="156" t="s">
        <v>516</v>
      </c>
      <c r="BI67" s="156" t="s">
        <v>517</v>
      </c>
      <c r="BJ67" s="157" t="s">
        <v>518</v>
      </c>
      <c r="BK67" s="58" t="s">
        <v>1148</v>
      </c>
      <c r="BL67" s="157" t="s">
        <v>519</v>
      </c>
      <c r="BM67" s="157" t="s">
        <v>520</v>
      </c>
      <c r="BN67" s="157" t="s">
        <v>521</v>
      </c>
      <c r="BO67" s="157" t="s">
        <v>522</v>
      </c>
      <c r="BP67" s="157" t="s">
        <v>523</v>
      </c>
      <c r="BQ67" s="157" t="s">
        <v>524</v>
      </c>
      <c r="BR67" s="157" t="s">
        <v>525</v>
      </c>
      <c r="BS67" s="157" t="s">
        <v>526</v>
      </c>
      <c r="BT67" s="157" t="s">
        <v>527</v>
      </c>
      <c r="BU67" s="157" t="s">
        <v>528</v>
      </c>
      <c r="BV67" s="157" t="s">
        <v>529</v>
      </c>
      <c r="BW67" s="157" t="s">
        <v>530</v>
      </c>
      <c r="BX67" s="157" t="s">
        <v>531</v>
      </c>
      <c r="BY67" s="157" t="s">
        <v>532</v>
      </c>
      <c r="BZ67" s="157" t="s">
        <v>533</v>
      </c>
      <c r="CA67" s="157" t="s">
        <v>534</v>
      </c>
      <c r="CB67" s="157" t="s">
        <v>535</v>
      </c>
      <c r="CC67" s="157" t="s">
        <v>536</v>
      </c>
      <c r="CD67" s="158" t="s">
        <v>537</v>
      </c>
      <c r="CE67" s="59" t="s">
        <v>538</v>
      </c>
      <c r="CF67" s="158" t="s">
        <v>539</v>
      </c>
      <c r="CG67" s="158" t="s">
        <v>540</v>
      </c>
      <c r="CH67" s="158" t="s">
        <v>541</v>
      </c>
      <c r="CI67" s="158" t="s">
        <v>542</v>
      </c>
      <c r="CJ67" s="158" t="s">
        <v>543</v>
      </c>
      <c r="CK67" s="158" t="s">
        <v>544</v>
      </c>
      <c r="CL67" s="158" t="s">
        <v>545</v>
      </c>
      <c r="CM67" s="158" t="s">
        <v>546</v>
      </c>
      <c r="CN67" s="158" t="s">
        <v>547</v>
      </c>
      <c r="CO67" s="158" t="s">
        <v>548</v>
      </c>
      <c r="CP67" s="158" t="s">
        <v>549</v>
      </c>
      <c r="CQ67" s="158" t="s">
        <v>1077</v>
      </c>
      <c r="CR67" s="158" t="s">
        <v>550</v>
      </c>
      <c r="CS67" s="158" t="s">
        <v>551</v>
      </c>
      <c r="CT67" s="158" t="s">
        <v>552</v>
      </c>
      <c r="CU67" s="158" t="s">
        <v>553</v>
      </c>
      <c r="CV67" s="158" t="s">
        <v>554</v>
      </c>
    </row>
    <row r="68" spans="1:100" x14ac:dyDescent="0.25">
      <c r="A68" t="s">
        <v>406</v>
      </c>
      <c r="B68" s="159">
        <v>674</v>
      </c>
      <c r="C68" s="160">
        <v>608</v>
      </c>
      <c r="D68" s="52">
        <v>542</v>
      </c>
      <c r="E68" s="160">
        <v>608</v>
      </c>
      <c r="F68" s="160">
        <v>741</v>
      </c>
      <c r="G68" s="160">
        <v>510</v>
      </c>
      <c r="H68" s="160">
        <v>510</v>
      </c>
      <c r="I68" s="160">
        <v>565</v>
      </c>
      <c r="J68" s="160">
        <v>510</v>
      </c>
      <c r="K68" s="160">
        <v>454</v>
      </c>
      <c r="L68" s="160">
        <v>565</v>
      </c>
      <c r="M68" s="160">
        <v>510</v>
      </c>
      <c r="N68" s="160">
        <v>510</v>
      </c>
      <c r="O68" s="160">
        <v>565</v>
      </c>
      <c r="P68" s="160">
        <v>454</v>
      </c>
      <c r="Q68" s="160">
        <v>510</v>
      </c>
      <c r="R68" s="160">
        <v>565</v>
      </c>
      <c r="S68" s="160">
        <v>510</v>
      </c>
      <c r="T68" s="160">
        <v>510</v>
      </c>
      <c r="U68" s="161">
        <v>674</v>
      </c>
      <c r="V68" s="161">
        <v>608</v>
      </c>
      <c r="W68" s="161">
        <v>674</v>
      </c>
      <c r="X68" s="161">
        <v>608</v>
      </c>
      <c r="Y68" s="161">
        <v>608</v>
      </c>
      <c r="Z68" s="60">
        <v>741</v>
      </c>
      <c r="AA68" s="161">
        <v>510</v>
      </c>
      <c r="AB68" s="161">
        <v>565</v>
      </c>
      <c r="AC68" s="161">
        <v>454</v>
      </c>
      <c r="AD68" s="161">
        <v>565</v>
      </c>
      <c r="AE68" s="161">
        <v>510</v>
      </c>
      <c r="AF68" s="161">
        <v>565</v>
      </c>
      <c r="AG68" s="161">
        <v>454</v>
      </c>
      <c r="AH68" s="60">
        <v>620</v>
      </c>
      <c r="AI68" s="161">
        <v>454</v>
      </c>
      <c r="AJ68" s="161">
        <v>565</v>
      </c>
      <c r="AK68" s="161">
        <v>510</v>
      </c>
      <c r="AL68" s="161">
        <v>401</v>
      </c>
      <c r="AM68" s="161">
        <v>354</v>
      </c>
      <c r="AN68" s="162">
        <v>542</v>
      </c>
      <c r="AO68" s="162">
        <v>608</v>
      </c>
      <c r="AP68" s="162">
        <v>674</v>
      </c>
      <c r="AQ68" s="162">
        <v>608</v>
      </c>
      <c r="AR68" s="162">
        <v>608</v>
      </c>
      <c r="AS68" s="162">
        <v>674</v>
      </c>
      <c r="AT68" s="162">
        <v>510</v>
      </c>
      <c r="AU68" s="162">
        <v>510</v>
      </c>
      <c r="AV68" s="162">
        <v>510</v>
      </c>
      <c r="AW68" s="162">
        <v>620</v>
      </c>
      <c r="AX68" s="162">
        <v>454</v>
      </c>
      <c r="AY68" s="162">
        <v>510</v>
      </c>
      <c r="AZ68" s="162">
        <v>565</v>
      </c>
      <c r="BA68" s="162">
        <v>510</v>
      </c>
      <c r="BB68" s="162">
        <v>510</v>
      </c>
      <c r="BC68" s="162">
        <v>454</v>
      </c>
      <c r="BD68" s="162">
        <v>565</v>
      </c>
      <c r="BE68" s="162">
        <v>454</v>
      </c>
      <c r="BF68" s="162">
        <v>454</v>
      </c>
      <c r="BG68" s="162">
        <v>354</v>
      </c>
      <c r="BH68" s="162">
        <v>401</v>
      </c>
      <c r="BI68" s="162">
        <v>401</v>
      </c>
      <c r="BJ68" s="163">
        <v>608</v>
      </c>
      <c r="BK68" s="62">
        <v>608</v>
      </c>
      <c r="BL68" s="163">
        <v>674</v>
      </c>
      <c r="BM68" s="163">
        <v>608</v>
      </c>
      <c r="BN68" s="163">
        <v>608</v>
      </c>
      <c r="BO68" s="163">
        <v>510</v>
      </c>
      <c r="BP68" s="163">
        <v>454</v>
      </c>
      <c r="BQ68" s="163">
        <v>565</v>
      </c>
      <c r="BR68" s="163">
        <v>510</v>
      </c>
      <c r="BS68" s="163">
        <v>510</v>
      </c>
      <c r="BT68" s="163">
        <v>454</v>
      </c>
      <c r="BU68" s="163">
        <v>565</v>
      </c>
      <c r="BV68" s="163">
        <v>510</v>
      </c>
      <c r="BW68" s="163">
        <v>565</v>
      </c>
      <c r="BX68" s="163">
        <v>510</v>
      </c>
      <c r="BY68" s="163">
        <v>454</v>
      </c>
      <c r="BZ68" s="163">
        <v>354</v>
      </c>
      <c r="CA68" s="163">
        <v>510</v>
      </c>
      <c r="CB68" s="163">
        <v>565</v>
      </c>
      <c r="CC68" s="164">
        <v>401</v>
      </c>
      <c r="CD68" s="165">
        <v>608</v>
      </c>
      <c r="CE68" s="64">
        <v>608</v>
      </c>
      <c r="CF68" s="165">
        <v>674</v>
      </c>
      <c r="CG68" s="165">
        <v>608</v>
      </c>
      <c r="CH68" s="165">
        <v>510</v>
      </c>
      <c r="CI68" s="165">
        <v>510</v>
      </c>
      <c r="CJ68" s="165">
        <v>454</v>
      </c>
      <c r="CK68" s="165">
        <v>565</v>
      </c>
      <c r="CL68" s="165">
        <v>510</v>
      </c>
      <c r="CM68" s="165">
        <v>454</v>
      </c>
      <c r="CN68" s="165">
        <v>510</v>
      </c>
      <c r="CO68" s="165">
        <v>565</v>
      </c>
      <c r="CP68" s="165">
        <v>565</v>
      </c>
      <c r="CQ68" s="165">
        <v>454</v>
      </c>
      <c r="CR68" s="165">
        <v>510</v>
      </c>
      <c r="CS68" s="165">
        <v>510</v>
      </c>
      <c r="CT68" s="165">
        <v>510</v>
      </c>
      <c r="CU68" s="165">
        <v>354</v>
      </c>
      <c r="CV68" s="165">
        <v>608</v>
      </c>
    </row>
    <row r="69" spans="1:100" x14ac:dyDescent="0.25">
      <c r="A69" t="s">
        <v>65</v>
      </c>
      <c r="B69" s="166">
        <v>0</v>
      </c>
      <c r="C69" s="167">
        <f>49.6%+IF(char2WeapToggle, 2*char2WeapStacks*(4+(char2Refine-1))%, char2WeapStacks*(4+(char2Refine-1))%)</f>
        <v>0.496</v>
      </c>
      <c r="D69" s="53">
        <v>0</v>
      </c>
      <c r="E69" s="167">
        <f>49.6%+(20+(char2Refine-1)*5)%+IF(char2WeapToggle,(40+(char2Refine-1)*10),0)%</f>
        <v>0.89600000000000002</v>
      </c>
      <c r="F69" s="167">
        <f>IF(char2WeapToggle, (20+(char2Refine-1)*5)%, 0%) + (16+(char2Refine-1)*4)%</f>
        <v>0.32</v>
      </c>
      <c r="G69" s="168">
        <v>0</v>
      </c>
      <c r="H69" s="168">
        <v>0</v>
      </c>
      <c r="I69" s="168">
        <v>0.27600000000000002</v>
      </c>
      <c r="J69" s="167">
        <f>char2WeapStacks*(6+1.5*(char2Refine-1))%</f>
        <v>0</v>
      </c>
      <c r="K69" s="167">
        <v>0</v>
      </c>
      <c r="L69" s="167">
        <v>0</v>
      </c>
      <c r="M69" s="167">
        <v>0</v>
      </c>
      <c r="N69" s="168">
        <f>41.3%+char2WeapStacks*(7+(char2Refine-1))%</f>
        <v>0.41299999999999998</v>
      </c>
      <c r="O69" s="168">
        <v>0.27600000000000002</v>
      </c>
      <c r="P69" s="168">
        <v>0.55100000000000005</v>
      </c>
      <c r="Q69" s="168">
        <v>0</v>
      </c>
      <c r="R69" s="168">
        <v>0</v>
      </c>
      <c r="S69" s="168">
        <v>0.41299999999999998</v>
      </c>
      <c r="T69" s="167">
        <f>char2WeapStacks*(12+(char2Refine-1)*3)%</f>
        <v>0</v>
      </c>
      <c r="U69" s="169">
        <v>0</v>
      </c>
      <c r="V69" s="169" cm="1">
        <f t="array" ref="V69">MIN((28%+(char2Refine-1)*7%)*(char2FinalER-100%),(80+(char2Refine-1)*10)%)</f>
        <v>6.1712000000000052E-2</v>
      </c>
      <c r="W69" s="169">
        <f>char2WeapStacks*(3.2+(char2Refine-1)*0.7)%</f>
        <v>0</v>
      </c>
      <c r="X69" s="169">
        <f>(49.6+(char2WeapStacks*IF(char2WeapToggle,2,1)*(4+(char2Refine-1)*1)))%</f>
        <v>0.496</v>
      </c>
      <c r="Y69" s="169">
        <v>0</v>
      </c>
      <c r="Z69" s="65">
        <f>IF(char2WeapToggle = FALSE, (3.2%+0.8%*(char2Refine-1))*char2WeapStacks, (3.2%+0.8%*(char2Refine-1))*char2WeapStacks*2)</f>
        <v>0</v>
      </c>
      <c r="AA69" s="169">
        <v>0</v>
      </c>
      <c r="AB69" s="169">
        <v>0</v>
      </c>
      <c r="AC69" s="169">
        <v>0</v>
      </c>
      <c r="AD69" s="169">
        <v>0</v>
      </c>
      <c r="AE69" s="169">
        <v>0</v>
      </c>
      <c r="AF69" s="169">
        <f>(27.6+(7+(char2Refine-1)*1)*char2WeapStacks)%</f>
        <v>0.27600000000000002</v>
      </c>
      <c r="AG69" s="169">
        <v>0</v>
      </c>
      <c r="AH69" s="65">
        <v>0.13800000000000001</v>
      </c>
      <c r="AI69" s="169">
        <f>IF(char2WeapToggle,(24+(char2Refine-1)*6),(16+(char2Refine-1)*4))%</f>
        <v>0.32</v>
      </c>
      <c r="AJ69" s="169">
        <v>0</v>
      </c>
      <c r="AK69" s="169">
        <f>(12+(char2Refine-1)*3)*char2WeapStacks%</f>
        <v>0</v>
      </c>
      <c r="AL69" s="169">
        <v>0</v>
      </c>
      <c r="AM69" s="169">
        <v>0</v>
      </c>
      <c r="AN69" s="170">
        <v>0</v>
      </c>
      <c r="AO69" s="170">
        <f>IF(char2WeapToggle, (20+(char2Refine-1)*5), 0)%</f>
        <v>0</v>
      </c>
      <c r="AP69" s="170">
        <v>0</v>
      </c>
      <c r="AQ69" s="170">
        <f>(49.6+IF(char2WeapToggle,(4+(char2Refine-1))*char2WeapStacks*2,(4+(char2Refine-1))*char2WeapStacks))%</f>
        <v>0.496</v>
      </c>
      <c r="AR69" s="170">
        <v>0</v>
      </c>
      <c r="AS69" s="170">
        <f>(20+(char2Refine-1)*5)%</f>
        <v>0.4</v>
      </c>
      <c r="AT69" s="170">
        <v>0</v>
      </c>
      <c r="AU69" s="170">
        <v>0.41299999999999998</v>
      </c>
      <c r="AV69" s="170">
        <v>0</v>
      </c>
      <c r="AW69" s="170">
        <v>0</v>
      </c>
      <c r="AX69" s="170">
        <v>0</v>
      </c>
      <c r="AY69" s="170">
        <v>0.41299999999999998</v>
      </c>
      <c r="AZ69" s="170">
        <f>char2WeapStacks*(4+(char2Refine-1))%</f>
        <v>0</v>
      </c>
      <c r="BA69" s="170">
        <v>0.41299999999999998</v>
      </c>
      <c r="BB69" s="170">
        <v>0</v>
      </c>
      <c r="BC69" s="170">
        <v>0</v>
      </c>
      <c r="BD69" s="170">
        <f>(char2WeapStacks*(12+(char2Refine-1)*3))%</f>
        <v>0</v>
      </c>
      <c r="BE69" s="170">
        <v>0.55100000000000005</v>
      </c>
      <c r="BF69" s="170">
        <v>0</v>
      </c>
      <c r="BG69" s="170">
        <f>IF(char2WeapToggle,12+(char2Refine-1)*3,0)%</f>
        <v>0</v>
      </c>
      <c r="BH69" s="170">
        <f>IF(char2WeapToggle, 20+(char2Refine-1)*5)%</f>
        <v>0</v>
      </c>
      <c r="BI69" s="170">
        <v>0</v>
      </c>
      <c r="BJ69" s="171">
        <f>(49.6+IF(char2WeapToggle,(4+(char2Refine-1))*char2WeapStacks*2,(4+(char2Refine-1))*char2WeapStacks))%</f>
        <v>0.496</v>
      </c>
      <c r="BK69" s="67">
        <v>0</v>
      </c>
      <c r="BL69" s="172">
        <v>0.33100000000000002</v>
      </c>
      <c r="BM69" s="172">
        <v>0</v>
      </c>
      <c r="BN69" s="172">
        <v>0</v>
      </c>
      <c r="BO69" s="172">
        <v>0.41299999999999998</v>
      </c>
      <c r="BP69" s="172">
        <v>0.55100000000000005</v>
      </c>
      <c r="BQ69" s="172">
        <f>IF(char2WeapToggle, 20+(char2Refine-1)*5,0)%</f>
        <v>0</v>
      </c>
      <c r="BR69" s="172">
        <f>IF(char2WeapToggle, 20+(char2Refine-1)*5,0)%</f>
        <v>0</v>
      </c>
      <c r="BS69" s="172">
        <v>0</v>
      </c>
      <c r="BT69" s="172">
        <v>0</v>
      </c>
      <c r="BU69" s="172">
        <v>0.27600000000000002</v>
      </c>
      <c r="BV69" s="172">
        <v>0</v>
      </c>
      <c r="BW69" s="172">
        <v>0</v>
      </c>
      <c r="BX69" s="172">
        <v>0</v>
      </c>
      <c r="BY69" s="172">
        <f>(55.1+IF(char2WeapToggle,8+(char2Refine-1)*2))%</f>
        <v>0.55100000000000005</v>
      </c>
      <c r="BZ69" s="172">
        <v>0</v>
      </c>
      <c r="CA69" s="172">
        <f>char2WeapStacks*(12+(char2Refine-1)*3)%</f>
        <v>0</v>
      </c>
      <c r="CB69" s="172">
        <v>0</v>
      </c>
      <c r="CC69" s="172">
        <v>0</v>
      </c>
      <c r="CD69" s="173">
        <f>IF(char2WeapToggle, 20+(char2Refine-1)*5, 0)%</f>
        <v>0</v>
      </c>
      <c r="CE69" s="71">
        <f>IF(char2WeapStacks=0, 0, IF(char2WeapStacks=1, 10+(char2Refine-1)*2.5, IF(char2WeapStacks=2, 20+(char2Refine-1)*5, IF(char2WeapStacks=3, 30+(char2Refine-1)*7.5, IF(char2WeapStacks=4, 48+(char2Refine-1)*12,0)))))%</f>
        <v>0</v>
      </c>
      <c r="CF69" s="174">
        <v>0</v>
      </c>
      <c r="CG69" s="175">
        <v>0.496</v>
      </c>
      <c r="CH69" s="175">
        <v>0.41299999999999998</v>
      </c>
      <c r="CI69" s="174">
        <v>0</v>
      </c>
      <c r="CJ69" s="174">
        <f>char2WeapStacks*(4+(char2Refine-1))%</f>
        <v>0</v>
      </c>
      <c r="CK69" s="174">
        <f>char2WeapStacks*(12+(char2Refine-1)*3)%</f>
        <v>0</v>
      </c>
      <c r="CL69" s="174">
        <f>41.3%+IF(char2WeapToggle, 36+(char2Refine-1)*9)%</f>
        <v>0.41299999999999998</v>
      </c>
      <c r="CM69" s="174">
        <v>0</v>
      </c>
      <c r="CN69" s="174">
        <f>IF(char2WeapToggle, 16+(char2Refine-1)*4,0)%</f>
        <v>0</v>
      </c>
      <c r="CO69" s="174">
        <v>0.27600000000000002</v>
      </c>
      <c r="CP69" s="174">
        <v>0</v>
      </c>
      <c r="CQ69" s="174">
        <v>0.55100000000000005</v>
      </c>
      <c r="CR69" s="174">
        <v>0</v>
      </c>
      <c r="CS69" s="175">
        <v>0.41299999999999998</v>
      </c>
      <c r="CT69" s="174">
        <v>0</v>
      </c>
      <c r="CU69" s="174">
        <v>0</v>
      </c>
      <c r="CV69" s="174">
        <f>(20+(char2Refine-1)*5)%</f>
        <v>0.4</v>
      </c>
    </row>
    <row r="70" spans="1:100" x14ac:dyDescent="0.25">
      <c r="A70" t="s">
        <v>66</v>
      </c>
      <c r="B70" s="166">
        <v>0</v>
      </c>
      <c r="C70" s="167">
        <v>0</v>
      </c>
      <c r="D70" s="53">
        <f>(28+(char2Refine-1)*7)%</f>
        <v>0.56000000000000005</v>
      </c>
      <c r="E70" s="167">
        <v>0</v>
      </c>
      <c r="F70" s="167">
        <v>0</v>
      </c>
      <c r="G70" s="168">
        <v>0</v>
      </c>
      <c r="H70" s="168">
        <v>0</v>
      </c>
      <c r="I70" s="168">
        <v>0</v>
      </c>
      <c r="J70" s="168">
        <f>51.7%+char2WeapStacks*(6+1.5*(char2Refine-1))%</f>
        <v>0.51700000000000002</v>
      </c>
      <c r="K70" s="167">
        <v>0</v>
      </c>
      <c r="L70" s="167">
        <v>0</v>
      </c>
      <c r="M70" s="167">
        <v>0</v>
      </c>
      <c r="N70" s="168">
        <v>0</v>
      </c>
      <c r="O70" s="167">
        <v>0</v>
      </c>
      <c r="P70" s="167">
        <v>0</v>
      </c>
      <c r="Q70" s="168">
        <v>0</v>
      </c>
      <c r="R70" s="168">
        <v>0</v>
      </c>
      <c r="S70" s="168">
        <v>0</v>
      </c>
      <c r="T70" s="168">
        <v>0</v>
      </c>
      <c r="U70" s="169">
        <v>0</v>
      </c>
      <c r="V70" s="169">
        <v>0</v>
      </c>
      <c r="W70" s="169">
        <v>0</v>
      </c>
      <c r="X70" s="169">
        <v>0</v>
      </c>
      <c r="Y70" s="169">
        <v>0</v>
      </c>
      <c r="Z70" s="65">
        <v>0</v>
      </c>
      <c r="AA70" s="169">
        <v>0</v>
      </c>
      <c r="AB70" s="169">
        <v>0</v>
      </c>
      <c r="AC70" s="169">
        <v>0</v>
      </c>
      <c r="AD70" s="169">
        <v>0</v>
      </c>
      <c r="AE70" s="169">
        <v>0</v>
      </c>
      <c r="AF70" s="169">
        <v>0</v>
      </c>
      <c r="AG70" s="169">
        <v>0</v>
      </c>
      <c r="AH70" s="65">
        <v>0</v>
      </c>
      <c r="AI70" s="169">
        <f>(16+(char2Refine-1)*4)%</f>
        <v>0.32</v>
      </c>
      <c r="AJ70" s="169">
        <v>0</v>
      </c>
      <c r="AK70" s="169">
        <v>0</v>
      </c>
      <c r="AL70" s="169">
        <v>0</v>
      </c>
      <c r="AM70" s="169">
        <v>0</v>
      </c>
      <c r="AN70" s="170">
        <v>0</v>
      </c>
      <c r="AO70" s="170">
        <v>0</v>
      </c>
      <c r="AP70" s="170">
        <v>0</v>
      </c>
      <c r="AQ70" s="170">
        <v>0</v>
      </c>
      <c r="AR70" s="170">
        <v>0</v>
      </c>
      <c r="AS70" s="170">
        <v>0</v>
      </c>
      <c r="AT70" s="170">
        <v>0</v>
      </c>
      <c r="AU70" s="170">
        <v>0</v>
      </c>
      <c r="AV70" s="170">
        <v>0</v>
      </c>
      <c r="AW70" s="170">
        <v>0</v>
      </c>
      <c r="AX70" s="170">
        <v>0</v>
      </c>
      <c r="AY70" s="170">
        <v>0</v>
      </c>
      <c r="AZ70" s="170">
        <f>char2WeapStacks*(4+(char2Refine-1))%</f>
        <v>0</v>
      </c>
      <c r="BA70" s="170">
        <v>0</v>
      </c>
      <c r="BB70" s="170">
        <v>0</v>
      </c>
      <c r="BC70" s="170">
        <v>0</v>
      </c>
      <c r="BD70" s="170">
        <v>0</v>
      </c>
      <c r="BE70" s="170">
        <v>0</v>
      </c>
      <c r="BF70" s="170">
        <v>0.69</v>
      </c>
      <c r="BG70" s="170">
        <v>0</v>
      </c>
      <c r="BH70" s="170">
        <v>0</v>
      </c>
      <c r="BI70" s="170">
        <v>0</v>
      </c>
      <c r="BJ70" s="172">
        <v>0</v>
      </c>
      <c r="BK70" s="67">
        <v>0</v>
      </c>
      <c r="BL70" s="172">
        <v>0</v>
      </c>
      <c r="BM70" s="172">
        <v>0</v>
      </c>
      <c r="BN70" s="172">
        <v>0</v>
      </c>
      <c r="BO70" s="172">
        <v>0</v>
      </c>
      <c r="BP70" s="172">
        <v>0</v>
      </c>
      <c r="BQ70" s="172">
        <v>0</v>
      </c>
      <c r="BR70" s="172">
        <v>0</v>
      </c>
      <c r="BS70" s="172">
        <v>0</v>
      </c>
      <c r="BT70" s="172">
        <v>0</v>
      </c>
      <c r="BU70" s="172">
        <v>0</v>
      </c>
      <c r="BV70" s="172">
        <v>0</v>
      </c>
      <c r="BW70" s="172">
        <v>0</v>
      </c>
      <c r="BX70" s="172">
        <v>0</v>
      </c>
      <c r="BY70" s="172">
        <v>0</v>
      </c>
      <c r="BZ70" s="172">
        <v>0</v>
      </c>
      <c r="CA70" s="172">
        <v>0</v>
      </c>
      <c r="CB70" s="172">
        <v>0</v>
      </c>
      <c r="CC70" s="172">
        <v>0</v>
      </c>
      <c r="CD70" s="174">
        <v>0</v>
      </c>
      <c r="CE70" s="70">
        <v>0</v>
      </c>
      <c r="CF70" s="174">
        <v>0</v>
      </c>
      <c r="CG70" s="174">
        <v>0</v>
      </c>
      <c r="CH70" s="174">
        <v>0</v>
      </c>
      <c r="CI70" s="174">
        <v>0</v>
      </c>
      <c r="CJ70" s="174">
        <v>0</v>
      </c>
      <c r="CK70" s="174">
        <v>0</v>
      </c>
      <c r="CL70" s="174">
        <v>0</v>
      </c>
      <c r="CM70" s="174">
        <v>0</v>
      </c>
      <c r="CN70" s="174">
        <v>0</v>
      </c>
      <c r="CO70" s="174">
        <v>0</v>
      </c>
      <c r="CP70" s="174">
        <v>0</v>
      </c>
      <c r="CQ70" s="174">
        <v>0</v>
      </c>
      <c r="CR70" s="174">
        <v>0</v>
      </c>
      <c r="CS70" s="174">
        <v>0</v>
      </c>
      <c r="CT70" s="174">
        <v>0</v>
      </c>
      <c r="CU70" s="174">
        <v>0</v>
      </c>
      <c r="CV70" s="174">
        <v>0</v>
      </c>
    </row>
    <row r="71" spans="1:100" x14ac:dyDescent="0.25">
      <c r="A71" s="44" t="s">
        <v>67</v>
      </c>
      <c r="B71" s="166">
        <v>0</v>
      </c>
      <c r="C71" s="167">
        <v>0</v>
      </c>
      <c r="D71" s="53">
        <v>0</v>
      </c>
      <c r="E71" s="167">
        <v>0</v>
      </c>
      <c r="F71" s="167">
        <v>0</v>
      </c>
      <c r="G71" s="168">
        <v>0</v>
      </c>
      <c r="H71" s="168">
        <v>0.41299999999999998</v>
      </c>
      <c r="I71" s="168">
        <v>0</v>
      </c>
      <c r="J71" s="167">
        <v>0</v>
      </c>
      <c r="K71" s="167">
        <v>0</v>
      </c>
      <c r="L71" s="167">
        <v>0</v>
      </c>
      <c r="M71" s="167">
        <v>0</v>
      </c>
      <c r="N71" s="168">
        <v>0</v>
      </c>
      <c r="O71" s="167">
        <v>0</v>
      </c>
      <c r="P71" s="167">
        <v>0</v>
      </c>
      <c r="Q71" s="168">
        <v>0</v>
      </c>
      <c r="R71" s="168">
        <v>0</v>
      </c>
      <c r="S71" s="168">
        <v>0</v>
      </c>
      <c r="T71" s="168">
        <v>0</v>
      </c>
      <c r="U71" s="169">
        <v>0</v>
      </c>
      <c r="V71" s="169">
        <v>0</v>
      </c>
      <c r="W71" s="169">
        <v>0</v>
      </c>
      <c r="X71" s="169">
        <v>0</v>
      </c>
      <c r="Y71" s="169">
        <f>(20+(char2Refine-1)*5)%</f>
        <v>0.4</v>
      </c>
      <c r="Z71" s="65">
        <v>0</v>
      </c>
      <c r="AA71" s="169">
        <v>0</v>
      </c>
      <c r="AB71" s="169">
        <v>0</v>
      </c>
      <c r="AC71" s="169">
        <v>0</v>
      </c>
      <c r="AD71" s="169">
        <v>0</v>
      </c>
      <c r="AE71" s="169">
        <v>0</v>
      </c>
      <c r="AF71" s="169">
        <v>0</v>
      </c>
      <c r="AG71" s="169">
        <v>0</v>
      </c>
      <c r="AH71" s="65">
        <v>0</v>
      </c>
      <c r="AI71" s="169">
        <v>0</v>
      </c>
      <c r="AJ71" s="169">
        <v>0</v>
      </c>
      <c r="AK71" s="169">
        <v>0</v>
      </c>
      <c r="AL71" s="169">
        <v>0</v>
      </c>
      <c r="AM71" s="169">
        <v>0.46899999999999997</v>
      </c>
      <c r="AN71" s="170">
        <f>0.2+(char2Refine-1)*0.05</f>
        <v>0.4</v>
      </c>
      <c r="AO71" s="170">
        <v>0</v>
      </c>
      <c r="AP71" s="170">
        <v>0</v>
      </c>
      <c r="AQ71" s="170">
        <v>0</v>
      </c>
      <c r="AR71" s="170">
        <v>0</v>
      </c>
      <c r="AS71" s="170">
        <v>0</v>
      </c>
      <c r="AT71" s="170">
        <v>0</v>
      </c>
      <c r="AU71" s="170">
        <v>0</v>
      </c>
      <c r="AV71" s="170">
        <v>0</v>
      </c>
      <c r="AW71" s="170">
        <v>0</v>
      </c>
      <c r="AX71" s="170">
        <v>0</v>
      </c>
      <c r="AY71" s="170">
        <v>0</v>
      </c>
      <c r="AZ71" s="170">
        <v>0</v>
      </c>
      <c r="BA71" s="170">
        <v>0</v>
      </c>
      <c r="BB71" s="170">
        <v>0</v>
      </c>
      <c r="BC71" s="170">
        <v>0</v>
      </c>
      <c r="BD71" s="170">
        <v>0</v>
      </c>
      <c r="BE71" s="170">
        <v>0</v>
      </c>
      <c r="BF71" s="170">
        <v>0</v>
      </c>
      <c r="BG71" s="170">
        <v>0</v>
      </c>
      <c r="BH71" s="170">
        <v>0</v>
      </c>
      <c r="BI71" s="170">
        <v>0</v>
      </c>
      <c r="BJ71" s="172">
        <v>0</v>
      </c>
      <c r="BK71" s="67">
        <v>0</v>
      </c>
      <c r="BL71" s="172">
        <v>0</v>
      </c>
      <c r="BM71" s="172">
        <v>0</v>
      </c>
      <c r="BN71" s="172">
        <v>0.496</v>
      </c>
      <c r="BO71" s="172">
        <v>0</v>
      </c>
      <c r="BP71" s="172">
        <v>0</v>
      </c>
      <c r="BQ71" s="172">
        <v>0</v>
      </c>
      <c r="BR71" s="172">
        <v>0</v>
      </c>
      <c r="BS71" s="172">
        <v>0</v>
      </c>
      <c r="BT71" s="172">
        <v>0</v>
      </c>
      <c r="BU71" s="172">
        <v>0</v>
      </c>
      <c r="BV71" s="172">
        <v>0.41299999999999998</v>
      </c>
      <c r="BW71" s="172">
        <v>0</v>
      </c>
      <c r="BX71" s="172">
        <v>0</v>
      </c>
      <c r="BY71" s="172">
        <v>0</v>
      </c>
      <c r="BZ71" s="172">
        <v>0</v>
      </c>
      <c r="CA71" s="172">
        <v>0</v>
      </c>
      <c r="CB71" s="172">
        <v>0</v>
      </c>
      <c r="CC71" s="172">
        <v>0.35199999999999998</v>
      </c>
      <c r="CD71" s="174">
        <v>0</v>
      </c>
      <c r="CE71" s="70">
        <v>0</v>
      </c>
      <c r="CF71" s="174">
        <v>0</v>
      </c>
      <c r="CG71" s="174">
        <v>0</v>
      </c>
      <c r="CH71" s="174">
        <v>0</v>
      </c>
      <c r="CI71" s="174">
        <v>0</v>
      </c>
      <c r="CJ71" s="174">
        <v>0</v>
      </c>
      <c r="CK71" s="174">
        <v>0</v>
      </c>
      <c r="CL71" s="174">
        <v>0</v>
      </c>
      <c r="CM71" s="174">
        <v>0</v>
      </c>
      <c r="CN71" s="174">
        <v>0</v>
      </c>
      <c r="CO71" s="174">
        <v>0</v>
      </c>
      <c r="CP71" s="174">
        <v>0</v>
      </c>
      <c r="CQ71" s="174">
        <v>0</v>
      </c>
      <c r="CR71" s="174">
        <v>0</v>
      </c>
      <c r="CS71" s="174">
        <v>0</v>
      </c>
      <c r="CT71" s="174">
        <v>0</v>
      </c>
      <c r="CU71" s="174">
        <v>0</v>
      </c>
      <c r="CV71" s="174">
        <v>0</v>
      </c>
    </row>
    <row r="72" spans="1:100" x14ac:dyDescent="0.25">
      <c r="A72" t="s">
        <v>408</v>
      </c>
      <c r="B72" s="166">
        <v>0</v>
      </c>
      <c r="C72" s="167">
        <v>0</v>
      </c>
      <c r="D72" s="53">
        <v>0</v>
      </c>
      <c r="E72" s="167">
        <v>0</v>
      </c>
      <c r="F72" s="167">
        <v>0</v>
      </c>
      <c r="G72" s="168">
        <v>0.27600000000000002</v>
      </c>
      <c r="H72" s="168">
        <v>0</v>
      </c>
      <c r="I72" s="168">
        <f>(char2WeapStacks*(8%+(char2Refine-1)*2%))</f>
        <v>0</v>
      </c>
      <c r="J72" s="167">
        <v>0</v>
      </c>
      <c r="K72" s="167">
        <v>0</v>
      </c>
      <c r="L72" s="167">
        <v>0</v>
      </c>
      <c r="M72" s="167">
        <v>0</v>
      </c>
      <c r="N72" s="168">
        <f>char2WeapStacks*(3+(char2Refine-1))%</f>
        <v>0</v>
      </c>
      <c r="O72" s="167">
        <v>0</v>
      </c>
      <c r="P72" s="167">
        <v>0</v>
      </c>
      <c r="Q72" s="168">
        <v>0</v>
      </c>
      <c r="R72" s="168">
        <v>0</v>
      </c>
      <c r="S72" s="168">
        <v>0</v>
      </c>
      <c r="T72" s="168">
        <v>0</v>
      </c>
      <c r="U72" s="169">
        <f>(8+(char2Refine-1)*2)%</f>
        <v>0.16</v>
      </c>
      <c r="V72" s="169">
        <v>0</v>
      </c>
      <c r="W72" s="169">
        <v>0.221</v>
      </c>
      <c r="X72" s="169">
        <v>0</v>
      </c>
      <c r="Y72" s="169">
        <v>0</v>
      </c>
      <c r="Z72" s="65">
        <v>0</v>
      </c>
      <c r="AA72" s="169">
        <v>0</v>
      </c>
      <c r="AB72" s="169">
        <v>0</v>
      </c>
      <c r="AC72" s="169">
        <v>0</v>
      </c>
      <c r="AD72" s="169">
        <v>0</v>
      </c>
      <c r="AE72" s="169">
        <v>0</v>
      </c>
      <c r="AF72" s="169">
        <f>(3+(char2Refine-1)*1)*char2WeapStacks%</f>
        <v>0</v>
      </c>
      <c r="AG72" s="169">
        <v>0</v>
      </c>
      <c r="AH72" s="65">
        <v>0</v>
      </c>
      <c r="AI72" s="169">
        <v>0.36799999999999999</v>
      </c>
      <c r="AJ72" s="169">
        <v>0</v>
      </c>
      <c r="AK72" s="169">
        <v>0</v>
      </c>
      <c r="AL72" s="169">
        <v>0.23400000000000001</v>
      </c>
      <c r="AM72" s="169">
        <v>0</v>
      </c>
      <c r="AN72" s="170">
        <v>0.441</v>
      </c>
      <c r="AO72" s="170">
        <v>0</v>
      </c>
      <c r="AP72" s="170">
        <v>0</v>
      </c>
      <c r="AQ72" s="170">
        <v>0</v>
      </c>
      <c r="AR72" s="170">
        <f>(4+(char2Refine-1))%</f>
        <v>0.08</v>
      </c>
      <c r="AS72" s="170">
        <v>0</v>
      </c>
      <c r="AT72" s="170">
        <v>0</v>
      </c>
      <c r="AU72" s="170">
        <v>0</v>
      </c>
      <c r="AV72" s="170">
        <v>0.27600000000000002</v>
      </c>
      <c r="AW72" s="170">
        <v>0</v>
      </c>
      <c r="AX72" s="170">
        <v>0</v>
      </c>
      <c r="AY72" s="170">
        <f>(char2WeapStacks*(8+(char2Refine-1)*2))%</f>
        <v>0</v>
      </c>
      <c r="AZ72" s="170">
        <v>0</v>
      </c>
      <c r="BA72" s="170">
        <v>0</v>
      </c>
      <c r="BB72" s="170">
        <v>0</v>
      </c>
      <c r="BC72" s="170">
        <v>0</v>
      </c>
      <c r="BD72" s="170">
        <v>0</v>
      </c>
      <c r="BE72" s="170">
        <v>0</v>
      </c>
      <c r="BF72" s="170">
        <v>0</v>
      </c>
      <c r="BG72" s="170">
        <v>0</v>
      </c>
      <c r="BH72" s="170">
        <v>0</v>
      </c>
      <c r="BI72" s="170">
        <f>IF(char2WeapToggle,14+(char2Refine-1)*3.5,0)%</f>
        <v>0</v>
      </c>
      <c r="BJ72" s="172">
        <v>0</v>
      </c>
      <c r="BK72" s="67">
        <v>0</v>
      </c>
      <c r="BL72" s="172">
        <v>0</v>
      </c>
      <c r="BM72" s="172">
        <v>0.33100000000000002</v>
      </c>
      <c r="BN72" s="172">
        <v>0</v>
      </c>
      <c r="BO72" s="172">
        <v>0</v>
      </c>
      <c r="BP72" s="172">
        <v>0</v>
      </c>
      <c r="BQ72" s="172">
        <v>0</v>
      </c>
      <c r="BR72" s="172">
        <v>0</v>
      </c>
      <c r="BS72" s="172">
        <v>0.27600000000000002</v>
      </c>
      <c r="BT72" s="172">
        <v>0</v>
      </c>
      <c r="BU72" s="172">
        <f>char2WeapStacks*(8+(char2Refine-1)*2)%</f>
        <v>0</v>
      </c>
      <c r="BV72" s="172">
        <v>0</v>
      </c>
      <c r="BW72" s="172">
        <v>0</v>
      </c>
      <c r="BX72" s="172">
        <v>0</v>
      </c>
      <c r="BY72" s="172">
        <v>0</v>
      </c>
      <c r="BZ72" s="172">
        <v>0</v>
      </c>
      <c r="CA72" s="172">
        <v>0</v>
      </c>
      <c r="CB72" s="172">
        <v>0</v>
      </c>
      <c r="CC72" s="172">
        <v>0</v>
      </c>
      <c r="CD72" s="174">
        <v>0</v>
      </c>
      <c r="CE72" s="70">
        <v>0.33100000000000002</v>
      </c>
      <c r="CF72" s="175">
        <v>0.221</v>
      </c>
      <c r="CG72" s="174">
        <v>0</v>
      </c>
      <c r="CH72" s="174">
        <v>0</v>
      </c>
      <c r="CI72" s="174">
        <v>0.27600000000000002</v>
      </c>
      <c r="CJ72" s="174">
        <v>0</v>
      </c>
      <c r="CK72" s="174">
        <v>0</v>
      </c>
      <c r="CL72" s="174">
        <v>0</v>
      </c>
      <c r="CM72" s="174">
        <v>0</v>
      </c>
      <c r="CN72" s="174">
        <v>0</v>
      </c>
      <c r="CO72" s="174">
        <v>0</v>
      </c>
      <c r="CP72" s="174">
        <v>0</v>
      </c>
      <c r="CQ72" s="174">
        <v>0</v>
      </c>
      <c r="CR72" s="174">
        <v>0</v>
      </c>
      <c r="CS72" s="174">
        <f>char2WeapStacks*(8+(char2Refine-1)*2)%</f>
        <v>0</v>
      </c>
      <c r="CT72" s="174">
        <v>0</v>
      </c>
      <c r="CU72" s="174">
        <v>0.312</v>
      </c>
      <c r="CV72" s="174">
        <v>0</v>
      </c>
    </row>
    <row r="73" spans="1:100" x14ac:dyDescent="0.25">
      <c r="A73" t="s">
        <v>409</v>
      </c>
      <c r="B73" s="166">
        <v>0</v>
      </c>
      <c r="C73" s="167">
        <v>0</v>
      </c>
      <c r="D73" s="53">
        <v>0.88200000000000001</v>
      </c>
      <c r="E73" s="167">
        <v>0</v>
      </c>
      <c r="F73" s="167">
        <v>0</v>
      </c>
      <c r="G73" s="168">
        <v>0</v>
      </c>
      <c r="H73" s="168">
        <v>0</v>
      </c>
      <c r="I73" s="168">
        <v>0</v>
      </c>
      <c r="J73" s="167">
        <v>0</v>
      </c>
      <c r="K73" s="167">
        <v>0</v>
      </c>
      <c r="L73" s="167">
        <v>0</v>
      </c>
      <c r="M73" s="167">
        <v>0</v>
      </c>
      <c r="N73" s="168">
        <v>0</v>
      </c>
      <c r="O73" s="167">
        <v>0</v>
      </c>
      <c r="P73" s="167">
        <v>0</v>
      </c>
      <c r="Q73" s="168">
        <v>0</v>
      </c>
      <c r="R73" s="168">
        <v>0</v>
      </c>
      <c r="S73" s="168">
        <v>0</v>
      </c>
      <c r="T73" s="168">
        <v>0.55100000000000005</v>
      </c>
      <c r="U73" s="169">
        <v>0</v>
      </c>
      <c r="V73" s="169">
        <v>0</v>
      </c>
      <c r="W73" s="169">
        <v>0</v>
      </c>
      <c r="X73" s="169">
        <v>0</v>
      </c>
      <c r="Y73" s="169">
        <v>0.66200000000000003</v>
      </c>
      <c r="Z73" s="65">
        <v>0</v>
      </c>
      <c r="AA73" s="169">
        <v>0</v>
      </c>
      <c r="AB73" s="169">
        <v>0</v>
      </c>
      <c r="AC73" s="169">
        <v>0</v>
      </c>
      <c r="AD73" s="169">
        <v>0</v>
      </c>
      <c r="AE73" s="169">
        <v>0</v>
      </c>
      <c r="AF73" s="169">
        <v>0</v>
      </c>
      <c r="AG73" s="169">
        <v>0</v>
      </c>
      <c r="AH73" s="65">
        <v>0</v>
      </c>
      <c r="AI73" s="169">
        <v>0</v>
      </c>
      <c r="AJ73" s="169">
        <v>0</v>
      </c>
      <c r="AK73" s="169">
        <v>0.55100000000000005</v>
      </c>
      <c r="AL73" s="169">
        <v>0</v>
      </c>
      <c r="AM73" s="169">
        <v>0</v>
      </c>
      <c r="AN73" s="170">
        <v>0</v>
      </c>
      <c r="AO73" s="170">
        <v>0</v>
      </c>
      <c r="AP73" s="170">
        <v>0.441</v>
      </c>
      <c r="AQ73" s="170">
        <v>0</v>
      </c>
      <c r="AR73" s="170">
        <v>0</v>
      </c>
      <c r="AS73" s="170">
        <v>0</v>
      </c>
      <c r="AT73" s="170">
        <v>0</v>
      </c>
      <c r="AU73" s="170">
        <v>0</v>
      </c>
      <c r="AV73" s="170">
        <v>0</v>
      </c>
      <c r="AW73" s="170">
        <v>0</v>
      </c>
      <c r="AX73" s="170">
        <v>0</v>
      </c>
      <c r="AY73" s="170">
        <v>0</v>
      </c>
      <c r="AZ73" s="170">
        <v>0</v>
      </c>
      <c r="BA73" s="170">
        <v>0</v>
      </c>
      <c r="BB73" s="170">
        <v>0</v>
      </c>
      <c r="BC73" s="170">
        <v>0</v>
      </c>
      <c r="BD73" s="170">
        <v>0.36799999999999999</v>
      </c>
      <c r="BE73" s="170">
        <v>0</v>
      </c>
      <c r="BF73" s="170">
        <v>0</v>
      </c>
      <c r="BG73" s="170">
        <v>0</v>
      </c>
      <c r="BH73" s="170">
        <v>0</v>
      </c>
      <c r="BI73" s="170">
        <v>0.46899999999999997</v>
      </c>
      <c r="BJ73" s="172">
        <v>0</v>
      </c>
      <c r="BK73" s="67">
        <v>0.66200000000000003</v>
      </c>
      <c r="BL73" s="172">
        <v>0</v>
      </c>
      <c r="BM73" s="172">
        <v>0</v>
      </c>
      <c r="BN73" s="172">
        <v>0</v>
      </c>
      <c r="BO73" s="172">
        <v>0</v>
      </c>
      <c r="BP73" s="172">
        <v>0</v>
      </c>
      <c r="BQ73" s="172">
        <v>0</v>
      </c>
      <c r="BR73" s="172">
        <v>0.55100000000000005</v>
      </c>
      <c r="BS73" s="172">
        <v>0</v>
      </c>
      <c r="BT73" s="172">
        <v>0</v>
      </c>
      <c r="BU73" s="172">
        <v>0</v>
      </c>
      <c r="BV73" s="172">
        <v>0</v>
      </c>
      <c r="BW73" s="172">
        <v>0</v>
      </c>
      <c r="BX73" s="172">
        <v>0</v>
      </c>
      <c r="BY73" s="172">
        <v>0</v>
      </c>
      <c r="BZ73" s="172">
        <v>0</v>
      </c>
      <c r="CA73" s="172">
        <v>0.55100000000000005</v>
      </c>
      <c r="CB73" s="172">
        <v>0</v>
      </c>
      <c r="CC73" s="172">
        <v>0</v>
      </c>
      <c r="CD73" s="174">
        <v>0</v>
      </c>
      <c r="CE73" s="70">
        <v>0</v>
      </c>
      <c r="CF73" s="174">
        <f>(20+(char2Refine-1)*5)%</f>
        <v>0.4</v>
      </c>
      <c r="CG73" s="174">
        <v>0</v>
      </c>
      <c r="CH73" s="174">
        <v>0</v>
      </c>
      <c r="CI73" s="174">
        <v>0</v>
      </c>
      <c r="CJ73" s="174">
        <v>0</v>
      </c>
      <c r="CK73" s="174">
        <v>0.36799999999999999</v>
      </c>
      <c r="CL73" s="174">
        <v>0</v>
      </c>
      <c r="CM73" s="174">
        <v>0</v>
      </c>
      <c r="CN73" s="174">
        <v>0</v>
      </c>
      <c r="CO73" s="174">
        <v>0</v>
      </c>
      <c r="CP73" s="174">
        <v>0</v>
      </c>
      <c r="CQ73" s="174">
        <v>0</v>
      </c>
      <c r="CR73" s="174">
        <v>0</v>
      </c>
      <c r="CS73" s="174">
        <v>0</v>
      </c>
      <c r="CT73" s="174">
        <v>0</v>
      </c>
      <c r="CU73" s="174">
        <v>0</v>
      </c>
      <c r="CV73" s="174">
        <v>0.66200000000000003</v>
      </c>
    </row>
    <row r="74" spans="1:100" x14ac:dyDescent="0.25">
      <c r="A74" t="s">
        <v>68</v>
      </c>
      <c r="B74" s="166">
        <v>0.36799999999999999</v>
      </c>
      <c r="C74" s="167">
        <v>0</v>
      </c>
      <c r="D74" s="167">
        <v>0</v>
      </c>
      <c r="E74" s="167">
        <v>0</v>
      </c>
      <c r="F74" s="167">
        <v>0</v>
      </c>
      <c r="G74" s="168">
        <v>0</v>
      </c>
      <c r="H74" s="168">
        <v>0</v>
      </c>
      <c r="I74" s="168">
        <v>0</v>
      </c>
      <c r="J74" s="167">
        <v>0</v>
      </c>
      <c r="K74" s="168">
        <v>0.61299999999999999</v>
      </c>
      <c r="L74" s="168">
        <v>0</v>
      </c>
      <c r="M74" s="168">
        <v>0</v>
      </c>
      <c r="N74" s="168">
        <v>0</v>
      </c>
      <c r="O74" s="167">
        <v>0</v>
      </c>
      <c r="P74" s="167">
        <v>0</v>
      </c>
      <c r="Q74" s="167">
        <v>0.45900000000000002</v>
      </c>
      <c r="R74" s="167">
        <v>0.30599999999999999</v>
      </c>
      <c r="S74" s="168">
        <v>0</v>
      </c>
      <c r="T74" s="167">
        <v>0</v>
      </c>
      <c r="U74" s="169">
        <v>0.36799999999999999</v>
      </c>
      <c r="V74" s="169">
        <f>55.1%+IF(char2WeapToggle, 30+(char2Refine-1)*5,0)%</f>
        <v>0.55100000000000005</v>
      </c>
      <c r="W74" s="169">
        <v>0</v>
      </c>
      <c r="X74" s="169">
        <v>0</v>
      </c>
      <c r="Y74" s="169">
        <v>0</v>
      </c>
      <c r="Z74" s="65">
        <v>0</v>
      </c>
      <c r="AA74" s="169">
        <v>0.45900000000000002</v>
      </c>
      <c r="AB74" s="169">
        <v>0</v>
      </c>
      <c r="AC74" s="169">
        <v>0</v>
      </c>
      <c r="AD74" s="169">
        <v>0.30599999999999999</v>
      </c>
      <c r="AE74" s="169">
        <v>0.45900000000000002</v>
      </c>
      <c r="AF74" s="169">
        <v>0</v>
      </c>
      <c r="AG74" s="169">
        <v>0</v>
      </c>
      <c r="AH74" s="65">
        <v>0</v>
      </c>
      <c r="AI74" s="169">
        <v>0</v>
      </c>
      <c r="AJ74" s="169">
        <v>0</v>
      </c>
      <c r="AK74" s="169">
        <v>0</v>
      </c>
      <c r="AL74" s="169">
        <v>0</v>
      </c>
      <c r="AM74" s="169">
        <v>0</v>
      </c>
      <c r="AN74" s="170">
        <v>0</v>
      </c>
      <c r="AO74" s="170">
        <v>0</v>
      </c>
      <c r="AP74" s="170">
        <v>0</v>
      </c>
      <c r="AQ74" s="170">
        <v>0</v>
      </c>
      <c r="AR74" s="170">
        <v>0.55100000000000005</v>
      </c>
      <c r="AS74" s="170">
        <v>0</v>
      </c>
      <c r="AT74" s="170">
        <v>0.45900000000000002</v>
      </c>
      <c r="AU74" s="170">
        <v>0</v>
      </c>
      <c r="AV74" s="170">
        <v>0</v>
      </c>
      <c r="AW74" s="170">
        <v>0</v>
      </c>
      <c r="AX74" s="170">
        <v>0.61299999999999999</v>
      </c>
      <c r="AY74" s="170">
        <v>0</v>
      </c>
      <c r="AZ74" s="170">
        <v>0</v>
      </c>
      <c r="BA74" s="170">
        <v>0</v>
      </c>
      <c r="BB74" s="170">
        <v>0</v>
      </c>
      <c r="BC74" s="170">
        <v>0.61299999999999999</v>
      </c>
      <c r="BD74" s="170">
        <v>0</v>
      </c>
      <c r="BE74" s="170">
        <v>0</v>
      </c>
      <c r="BF74" s="170">
        <v>0</v>
      </c>
      <c r="BG74" s="170">
        <v>0.51700000000000002</v>
      </c>
      <c r="BH74" s="170">
        <v>0</v>
      </c>
      <c r="BI74" s="170">
        <v>0</v>
      </c>
      <c r="BJ74" s="172">
        <v>0</v>
      </c>
      <c r="BK74" s="67">
        <v>0</v>
      </c>
      <c r="BL74" s="172">
        <v>0</v>
      </c>
      <c r="BM74" s="172">
        <v>0</v>
      </c>
      <c r="BN74" s="172">
        <v>0</v>
      </c>
      <c r="BO74" s="172">
        <v>0</v>
      </c>
      <c r="BP74" s="172">
        <v>0</v>
      </c>
      <c r="BQ74" s="172">
        <v>0.30599999999999999</v>
      </c>
      <c r="BR74" s="172">
        <v>0</v>
      </c>
      <c r="BS74" s="172">
        <v>0</v>
      </c>
      <c r="BT74" s="172">
        <v>0</v>
      </c>
      <c r="BU74" s="172">
        <v>0</v>
      </c>
      <c r="BV74" s="172">
        <v>0</v>
      </c>
      <c r="BW74" s="172">
        <v>0</v>
      </c>
      <c r="BX74" s="172">
        <v>0.45900000000000002</v>
      </c>
      <c r="BY74" s="172">
        <v>0</v>
      </c>
      <c r="BZ74" s="172">
        <v>0</v>
      </c>
      <c r="CA74" s="172">
        <v>0</v>
      </c>
      <c r="CB74" s="172">
        <v>0.30599999999999999</v>
      </c>
      <c r="CC74" s="172">
        <v>0</v>
      </c>
      <c r="CD74" s="175">
        <v>0.55100000000000005</v>
      </c>
      <c r="CE74" s="72">
        <v>0</v>
      </c>
      <c r="CF74" s="174">
        <v>0</v>
      </c>
      <c r="CG74" s="174">
        <v>0</v>
      </c>
      <c r="CH74" s="174">
        <v>0</v>
      </c>
      <c r="CI74" s="174">
        <v>0</v>
      </c>
      <c r="CJ74" s="174">
        <v>0</v>
      </c>
      <c r="CK74" s="174">
        <v>0</v>
      </c>
      <c r="CL74" s="174">
        <v>0</v>
      </c>
      <c r="CM74" s="174">
        <v>0.61299999999999999</v>
      </c>
      <c r="CN74" s="174">
        <v>0</v>
      </c>
      <c r="CO74" s="174">
        <v>0</v>
      </c>
      <c r="CP74" s="174">
        <v>0.30599999999999999</v>
      </c>
      <c r="CQ74" s="174">
        <v>0</v>
      </c>
      <c r="CR74" s="174">
        <v>0</v>
      </c>
      <c r="CS74" s="174">
        <v>0</v>
      </c>
      <c r="CT74" s="174">
        <v>0</v>
      </c>
      <c r="CU74" s="174">
        <v>0</v>
      </c>
      <c r="CV74" s="174">
        <v>0</v>
      </c>
    </row>
    <row r="75" spans="1:100" x14ac:dyDescent="0.25">
      <c r="A75" t="s">
        <v>70</v>
      </c>
      <c r="B75" s="166">
        <v>0</v>
      </c>
      <c r="C75" s="167">
        <v>0</v>
      </c>
      <c r="D75" s="167">
        <v>0</v>
      </c>
      <c r="E75" s="167">
        <v>0</v>
      </c>
      <c r="F75" s="167">
        <v>0.20699999999999999</v>
      </c>
      <c r="G75" s="168">
        <v>0</v>
      </c>
      <c r="H75" s="168">
        <v>0</v>
      </c>
      <c r="I75" s="168">
        <v>0</v>
      </c>
      <c r="J75" s="167">
        <v>0</v>
      </c>
      <c r="K75" s="167">
        <v>0</v>
      </c>
      <c r="L75" s="167">
        <v>0.34499999999999997</v>
      </c>
      <c r="M75" s="167">
        <v>0</v>
      </c>
      <c r="N75" s="168">
        <v>0</v>
      </c>
      <c r="O75" s="167">
        <v>0</v>
      </c>
      <c r="P75" s="167">
        <v>0</v>
      </c>
      <c r="Q75" s="167">
        <v>0</v>
      </c>
      <c r="R75" s="167">
        <v>0</v>
      </c>
      <c r="S75" s="168">
        <v>0</v>
      </c>
      <c r="T75" s="167">
        <v>0</v>
      </c>
      <c r="U75" s="169">
        <v>0</v>
      </c>
      <c r="V75" s="169">
        <v>0</v>
      </c>
      <c r="W75" s="169">
        <v>0</v>
      </c>
      <c r="X75" s="169">
        <v>0</v>
      </c>
      <c r="Y75" s="169">
        <v>0</v>
      </c>
      <c r="Z75" s="65">
        <v>0</v>
      </c>
      <c r="AA75" s="169">
        <v>0</v>
      </c>
      <c r="AB75" s="169">
        <v>0</v>
      </c>
      <c r="AC75" s="169">
        <v>0.69</v>
      </c>
      <c r="AD75" s="169">
        <v>0</v>
      </c>
      <c r="AE75" s="169">
        <v>0</v>
      </c>
      <c r="AF75" s="169">
        <v>0</v>
      </c>
      <c r="AG75" s="169">
        <v>0</v>
      </c>
      <c r="AH75" s="65">
        <v>0</v>
      </c>
      <c r="AI75" s="169">
        <v>0</v>
      </c>
      <c r="AJ75" s="169">
        <v>0.34499999999999997</v>
      </c>
      <c r="AK75" s="169">
        <v>0</v>
      </c>
      <c r="AL75" s="169">
        <v>0</v>
      </c>
      <c r="AM75" s="169">
        <v>0</v>
      </c>
      <c r="AN75" s="170">
        <v>0</v>
      </c>
      <c r="AO75" s="170">
        <v>0</v>
      </c>
      <c r="AP75" s="170">
        <v>0</v>
      </c>
      <c r="AQ75" s="170">
        <v>0</v>
      </c>
      <c r="AR75" s="170">
        <v>0</v>
      </c>
      <c r="AS75" s="170">
        <v>0.41299999999999998</v>
      </c>
      <c r="AT75" s="170">
        <v>0</v>
      </c>
      <c r="AU75" s="170">
        <v>0</v>
      </c>
      <c r="AV75" s="170">
        <v>0</v>
      </c>
      <c r="AW75" s="170">
        <v>0</v>
      </c>
      <c r="AX75" s="170">
        <v>0</v>
      </c>
      <c r="AY75" s="170">
        <v>0</v>
      </c>
      <c r="AZ75" s="170">
        <v>0.34499999999999997</v>
      </c>
      <c r="BA75" s="170">
        <v>0</v>
      </c>
      <c r="BB75" s="170">
        <v>0</v>
      </c>
      <c r="BC75" s="170">
        <v>0</v>
      </c>
      <c r="BD75" s="170">
        <v>0</v>
      </c>
      <c r="BE75" s="170">
        <v>0</v>
      </c>
      <c r="BF75" s="170">
        <v>0</v>
      </c>
      <c r="BG75" s="170">
        <v>0</v>
      </c>
      <c r="BH75" s="170">
        <v>0</v>
      </c>
      <c r="BI75" s="170">
        <v>0</v>
      </c>
      <c r="BJ75" s="172">
        <v>0</v>
      </c>
      <c r="BK75" s="67">
        <v>0</v>
      </c>
      <c r="BL75" s="172">
        <v>0</v>
      </c>
      <c r="BM75" s="172">
        <v>0</v>
      </c>
      <c r="BN75" s="172">
        <v>0</v>
      </c>
      <c r="BO75" s="172">
        <v>0</v>
      </c>
      <c r="BP75" s="172">
        <v>0</v>
      </c>
      <c r="BQ75" s="172">
        <v>0</v>
      </c>
      <c r="BR75" s="172">
        <v>0</v>
      </c>
      <c r="BS75" s="172">
        <v>0</v>
      </c>
      <c r="BT75" s="172">
        <v>0</v>
      </c>
      <c r="BU75" s="172">
        <v>0</v>
      </c>
      <c r="BV75" s="172">
        <v>0</v>
      </c>
      <c r="BW75" s="172">
        <v>0</v>
      </c>
      <c r="BX75" s="172">
        <v>0</v>
      </c>
      <c r="BY75" s="172">
        <v>0</v>
      </c>
      <c r="BZ75" s="172">
        <v>0</v>
      </c>
      <c r="CA75" s="172">
        <v>0</v>
      </c>
      <c r="CB75" s="172">
        <v>0</v>
      </c>
      <c r="CC75" s="172">
        <v>0</v>
      </c>
      <c r="CD75" s="174">
        <v>0</v>
      </c>
      <c r="CE75" s="70">
        <v>0</v>
      </c>
      <c r="CF75" s="174">
        <v>0</v>
      </c>
      <c r="CG75" s="174">
        <v>0</v>
      </c>
      <c r="CH75" s="174">
        <v>0</v>
      </c>
      <c r="CI75" s="174">
        <v>0</v>
      </c>
      <c r="CJ75" s="174">
        <v>0.69</v>
      </c>
      <c r="CK75" s="174">
        <v>0</v>
      </c>
      <c r="CL75" s="174">
        <v>0</v>
      </c>
      <c r="CM75" s="174">
        <v>0</v>
      </c>
      <c r="CN75" s="174">
        <v>0</v>
      </c>
      <c r="CO75" s="174">
        <v>0</v>
      </c>
      <c r="CP75" s="174">
        <v>0</v>
      </c>
      <c r="CQ75" s="174">
        <v>0</v>
      </c>
      <c r="CR75" s="174">
        <v>0</v>
      </c>
      <c r="CS75" s="174">
        <v>0</v>
      </c>
      <c r="CT75" s="174">
        <v>0.51700000000000002</v>
      </c>
      <c r="CU75" s="174">
        <v>0</v>
      </c>
      <c r="CV75" s="174">
        <v>0</v>
      </c>
    </row>
    <row r="76" spans="1:100" x14ac:dyDescent="0.25">
      <c r="A76" s="44" t="s">
        <v>71</v>
      </c>
      <c r="B76" s="166">
        <v>0</v>
      </c>
      <c r="C76" s="167">
        <v>0</v>
      </c>
      <c r="D76" s="167">
        <v>0</v>
      </c>
      <c r="E76" s="167">
        <v>0</v>
      </c>
      <c r="F76" s="167">
        <v>0</v>
      </c>
      <c r="G76" s="168">
        <v>0</v>
      </c>
      <c r="H76" s="168">
        <v>0</v>
      </c>
      <c r="I76" s="168">
        <v>0</v>
      </c>
      <c r="J76" s="167">
        <v>0</v>
      </c>
      <c r="K76" s="167">
        <v>0</v>
      </c>
      <c r="L76" s="167">
        <v>0</v>
      </c>
      <c r="M76" s="167">
        <v>0</v>
      </c>
      <c r="N76" s="168">
        <v>0</v>
      </c>
      <c r="O76" s="167">
        <v>0</v>
      </c>
      <c r="P76" s="167">
        <v>0</v>
      </c>
      <c r="Q76" s="167">
        <v>0</v>
      </c>
      <c r="R76" s="167">
        <v>0</v>
      </c>
      <c r="S76" s="168">
        <v>0</v>
      </c>
      <c r="T76" s="167">
        <v>0</v>
      </c>
      <c r="U76" s="169">
        <v>0</v>
      </c>
      <c r="V76" s="169">
        <v>0</v>
      </c>
      <c r="W76" s="169">
        <v>0</v>
      </c>
      <c r="X76" s="169">
        <v>0</v>
      </c>
      <c r="Y76" s="169">
        <v>0</v>
      </c>
      <c r="Z76" s="65">
        <f t="shared" ref="Z76:Z81" si="5">12%+3%*(char2Refine-1)</f>
        <v>0.24</v>
      </c>
      <c r="AA76" s="169">
        <v>0</v>
      </c>
      <c r="AB76" s="169">
        <v>0</v>
      </c>
      <c r="AC76" s="169">
        <v>0</v>
      </c>
      <c r="AD76" s="169">
        <v>0</v>
      </c>
      <c r="AE76" s="169">
        <v>0</v>
      </c>
      <c r="AF76" s="169">
        <v>0</v>
      </c>
      <c r="AG76" s="169">
        <v>0</v>
      </c>
      <c r="AH76" s="65">
        <v>0</v>
      </c>
      <c r="AI76" s="169">
        <v>0</v>
      </c>
      <c r="AJ76" s="169">
        <v>0</v>
      </c>
      <c r="AK76" s="169">
        <v>0</v>
      </c>
      <c r="AL76" s="169">
        <v>0</v>
      </c>
      <c r="AM76" s="169">
        <v>0</v>
      </c>
      <c r="AN76" s="170">
        <v>0</v>
      </c>
      <c r="AO76" s="170">
        <v>0</v>
      </c>
      <c r="AP76" s="170">
        <f>(IF('Data Val'!$K$2 = weapons!A76,IF(char2WeapStacks=1, (8+(char2Refine-1)*2)%, IF(char2WeapStacks=2, (16+(char2Refine-1)*4)%, IF(char2WeapStacks=3, (28+(char2Refine-1)*7)%, 0)))))+(12+(char2Refine-1)*3)%</f>
        <v>0.24</v>
      </c>
      <c r="AQ76" s="170">
        <v>0</v>
      </c>
      <c r="AR76" s="170">
        <v>0</v>
      </c>
      <c r="AS76" s="170">
        <v>0</v>
      </c>
      <c r="AT76" s="170">
        <v>0</v>
      </c>
      <c r="AU76" s="170">
        <v>0</v>
      </c>
      <c r="AV76" s="170">
        <v>0</v>
      </c>
      <c r="AW76" s="170">
        <v>0</v>
      </c>
      <c r="AX76" s="170">
        <v>0</v>
      </c>
      <c r="AY76" s="170">
        <v>0</v>
      </c>
      <c r="AZ76" s="170">
        <v>0</v>
      </c>
      <c r="BA76" s="170">
        <v>0</v>
      </c>
      <c r="BB76" s="170">
        <v>0</v>
      </c>
      <c r="BC76" s="170">
        <v>0</v>
      </c>
      <c r="BD76" s="170">
        <v>0</v>
      </c>
      <c r="BE76" s="170">
        <v>0</v>
      </c>
      <c r="BF76" s="170">
        <v>0</v>
      </c>
      <c r="BG76" s="170">
        <v>0</v>
      </c>
      <c r="BH76" s="170">
        <v>0</v>
      </c>
      <c r="BI76" s="170">
        <v>0</v>
      </c>
      <c r="BJ76" s="172">
        <v>0</v>
      </c>
      <c r="BK76" s="67">
        <v>0</v>
      </c>
      <c r="BL76" s="172">
        <f t="shared" ref="BL76:BL81" si="6">(12+(char2Refine-1)*3)%</f>
        <v>0.24</v>
      </c>
      <c r="BM76" s="172">
        <f t="shared" ref="BM76:BM81" si="7">(char2WeapStacks*(8+(char2Refine-1)*2))%</f>
        <v>0</v>
      </c>
      <c r="BN76" s="172">
        <v>0</v>
      </c>
      <c r="BO76" s="172">
        <v>0</v>
      </c>
      <c r="BP76" s="172">
        <v>0</v>
      </c>
      <c r="BQ76" s="172">
        <v>0</v>
      </c>
      <c r="BR76" s="172">
        <f t="shared" ref="BR76:BR81" si="8">IF(char2WeapToggle, 16+(char2Refine-1)*4,0)%</f>
        <v>0</v>
      </c>
      <c r="BS76" s="172">
        <v>0</v>
      </c>
      <c r="BT76" s="172">
        <v>0</v>
      </c>
      <c r="BU76" s="172">
        <v>0</v>
      </c>
      <c r="BV76" s="172">
        <v>0</v>
      </c>
      <c r="BW76" s="172">
        <f t="shared" ref="BW76:BW81" si="9">char2WeapStacks*(8+(char2Refine-1)*2)%</f>
        <v>0</v>
      </c>
      <c r="BX76" s="172">
        <v>0</v>
      </c>
      <c r="BY76" s="172">
        <v>0</v>
      </c>
      <c r="BZ76" s="172">
        <v>0</v>
      </c>
      <c r="CA76" s="172">
        <v>0</v>
      </c>
      <c r="CB76" s="172">
        <v>0</v>
      </c>
      <c r="CC76" s="172">
        <v>0</v>
      </c>
      <c r="CD76" s="174">
        <v>0</v>
      </c>
      <c r="CE76" s="70">
        <v>0</v>
      </c>
      <c r="CF76" s="174">
        <v>0</v>
      </c>
      <c r="CG76" s="174">
        <v>0</v>
      </c>
      <c r="CH76" s="174">
        <v>0</v>
      </c>
      <c r="CI76" s="174">
        <v>0</v>
      </c>
      <c r="CJ76" s="174">
        <v>0</v>
      </c>
      <c r="CK76" s="174">
        <v>0</v>
      </c>
      <c r="CL76" s="174">
        <v>0</v>
      </c>
      <c r="CM76" s="174">
        <v>0</v>
      </c>
      <c r="CN76" s="174">
        <v>0</v>
      </c>
      <c r="CO76" s="174">
        <v>0</v>
      </c>
      <c r="CP76" s="174">
        <v>0</v>
      </c>
      <c r="CQ76" s="174">
        <v>0</v>
      </c>
      <c r="CR76" s="174">
        <v>0</v>
      </c>
      <c r="CS76" s="174">
        <v>0</v>
      </c>
      <c r="CT76" s="174">
        <v>0</v>
      </c>
      <c r="CU76" s="174">
        <v>0</v>
      </c>
      <c r="CV76" s="174">
        <v>0</v>
      </c>
    </row>
    <row r="77" spans="1:100" x14ac:dyDescent="0.25">
      <c r="A77" t="s">
        <v>72</v>
      </c>
      <c r="B77" s="166">
        <v>0</v>
      </c>
      <c r="C77" s="167">
        <v>0</v>
      </c>
      <c r="D77" s="167">
        <v>0</v>
      </c>
      <c r="E77" s="167">
        <v>0</v>
      </c>
      <c r="F77" s="167">
        <v>0</v>
      </c>
      <c r="G77" s="168">
        <v>0</v>
      </c>
      <c r="H77" s="168">
        <v>0</v>
      </c>
      <c r="I77" s="168">
        <v>0</v>
      </c>
      <c r="J77" s="167">
        <v>0</v>
      </c>
      <c r="K77" s="167">
        <v>0</v>
      </c>
      <c r="L77" s="167">
        <v>0</v>
      </c>
      <c r="M77" s="167">
        <v>0</v>
      </c>
      <c r="N77" s="168">
        <v>0</v>
      </c>
      <c r="O77" s="167">
        <v>0</v>
      </c>
      <c r="P77" s="167">
        <v>0</v>
      </c>
      <c r="Q77" s="167">
        <v>0</v>
      </c>
      <c r="R77" s="167">
        <v>0</v>
      </c>
      <c r="S77" s="168">
        <v>0</v>
      </c>
      <c r="T77" s="167">
        <v>0</v>
      </c>
      <c r="U77" s="169">
        <v>0</v>
      </c>
      <c r="V77" s="169">
        <v>0</v>
      </c>
      <c r="W77" s="169">
        <v>0</v>
      </c>
      <c r="X77" s="169">
        <v>0</v>
      </c>
      <c r="Y77" s="169">
        <v>0</v>
      </c>
      <c r="Z77" s="65">
        <f t="shared" si="5"/>
        <v>0.24</v>
      </c>
      <c r="AA77" s="169">
        <v>0</v>
      </c>
      <c r="AB77" s="169">
        <v>0</v>
      </c>
      <c r="AC77" s="169">
        <v>0</v>
      </c>
      <c r="AD77" s="169">
        <v>0</v>
      </c>
      <c r="AE77" s="169">
        <v>0</v>
      </c>
      <c r="AF77" s="169">
        <v>0</v>
      </c>
      <c r="AG77" s="169">
        <v>0</v>
      </c>
      <c r="AH77" s="65">
        <v>0</v>
      </c>
      <c r="AI77" s="169">
        <v>0</v>
      </c>
      <c r="AJ77" s="169">
        <v>0</v>
      </c>
      <c r="AK77" s="169">
        <v>0</v>
      </c>
      <c r="AL77" s="169">
        <v>0</v>
      </c>
      <c r="AM77" s="169">
        <v>0</v>
      </c>
      <c r="AN77" s="170">
        <v>0</v>
      </c>
      <c r="AO77" s="170">
        <v>0</v>
      </c>
      <c r="AP77" s="170">
        <f>(IF('Data Val'!$K$2 = weapons!A77,IF(char2WeapStacks=1, (8+(char2Refine-1)*2)%, IF(char2WeapStacks=2, (16+(char2Refine-1)*4)%, IF(char2WeapStacks=3, (28+(char2Refine-1)*7)%, 0)))))+(12+(char2Refine-1)*3)%</f>
        <v>0.24</v>
      </c>
      <c r="AQ77" s="170">
        <v>0</v>
      </c>
      <c r="AR77" s="170">
        <v>0</v>
      </c>
      <c r="AS77" s="170">
        <v>0</v>
      </c>
      <c r="AT77" s="170">
        <v>0</v>
      </c>
      <c r="AU77" s="170">
        <v>0</v>
      </c>
      <c r="AV77" s="170">
        <v>0</v>
      </c>
      <c r="AW77" s="170">
        <v>0</v>
      </c>
      <c r="AX77" s="170">
        <v>0</v>
      </c>
      <c r="AY77" s="170">
        <v>0</v>
      </c>
      <c r="AZ77" s="170">
        <v>0</v>
      </c>
      <c r="BA77" s="170">
        <v>0</v>
      </c>
      <c r="BB77" s="170">
        <v>0</v>
      </c>
      <c r="BC77" s="170">
        <v>0</v>
      </c>
      <c r="BD77" s="170">
        <v>0</v>
      </c>
      <c r="BE77" s="170">
        <v>0</v>
      </c>
      <c r="BF77" s="170">
        <v>0</v>
      </c>
      <c r="BG77" s="170">
        <v>0</v>
      </c>
      <c r="BH77" s="170">
        <v>0</v>
      </c>
      <c r="BI77" s="170">
        <v>0</v>
      </c>
      <c r="BJ77" s="172">
        <v>0</v>
      </c>
      <c r="BK77" s="67">
        <v>0</v>
      </c>
      <c r="BL77" s="172">
        <f t="shared" si="6"/>
        <v>0.24</v>
      </c>
      <c r="BM77" s="172">
        <f t="shared" si="7"/>
        <v>0</v>
      </c>
      <c r="BN77" s="172">
        <v>0</v>
      </c>
      <c r="BO77" s="172">
        <v>0</v>
      </c>
      <c r="BP77" s="172">
        <v>0</v>
      </c>
      <c r="BQ77" s="172">
        <v>0</v>
      </c>
      <c r="BR77" s="172">
        <f t="shared" si="8"/>
        <v>0</v>
      </c>
      <c r="BS77" s="172">
        <v>0</v>
      </c>
      <c r="BT77" s="172">
        <v>0</v>
      </c>
      <c r="BU77" s="172">
        <v>0</v>
      </c>
      <c r="BV77" s="172">
        <v>0</v>
      </c>
      <c r="BW77" s="172">
        <f t="shared" si="9"/>
        <v>0</v>
      </c>
      <c r="BX77" s="172">
        <v>0</v>
      </c>
      <c r="BY77" s="172">
        <v>0</v>
      </c>
      <c r="BZ77" s="172">
        <v>0</v>
      </c>
      <c r="CA77" s="172">
        <v>0</v>
      </c>
      <c r="CB77" s="172">
        <v>0</v>
      </c>
      <c r="CC77" s="172">
        <v>0</v>
      </c>
      <c r="CD77" s="174">
        <v>0</v>
      </c>
      <c r="CE77" s="70">
        <v>0</v>
      </c>
      <c r="CF77" s="174">
        <v>0</v>
      </c>
      <c r="CG77" s="174">
        <v>0</v>
      </c>
      <c r="CH77" s="174">
        <v>0</v>
      </c>
      <c r="CI77" s="174">
        <v>0</v>
      </c>
      <c r="CJ77" s="174">
        <v>0</v>
      </c>
      <c r="CK77" s="174">
        <v>0</v>
      </c>
      <c r="CL77" s="174">
        <v>0</v>
      </c>
      <c r="CM77" s="174">
        <v>0</v>
      </c>
      <c r="CN77" s="174">
        <v>0</v>
      </c>
      <c r="CO77" s="174">
        <v>0</v>
      </c>
      <c r="CP77" s="174">
        <v>0</v>
      </c>
      <c r="CQ77" s="174">
        <v>0</v>
      </c>
      <c r="CR77" s="174">
        <v>0</v>
      </c>
      <c r="CS77" s="174">
        <v>0</v>
      </c>
      <c r="CT77" s="174">
        <v>0</v>
      </c>
      <c r="CU77" s="174">
        <v>0</v>
      </c>
      <c r="CV77" s="174">
        <v>0</v>
      </c>
    </row>
    <row r="78" spans="1:100" x14ac:dyDescent="0.25">
      <c r="A78" s="44" t="s">
        <v>73</v>
      </c>
      <c r="B78" s="166">
        <v>0</v>
      </c>
      <c r="C78" s="167">
        <v>0</v>
      </c>
      <c r="D78" s="167">
        <v>0</v>
      </c>
      <c r="E78" s="167">
        <v>0</v>
      </c>
      <c r="F78" s="167">
        <v>0</v>
      </c>
      <c r="G78" s="168">
        <v>0</v>
      </c>
      <c r="H78" s="168">
        <v>0</v>
      </c>
      <c r="I78" s="168">
        <v>0</v>
      </c>
      <c r="J78" s="167">
        <v>0</v>
      </c>
      <c r="K78" s="167">
        <v>0</v>
      </c>
      <c r="L78" s="167">
        <v>0</v>
      </c>
      <c r="M78" s="167">
        <v>0</v>
      </c>
      <c r="N78" s="168">
        <v>0</v>
      </c>
      <c r="O78" s="167">
        <v>0</v>
      </c>
      <c r="P78" s="167">
        <v>0</v>
      </c>
      <c r="Q78" s="167">
        <v>0</v>
      </c>
      <c r="R78" s="167">
        <v>0</v>
      </c>
      <c r="S78" s="168">
        <v>0</v>
      </c>
      <c r="T78" s="167">
        <v>0</v>
      </c>
      <c r="U78" s="169">
        <v>0</v>
      </c>
      <c r="V78" s="169">
        <v>0</v>
      </c>
      <c r="W78" s="169">
        <v>0</v>
      </c>
      <c r="X78" s="169">
        <v>0</v>
      </c>
      <c r="Y78" s="169">
        <v>0</v>
      </c>
      <c r="Z78" s="65">
        <f t="shared" si="5"/>
        <v>0.24</v>
      </c>
      <c r="AA78" s="169">
        <v>0</v>
      </c>
      <c r="AB78" s="169">
        <v>0</v>
      </c>
      <c r="AC78" s="169">
        <v>0</v>
      </c>
      <c r="AD78" s="169">
        <v>0</v>
      </c>
      <c r="AE78" s="169">
        <v>0</v>
      </c>
      <c r="AF78" s="169">
        <v>0</v>
      </c>
      <c r="AG78" s="169">
        <v>0</v>
      </c>
      <c r="AH78" s="65">
        <v>0</v>
      </c>
      <c r="AI78" s="169">
        <v>0</v>
      </c>
      <c r="AJ78" s="169">
        <v>0</v>
      </c>
      <c r="AK78" s="169">
        <v>0</v>
      </c>
      <c r="AL78" s="169">
        <v>0</v>
      </c>
      <c r="AM78" s="169">
        <v>0</v>
      </c>
      <c r="AN78" s="170">
        <v>0</v>
      </c>
      <c r="AO78" s="170">
        <v>0</v>
      </c>
      <c r="AP78" s="170">
        <f>(IF('Data Val'!$K$2 = weapons!A78,IF(char2WeapStacks=1, (8+(char2Refine-1)*2)%, IF(char2WeapStacks=2, (16+(char2Refine-1)*4)%, IF(char2WeapStacks=3, (28+(char2Refine-1)*7)%, 0)))))+(12+(char2Refine-1)*3)%</f>
        <v>0.24</v>
      </c>
      <c r="AQ78" s="170">
        <v>0</v>
      </c>
      <c r="AR78" s="170">
        <v>0</v>
      </c>
      <c r="AS78" s="170">
        <v>0</v>
      </c>
      <c r="AT78" s="170">
        <v>0</v>
      </c>
      <c r="AU78" s="170">
        <v>0</v>
      </c>
      <c r="AV78" s="170">
        <v>0</v>
      </c>
      <c r="AW78" s="170">
        <v>0</v>
      </c>
      <c r="AX78" s="170">
        <v>0</v>
      </c>
      <c r="AY78" s="170">
        <v>0</v>
      </c>
      <c r="AZ78" s="170">
        <v>0</v>
      </c>
      <c r="BA78" s="170">
        <v>0</v>
      </c>
      <c r="BB78" s="170">
        <v>0</v>
      </c>
      <c r="BC78" s="170">
        <v>0</v>
      </c>
      <c r="BD78" s="170">
        <v>0</v>
      </c>
      <c r="BE78" s="170">
        <v>0</v>
      </c>
      <c r="BF78" s="170">
        <v>0</v>
      </c>
      <c r="BG78" s="170">
        <v>0</v>
      </c>
      <c r="BH78" s="170">
        <v>0</v>
      </c>
      <c r="BI78" s="170">
        <v>0</v>
      </c>
      <c r="BJ78" s="172">
        <v>0</v>
      </c>
      <c r="BK78" s="67">
        <v>0</v>
      </c>
      <c r="BL78" s="172">
        <f t="shared" si="6"/>
        <v>0.24</v>
      </c>
      <c r="BM78" s="172">
        <f t="shared" si="7"/>
        <v>0</v>
      </c>
      <c r="BN78" s="172">
        <v>0</v>
      </c>
      <c r="BO78" s="172">
        <v>0</v>
      </c>
      <c r="BP78" s="172">
        <v>0</v>
      </c>
      <c r="BQ78" s="172">
        <v>0</v>
      </c>
      <c r="BR78" s="172">
        <f t="shared" si="8"/>
        <v>0</v>
      </c>
      <c r="BS78" s="172">
        <v>0</v>
      </c>
      <c r="BT78" s="172">
        <v>0</v>
      </c>
      <c r="BU78" s="172">
        <v>0</v>
      </c>
      <c r="BV78" s="172">
        <v>0</v>
      </c>
      <c r="BW78" s="172">
        <f t="shared" si="9"/>
        <v>0</v>
      </c>
      <c r="BX78" s="172">
        <v>0</v>
      </c>
      <c r="BY78" s="172">
        <v>0</v>
      </c>
      <c r="BZ78" s="172">
        <v>0</v>
      </c>
      <c r="CA78" s="172">
        <v>0</v>
      </c>
      <c r="CB78" s="172">
        <v>0</v>
      </c>
      <c r="CC78" s="172">
        <v>0</v>
      </c>
      <c r="CD78" s="174">
        <v>0</v>
      </c>
      <c r="CE78" s="70">
        <v>0</v>
      </c>
      <c r="CF78" s="174">
        <v>0</v>
      </c>
      <c r="CG78" s="174">
        <v>0</v>
      </c>
      <c r="CH78" s="174">
        <v>0</v>
      </c>
      <c r="CI78" s="174">
        <v>0</v>
      </c>
      <c r="CJ78" s="174">
        <v>0</v>
      </c>
      <c r="CK78" s="174">
        <v>0</v>
      </c>
      <c r="CL78" s="174">
        <v>0</v>
      </c>
      <c r="CM78" s="174">
        <v>0</v>
      </c>
      <c r="CN78" s="174">
        <v>0</v>
      </c>
      <c r="CO78" s="174">
        <v>0</v>
      </c>
      <c r="CP78" s="174">
        <v>0</v>
      </c>
      <c r="CQ78" s="174">
        <v>0</v>
      </c>
      <c r="CR78" s="174">
        <v>0</v>
      </c>
      <c r="CS78" s="174">
        <v>0</v>
      </c>
      <c r="CT78" s="174">
        <v>0</v>
      </c>
      <c r="CU78" s="174">
        <v>0</v>
      </c>
      <c r="CV78" s="174">
        <v>0</v>
      </c>
    </row>
    <row r="79" spans="1:100" x14ac:dyDescent="0.25">
      <c r="A79" s="44" t="s">
        <v>74</v>
      </c>
      <c r="B79" s="166">
        <v>0</v>
      </c>
      <c r="C79" s="167">
        <v>0</v>
      </c>
      <c r="D79" s="167">
        <v>0</v>
      </c>
      <c r="E79" s="167">
        <v>0</v>
      </c>
      <c r="F79" s="167">
        <v>0</v>
      </c>
      <c r="G79" s="168">
        <v>0</v>
      </c>
      <c r="H79" s="168">
        <v>0</v>
      </c>
      <c r="I79" s="168">
        <v>0</v>
      </c>
      <c r="J79" s="167">
        <v>0</v>
      </c>
      <c r="K79" s="167">
        <v>0</v>
      </c>
      <c r="L79" s="167">
        <v>0</v>
      </c>
      <c r="M79" s="167">
        <v>0</v>
      </c>
      <c r="N79" s="168">
        <v>0</v>
      </c>
      <c r="O79" s="167">
        <v>0</v>
      </c>
      <c r="P79" s="167">
        <v>0</v>
      </c>
      <c r="Q79" s="167">
        <v>0</v>
      </c>
      <c r="R79" s="167">
        <v>0</v>
      </c>
      <c r="S79" s="168">
        <v>0</v>
      </c>
      <c r="T79" s="167">
        <v>0</v>
      </c>
      <c r="U79" s="169">
        <v>0</v>
      </c>
      <c r="V79" s="169">
        <v>0</v>
      </c>
      <c r="W79" s="169">
        <v>0</v>
      </c>
      <c r="X79" s="169">
        <v>0</v>
      </c>
      <c r="Y79" s="169">
        <v>0</v>
      </c>
      <c r="Z79" s="65">
        <f t="shared" si="5"/>
        <v>0.24</v>
      </c>
      <c r="AA79" s="169">
        <v>0</v>
      </c>
      <c r="AB79" s="169">
        <v>0</v>
      </c>
      <c r="AC79" s="169">
        <v>0</v>
      </c>
      <c r="AD79" s="169">
        <v>0</v>
      </c>
      <c r="AE79" s="169">
        <v>0</v>
      </c>
      <c r="AF79" s="169">
        <v>0</v>
      </c>
      <c r="AG79" s="169">
        <v>0</v>
      </c>
      <c r="AH79" s="65">
        <v>0</v>
      </c>
      <c r="AI79" s="169">
        <v>0</v>
      </c>
      <c r="AJ79" s="169">
        <v>0</v>
      </c>
      <c r="AK79" s="169">
        <v>0</v>
      </c>
      <c r="AL79" s="169">
        <v>0</v>
      </c>
      <c r="AM79" s="169">
        <v>0</v>
      </c>
      <c r="AN79" s="170">
        <v>0</v>
      </c>
      <c r="AO79" s="170">
        <v>0</v>
      </c>
      <c r="AP79" s="170">
        <f>(IF('Data Val'!$K$2 = weapons!A79,IF(char2WeapStacks=1, (8+(char2Refine-1)*2)%, IF(char2WeapStacks=2, (16+(char2Refine-1)*4)%, IF(char2WeapStacks=3, (28+(char2Refine-1)*7)%, 0)))))+(12+(char2Refine-1)*3)%</f>
        <v>0.24</v>
      </c>
      <c r="AQ79" s="170">
        <v>0</v>
      </c>
      <c r="AR79" s="170">
        <v>0</v>
      </c>
      <c r="AS79" s="170">
        <v>0</v>
      </c>
      <c r="AT79" s="170">
        <v>0</v>
      </c>
      <c r="AU79" s="170">
        <v>0</v>
      </c>
      <c r="AV79" s="170">
        <v>0</v>
      </c>
      <c r="AW79" s="170">
        <v>0</v>
      </c>
      <c r="AX79" s="170">
        <v>0</v>
      </c>
      <c r="AY79" s="170">
        <v>0</v>
      </c>
      <c r="AZ79" s="170">
        <v>0</v>
      </c>
      <c r="BA79" s="170">
        <v>0</v>
      </c>
      <c r="BB79" s="170">
        <v>0</v>
      </c>
      <c r="BC79" s="170">
        <v>0</v>
      </c>
      <c r="BD79" s="170">
        <v>0</v>
      </c>
      <c r="BE79" s="170">
        <v>0</v>
      </c>
      <c r="BF79" s="170">
        <v>0</v>
      </c>
      <c r="BG79" s="170">
        <v>0</v>
      </c>
      <c r="BH79" s="170">
        <v>0</v>
      </c>
      <c r="BI79" s="170">
        <v>0</v>
      </c>
      <c r="BJ79" s="172">
        <v>0</v>
      </c>
      <c r="BK79" s="67">
        <v>0</v>
      </c>
      <c r="BL79" s="172">
        <f t="shared" si="6"/>
        <v>0.24</v>
      </c>
      <c r="BM79" s="172">
        <f t="shared" si="7"/>
        <v>0</v>
      </c>
      <c r="BN79" s="172">
        <v>0</v>
      </c>
      <c r="BO79" s="172">
        <v>0</v>
      </c>
      <c r="BP79" s="172">
        <v>0</v>
      </c>
      <c r="BQ79" s="172">
        <v>0</v>
      </c>
      <c r="BR79" s="172">
        <f t="shared" si="8"/>
        <v>0</v>
      </c>
      <c r="BS79" s="172">
        <v>0</v>
      </c>
      <c r="BT79" s="172">
        <v>0</v>
      </c>
      <c r="BU79" s="172">
        <v>0</v>
      </c>
      <c r="BV79" s="172">
        <v>0</v>
      </c>
      <c r="BW79" s="172">
        <f t="shared" si="9"/>
        <v>0</v>
      </c>
      <c r="BX79" s="172">
        <v>0</v>
      </c>
      <c r="BY79" s="172">
        <v>0</v>
      </c>
      <c r="BZ79" s="172">
        <v>0</v>
      </c>
      <c r="CA79" s="172">
        <v>0</v>
      </c>
      <c r="CB79" s="172">
        <v>0</v>
      </c>
      <c r="CC79" s="172">
        <v>0</v>
      </c>
      <c r="CD79" s="174">
        <v>0</v>
      </c>
      <c r="CE79" s="70">
        <v>0</v>
      </c>
      <c r="CF79" s="174">
        <v>0</v>
      </c>
      <c r="CG79" s="174">
        <v>0</v>
      </c>
      <c r="CH79" s="174">
        <v>0</v>
      </c>
      <c r="CI79" s="174">
        <v>0</v>
      </c>
      <c r="CJ79" s="174">
        <v>0</v>
      </c>
      <c r="CK79" s="174">
        <v>0</v>
      </c>
      <c r="CL79" s="174">
        <v>0</v>
      </c>
      <c r="CM79" s="174">
        <v>0</v>
      </c>
      <c r="CN79" s="174">
        <v>0</v>
      </c>
      <c r="CO79" s="174">
        <v>0</v>
      </c>
      <c r="CP79" s="174">
        <v>0</v>
      </c>
      <c r="CQ79" s="174">
        <v>0</v>
      </c>
      <c r="CR79" s="174">
        <v>0</v>
      </c>
      <c r="CS79" s="174">
        <v>0</v>
      </c>
      <c r="CT79" s="174">
        <v>0</v>
      </c>
      <c r="CU79" s="174">
        <v>0</v>
      </c>
      <c r="CV79" s="174">
        <v>0</v>
      </c>
    </row>
    <row r="80" spans="1:100" x14ac:dyDescent="0.25">
      <c r="A80" s="44" t="s">
        <v>75</v>
      </c>
      <c r="B80" s="166">
        <v>0</v>
      </c>
      <c r="C80" s="167">
        <v>0</v>
      </c>
      <c r="D80" s="167">
        <v>0</v>
      </c>
      <c r="E80" s="167">
        <v>0</v>
      </c>
      <c r="F80" s="167">
        <v>0</v>
      </c>
      <c r="G80" s="168">
        <v>0</v>
      </c>
      <c r="H80" s="168">
        <v>0</v>
      </c>
      <c r="I80" s="168">
        <v>0</v>
      </c>
      <c r="J80" s="167">
        <v>0</v>
      </c>
      <c r="K80" s="167">
        <v>0</v>
      </c>
      <c r="L80" s="167">
        <v>0</v>
      </c>
      <c r="M80" s="167">
        <v>0</v>
      </c>
      <c r="N80" s="168">
        <v>0</v>
      </c>
      <c r="O80" s="167">
        <v>0</v>
      </c>
      <c r="P80" s="167">
        <v>0</v>
      </c>
      <c r="Q80" s="167">
        <v>0</v>
      </c>
      <c r="R80" s="167">
        <v>0</v>
      </c>
      <c r="S80" s="168">
        <v>0</v>
      </c>
      <c r="T80" s="167">
        <v>0</v>
      </c>
      <c r="U80" s="169">
        <v>0</v>
      </c>
      <c r="V80" s="169">
        <v>0</v>
      </c>
      <c r="W80" s="169">
        <v>0</v>
      </c>
      <c r="X80" s="169">
        <v>0</v>
      </c>
      <c r="Y80" s="169">
        <v>0</v>
      </c>
      <c r="Z80" s="65">
        <f t="shared" si="5"/>
        <v>0.24</v>
      </c>
      <c r="AA80" s="169">
        <v>0</v>
      </c>
      <c r="AB80" s="169">
        <v>0</v>
      </c>
      <c r="AC80" s="169">
        <v>0</v>
      </c>
      <c r="AD80" s="169">
        <v>0</v>
      </c>
      <c r="AE80" s="169">
        <v>0</v>
      </c>
      <c r="AF80" s="169">
        <v>0</v>
      </c>
      <c r="AG80" s="169">
        <v>0</v>
      </c>
      <c r="AH80" s="65">
        <v>0</v>
      </c>
      <c r="AI80" s="169">
        <v>0</v>
      </c>
      <c r="AJ80" s="169">
        <v>0</v>
      </c>
      <c r="AK80" s="169">
        <v>0</v>
      </c>
      <c r="AL80" s="169">
        <v>0</v>
      </c>
      <c r="AM80" s="169">
        <v>0</v>
      </c>
      <c r="AN80" s="170">
        <v>0</v>
      </c>
      <c r="AO80" s="170">
        <v>0</v>
      </c>
      <c r="AP80" s="170">
        <f>(IF('Data Val'!$K$2 = weapons!A80,IF(char2WeapStacks=1, (8+(char2Refine-1)*2)%, IF(char2WeapStacks=2, (16+(char2Refine-1)*4)%, IF(char2WeapStacks=3, (28+(char2Refine-1)*7)%, 0)))))+(12+(char2Refine-1)*3)%</f>
        <v>0.24</v>
      </c>
      <c r="AQ80" s="170">
        <v>0</v>
      </c>
      <c r="AR80" s="170">
        <v>0</v>
      </c>
      <c r="AS80" s="170">
        <v>0</v>
      </c>
      <c r="AT80" s="170">
        <v>0</v>
      </c>
      <c r="AU80" s="170">
        <v>0</v>
      </c>
      <c r="AV80" s="170">
        <v>0</v>
      </c>
      <c r="AW80" s="170">
        <v>0</v>
      </c>
      <c r="AX80" s="170">
        <v>0</v>
      </c>
      <c r="AY80" s="170">
        <v>0</v>
      </c>
      <c r="AZ80" s="170">
        <v>0</v>
      </c>
      <c r="BA80" s="170">
        <v>0</v>
      </c>
      <c r="BB80" s="170">
        <v>0</v>
      </c>
      <c r="BC80" s="170">
        <v>0</v>
      </c>
      <c r="BD80" s="170">
        <v>0</v>
      </c>
      <c r="BE80" s="170">
        <v>0</v>
      </c>
      <c r="BF80" s="170">
        <v>0</v>
      </c>
      <c r="BG80" s="170">
        <v>0</v>
      </c>
      <c r="BH80" s="170">
        <v>0</v>
      </c>
      <c r="BI80" s="170">
        <v>0</v>
      </c>
      <c r="BJ80" s="172">
        <v>0</v>
      </c>
      <c r="BK80" s="67">
        <v>0</v>
      </c>
      <c r="BL80" s="172">
        <f t="shared" si="6"/>
        <v>0.24</v>
      </c>
      <c r="BM80" s="172">
        <f t="shared" si="7"/>
        <v>0</v>
      </c>
      <c r="BN80" s="172">
        <v>0</v>
      </c>
      <c r="BO80" s="172">
        <v>0</v>
      </c>
      <c r="BP80" s="172">
        <v>0</v>
      </c>
      <c r="BQ80" s="172">
        <v>0</v>
      </c>
      <c r="BR80" s="172">
        <f t="shared" si="8"/>
        <v>0</v>
      </c>
      <c r="BS80" s="172">
        <v>0</v>
      </c>
      <c r="BT80" s="172">
        <v>0</v>
      </c>
      <c r="BU80" s="172">
        <v>0</v>
      </c>
      <c r="BV80" s="172">
        <v>0</v>
      </c>
      <c r="BW80" s="172">
        <f t="shared" si="9"/>
        <v>0</v>
      </c>
      <c r="BX80" s="172">
        <v>0</v>
      </c>
      <c r="BY80" s="172">
        <v>0</v>
      </c>
      <c r="BZ80" s="172">
        <v>0</v>
      </c>
      <c r="CA80" s="172">
        <v>0</v>
      </c>
      <c r="CB80" s="172">
        <v>0</v>
      </c>
      <c r="CC80" s="172">
        <v>0</v>
      </c>
      <c r="CD80" s="174">
        <v>0</v>
      </c>
      <c r="CE80" s="70">
        <v>0</v>
      </c>
      <c r="CF80" s="174">
        <v>0</v>
      </c>
      <c r="CG80" s="174">
        <v>0</v>
      </c>
      <c r="CH80" s="174">
        <v>0</v>
      </c>
      <c r="CI80" s="174">
        <v>0</v>
      </c>
      <c r="CJ80" s="174">
        <v>0</v>
      </c>
      <c r="CK80" s="174">
        <v>0</v>
      </c>
      <c r="CL80" s="174">
        <v>0</v>
      </c>
      <c r="CM80" s="174">
        <v>0</v>
      </c>
      <c r="CN80" s="174">
        <v>0</v>
      </c>
      <c r="CO80" s="174">
        <v>0</v>
      </c>
      <c r="CP80" s="174">
        <v>0</v>
      </c>
      <c r="CQ80" s="174">
        <v>0</v>
      </c>
      <c r="CR80" s="174">
        <v>0</v>
      </c>
      <c r="CS80" s="174">
        <v>0</v>
      </c>
      <c r="CT80" s="174">
        <v>0</v>
      </c>
      <c r="CU80" s="174">
        <v>0</v>
      </c>
      <c r="CV80" s="174">
        <v>0</v>
      </c>
    </row>
    <row r="81" spans="1:100" x14ac:dyDescent="0.25">
      <c r="A81" s="44" t="s">
        <v>76</v>
      </c>
      <c r="B81" s="166">
        <v>0</v>
      </c>
      <c r="C81" s="167">
        <v>0</v>
      </c>
      <c r="D81" s="167">
        <v>0</v>
      </c>
      <c r="E81" s="167">
        <v>0</v>
      </c>
      <c r="F81" s="167">
        <v>0</v>
      </c>
      <c r="G81" s="168">
        <v>0</v>
      </c>
      <c r="H81" s="168">
        <v>0</v>
      </c>
      <c r="I81" s="168">
        <v>0</v>
      </c>
      <c r="J81" s="167">
        <v>0</v>
      </c>
      <c r="K81" s="167">
        <v>0</v>
      </c>
      <c r="L81" s="167">
        <v>0</v>
      </c>
      <c r="M81" s="167">
        <v>0</v>
      </c>
      <c r="N81" s="168">
        <v>0</v>
      </c>
      <c r="O81" s="167">
        <v>0</v>
      </c>
      <c r="P81" s="167">
        <v>0</v>
      </c>
      <c r="Q81" s="167">
        <v>0</v>
      </c>
      <c r="R81" s="167">
        <v>0</v>
      </c>
      <c r="S81" s="168">
        <v>0</v>
      </c>
      <c r="T81" s="167">
        <v>0</v>
      </c>
      <c r="U81" s="169">
        <v>0</v>
      </c>
      <c r="V81" s="169">
        <v>0</v>
      </c>
      <c r="W81" s="169">
        <v>0</v>
      </c>
      <c r="X81" s="169">
        <v>0</v>
      </c>
      <c r="Y81" s="169">
        <v>0</v>
      </c>
      <c r="Z81" s="65">
        <f t="shared" si="5"/>
        <v>0.24</v>
      </c>
      <c r="AA81" s="169">
        <v>0</v>
      </c>
      <c r="AB81" s="169">
        <v>0</v>
      </c>
      <c r="AC81" s="169">
        <v>0</v>
      </c>
      <c r="AD81" s="169">
        <v>0</v>
      </c>
      <c r="AE81" s="169">
        <v>0</v>
      </c>
      <c r="AF81" s="169">
        <v>0</v>
      </c>
      <c r="AG81" s="169">
        <v>0</v>
      </c>
      <c r="AH81" s="65">
        <v>0</v>
      </c>
      <c r="AI81" s="169">
        <v>0</v>
      </c>
      <c r="AJ81" s="169">
        <v>0</v>
      </c>
      <c r="AK81" s="169">
        <v>0</v>
      </c>
      <c r="AL81" s="169">
        <v>0</v>
      </c>
      <c r="AM81" s="169">
        <v>0</v>
      </c>
      <c r="AN81" s="170">
        <v>0</v>
      </c>
      <c r="AO81" s="170">
        <v>0</v>
      </c>
      <c r="AP81" s="170">
        <f>(IF('Data Val'!$K$2 = weapons!A81,IF(char2WeapStacks=1, (8+(char2Refine-1)*2)%, IF(char2WeapStacks=2, (16+(char2Refine-1)*4)%, IF(char2WeapStacks=3, (28+(char2Refine-1)*7)%, 0)))))+(12+(char2Refine-1)*3)%</f>
        <v>0.24</v>
      </c>
      <c r="AQ81" s="170">
        <v>0</v>
      </c>
      <c r="AR81" s="170">
        <v>0</v>
      </c>
      <c r="AS81" s="170">
        <v>0</v>
      </c>
      <c r="AT81" s="170">
        <v>0</v>
      </c>
      <c r="AU81" s="170">
        <v>0</v>
      </c>
      <c r="AV81" s="170">
        <v>0</v>
      </c>
      <c r="AW81" s="170">
        <v>0</v>
      </c>
      <c r="AX81" s="170">
        <v>0</v>
      </c>
      <c r="AY81" s="170">
        <v>0</v>
      </c>
      <c r="AZ81" s="170">
        <v>0</v>
      </c>
      <c r="BA81" s="170">
        <v>0</v>
      </c>
      <c r="BB81" s="170">
        <v>0</v>
      </c>
      <c r="BC81" s="170">
        <v>0</v>
      </c>
      <c r="BD81" s="170">
        <v>0</v>
      </c>
      <c r="BE81" s="170">
        <v>0</v>
      </c>
      <c r="BF81" s="170">
        <v>0</v>
      </c>
      <c r="BG81" s="170">
        <v>0</v>
      </c>
      <c r="BH81" s="170">
        <v>0</v>
      </c>
      <c r="BI81" s="170">
        <v>0</v>
      </c>
      <c r="BJ81" s="172">
        <v>0</v>
      </c>
      <c r="BK81" s="67">
        <v>0</v>
      </c>
      <c r="BL81" s="172">
        <f t="shared" si="6"/>
        <v>0.24</v>
      </c>
      <c r="BM81" s="172">
        <f t="shared" si="7"/>
        <v>0</v>
      </c>
      <c r="BN81" s="172">
        <v>0</v>
      </c>
      <c r="BO81" s="172">
        <v>0</v>
      </c>
      <c r="BP81" s="172">
        <v>0</v>
      </c>
      <c r="BQ81" s="172">
        <v>0</v>
      </c>
      <c r="BR81" s="172">
        <f t="shared" si="8"/>
        <v>0</v>
      </c>
      <c r="BS81" s="172">
        <v>0</v>
      </c>
      <c r="BT81" s="172">
        <v>0</v>
      </c>
      <c r="BU81" s="172">
        <v>0</v>
      </c>
      <c r="BV81" s="172">
        <v>0</v>
      </c>
      <c r="BW81" s="172">
        <f t="shared" si="9"/>
        <v>0</v>
      </c>
      <c r="BX81" s="172">
        <v>0</v>
      </c>
      <c r="BY81" s="172">
        <v>0</v>
      </c>
      <c r="BZ81" s="172">
        <v>0</v>
      </c>
      <c r="CA81" s="172">
        <v>0</v>
      </c>
      <c r="CB81" s="172">
        <v>0</v>
      </c>
      <c r="CC81" s="172">
        <v>0</v>
      </c>
      <c r="CD81" s="174">
        <v>0</v>
      </c>
      <c r="CE81" s="70">
        <v>0</v>
      </c>
      <c r="CF81" s="174">
        <v>0</v>
      </c>
      <c r="CG81" s="174">
        <v>0</v>
      </c>
      <c r="CH81" s="174">
        <v>0</v>
      </c>
      <c r="CI81" s="174">
        <v>0</v>
      </c>
      <c r="CJ81" s="174">
        <v>0</v>
      </c>
      <c r="CK81" s="174">
        <v>0</v>
      </c>
      <c r="CL81" s="174">
        <v>0</v>
      </c>
      <c r="CM81" s="174">
        <v>0</v>
      </c>
      <c r="CN81" s="174">
        <v>0</v>
      </c>
      <c r="CO81" s="174">
        <v>0</v>
      </c>
      <c r="CP81" s="174">
        <v>0</v>
      </c>
      <c r="CQ81" s="174">
        <v>0</v>
      </c>
      <c r="CR81" s="174">
        <v>0</v>
      </c>
      <c r="CS81" s="174">
        <v>0</v>
      </c>
      <c r="CT81" s="174">
        <v>0</v>
      </c>
      <c r="CU81" s="174">
        <v>0</v>
      </c>
      <c r="CV81" s="174">
        <v>0</v>
      </c>
    </row>
    <row r="82" spans="1:100" x14ac:dyDescent="0.25">
      <c r="A82" s="44" t="s">
        <v>69</v>
      </c>
      <c r="B82" s="176">
        <v>0</v>
      </c>
      <c r="C82" s="177">
        <v>0</v>
      </c>
      <c r="D82" s="202">
        <v>0</v>
      </c>
      <c r="E82" s="177">
        <v>0</v>
      </c>
      <c r="F82" s="202">
        <v>0</v>
      </c>
      <c r="G82" s="177">
        <v>0</v>
      </c>
      <c r="H82" s="177">
        <v>0</v>
      </c>
      <c r="I82" s="177">
        <v>0</v>
      </c>
      <c r="J82" s="177">
        <v>0</v>
      </c>
      <c r="K82" s="177">
        <v>0</v>
      </c>
      <c r="L82" s="177">
        <v>0</v>
      </c>
      <c r="M82" s="177">
        <v>165</v>
      </c>
      <c r="N82" s="177">
        <v>0</v>
      </c>
      <c r="O82" s="177">
        <v>0</v>
      </c>
      <c r="P82" s="202">
        <v>0</v>
      </c>
      <c r="Q82" s="202">
        <v>0</v>
      </c>
      <c r="R82" s="202">
        <v>0</v>
      </c>
      <c r="S82" s="177">
        <v>0</v>
      </c>
      <c r="T82" s="177">
        <v>0</v>
      </c>
      <c r="U82" s="178">
        <v>0</v>
      </c>
      <c r="V82" s="178">
        <v>0</v>
      </c>
      <c r="W82" s="178">
        <v>0</v>
      </c>
      <c r="X82" s="178">
        <v>0</v>
      </c>
      <c r="Y82" s="178">
        <v>0</v>
      </c>
      <c r="Z82" s="65">
        <v>0</v>
      </c>
      <c r="AA82" s="178">
        <v>0</v>
      </c>
      <c r="AB82" s="178">
        <v>110</v>
      </c>
      <c r="AC82" s="178">
        <v>0</v>
      </c>
      <c r="AD82" s="178">
        <v>0</v>
      </c>
      <c r="AE82" s="178">
        <v>0</v>
      </c>
      <c r="AF82" s="178">
        <v>0</v>
      </c>
      <c r="AG82" s="178">
        <v>221</v>
      </c>
      <c r="AH82" s="74">
        <v>0</v>
      </c>
      <c r="AI82" s="178">
        <v>0</v>
      </c>
      <c r="AJ82" s="178">
        <v>0</v>
      </c>
      <c r="AK82" s="178">
        <v>0</v>
      </c>
      <c r="AL82" s="178">
        <v>0</v>
      </c>
      <c r="AM82" s="178">
        <v>0</v>
      </c>
      <c r="AN82" s="179">
        <v>0</v>
      </c>
      <c r="AO82" s="179">
        <v>198</v>
      </c>
      <c r="AP82" s="179">
        <v>0</v>
      </c>
      <c r="AQ82" s="179">
        <v>0</v>
      </c>
      <c r="AR82" s="179">
        <v>0</v>
      </c>
      <c r="AS82" s="179">
        <v>0</v>
      </c>
      <c r="AT82" s="179">
        <v>0</v>
      </c>
      <c r="AU82" s="179">
        <v>0</v>
      </c>
      <c r="AV82" s="179">
        <v>0</v>
      </c>
      <c r="AW82" s="179">
        <v>55</v>
      </c>
      <c r="AX82" s="179">
        <v>0</v>
      </c>
      <c r="AY82" s="179">
        <v>0</v>
      </c>
      <c r="AZ82" s="179">
        <v>0</v>
      </c>
      <c r="BA82" s="179">
        <v>0</v>
      </c>
      <c r="BB82" s="179">
        <v>165</v>
      </c>
      <c r="BC82" s="179">
        <v>0</v>
      </c>
      <c r="BD82" s="179">
        <v>0</v>
      </c>
      <c r="BE82" s="179">
        <v>0</v>
      </c>
      <c r="BF82" s="179">
        <v>0</v>
      </c>
      <c r="BG82" s="179">
        <v>0</v>
      </c>
      <c r="BH82" s="179">
        <v>141</v>
      </c>
      <c r="BI82" s="179">
        <v>0</v>
      </c>
      <c r="BJ82" s="164">
        <v>0</v>
      </c>
      <c r="BK82" s="67">
        <v>0</v>
      </c>
      <c r="BL82" s="164">
        <v>0</v>
      </c>
      <c r="BM82" s="164">
        <v>0</v>
      </c>
      <c r="BN82" s="164">
        <v>0</v>
      </c>
      <c r="BO82" s="164">
        <v>0</v>
      </c>
      <c r="BP82" s="164">
        <v>0</v>
      </c>
      <c r="BQ82" s="164">
        <v>0</v>
      </c>
      <c r="BR82" s="164">
        <f>IF(char2WeapToggle,80+(char2Refine-1)*20,0)</f>
        <v>0</v>
      </c>
      <c r="BS82" s="164">
        <v>0</v>
      </c>
      <c r="BT82" s="164">
        <v>221</v>
      </c>
      <c r="BU82" s="164">
        <v>0</v>
      </c>
      <c r="BV82" s="164">
        <v>0</v>
      </c>
      <c r="BW82" s="164">
        <v>110</v>
      </c>
      <c r="BX82" s="164">
        <v>0</v>
      </c>
      <c r="BY82" s="164">
        <v>0</v>
      </c>
      <c r="BZ82" s="164">
        <v>187</v>
      </c>
      <c r="CA82" s="164">
        <v>0</v>
      </c>
      <c r="CB82" s="164">
        <v>0</v>
      </c>
      <c r="CC82" s="164">
        <v>0</v>
      </c>
      <c r="CD82" s="180">
        <f>60+(char2Refine-1)*15+IF(char2WeapToggle, 100+(char2Refine-1)*25,0)</f>
        <v>120</v>
      </c>
      <c r="CE82" s="77">
        <v>0</v>
      </c>
      <c r="CF82" s="181">
        <v>0</v>
      </c>
      <c r="CG82" s="181">
        <v>0</v>
      </c>
      <c r="CH82" s="180">
        <v>0</v>
      </c>
      <c r="CI82" s="181">
        <v>0</v>
      </c>
      <c r="CJ82" s="181">
        <v>0</v>
      </c>
      <c r="CK82" s="181">
        <v>0</v>
      </c>
      <c r="CL82" s="181">
        <v>0</v>
      </c>
      <c r="CM82" s="181">
        <v>0</v>
      </c>
      <c r="CN82" s="180">
        <v>165</v>
      </c>
      <c r="CO82" s="181">
        <v>0</v>
      </c>
      <c r="CP82" s="181">
        <v>0</v>
      </c>
      <c r="CQ82" s="181">
        <v>0</v>
      </c>
      <c r="CR82" s="181">
        <v>165</v>
      </c>
      <c r="CS82" s="181">
        <v>0</v>
      </c>
      <c r="CT82" s="181">
        <v>0</v>
      </c>
      <c r="CU82" s="181">
        <v>0</v>
      </c>
      <c r="CV82" s="181">
        <v>0</v>
      </c>
    </row>
    <row r="83" spans="1:100" x14ac:dyDescent="0.25">
      <c r="A83" s="44" t="s">
        <v>452</v>
      </c>
      <c r="B83" s="166">
        <v>0</v>
      </c>
      <c r="C83" s="168">
        <v>0</v>
      </c>
      <c r="D83" s="167">
        <v>0</v>
      </c>
      <c r="E83" s="168">
        <v>0</v>
      </c>
      <c r="F83" s="167">
        <v>0</v>
      </c>
      <c r="G83" s="168">
        <v>0</v>
      </c>
      <c r="H83" s="168">
        <v>0</v>
      </c>
      <c r="I83" s="168">
        <v>0</v>
      </c>
      <c r="J83" s="168">
        <v>0</v>
      </c>
      <c r="K83" s="168">
        <v>0</v>
      </c>
      <c r="L83" s="168">
        <v>0</v>
      </c>
      <c r="M83" s="168">
        <v>0</v>
      </c>
      <c r="N83" s="168">
        <v>0</v>
      </c>
      <c r="O83" s="168">
        <v>0</v>
      </c>
      <c r="P83" s="167">
        <v>0</v>
      </c>
      <c r="Q83" s="167">
        <v>0</v>
      </c>
      <c r="R83" s="167">
        <v>0</v>
      </c>
      <c r="S83" s="168">
        <v>0</v>
      </c>
      <c r="T83" s="168">
        <v>0</v>
      </c>
      <c r="U83" s="169">
        <v>0</v>
      </c>
      <c r="V83" s="169">
        <v>0</v>
      </c>
      <c r="W83" s="169">
        <v>0</v>
      </c>
      <c r="X83" s="169">
        <v>0</v>
      </c>
      <c r="Y83" s="169">
        <v>0</v>
      </c>
      <c r="Z83" s="65">
        <v>0</v>
      </c>
      <c r="AA83" s="169">
        <v>0</v>
      </c>
      <c r="AB83" s="169">
        <v>0</v>
      </c>
      <c r="AC83" s="169">
        <v>0</v>
      </c>
      <c r="AD83" s="169">
        <v>0</v>
      </c>
      <c r="AE83" s="169">
        <v>0</v>
      </c>
      <c r="AF83" s="169">
        <v>0</v>
      </c>
      <c r="AG83" s="169">
        <v>0</v>
      </c>
      <c r="AH83" s="65">
        <v>0</v>
      </c>
      <c r="AI83" s="169">
        <v>0</v>
      </c>
      <c r="AJ83" s="169">
        <v>0</v>
      </c>
      <c r="AK83" s="169">
        <v>0</v>
      </c>
      <c r="AL83" s="169">
        <v>0</v>
      </c>
      <c r="AM83" s="169">
        <v>0</v>
      </c>
      <c r="AN83" s="170">
        <v>0</v>
      </c>
      <c r="AO83" s="170">
        <v>0</v>
      </c>
      <c r="AP83" s="170">
        <v>0</v>
      </c>
      <c r="AQ83" s="170">
        <v>0</v>
      </c>
      <c r="AR83" s="170">
        <v>0</v>
      </c>
      <c r="AS83" s="170">
        <v>0</v>
      </c>
      <c r="AT83" s="170">
        <v>0</v>
      </c>
      <c r="AU83" s="170">
        <v>0</v>
      </c>
      <c r="AV83" s="170">
        <v>0</v>
      </c>
      <c r="AW83" s="170">
        <v>0</v>
      </c>
      <c r="AX83" s="170">
        <v>0</v>
      </c>
      <c r="AY83" s="170">
        <v>0</v>
      </c>
      <c r="AZ83" s="170">
        <v>0</v>
      </c>
      <c r="BA83" s="170">
        <v>0</v>
      </c>
      <c r="BB83" s="170">
        <v>0</v>
      </c>
      <c r="BC83" s="170">
        <v>0</v>
      </c>
      <c r="BD83" s="170">
        <v>0</v>
      </c>
      <c r="BE83" s="170">
        <v>0</v>
      </c>
      <c r="BF83" s="170">
        <v>0</v>
      </c>
      <c r="BG83" s="170">
        <v>0</v>
      </c>
      <c r="BH83" s="170">
        <v>0</v>
      </c>
      <c r="BI83" s="170">
        <v>0</v>
      </c>
      <c r="BJ83" s="172">
        <v>0</v>
      </c>
      <c r="BK83" s="67">
        <v>0</v>
      </c>
      <c r="BL83" s="172">
        <v>0</v>
      </c>
      <c r="BM83" s="172">
        <v>0</v>
      </c>
      <c r="BN83" s="172">
        <v>0</v>
      </c>
      <c r="BO83" s="172">
        <v>0</v>
      </c>
      <c r="BP83" s="172">
        <v>0</v>
      </c>
      <c r="BQ83" s="172">
        <v>0</v>
      </c>
      <c r="BR83" s="172">
        <v>0</v>
      </c>
      <c r="BS83" s="172">
        <v>0</v>
      </c>
      <c r="BT83" s="172">
        <v>0</v>
      </c>
      <c r="BU83" s="172">
        <v>0</v>
      </c>
      <c r="BV83" s="172">
        <v>0</v>
      </c>
      <c r="BW83" s="172">
        <v>0</v>
      </c>
      <c r="BX83" s="172">
        <v>0</v>
      </c>
      <c r="BY83" s="172">
        <v>0</v>
      </c>
      <c r="BZ83" s="172">
        <v>0</v>
      </c>
      <c r="CA83" s="172">
        <v>0</v>
      </c>
      <c r="CB83" s="172">
        <v>0</v>
      </c>
      <c r="CC83" s="172">
        <v>0</v>
      </c>
      <c r="CD83" s="175">
        <v>0</v>
      </c>
      <c r="CE83" s="70">
        <v>0</v>
      </c>
      <c r="CF83" s="174">
        <v>0</v>
      </c>
      <c r="CG83" s="175">
        <v>0</v>
      </c>
      <c r="CH83" s="175">
        <v>0</v>
      </c>
      <c r="CI83" s="174">
        <v>0</v>
      </c>
      <c r="CJ83" s="175">
        <v>0</v>
      </c>
      <c r="CK83" s="174">
        <v>0</v>
      </c>
      <c r="CL83" s="175">
        <v>0</v>
      </c>
      <c r="CM83" s="175">
        <v>0</v>
      </c>
      <c r="CN83" s="175">
        <v>0</v>
      </c>
      <c r="CO83" s="174">
        <v>0</v>
      </c>
      <c r="CP83" s="174">
        <v>0</v>
      </c>
      <c r="CQ83" s="174">
        <v>0</v>
      </c>
      <c r="CR83" s="174">
        <v>0</v>
      </c>
      <c r="CS83" s="175">
        <v>0</v>
      </c>
      <c r="CT83" s="174">
        <v>0</v>
      </c>
      <c r="CU83" s="174">
        <v>0</v>
      </c>
      <c r="CV83" s="174">
        <v>0</v>
      </c>
    </row>
    <row r="84" spans="1:100" x14ac:dyDescent="0.25">
      <c r="A84" s="44" t="s">
        <v>422</v>
      </c>
      <c r="B84" s="166">
        <v>0</v>
      </c>
      <c r="C84" s="167">
        <v>0</v>
      </c>
      <c r="D84" s="167">
        <v>0</v>
      </c>
      <c r="E84" s="168">
        <v>0</v>
      </c>
      <c r="F84" s="167">
        <v>0</v>
      </c>
      <c r="G84" s="168">
        <v>0</v>
      </c>
      <c r="H84" s="168">
        <v>0</v>
      </c>
      <c r="I84" s="168">
        <v>0</v>
      </c>
      <c r="J84" s="168">
        <v>0</v>
      </c>
      <c r="K84" s="168">
        <v>0</v>
      </c>
      <c r="L84" s="168">
        <v>0</v>
      </c>
      <c r="M84" s="168">
        <v>0</v>
      </c>
      <c r="N84" s="168">
        <v>0</v>
      </c>
      <c r="O84" s="168">
        <v>0</v>
      </c>
      <c r="P84" s="167">
        <v>0</v>
      </c>
      <c r="Q84" s="167">
        <v>0</v>
      </c>
      <c r="R84" s="167">
        <v>0</v>
      </c>
      <c r="S84" s="168">
        <v>0</v>
      </c>
      <c r="T84" s="168">
        <v>0</v>
      </c>
      <c r="U84" s="169">
        <v>0</v>
      </c>
      <c r="V84" s="169">
        <v>0</v>
      </c>
      <c r="W84" s="169">
        <v>0</v>
      </c>
      <c r="X84" s="169">
        <v>0</v>
      </c>
      <c r="Y84" s="169">
        <v>0</v>
      </c>
      <c r="Z84" s="65">
        <v>0</v>
      </c>
      <c r="AA84" s="169">
        <v>0</v>
      </c>
      <c r="AB84" s="169">
        <v>0</v>
      </c>
      <c r="AC84" s="169">
        <v>0</v>
      </c>
      <c r="AD84" s="169">
        <v>0</v>
      </c>
      <c r="AE84" s="169">
        <v>0</v>
      </c>
      <c r="AF84" s="169">
        <v>0</v>
      </c>
      <c r="AG84" s="169">
        <v>0</v>
      </c>
      <c r="AH84" s="65">
        <v>0</v>
      </c>
      <c r="AI84" s="169">
        <v>0</v>
      </c>
      <c r="AJ84" s="169">
        <v>0</v>
      </c>
      <c r="AK84" s="169">
        <v>0</v>
      </c>
      <c r="AL84" s="169">
        <v>0</v>
      </c>
      <c r="AM84" s="169">
        <v>0</v>
      </c>
      <c r="AN84" s="170">
        <v>0</v>
      </c>
      <c r="AO84" s="170">
        <v>0</v>
      </c>
      <c r="AP84" s="170">
        <v>0</v>
      </c>
      <c r="AQ84" s="170">
        <v>0</v>
      </c>
      <c r="AR84" s="170">
        <v>0</v>
      </c>
      <c r="AS84" s="170">
        <v>0</v>
      </c>
      <c r="AT84" s="170">
        <v>0</v>
      </c>
      <c r="AU84" s="170">
        <v>0</v>
      </c>
      <c r="AV84" s="170">
        <v>0</v>
      </c>
      <c r="AW84" s="170">
        <v>0</v>
      </c>
      <c r="AX84" s="170">
        <v>0</v>
      </c>
      <c r="AY84" s="170">
        <v>0</v>
      </c>
      <c r="AZ84" s="170">
        <v>0</v>
      </c>
      <c r="BA84" s="170">
        <v>0</v>
      </c>
      <c r="BB84" s="170">
        <v>0</v>
      </c>
      <c r="BC84" s="170">
        <v>0</v>
      </c>
      <c r="BD84" s="170">
        <v>0</v>
      </c>
      <c r="BE84" s="170">
        <v>0</v>
      </c>
      <c r="BF84" s="170">
        <v>0</v>
      </c>
      <c r="BG84" s="170">
        <v>0</v>
      </c>
      <c r="BH84" s="170">
        <v>0</v>
      </c>
      <c r="BI84" s="170">
        <v>0</v>
      </c>
      <c r="BJ84" s="172">
        <v>0</v>
      </c>
      <c r="BK84" s="67">
        <v>0</v>
      </c>
      <c r="BL84" s="172">
        <v>0</v>
      </c>
      <c r="BM84" s="172">
        <v>0</v>
      </c>
      <c r="BN84" s="172">
        <f>(10+(char2Refine-1)*2.5)%</f>
        <v>0.2</v>
      </c>
      <c r="BO84" s="172">
        <v>0</v>
      </c>
      <c r="BP84" s="172">
        <v>0</v>
      </c>
      <c r="BQ84" s="172">
        <v>0</v>
      </c>
      <c r="BR84" s="172">
        <v>0</v>
      </c>
      <c r="BS84" s="172">
        <v>0</v>
      </c>
      <c r="BT84" s="172">
        <v>0</v>
      </c>
      <c r="BU84" s="172">
        <v>0</v>
      </c>
      <c r="BV84" s="172">
        <v>0</v>
      </c>
      <c r="BW84" s="172">
        <v>0</v>
      </c>
      <c r="BX84" s="172">
        <v>0</v>
      </c>
      <c r="BY84" s="172">
        <v>0</v>
      </c>
      <c r="BZ84" s="172">
        <v>0</v>
      </c>
      <c r="CA84" s="172">
        <v>0</v>
      </c>
      <c r="CB84" s="172">
        <v>0</v>
      </c>
      <c r="CC84" s="172">
        <v>0</v>
      </c>
      <c r="CD84" s="175">
        <v>0</v>
      </c>
      <c r="CE84" s="70">
        <v>0</v>
      </c>
      <c r="CF84" s="174">
        <v>0</v>
      </c>
      <c r="CG84" s="174">
        <v>0</v>
      </c>
      <c r="CH84" s="174">
        <v>0</v>
      </c>
      <c r="CI84" s="174">
        <v>0</v>
      </c>
      <c r="CJ84" s="175">
        <v>0</v>
      </c>
      <c r="CK84" s="174">
        <v>0</v>
      </c>
      <c r="CL84" s="175">
        <v>0</v>
      </c>
      <c r="CM84" s="175">
        <v>0</v>
      </c>
      <c r="CN84" s="175">
        <v>0</v>
      </c>
      <c r="CO84" s="174">
        <v>0</v>
      </c>
      <c r="CP84" s="174">
        <v>0</v>
      </c>
      <c r="CQ84" s="174">
        <v>0</v>
      </c>
      <c r="CR84" s="174">
        <v>0</v>
      </c>
      <c r="CS84" s="175">
        <v>0</v>
      </c>
      <c r="CT84" s="174">
        <v>0</v>
      </c>
      <c r="CU84" s="174">
        <v>0</v>
      </c>
      <c r="CV84" s="174">
        <v>0</v>
      </c>
    </row>
    <row r="85" spans="1:100" x14ac:dyDescent="0.25">
      <c r="A85" s="44" t="s">
        <v>77</v>
      </c>
      <c r="B85" s="166">
        <v>0</v>
      </c>
      <c r="C85" s="167">
        <v>0</v>
      </c>
      <c r="D85" s="167">
        <v>0</v>
      </c>
      <c r="E85" s="168">
        <v>0</v>
      </c>
      <c r="F85" s="167">
        <v>0</v>
      </c>
      <c r="G85" s="168">
        <v>0</v>
      </c>
      <c r="H85" s="168">
        <v>0</v>
      </c>
      <c r="I85" s="168">
        <v>0</v>
      </c>
      <c r="J85" s="168">
        <v>0</v>
      </c>
      <c r="K85" s="168">
        <v>0</v>
      </c>
      <c r="L85" s="168">
        <v>0</v>
      </c>
      <c r="M85" s="168">
        <v>0</v>
      </c>
      <c r="N85" s="168">
        <v>0</v>
      </c>
      <c r="O85" s="168">
        <v>0</v>
      </c>
      <c r="P85" s="167">
        <v>0</v>
      </c>
      <c r="Q85" s="167">
        <v>0</v>
      </c>
      <c r="R85" s="167">
        <v>0</v>
      </c>
      <c r="S85" s="168">
        <v>0</v>
      </c>
      <c r="T85" s="168">
        <v>0</v>
      </c>
      <c r="U85" s="169">
        <v>0</v>
      </c>
      <c r="V85" s="169">
        <v>0</v>
      </c>
      <c r="W85" s="169">
        <v>0</v>
      </c>
      <c r="X85" s="169">
        <v>0</v>
      </c>
      <c r="Y85" s="169">
        <v>0</v>
      </c>
      <c r="Z85" s="65">
        <v>0</v>
      </c>
      <c r="AA85" s="169">
        <v>0</v>
      </c>
      <c r="AB85" s="169">
        <v>0</v>
      </c>
      <c r="AC85" s="169">
        <v>0</v>
      </c>
      <c r="AD85" s="169">
        <v>0</v>
      </c>
      <c r="AE85" s="169">
        <f>((8+(char2Refine-1)*4)*char2WeapStacks)%</f>
        <v>0</v>
      </c>
      <c r="AF85" s="169">
        <v>0</v>
      </c>
      <c r="AG85" s="169">
        <v>0</v>
      </c>
      <c r="AH85" s="65">
        <v>0</v>
      </c>
      <c r="AI85" s="169">
        <v>0</v>
      </c>
      <c r="AJ85" s="169">
        <v>0</v>
      </c>
      <c r="AK85" s="169">
        <v>0</v>
      </c>
      <c r="AL85" s="169">
        <f>(24+(char2Refine-1)*6)%</f>
        <v>0.48</v>
      </c>
      <c r="AM85" s="169">
        <v>0</v>
      </c>
      <c r="AN85" s="170">
        <v>0</v>
      </c>
      <c r="AO85" s="170">
        <f>IF(char2WeapToggle, (16+(char2Refine-1)*4), 0)%</f>
        <v>0</v>
      </c>
      <c r="AP85" s="170">
        <v>0</v>
      </c>
      <c r="AQ85" s="170">
        <v>0</v>
      </c>
      <c r="AR85" s="170">
        <v>0</v>
      </c>
      <c r="AS85" s="170">
        <v>0</v>
      </c>
      <c r="AT85" s="170">
        <v>0</v>
      </c>
      <c r="AU85" s="170">
        <v>0</v>
      </c>
      <c r="AV85" s="170">
        <f>(20+(char2Refine-1)*5)%</f>
        <v>0.4</v>
      </c>
      <c r="AW85" s="170">
        <v>0</v>
      </c>
      <c r="AX85" s="170">
        <v>0</v>
      </c>
      <c r="AY85" s="170">
        <v>0</v>
      </c>
      <c r="AZ85" s="170">
        <v>0</v>
      </c>
      <c r="BA85" s="170">
        <v>0</v>
      </c>
      <c r="BB85" s="170">
        <v>0</v>
      </c>
      <c r="BC85" s="170">
        <v>0</v>
      </c>
      <c r="BD85" s="170">
        <v>0</v>
      </c>
      <c r="BE85" s="170">
        <v>0</v>
      </c>
      <c r="BF85" s="170">
        <v>0</v>
      </c>
      <c r="BG85" s="170">
        <v>0</v>
      </c>
      <c r="BH85" s="170">
        <v>0</v>
      </c>
      <c r="BI85" s="170">
        <v>0</v>
      </c>
      <c r="BJ85" s="172">
        <v>0</v>
      </c>
      <c r="BK85" s="67">
        <v>0</v>
      </c>
      <c r="BL85" s="172">
        <v>0</v>
      </c>
      <c r="BM85" s="172">
        <v>0</v>
      </c>
      <c r="BN85" s="172">
        <v>0</v>
      </c>
      <c r="BO85" s="172">
        <v>0</v>
      </c>
      <c r="BP85" s="172">
        <v>0</v>
      </c>
      <c r="BQ85" s="172">
        <v>0</v>
      </c>
      <c r="BR85" s="172">
        <v>0</v>
      </c>
      <c r="BS85" s="172">
        <f>IF(char2WeapToggle,20+(char2Refine-1)*5,0)%</f>
        <v>0</v>
      </c>
      <c r="BT85" s="172">
        <v>0</v>
      </c>
      <c r="BU85" s="172">
        <v>0</v>
      </c>
      <c r="BV85" s="172">
        <v>0</v>
      </c>
      <c r="BW85" s="172">
        <v>0</v>
      </c>
      <c r="BX85" s="172">
        <v>0</v>
      </c>
      <c r="BY85" s="172">
        <v>0</v>
      </c>
      <c r="BZ85" s="172">
        <v>0</v>
      </c>
      <c r="CA85" s="172">
        <v>0</v>
      </c>
      <c r="CB85" s="172">
        <v>0</v>
      </c>
      <c r="CC85" s="172">
        <v>0</v>
      </c>
      <c r="CD85" s="175">
        <v>0</v>
      </c>
      <c r="CE85" s="70">
        <v>0</v>
      </c>
      <c r="CF85" s="174">
        <v>0</v>
      </c>
      <c r="CG85" s="174">
        <f>(12+(char2Refine-1)*3)%+char2WeapStacks*(8+(char2Refine-1)*2)%</f>
        <v>0.24</v>
      </c>
      <c r="CH85" s="174">
        <f>(40+(char2Refine-1)*10)%</f>
        <v>0.8</v>
      </c>
      <c r="CI85" s="174">
        <v>0</v>
      </c>
      <c r="CJ85" s="175">
        <v>0</v>
      </c>
      <c r="CK85" s="174">
        <v>0</v>
      </c>
      <c r="CL85" s="175">
        <v>0</v>
      </c>
      <c r="CM85" s="175">
        <v>0</v>
      </c>
      <c r="CN85" s="175">
        <v>0</v>
      </c>
      <c r="CO85" s="174">
        <v>0</v>
      </c>
      <c r="CP85" s="174">
        <v>0</v>
      </c>
      <c r="CQ85" s="174">
        <f>IF(char2WeapToggle, 2*(16+(char2Refine-1)*4), 16+(char2Refine-1)*4)%</f>
        <v>0.32</v>
      </c>
      <c r="CR85" s="174">
        <v>0</v>
      </c>
      <c r="CS85" s="175">
        <v>0</v>
      </c>
      <c r="CT85" s="174">
        <f>IF(char2WeapToggle, 20+(char2Refine-1)*5, 0)%</f>
        <v>0</v>
      </c>
      <c r="CU85" s="174">
        <f>IF(char2WeapToggle, (36+(char2Refine-1)*6)%, -10%)</f>
        <v>-0.1</v>
      </c>
      <c r="CV85" s="70">
        <f>IF(char2WeapStacks=1, (12+(char2Refine-1)*3)%, IF(char2WeapStacks=2, (24+(char2Refine-1)*6)%, IF(char2WeapStacks=3, (40+(char2Refine-1)*10)%, 0)))</f>
        <v>0</v>
      </c>
    </row>
    <row r="86" spans="1:100" x14ac:dyDescent="0.25">
      <c r="A86" s="44" t="s">
        <v>78</v>
      </c>
      <c r="B86" s="166">
        <v>0</v>
      </c>
      <c r="C86" s="167">
        <v>0</v>
      </c>
      <c r="D86" s="167">
        <v>0</v>
      </c>
      <c r="E86" s="168">
        <v>0</v>
      </c>
      <c r="F86" s="167">
        <v>0</v>
      </c>
      <c r="G86" s="168">
        <v>0</v>
      </c>
      <c r="H86" s="168">
        <v>0</v>
      </c>
      <c r="I86" s="168">
        <v>0</v>
      </c>
      <c r="J86" s="168">
        <v>0</v>
      </c>
      <c r="K86" s="168">
        <v>0</v>
      </c>
      <c r="L86" s="168">
        <v>0</v>
      </c>
      <c r="M86" s="168">
        <v>0</v>
      </c>
      <c r="N86" s="168">
        <v>0</v>
      </c>
      <c r="O86" s="168">
        <v>0</v>
      </c>
      <c r="P86" s="167">
        <v>0</v>
      </c>
      <c r="Q86" s="167">
        <v>0</v>
      </c>
      <c r="R86" s="167">
        <v>0</v>
      </c>
      <c r="S86" s="168">
        <v>0</v>
      </c>
      <c r="T86" s="168">
        <v>0</v>
      </c>
      <c r="U86" s="169">
        <v>0</v>
      </c>
      <c r="V86" s="169">
        <v>0</v>
      </c>
      <c r="W86" s="169">
        <v>0</v>
      </c>
      <c r="X86" s="169">
        <v>0</v>
      </c>
      <c r="Y86" s="169">
        <v>0</v>
      </c>
      <c r="Z86" s="65">
        <v>0</v>
      </c>
      <c r="AA86" s="169">
        <v>0</v>
      </c>
      <c r="AB86" s="169">
        <v>0</v>
      </c>
      <c r="AC86" s="169">
        <v>0</v>
      </c>
      <c r="AD86" s="169">
        <v>0</v>
      </c>
      <c r="AE86" s="169">
        <f>((8+(char2Refine-1)*4)*char2WeapStacks)%</f>
        <v>0</v>
      </c>
      <c r="AF86" s="169">
        <v>0</v>
      </c>
      <c r="AG86" s="169">
        <v>0</v>
      </c>
      <c r="AH86" s="65">
        <v>0</v>
      </c>
      <c r="AI86" s="169">
        <v>0</v>
      </c>
      <c r="AJ86" s="169">
        <v>0</v>
      </c>
      <c r="AK86" s="169">
        <v>0</v>
      </c>
      <c r="AL86" s="169">
        <v>0</v>
      </c>
      <c r="AM86" s="169">
        <v>0</v>
      </c>
      <c r="AN86" s="170">
        <v>0</v>
      </c>
      <c r="AO86" s="170">
        <f>IF(char2WeapToggle, (16+(char2Refine-1)*4), 0)%</f>
        <v>0</v>
      </c>
      <c r="AP86" s="170">
        <v>0</v>
      </c>
      <c r="AQ86" s="170">
        <v>0</v>
      </c>
      <c r="AR86" s="170">
        <v>0</v>
      </c>
      <c r="AS86" s="170">
        <v>0</v>
      </c>
      <c r="AT86" s="170">
        <v>0</v>
      </c>
      <c r="AU86" s="170">
        <v>0</v>
      </c>
      <c r="AV86" s="170">
        <f>(20+(char2Refine-1)*5)%</f>
        <v>0.4</v>
      </c>
      <c r="AW86" s="170">
        <v>0</v>
      </c>
      <c r="AX86" s="170">
        <v>0</v>
      </c>
      <c r="AY86" s="170">
        <v>0</v>
      </c>
      <c r="AZ86" s="170">
        <v>0</v>
      </c>
      <c r="BA86" s="170">
        <v>0</v>
      </c>
      <c r="BB86" s="170">
        <v>0</v>
      </c>
      <c r="BC86" s="170">
        <v>0</v>
      </c>
      <c r="BD86" s="170">
        <v>0</v>
      </c>
      <c r="BE86" s="170">
        <v>0</v>
      </c>
      <c r="BF86" s="170">
        <v>0</v>
      </c>
      <c r="BG86" s="170">
        <v>0</v>
      </c>
      <c r="BH86" s="170">
        <v>0</v>
      </c>
      <c r="BI86" s="170">
        <v>0</v>
      </c>
      <c r="BJ86" s="172">
        <v>0</v>
      </c>
      <c r="BK86" s="67">
        <v>0</v>
      </c>
      <c r="BL86" s="172">
        <v>0</v>
      </c>
      <c r="BM86" s="172">
        <v>0</v>
      </c>
      <c r="BN86" s="172">
        <v>0</v>
      </c>
      <c r="BO86" s="172">
        <v>0</v>
      </c>
      <c r="BP86" s="172">
        <v>0</v>
      </c>
      <c r="BQ86" s="172">
        <v>0</v>
      </c>
      <c r="BR86" s="172">
        <v>0</v>
      </c>
      <c r="BS86" s="172">
        <v>0</v>
      </c>
      <c r="BT86" s="172">
        <v>0</v>
      </c>
      <c r="BU86" s="172">
        <v>0</v>
      </c>
      <c r="BV86" s="172">
        <v>0</v>
      </c>
      <c r="BW86" s="172">
        <v>0</v>
      </c>
      <c r="BX86" s="172">
        <v>0</v>
      </c>
      <c r="BY86" s="172">
        <f>IF(char2WeapToggle,16+(char2Refine-1)*4,0)%</f>
        <v>0</v>
      </c>
      <c r="BZ86" s="172">
        <v>0</v>
      </c>
      <c r="CA86" s="172">
        <v>0</v>
      </c>
      <c r="CB86" s="172">
        <v>0</v>
      </c>
      <c r="CC86" s="172">
        <v>0</v>
      </c>
      <c r="CD86" s="175">
        <v>0</v>
      </c>
      <c r="CE86" s="70">
        <v>0</v>
      </c>
      <c r="CF86" s="174">
        <v>0</v>
      </c>
      <c r="CG86" s="174">
        <f>(12+(char2Refine-1)*3)%+char2WeapStacks*(8+(char2Refine-1)*2)%</f>
        <v>0.24</v>
      </c>
      <c r="CH86" s="174">
        <f>-10%</f>
        <v>-0.1</v>
      </c>
      <c r="CI86" s="174">
        <v>0</v>
      </c>
      <c r="CJ86" s="175">
        <v>0</v>
      </c>
      <c r="CK86" s="174">
        <v>0</v>
      </c>
      <c r="CL86" s="175">
        <v>0</v>
      </c>
      <c r="CM86" s="175">
        <v>0</v>
      </c>
      <c r="CN86" s="175">
        <v>0</v>
      </c>
      <c r="CO86" s="174">
        <v>0</v>
      </c>
      <c r="CP86" s="174">
        <v>0</v>
      </c>
      <c r="CQ86" s="174">
        <f>IF(char2WeapToggle, 2*(12+(char2Refine-1)*3), (12+(char2Refine-1)*3))%</f>
        <v>0.24</v>
      </c>
      <c r="CR86" s="174">
        <v>0</v>
      </c>
      <c r="CS86" s="175">
        <v>0</v>
      </c>
      <c r="CT86" s="174">
        <v>0</v>
      </c>
      <c r="CU86" s="174">
        <f>IF(char2WeapToggle, (36+(char2Refine-1)*6)%, -10%)</f>
        <v>-0.1</v>
      </c>
      <c r="CV86" s="174">
        <v>0</v>
      </c>
    </row>
    <row r="87" spans="1:100" x14ac:dyDescent="0.25">
      <c r="A87" s="44" t="s">
        <v>79</v>
      </c>
      <c r="B87" s="166">
        <v>0</v>
      </c>
      <c r="C87" s="168">
        <v>0</v>
      </c>
      <c r="D87" s="167">
        <v>0</v>
      </c>
      <c r="E87" s="168">
        <v>0</v>
      </c>
      <c r="F87" s="167">
        <v>0</v>
      </c>
      <c r="G87" s="168">
        <v>0</v>
      </c>
      <c r="H87" s="168">
        <v>0</v>
      </c>
      <c r="I87" s="168">
        <v>0</v>
      </c>
      <c r="J87" s="168">
        <v>0</v>
      </c>
      <c r="K87" s="168">
        <v>0</v>
      </c>
      <c r="L87" s="168">
        <v>0</v>
      </c>
      <c r="M87" s="168">
        <v>0</v>
      </c>
      <c r="N87" s="168">
        <v>0</v>
      </c>
      <c r="O87" s="168">
        <v>0</v>
      </c>
      <c r="P87" s="167">
        <v>0</v>
      </c>
      <c r="Q87" s="167">
        <v>0</v>
      </c>
      <c r="R87" s="167">
        <v>0</v>
      </c>
      <c r="S87" s="168">
        <v>0</v>
      </c>
      <c r="T87" s="168">
        <v>0</v>
      </c>
      <c r="U87" s="169">
        <v>0</v>
      </c>
      <c r="V87" s="169">
        <v>0</v>
      </c>
      <c r="W87" s="169">
        <v>0</v>
      </c>
      <c r="X87" s="169">
        <v>0</v>
      </c>
      <c r="Y87" s="169">
        <v>0</v>
      </c>
      <c r="Z87" s="65">
        <v>0</v>
      </c>
      <c r="AA87" s="169">
        <v>0</v>
      </c>
      <c r="AB87" s="169">
        <v>0</v>
      </c>
      <c r="AC87" s="169">
        <v>0</v>
      </c>
      <c r="AD87" s="169">
        <v>0</v>
      </c>
      <c r="AE87" s="169">
        <v>0</v>
      </c>
      <c r="AF87" s="169">
        <v>0</v>
      </c>
      <c r="AG87" s="169">
        <v>0</v>
      </c>
      <c r="AH87" s="65">
        <v>0</v>
      </c>
      <c r="AI87" s="169">
        <v>0</v>
      </c>
      <c r="AJ87" s="169">
        <v>0</v>
      </c>
      <c r="AK87" s="169">
        <v>0</v>
      </c>
      <c r="AL87" s="169">
        <v>0</v>
      </c>
      <c r="AM87" s="169">
        <v>0</v>
      </c>
      <c r="AN87" s="170">
        <v>0</v>
      </c>
      <c r="AO87" s="170">
        <f>IF(char2WeapToggle, (16+(char2Refine-1)*4), 0)%</f>
        <v>0</v>
      </c>
      <c r="AP87" s="170">
        <v>0</v>
      </c>
      <c r="AQ87" s="170">
        <v>0</v>
      </c>
      <c r="AR87" s="170">
        <v>0</v>
      </c>
      <c r="AS87" s="170">
        <v>0</v>
      </c>
      <c r="AT87" s="170">
        <v>0</v>
      </c>
      <c r="AU87" s="170">
        <v>0</v>
      </c>
      <c r="AV87" s="170">
        <v>0</v>
      </c>
      <c r="AW87" s="170">
        <v>0</v>
      </c>
      <c r="AX87" s="170">
        <v>0</v>
      </c>
      <c r="AY87" s="170">
        <v>0</v>
      </c>
      <c r="AZ87" s="170">
        <v>0</v>
      </c>
      <c r="BA87" s="170">
        <v>0</v>
      </c>
      <c r="BB87" s="170">
        <v>0</v>
      </c>
      <c r="BC87" s="170">
        <v>0</v>
      </c>
      <c r="BD87" s="170">
        <v>0</v>
      </c>
      <c r="BE87" s="170">
        <v>0</v>
      </c>
      <c r="BF87" s="170">
        <v>0</v>
      </c>
      <c r="BG87" s="170">
        <v>0</v>
      </c>
      <c r="BH87" s="170">
        <v>0</v>
      </c>
      <c r="BI87" s="170">
        <v>0</v>
      </c>
      <c r="BJ87" s="172">
        <v>0</v>
      </c>
      <c r="BK87" s="67">
        <v>0</v>
      </c>
      <c r="BL87" s="172">
        <v>0</v>
      </c>
      <c r="BM87" s="172">
        <v>0</v>
      </c>
      <c r="BN87" s="172">
        <v>0</v>
      </c>
      <c r="BO87" s="172">
        <v>0</v>
      </c>
      <c r="BP87" s="172">
        <v>0</v>
      </c>
      <c r="BQ87" s="172">
        <v>0</v>
      </c>
      <c r="BR87" s="172">
        <v>0</v>
      </c>
      <c r="BS87" s="172">
        <v>0</v>
      </c>
      <c r="BT87" s="172">
        <v>0</v>
      </c>
      <c r="BU87" s="172">
        <v>0</v>
      </c>
      <c r="BV87" s="172">
        <v>0</v>
      </c>
      <c r="BW87" s="172">
        <v>0</v>
      </c>
      <c r="BX87" s="172">
        <v>0</v>
      </c>
      <c r="BY87" s="172">
        <v>0</v>
      </c>
      <c r="BZ87" s="172">
        <v>0</v>
      </c>
      <c r="CA87" s="172">
        <v>0</v>
      </c>
      <c r="CB87" s="172">
        <v>0</v>
      </c>
      <c r="CC87" s="172">
        <v>0</v>
      </c>
      <c r="CD87" s="175">
        <v>0</v>
      </c>
      <c r="CE87" s="70">
        <v>0</v>
      </c>
      <c r="CF87" s="174">
        <v>0</v>
      </c>
      <c r="CG87" s="174">
        <v>0</v>
      </c>
      <c r="CH87" s="174">
        <v>0</v>
      </c>
      <c r="CI87" s="174">
        <v>0</v>
      </c>
      <c r="CJ87" s="175">
        <v>0</v>
      </c>
      <c r="CK87" s="174">
        <v>0</v>
      </c>
      <c r="CL87" s="175">
        <v>0</v>
      </c>
      <c r="CM87" s="175">
        <v>0</v>
      </c>
      <c r="CN87" s="175">
        <v>0</v>
      </c>
      <c r="CO87" s="174">
        <v>0</v>
      </c>
      <c r="CP87" s="174">
        <v>0</v>
      </c>
      <c r="CQ87" s="174">
        <v>0</v>
      </c>
      <c r="CR87" s="174">
        <v>0</v>
      </c>
      <c r="CS87" s="175">
        <v>0</v>
      </c>
      <c r="CT87" s="174">
        <v>0</v>
      </c>
      <c r="CU87" s="174">
        <v>0</v>
      </c>
      <c r="CV87" s="174">
        <v>0</v>
      </c>
    </row>
    <row r="88" spans="1:100" x14ac:dyDescent="0.25">
      <c r="A88" s="44" t="s">
        <v>80</v>
      </c>
      <c r="B88" s="166">
        <v>0</v>
      </c>
      <c r="C88" s="167">
        <v>0</v>
      </c>
      <c r="D88" s="167">
        <v>0</v>
      </c>
      <c r="E88" s="168">
        <v>0</v>
      </c>
      <c r="F88" s="167">
        <v>0</v>
      </c>
      <c r="G88" s="168">
        <v>0</v>
      </c>
      <c r="H88" s="168">
        <v>0</v>
      </c>
      <c r="I88" s="168">
        <v>0</v>
      </c>
      <c r="J88" s="168">
        <v>0</v>
      </c>
      <c r="K88" s="168">
        <v>0</v>
      </c>
      <c r="L88" s="168">
        <v>0</v>
      </c>
      <c r="M88" s="168">
        <v>0</v>
      </c>
      <c r="N88" s="168">
        <v>0</v>
      </c>
      <c r="O88" s="168">
        <v>0</v>
      </c>
      <c r="P88" s="167">
        <v>0</v>
      </c>
      <c r="Q88" s="167">
        <v>0</v>
      </c>
      <c r="R88" s="167">
        <v>0</v>
      </c>
      <c r="S88" s="168">
        <v>0</v>
      </c>
      <c r="T88" s="168">
        <v>0</v>
      </c>
      <c r="U88" s="169">
        <v>0</v>
      </c>
      <c r="V88" s="169">
        <v>0</v>
      </c>
      <c r="W88" s="169">
        <v>0</v>
      </c>
      <c r="X88" s="169">
        <v>0</v>
      </c>
      <c r="Y88" s="169">
        <v>0</v>
      </c>
      <c r="Z88" s="65">
        <v>0</v>
      </c>
      <c r="AA88" s="169">
        <v>0</v>
      </c>
      <c r="AB88" s="169">
        <f>(6+(char2Refine-1)*1.5)%</f>
        <v>0.12</v>
      </c>
      <c r="AC88" s="169">
        <v>0</v>
      </c>
      <c r="AD88" s="169">
        <v>0</v>
      </c>
      <c r="AE88" s="169">
        <v>0</v>
      </c>
      <c r="AF88" s="169">
        <v>0</v>
      </c>
      <c r="AG88" s="169">
        <v>0</v>
      </c>
      <c r="AH88" s="65">
        <v>0</v>
      </c>
      <c r="AI88" s="169">
        <v>0</v>
      </c>
      <c r="AJ88" s="169">
        <v>0</v>
      </c>
      <c r="AK88" s="169">
        <v>0</v>
      </c>
      <c r="AL88" s="169">
        <v>0</v>
      </c>
      <c r="AM88" s="169">
        <v>0</v>
      </c>
      <c r="AN88" s="170">
        <v>0</v>
      </c>
      <c r="AO88" s="170">
        <v>0</v>
      </c>
      <c r="AP88" s="170">
        <v>0</v>
      </c>
      <c r="AQ88" s="170">
        <v>0</v>
      </c>
      <c r="AR88" s="170">
        <v>0</v>
      </c>
      <c r="AS88" s="170">
        <v>0</v>
      </c>
      <c r="AT88" s="170">
        <f>(16+(char2Refine-1)*4)%</f>
        <v>0.32</v>
      </c>
      <c r="AU88" s="170">
        <v>0</v>
      </c>
      <c r="AV88" s="170">
        <v>0</v>
      </c>
      <c r="AW88" s="170">
        <v>0</v>
      </c>
      <c r="AX88" s="170">
        <v>0</v>
      </c>
      <c r="AY88" s="170">
        <v>0</v>
      </c>
      <c r="AZ88" s="170">
        <v>0</v>
      </c>
      <c r="BA88" s="170">
        <v>0</v>
      </c>
      <c r="BB88" s="170">
        <v>0</v>
      </c>
      <c r="BC88" s="170">
        <v>0</v>
      </c>
      <c r="BD88" s="170">
        <v>0</v>
      </c>
      <c r="BE88" s="170">
        <v>0</v>
      </c>
      <c r="BF88" s="170">
        <v>0</v>
      </c>
      <c r="BG88" s="170">
        <v>0</v>
      </c>
      <c r="BH88" s="170">
        <v>0</v>
      </c>
      <c r="BI88" s="170">
        <v>0</v>
      </c>
      <c r="BJ88" s="172">
        <v>0</v>
      </c>
      <c r="BK88" s="67">
        <v>0</v>
      </c>
      <c r="BL88" s="172">
        <v>0</v>
      </c>
      <c r="BM88" s="172">
        <v>0</v>
      </c>
      <c r="BN88" s="172">
        <v>0</v>
      </c>
      <c r="BO88" s="172">
        <v>0</v>
      </c>
      <c r="BP88" s="172">
        <v>0</v>
      </c>
      <c r="BQ88" s="172">
        <v>0</v>
      </c>
      <c r="BR88" s="172">
        <v>0</v>
      </c>
      <c r="BS88" s="172">
        <f>IF(char2WeapToggle, 20+(char2Refine-1)*5,0)%</f>
        <v>0</v>
      </c>
      <c r="BT88" s="172">
        <v>0</v>
      </c>
      <c r="BU88" s="172">
        <v>0</v>
      </c>
      <c r="BV88" s="172">
        <v>0</v>
      </c>
      <c r="BW88" s="172">
        <v>0</v>
      </c>
      <c r="BX88" s="172">
        <v>0</v>
      </c>
      <c r="BY88" s="172">
        <v>0</v>
      </c>
      <c r="BZ88" s="172">
        <v>0</v>
      </c>
      <c r="CA88" s="172">
        <v>0</v>
      </c>
      <c r="CB88" s="172">
        <v>0</v>
      </c>
      <c r="CC88" s="172">
        <v>0</v>
      </c>
      <c r="CD88" s="175">
        <v>0</v>
      </c>
      <c r="CE88" s="70">
        <f>12%+(char2Refine-1)*3%</f>
        <v>0.24</v>
      </c>
      <c r="CF88" s="174">
        <v>0</v>
      </c>
      <c r="CG88" s="174">
        <v>0</v>
      </c>
      <c r="CH88" s="174">
        <v>0</v>
      </c>
      <c r="CI88" s="174">
        <v>0</v>
      </c>
      <c r="CJ88" s="175">
        <v>0</v>
      </c>
      <c r="CK88" s="174">
        <v>0</v>
      </c>
      <c r="CL88" s="175">
        <v>0</v>
      </c>
      <c r="CM88" s="175">
        <v>0</v>
      </c>
      <c r="CN88" s="175">
        <v>0</v>
      </c>
      <c r="CO88" s="174">
        <v>0</v>
      </c>
      <c r="CP88" s="174">
        <v>0</v>
      </c>
      <c r="CQ88" s="174">
        <v>0</v>
      </c>
      <c r="CR88" s="174">
        <f>(24+(char2Refine-1)*6)%</f>
        <v>0.48</v>
      </c>
      <c r="CS88" s="175">
        <v>0</v>
      </c>
      <c r="CT88" s="174">
        <f>IF(char2WeapToggle, 20+(char2Refine-1)*5, 0)%</f>
        <v>0</v>
      </c>
      <c r="CU88" s="174">
        <v>0</v>
      </c>
      <c r="CV88" s="174">
        <v>0</v>
      </c>
    </row>
    <row r="89" spans="1:100" x14ac:dyDescent="0.25">
      <c r="A89" s="44" t="s">
        <v>81</v>
      </c>
      <c r="B89" s="166">
        <v>0</v>
      </c>
      <c r="C89" s="167">
        <v>0</v>
      </c>
      <c r="D89" s="167">
        <v>0</v>
      </c>
      <c r="E89" s="168">
        <v>0</v>
      </c>
      <c r="F89" s="167">
        <v>0</v>
      </c>
      <c r="G89" s="168">
        <v>0</v>
      </c>
      <c r="H89" s="168">
        <v>0</v>
      </c>
      <c r="I89" s="168">
        <v>0</v>
      </c>
      <c r="J89" s="168">
        <v>0</v>
      </c>
      <c r="K89" s="168">
        <v>0</v>
      </c>
      <c r="L89" s="168">
        <v>0</v>
      </c>
      <c r="M89" s="168">
        <v>0</v>
      </c>
      <c r="N89" s="168">
        <v>0</v>
      </c>
      <c r="O89" s="168">
        <v>0</v>
      </c>
      <c r="P89" s="167">
        <f>(12+(char2Refine-1)*3)%</f>
        <v>0.24</v>
      </c>
      <c r="Q89" s="167">
        <v>0</v>
      </c>
      <c r="R89" s="167">
        <v>0</v>
      </c>
      <c r="S89" s="168">
        <f>MIN((40+(char2Refine-1)*10)%, char2WeapStacks*(0.12%+(char2Refine-1)*0.03%))</f>
        <v>0</v>
      </c>
      <c r="T89" s="168">
        <v>0</v>
      </c>
      <c r="U89" s="169">
        <v>0</v>
      </c>
      <c r="V89" s="169">
        <v>0</v>
      </c>
      <c r="W89" s="169">
        <v>0</v>
      </c>
      <c r="X89" s="169">
        <v>0</v>
      </c>
      <c r="Y89" s="169">
        <v>0</v>
      </c>
      <c r="Z89" s="65">
        <v>0</v>
      </c>
      <c r="AA89" s="169">
        <f>(16+(char2Refine-1)*4)%</f>
        <v>0.32</v>
      </c>
      <c r="AB89" s="169">
        <v>0</v>
      </c>
      <c r="AC89" s="169">
        <v>0</v>
      </c>
      <c r="AD89" s="169">
        <v>0</v>
      </c>
      <c r="AE89" s="169">
        <v>0</v>
      </c>
      <c r="AF89" s="169">
        <v>0</v>
      </c>
      <c r="AG89" s="169">
        <v>0</v>
      </c>
      <c r="AH89" s="65">
        <f>MIN((40+(char2Refine-1)*10)%, (0.12+(char2Refine-1)*0.03)*char2WeapStacks%)</f>
        <v>0</v>
      </c>
      <c r="AI89" s="169">
        <v>0</v>
      </c>
      <c r="AJ89" s="169">
        <v>0</v>
      </c>
      <c r="AK89" s="169">
        <v>0</v>
      </c>
      <c r="AL89" s="169">
        <v>0</v>
      </c>
      <c r="AM89" s="169">
        <v>0</v>
      </c>
      <c r="AN89" s="170">
        <v>0</v>
      </c>
      <c r="AO89" s="170">
        <v>0</v>
      </c>
      <c r="AP89" s="170">
        <v>0</v>
      </c>
      <c r="AQ89" s="170">
        <v>0</v>
      </c>
      <c r="AR89" s="170">
        <v>0</v>
      </c>
      <c r="AS89" s="170">
        <v>0</v>
      </c>
      <c r="AT89" s="170">
        <v>0</v>
      </c>
      <c r="AU89" s="170">
        <v>0</v>
      </c>
      <c r="AV89" s="170">
        <v>0</v>
      </c>
      <c r="AW89" s="170">
        <v>0</v>
      </c>
      <c r="AX89" s="170">
        <v>0</v>
      </c>
      <c r="AY89" s="170">
        <v>0</v>
      </c>
      <c r="AZ89" s="170">
        <v>0</v>
      </c>
      <c r="BA89" s="170">
        <v>0</v>
      </c>
      <c r="BB89" s="170">
        <v>0</v>
      </c>
      <c r="BC89" s="170">
        <v>0</v>
      </c>
      <c r="BD89" s="170">
        <v>0</v>
      </c>
      <c r="BE89" s="170">
        <v>0</v>
      </c>
      <c r="BF89" s="170">
        <v>0</v>
      </c>
      <c r="BG89" s="170">
        <v>0</v>
      </c>
      <c r="BH89" s="170">
        <v>0</v>
      </c>
      <c r="BI89" s="170">
        <v>0</v>
      </c>
      <c r="BJ89" s="172">
        <v>0</v>
      </c>
      <c r="BK89" s="67">
        <v>0</v>
      </c>
      <c r="BL89" s="172">
        <v>0</v>
      </c>
      <c r="BM89" s="172">
        <v>0</v>
      </c>
      <c r="BN89" s="172">
        <v>0</v>
      </c>
      <c r="BO89" s="172">
        <v>0</v>
      </c>
      <c r="BP89" s="172">
        <v>0</v>
      </c>
      <c r="BQ89" s="172">
        <v>0</v>
      </c>
      <c r="BR89" s="172">
        <v>0</v>
      </c>
      <c r="BS89" s="172">
        <f>IF(char2WeapToggle, 20+(char2Refine-1)*5,0)%</f>
        <v>0</v>
      </c>
      <c r="BT89" s="172">
        <v>0</v>
      </c>
      <c r="BU89" s="172">
        <v>0</v>
      </c>
      <c r="BV89" s="172">
        <v>0</v>
      </c>
      <c r="BW89" s="172">
        <v>0</v>
      </c>
      <c r="BX89" s="172">
        <v>0</v>
      </c>
      <c r="BY89" s="172">
        <v>0</v>
      </c>
      <c r="BZ89" s="172">
        <v>0</v>
      </c>
      <c r="CA89" s="172">
        <v>0</v>
      </c>
      <c r="CB89" s="172">
        <v>0</v>
      </c>
      <c r="CC89" s="172">
        <v>0</v>
      </c>
      <c r="CD89" s="175">
        <v>0</v>
      </c>
      <c r="CE89" s="70">
        <f>12%+(char2Refine-1)*3%</f>
        <v>0.24</v>
      </c>
      <c r="CF89" s="174">
        <v>0</v>
      </c>
      <c r="CG89" s="174">
        <v>0</v>
      </c>
      <c r="CH89" s="174">
        <v>0</v>
      </c>
      <c r="CI89" s="174">
        <v>0</v>
      </c>
      <c r="CJ89" s="175">
        <v>0</v>
      </c>
      <c r="CK89" s="174">
        <v>0</v>
      </c>
      <c r="CL89" s="175">
        <v>0</v>
      </c>
      <c r="CM89" s="175">
        <v>0</v>
      </c>
      <c r="CN89" s="175">
        <v>0</v>
      </c>
      <c r="CO89" s="174">
        <v>0</v>
      </c>
      <c r="CP89" s="174">
        <v>0</v>
      </c>
      <c r="CQ89" s="174">
        <v>0</v>
      </c>
      <c r="CR89" s="174">
        <f>(24+(char2Refine-1)*6)%</f>
        <v>0.48</v>
      </c>
      <c r="CS89" s="175">
        <v>0</v>
      </c>
      <c r="CT89" s="174">
        <v>0</v>
      </c>
      <c r="CU89" s="174">
        <v>0</v>
      </c>
      <c r="CV89" s="174">
        <v>0</v>
      </c>
    </row>
    <row r="90" spans="1:100" x14ac:dyDescent="0.25">
      <c r="A90" t="s">
        <v>82</v>
      </c>
      <c r="B90" s="166">
        <f>(8+(char2Refine-1)*2)%</f>
        <v>0.16</v>
      </c>
      <c r="C90" s="167">
        <v>0</v>
      </c>
      <c r="D90" s="167">
        <v>0</v>
      </c>
      <c r="E90" s="168">
        <v>0</v>
      </c>
      <c r="F90" s="167">
        <v>0</v>
      </c>
      <c r="G90" s="168">
        <f>char2WeapStacks*(6+(char2Refine-1))%</f>
        <v>0</v>
      </c>
      <c r="H90" s="168">
        <f>IF(char2WeapToggle, 12+(char2Refine-1)*3)%</f>
        <v>0</v>
      </c>
      <c r="I90" s="168">
        <v>0</v>
      </c>
      <c r="J90" s="168">
        <v>0</v>
      </c>
      <c r="K90" s="168">
        <v>0</v>
      </c>
      <c r="L90" s="168">
        <v>0</v>
      </c>
      <c r="M90" s="168">
        <f>IF(char2WeapToggle, 20+(char2Refine-1)*4, 0)%</f>
        <v>0</v>
      </c>
      <c r="N90" s="168">
        <v>0</v>
      </c>
      <c r="O90" s="168">
        <v>0</v>
      </c>
      <c r="P90" s="167">
        <v>0</v>
      </c>
      <c r="Q90" s="167">
        <v>0</v>
      </c>
      <c r="R90" s="167">
        <v>0</v>
      </c>
      <c r="S90" s="168">
        <v>0</v>
      </c>
      <c r="T90" s="168">
        <v>0</v>
      </c>
      <c r="U90" s="169">
        <v>0</v>
      </c>
      <c r="V90" s="169">
        <v>0</v>
      </c>
      <c r="W90" s="169">
        <f>IF(char2WeapStacks&gt;=7,(12+(char2Refine-1)*3),0)%</f>
        <v>0</v>
      </c>
      <c r="X90" s="169">
        <v>0</v>
      </c>
      <c r="Y90" s="169">
        <v>0</v>
      </c>
      <c r="Z90" s="65">
        <v>0</v>
      </c>
      <c r="AA90" s="169">
        <v>0</v>
      </c>
      <c r="AB90" s="169">
        <v>0</v>
      </c>
      <c r="AC90" s="169">
        <v>0</v>
      </c>
      <c r="AD90" s="169">
        <v>0</v>
      </c>
      <c r="AE90" s="169">
        <v>0</v>
      </c>
      <c r="AF90" s="169">
        <v>0</v>
      </c>
      <c r="AG90" s="169">
        <f>IF(char2WeapToggle,(20+(char2Refine-1)*4),0)%</f>
        <v>0</v>
      </c>
      <c r="AH90" s="65">
        <v>0</v>
      </c>
      <c r="AI90" s="169">
        <v>0</v>
      </c>
      <c r="AJ90" s="169">
        <v>0</v>
      </c>
      <c r="AK90" s="169">
        <v>0</v>
      </c>
      <c r="AL90" s="169">
        <v>0</v>
      </c>
      <c r="AM90" s="169">
        <f>IF(char2WeapToggle,(40+(char2Refine-1)*10),0)%</f>
        <v>0</v>
      </c>
      <c r="AN90" s="170">
        <v>0</v>
      </c>
      <c r="AO90" s="170">
        <f>(10+(char2Refine-1)*2.5)%</f>
        <v>0.2</v>
      </c>
      <c r="AP90" s="170">
        <v>0</v>
      </c>
      <c r="AQ90" s="170">
        <v>0</v>
      </c>
      <c r="AR90" s="170">
        <v>0</v>
      </c>
      <c r="AS90" s="170">
        <v>0</v>
      </c>
      <c r="AT90" s="170">
        <v>0</v>
      </c>
      <c r="AU90" s="170">
        <v>0</v>
      </c>
      <c r="AV90" s="170">
        <v>0</v>
      </c>
      <c r="AW90" s="170">
        <f>IF(char2WeapToggle,(12+(char2Refine-1)*3),0)%</f>
        <v>0</v>
      </c>
      <c r="AX90" s="170">
        <v>0</v>
      </c>
      <c r="AY90" s="170">
        <v>0</v>
      </c>
      <c r="AZ90" s="170">
        <v>0</v>
      </c>
      <c r="BA90" s="170">
        <f>IF(char2WeapToggle,(20+(char2Refine-1)*4),0)%</f>
        <v>0</v>
      </c>
      <c r="BB90" s="170">
        <f>(char2WeapStacks*(6+(char2Refine-1)*1.5))%</f>
        <v>0</v>
      </c>
      <c r="BC90" s="170">
        <v>0</v>
      </c>
      <c r="BD90" s="170">
        <v>0</v>
      </c>
      <c r="BE90" s="170">
        <v>0</v>
      </c>
      <c r="BF90" s="170">
        <v>0</v>
      </c>
      <c r="BG90" s="170">
        <v>0</v>
      </c>
      <c r="BH90" s="170">
        <v>0</v>
      </c>
      <c r="BI90" s="170">
        <v>0</v>
      </c>
      <c r="BJ90" s="172">
        <v>0</v>
      </c>
      <c r="BK90" s="67">
        <f>IF(char2WeapStacks=3, (3)*(12%+(char2Refine-1)*3%)+(12%+(char2Refine-1)*3%),(char2WeapStacks)*(12%+(char2Refine-1)*3%))</f>
        <v>0</v>
      </c>
      <c r="BL90" s="172">
        <v>0</v>
      </c>
      <c r="BM90" s="172">
        <v>0</v>
      </c>
      <c r="BN90" s="172">
        <v>0</v>
      </c>
      <c r="BO90" s="172">
        <v>0</v>
      </c>
      <c r="BP90" s="172">
        <v>0</v>
      </c>
      <c r="BQ90" s="172">
        <v>0</v>
      </c>
      <c r="BR90" s="172">
        <v>0</v>
      </c>
      <c r="BS90" s="172">
        <v>0</v>
      </c>
      <c r="BT90" s="172">
        <v>0</v>
      </c>
      <c r="BU90" s="172">
        <v>0</v>
      </c>
      <c r="BV90" s="172">
        <v>0</v>
      </c>
      <c r="BW90" s="172">
        <v>0</v>
      </c>
      <c r="BX90" s="172">
        <v>0</v>
      </c>
      <c r="BY90" s="172">
        <v>0</v>
      </c>
      <c r="BZ90" s="172">
        <f>IF(char2WeapToggle, 12+(char2Refine-1)*3, 0)%</f>
        <v>0</v>
      </c>
      <c r="CA90" s="172">
        <v>0</v>
      </c>
      <c r="CB90" s="172">
        <f>IF(char2WeapToggle, 10+(char2Refine-1)*2.5,0)%</f>
        <v>0</v>
      </c>
      <c r="CC90" s="172">
        <v>0</v>
      </c>
      <c r="CD90" s="175">
        <v>0</v>
      </c>
      <c r="CE90" s="70">
        <v>0</v>
      </c>
      <c r="CF90" s="174">
        <v>0</v>
      </c>
      <c r="CG90" s="174">
        <v>0</v>
      </c>
      <c r="CH90" s="174">
        <v>0</v>
      </c>
      <c r="CI90" s="174">
        <v>0</v>
      </c>
      <c r="CJ90" s="175">
        <v>0</v>
      </c>
      <c r="CK90" s="174">
        <v>0</v>
      </c>
      <c r="CL90" s="175">
        <v>0</v>
      </c>
      <c r="CM90" s="175">
        <v>0</v>
      </c>
      <c r="CN90" s="175">
        <v>0</v>
      </c>
      <c r="CO90" s="174">
        <f>IF(char2WeapToggle, 20%+(char2Refine-1)*4%, 0%)</f>
        <v>0</v>
      </c>
      <c r="CP90" s="174">
        <v>0</v>
      </c>
      <c r="CQ90" s="174">
        <v>0</v>
      </c>
      <c r="CR90" s="174">
        <v>0</v>
      </c>
      <c r="CS90" s="175">
        <v>0</v>
      </c>
      <c r="CT90" s="174">
        <v>0</v>
      </c>
      <c r="CU90" s="174">
        <v>0</v>
      </c>
      <c r="CV90" s="174">
        <v>0</v>
      </c>
    </row>
    <row r="91" spans="1:100" x14ac:dyDescent="0.25">
      <c r="A91" t="s">
        <v>453</v>
      </c>
      <c r="B91" s="166">
        <v>0</v>
      </c>
      <c r="C91" s="168">
        <f>(20+(char2Refine-1)*5)%</f>
        <v>0.4</v>
      </c>
      <c r="D91" s="167">
        <v>0</v>
      </c>
      <c r="E91" s="168">
        <v>0</v>
      </c>
      <c r="F91" s="167">
        <v>0</v>
      </c>
      <c r="G91" s="168">
        <v>0</v>
      </c>
      <c r="H91" s="168">
        <v>0</v>
      </c>
      <c r="I91" s="168">
        <v>0</v>
      </c>
      <c r="J91" s="168">
        <v>0</v>
      </c>
      <c r="K91" s="168">
        <v>0</v>
      </c>
      <c r="L91" s="168">
        <v>0</v>
      </c>
      <c r="M91" s="168">
        <v>0</v>
      </c>
      <c r="N91" s="168">
        <v>0</v>
      </c>
      <c r="O91" s="168">
        <v>0</v>
      </c>
      <c r="P91" s="167">
        <v>0</v>
      </c>
      <c r="Q91" s="167">
        <v>0</v>
      </c>
      <c r="R91" s="167">
        <v>0</v>
      </c>
      <c r="S91" s="168">
        <v>0</v>
      </c>
      <c r="T91" s="168">
        <v>0</v>
      </c>
      <c r="U91" s="169">
        <v>0</v>
      </c>
      <c r="V91" s="169">
        <v>0</v>
      </c>
      <c r="W91" s="169">
        <v>0</v>
      </c>
      <c r="X91" s="169">
        <f>(20+5*(char2Refine-1))%</f>
        <v>0.4</v>
      </c>
      <c r="Y91" s="169">
        <v>0</v>
      </c>
      <c r="Z91" s="65">
        <v>0</v>
      </c>
      <c r="AA91" s="169">
        <v>0</v>
      </c>
      <c r="AB91" s="169">
        <v>0</v>
      </c>
      <c r="AC91" s="169">
        <v>0</v>
      </c>
      <c r="AD91" s="169">
        <v>0</v>
      </c>
      <c r="AE91" s="169">
        <v>0</v>
      </c>
      <c r="AF91" s="169">
        <v>0</v>
      </c>
      <c r="AG91" s="169">
        <v>0</v>
      </c>
      <c r="AH91" s="65">
        <v>0</v>
      </c>
      <c r="AI91" s="169">
        <v>0</v>
      </c>
      <c r="AJ91" s="169">
        <v>0</v>
      </c>
      <c r="AK91" s="169">
        <v>0</v>
      </c>
      <c r="AL91" s="169">
        <v>0</v>
      </c>
      <c r="AM91" s="169">
        <v>0</v>
      </c>
      <c r="AN91" s="170">
        <v>0</v>
      </c>
      <c r="AO91" s="170">
        <v>0</v>
      </c>
      <c r="AP91" s="170">
        <v>0</v>
      </c>
      <c r="AQ91" s="170">
        <f>(20+5*(char2Refine-1))%</f>
        <v>0.4</v>
      </c>
      <c r="AR91" s="170">
        <v>0</v>
      </c>
      <c r="AS91" s="170">
        <v>0</v>
      </c>
      <c r="AT91" s="170">
        <v>0</v>
      </c>
      <c r="AU91" s="170">
        <v>0</v>
      </c>
      <c r="AV91" s="170">
        <v>0</v>
      </c>
      <c r="AW91" s="170">
        <v>0</v>
      </c>
      <c r="AX91" s="170">
        <v>0</v>
      </c>
      <c r="AY91" s="170">
        <v>0</v>
      </c>
      <c r="AZ91" s="170">
        <v>0</v>
      </c>
      <c r="BA91" s="170">
        <v>0</v>
      </c>
      <c r="BB91" s="170">
        <v>0</v>
      </c>
      <c r="BC91" s="170">
        <v>0</v>
      </c>
      <c r="BD91" s="170">
        <v>0</v>
      </c>
      <c r="BE91" s="170">
        <v>0</v>
      </c>
      <c r="BF91" s="170">
        <v>0</v>
      </c>
      <c r="BG91" s="170">
        <v>0</v>
      </c>
      <c r="BH91" s="170">
        <v>0</v>
      </c>
      <c r="BI91" s="170">
        <v>0</v>
      </c>
      <c r="BJ91" s="172">
        <f>(20+5*(char2Refine-1))%</f>
        <v>0.4</v>
      </c>
      <c r="BK91" s="67">
        <v>0</v>
      </c>
      <c r="BL91" s="172">
        <v>0</v>
      </c>
      <c r="BM91" s="172">
        <v>0</v>
      </c>
      <c r="BN91" s="172">
        <v>0</v>
      </c>
      <c r="BO91" s="172">
        <v>0</v>
      </c>
      <c r="BP91" s="172">
        <v>0</v>
      </c>
      <c r="BQ91" s="172">
        <v>0</v>
      </c>
      <c r="BR91" s="172">
        <v>0</v>
      </c>
      <c r="BS91" s="172">
        <v>0</v>
      </c>
      <c r="BT91" s="172">
        <v>0</v>
      </c>
      <c r="BU91" s="172">
        <v>0</v>
      </c>
      <c r="BV91" s="172">
        <v>0</v>
      </c>
      <c r="BW91" s="172">
        <v>0</v>
      </c>
      <c r="BX91" s="172">
        <v>0</v>
      </c>
      <c r="BY91" s="172">
        <v>0</v>
      </c>
      <c r="BZ91" s="172">
        <v>0</v>
      </c>
      <c r="CA91" s="172">
        <v>0</v>
      </c>
      <c r="CB91" s="172">
        <v>0</v>
      </c>
      <c r="CC91" s="172">
        <v>0</v>
      </c>
      <c r="CD91" s="175">
        <v>0</v>
      </c>
      <c r="CE91" s="70">
        <v>0</v>
      </c>
      <c r="CF91" s="174">
        <v>0</v>
      </c>
      <c r="CG91" s="174">
        <v>0</v>
      </c>
      <c r="CH91" s="174">
        <v>0</v>
      </c>
      <c r="CI91" s="174">
        <v>0</v>
      </c>
      <c r="CJ91" s="175">
        <v>0</v>
      </c>
      <c r="CK91" s="174">
        <v>0</v>
      </c>
      <c r="CL91" s="175">
        <v>0</v>
      </c>
      <c r="CM91" s="175">
        <v>0</v>
      </c>
      <c r="CN91" s="175">
        <v>0</v>
      </c>
      <c r="CO91" s="174">
        <v>0</v>
      </c>
      <c r="CP91" s="174">
        <v>0</v>
      </c>
      <c r="CQ91" s="174">
        <v>0</v>
      </c>
      <c r="CR91" s="174">
        <v>0</v>
      </c>
      <c r="CS91" s="175">
        <v>0</v>
      </c>
      <c r="CT91" s="174">
        <v>0</v>
      </c>
      <c r="CU91" s="174">
        <v>0</v>
      </c>
      <c r="CV91" s="174">
        <v>0</v>
      </c>
    </row>
    <row r="92" spans="1:100" x14ac:dyDescent="0.25">
      <c r="A92" t="s">
        <v>83</v>
      </c>
      <c r="B92" s="166">
        <v>0</v>
      </c>
      <c r="C92" s="168">
        <v>0</v>
      </c>
      <c r="D92" s="167">
        <v>0</v>
      </c>
      <c r="E92" s="168">
        <v>0</v>
      </c>
      <c r="F92" s="167">
        <v>0</v>
      </c>
      <c r="G92" s="168">
        <v>0</v>
      </c>
      <c r="H92" s="168">
        <v>0</v>
      </c>
      <c r="I92" s="168">
        <v>0</v>
      </c>
      <c r="J92" s="168">
        <v>0</v>
      </c>
      <c r="K92" s="168">
        <v>0</v>
      </c>
      <c r="L92" s="168">
        <v>0</v>
      </c>
      <c r="M92" s="168">
        <v>0</v>
      </c>
      <c r="N92" s="168">
        <v>0</v>
      </c>
      <c r="O92" s="168">
        <v>0</v>
      </c>
      <c r="P92" s="167">
        <v>0</v>
      </c>
      <c r="Q92" s="167">
        <v>0</v>
      </c>
      <c r="R92" s="167">
        <v>0</v>
      </c>
      <c r="S92" s="168">
        <v>0</v>
      </c>
      <c r="T92" s="168">
        <v>0</v>
      </c>
      <c r="U92" s="169">
        <v>0</v>
      </c>
      <c r="V92" s="169">
        <v>0</v>
      </c>
      <c r="W92" s="169">
        <v>0</v>
      </c>
      <c r="X92" s="169">
        <v>0</v>
      </c>
      <c r="Y92" s="169">
        <v>0</v>
      </c>
      <c r="Z92" s="65">
        <v>0</v>
      </c>
      <c r="AA92" s="169">
        <v>0</v>
      </c>
      <c r="AB92" s="169">
        <v>0</v>
      </c>
      <c r="AC92" s="169">
        <v>0</v>
      </c>
      <c r="AD92" s="169">
        <v>0</v>
      </c>
      <c r="AE92" s="169">
        <v>0</v>
      </c>
      <c r="AF92" s="169">
        <v>0</v>
      </c>
      <c r="AG92" s="169">
        <v>0</v>
      </c>
      <c r="AH92" s="65">
        <v>0</v>
      </c>
      <c r="AI92" s="169">
        <v>0</v>
      </c>
      <c r="AJ92" s="169">
        <v>0</v>
      </c>
      <c r="AK92" s="169">
        <v>0</v>
      </c>
      <c r="AL92" s="169">
        <v>0</v>
      </c>
      <c r="AM92" s="169">
        <v>0</v>
      </c>
      <c r="AN92" s="170">
        <v>0</v>
      </c>
      <c r="AO92" s="170">
        <v>0</v>
      </c>
      <c r="AP92" s="170">
        <v>0</v>
      </c>
      <c r="AQ92" s="170">
        <v>0</v>
      </c>
      <c r="AR92" s="170">
        <v>0</v>
      </c>
      <c r="AS92" s="170">
        <v>0</v>
      </c>
      <c r="AT92" s="170">
        <v>0</v>
      </c>
      <c r="AU92" s="170">
        <v>0</v>
      </c>
      <c r="AV92" s="170">
        <v>0</v>
      </c>
      <c r="AW92" s="170">
        <v>0</v>
      </c>
      <c r="AX92" s="170">
        <v>0</v>
      </c>
      <c r="AY92" s="170">
        <v>0</v>
      </c>
      <c r="AZ92" s="170">
        <v>0</v>
      </c>
      <c r="BA92" s="170">
        <v>0</v>
      </c>
      <c r="BB92" s="170">
        <v>0</v>
      </c>
      <c r="BC92" s="170">
        <v>0</v>
      </c>
      <c r="BD92" s="170">
        <v>0</v>
      </c>
      <c r="BE92" s="170">
        <v>0</v>
      </c>
      <c r="BF92" s="170">
        <v>0</v>
      </c>
      <c r="BG92" s="170">
        <v>0</v>
      </c>
      <c r="BH92" s="170">
        <v>0</v>
      </c>
      <c r="BI92" s="170">
        <v>0</v>
      </c>
      <c r="BJ92" s="172">
        <v>0</v>
      </c>
      <c r="BK92" s="67">
        <v>0</v>
      </c>
      <c r="BL92" s="172">
        <v>0</v>
      </c>
      <c r="BM92" s="172">
        <v>0</v>
      </c>
      <c r="BN92" s="172">
        <v>0</v>
      </c>
      <c r="BO92" s="172">
        <v>0</v>
      </c>
      <c r="BP92" s="172">
        <v>0</v>
      </c>
      <c r="BQ92" s="172">
        <v>0</v>
      </c>
      <c r="BR92" s="172">
        <v>0</v>
      </c>
      <c r="BS92" s="172">
        <v>0</v>
      </c>
      <c r="BT92" s="172">
        <v>0</v>
      </c>
      <c r="BU92" s="172">
        <v>0</v>
      </c>
      <c r="BV92" s="172">
        <v>0</v>
      </c>
      <c r="BW92" s="172">
        <v>0</v>
      </c>
      <c r="BX92" s="172">
        <v>0</v>
      </c>
      <c r="BY92" s="172">
        <v>0</v>
      </c>
      <c r="BZ92" s="172">
        <v>0</v>
      </c>
      <c r="CA92" s="172">
        <v>0</v>
      </c>
      <c r="CB92" s="172">
        <v>0</v>
      </c>
      <c r="CC92" s="172">
        <v>0</v>
      </c>
      <c r="CD92" s="175">
        <v>0</v>
      </c>
      <c r="CE92" s="70">
        <v>0</v>
      </c>
      <c r="CF92" s="174">
        <v>0</v>
      </c>
      <c r="CG92" s="174">
        <v>0</v>
      </c>
      <c r="CH92" s="174">
        <v>0</v>
      </c>
      <c r="CI92" s="174">
        <v>0</v>
      </c>
      <c r="CJ92" s="175">
        <v>0</v>
      </c>
      <c r="CK92" s="174">
        <v>0</v>
      </c>
      <c r="CL92" s="175">
        <v>0</v>
      </c>
      <c r="CM92" s="175">
        <v>0</v>
      </c>
      <c r="CN92" s="175">
        <v>0</v>
      </c>
      <c r="CO92" s="174">
        <v>0</v>
      </c>
      <c r="CP92" s="174">
        <v>0</v>
      </c>
      <c r="CQ92" s="174">
        <v>0</v>
      </c>
      <c r="CR92" s="174">
        <v>0</v>
      </c>
      <c r="CS92" s="175">
        <v>0</v>
      </c>
      <c r="CT92" s="174">
        <v>0</v>
      </c>
      <c r="CU92" s="174">
        <v>0</v>
      </c>
      <c r="CV92" s="174">
        <v>0</v>
      </c>
    </row>
    <row r="93" spans="1:100" x14ac:dyDescent="0.25">
      <c r="A93" t="s">
        <v>84</v>
      </c>
      <c r="B93" s="166">
        <v>0</v>
      </c>
      <c r="C93" s="168">
        <v>0</v>
      </c>
      <c r="D93" s="167">
        <v>0</v>
      </c>
      <c r="E93" s="168">
        <v>0</v>
      </c>
      <c r="F93" s="167">
        <v>0</v>
      </c>
      <c r="G93" s="168">
        <v>0</v>
      </c>
      <c r="H93" s="168">
        <v>0</v>
      </c>
      <c r="I93" s="168">
        <v>0</v>
      </c>
      <c r="J93" s="168">
        <v>0</v>
      </c>
      <c r="K93" s="168">
        <v>0</v>
      </c>
      <c r="L93" s="168">
        <v>0</v>
      </c>
      <c r="M93" s="168">
        <v>0</v>
      </c>
      <c r="N93" s="168">
        <v>0</v>
      </c>
      <c r="O93" s="168">
        <v>0</v>
      </c>
      <c r="P93" s="167">
        <v>0</v>
      </c>
      <c r="Q93" s="167">
        <v>0</v>
      </c>
      <c r="R93" s="167">
        <v>0</v>
      </c>
      <c r="S93" s="168">
        <v>0</v>
      </c>
      <c r="T93" s="168">
        <v>0</v>
      </c>
      <c r="U93" s="169">
        <v>0</v>
      </c>
      <c r="V93" s="169">
        <v>0</v>
      </c>
      <c r="W93" s="169">
        <v>0</v>
      </c>
      <c r="X93" s="169">
        <v>0</v>
      </c>
      <c r="Y93" s="169">
        <v>0</v>
      </c>
      <c r="Z93" s="65">
        <v>0</v>
      </c>
      <c r="AA93" s="169">
        <v>0</v>
      </c>
      <c r="AB93" s="169">
        <v>0</v>
      </c>
      <c r="AC93" s="169">
        <v>0</v>
      </c>
      <c r="AD93" s="169">
        <v>0</v>
      </c>
      <c r="AE93" s="169">
        <v>0</v>
      </c>
      <c r="AF93" s="169">
        <v>0</v>
      </c>
      <c r="AG93" s="169">
        <v>0</v>
      </c>
      <c r="AH93" s="65">
        <v>0</v>
      </c>
      <c r="AI93" s="169">
        <v>0</v>
      </c>
      <c r="AJ93" s="169">
        <v>0</v>
      </c>
      <c r="AK93" s="169">
        <v>0</v>
      </c>
      <c r="AL93" s="169">
        <v>0</v>
      </c>
      <c r="AM93" s="169">
        <v>0</v>
      </c>
      <c r="AN93" s="170">
        <v>0</v>
      </c>
      <c r="AO93" s="170">
        <v>0</v>
      </c>
      <c r="AP93" s="170">
        <v>0</v>
      </c>
      <c r="AQ93" s="170">
        <v>0</v>
      </c>
      <c r="AR93" s="170">
        <v>0</v>
      </c>
      <c r="AS93" s="170">
        <v>0</v>
      </c>
      <c r="AT93" s="170">
        <v>0</v>
      </c>
      <c r="AU93" s="170">
        <v>0</v>
      </c>
      <c r="AV93" s="170">
        <v>0</v>
      </c>
      <c r="AW93" s="170">
        <v>0</v>
      </c>
      <c r="AX93" s="170">
        <v>0</v>
      </c>
      <c r="AY93" s="170">
        <v>0</v>
      </c>
      <c r="AZ93" s="170">
        <v>0</v>
      </c>
      <c r="BA93" s="170">
        <v>0</v>
      </c>
      <c r="BB93" s="170">
        <v>0</v>
      </c>
      <c r="BC93" s="170">
        <v>0</v>
      </c>
      <c r="BD93" s="170">
        <v>0</v>
      </c>
      <c r="BE93" s="170">
        <v>0</v>
      </c>
      <c r="BF93" s="170">
        <v>0</v>
      </c>
      <c r="BG93" s="170">
        <v>0</v>
      </c>
      <c r="BH93" s="170">
        <v>0</v>
      </c>
      <c r="BI93" s="170">
        <v>0</v>
      </c>
      <c r="BJ93" s="172">
        <v>0</v>
      </c>
      <c r="BK93" s="67">
        <v>0</v>
      </c>
      <c r="BL93" s="172">
        <v>0</v>
      </c>
      <c r="BM93" s="172">
        <v>0</v>
      </c>
      <c r="BN93" s="172">
        <v>0</v>
      </c>
      <c r="BO93" s="172">
        <v>0</v>
      </c>
      <c r="BP93" s="172">
        <v>0</v>
      </c>
      <c r="BQ93" s="172">
        <v>0</v>
      </c>
      <c r="BR93" s="172">
        <v>0</v>
      </c>
      <c r="BS93" s="172">
        <v>0</v>
      </c>
      <c r="BT93" s="172">
        <v>0</v>
      </c>
      <c r="BU93" s="172">
        <v>0</v>
      </c>
      <c r="BV93" s="172">
        <v>0</v>
      </c>
      <c r="BW93" s="172">
        <v>0</v>
      </c>
      <c r="BX93" s="172">
        <v>0</v>
      </c>
      <c r="BY93" s="172">
        <v>0</v>
      </c>
      <c r="BZ93" s="172">
        <v>0</v>
      </c>
      <c r="CA93" s="172">
        <v>0</v>
      </c>
      <c r="CB93" s="172">
        <v>0</v>
      </c>
      <c r="CC93" s="172">
        <v>0</v>
      </c>
      <c r="CD93" s="175">
        <v>0</v>
      </c>
      <c r="CE93" s="70">
        <v>0</v>
      </c>
      <c r="CF93" s="174">
        <v>0</v>
      </c>
      <c r="CG93" s="174">
        <v>0</v>
      </c>
      <c r="CH93" s="174">
        <v>0</v>
      </c>
      <c r="CI93" s="174">
        <v>0</v>
      </c>
      <c r="CJ93" s="175">
        <v>0</v>
      </c>
      <c r="CK93" s="174">
        <v>0</v>
      </c>
      <c r="CL93" s="175">
        <v>0</v>
      </c>
      <c r="CM93" s="175">
        <v>0</v>
      </c>
      <c r="CN93" s="175">
        <v>0</v>
      </c>
      <c r="CO93" s="174">
        <v>0</v>
      </c>
      <c r="CP93" s="174">
        <v>0</v>
      </c>
      <c r="CQ93" s="174">
        <v>0</v>
      </c>
      <c r="CR93" s="174">
        <v>0</v>
      </c>
      <c r="CS93" s="175">
        <v>0</v>
      </c>
      <c r="CT93" s="174">
        <v>0</v>
      </c>
      <c r="CU93" s="174">
        <v>0</v>
      </c>
      <c r="CV93" s="174">
        <v>0</v>
      </c>
    </row>
    <row r="94" spans="1:100" x14ac:dyDescent="0.25">
      <c r="A94" t="s">
        <v>85</v>
      </c>
      <c r="B94" s="166">
        <v>0</v>
      </c>
      <c r="C94" s="168">
        <v>0</v>
      </c>
      <c r="D94" s="167">
        <v>0</v>
      </c>
      <c r="E94" s="168">
        <v>0</v>
      </c>
      <c r="F94" s="167">
        <v>0</v>
      </c>
      <c r="G94" s="168">
        <v>0</v>
      </c>
      <c r="H94" s="168">
        <v>0</v>
      </c>
      <c r="I94" s="168">
        <v>0</v>
      </c>
      <c r="J94" s="168">
        <v>0</v>
      </c>
      <c r="K94" s="168">
        <v>0</v>
      </c>
      <c r="L94" s="168">
        <v>0</v>
      </c>
      <c r="M94" s="168">
        <v>0</v>
      </c>
      <c r="N94" s="168">
        <v>0</v>
      </c>
      <c r="O94" s="168">
        <v>0</v>
      </c>
      <c r="P94" s="167">
        <v>0</v>
      </c>
      <c r="Q94" s="167">
        <v>0</v>
      </c>
      <c r="R94" s="167">
        <v>0</v>
      </c>
      <c r="S94" s="168">
        <v>0</v>
      </c>
      <c r="T94" s="168">
        <v>0</v>
      </c>
      <c r="U94" s="169">
        <v>0</v>
      </c>
      <c r="V94" s="169">
        <v>0</v>
      </c>
      <c r="W94" s="169">
        <v>0</v>
      </c>
      <c r="X94" s="169">
        <v>0</v>
      </c>
      <c r="Y94" s="169">
        <v>0</v>
      </c>
      <c r="Z94" s="65">
        <v>0</v>
      </c>
      <c r="AA94" s="169">
        <v>0</v>
      </c>
      <c r="AB94" s="169">
        <v>0</v>
      </c>
      <c r="AC94" s="169">
        <v>0</v>
      </c>
      <c r="AD94" s="169">
        <v>0</v>
      </c>
      <c r="AE94" s="169">
        <v>0</v>
      </c>
      <c r="AF94" s="169">
        <v>0</v>
      </c>
      <c r="AG94" s="169">
        <v>0</v>
      </c>
      <c r="AH94" s="65">
        <v>0</v>
      </c>
      <c r="AI94" s="169">
        <v>0</v>
      </c>
      <c r="AJ94" s="169">
        <v>0</v>
      </c>
      <c r="AK94" s="169">
        <v>0</v>
      </c>
      <c r="AL94" s="169">
        <v>0</v>
      </c>
      <c r="AM94" s="169">
        <v>0</v>
      </c>
      <c r="AN94" s="170">
        <v>0</v>
      </c>
      <c r="AO94" s="170">
        <v>0</v>
      </c>
      <c r="AP94" s="170">
        <v>0</v>
      </c>
      <c r="AQ94" s="170">
        <v>0</v>
      </c>
      <c r="AR94" s="170">
        <v>0</v>
      </c>
      <c r="AS94" s="170">
        <v>0</v>
      </c>
      <c r="AT94" s="170">
        <v>0</v>
      </c>
      <c r="AU94" s="170">
        <v>0</v>
      </c>
      <c r="AV94" s="170">
        <v>0</v>
      </c>
      <c r="AW94" s="170">
        <v>0</v>
      </c>
      <c r="AX94" s="170">
        <v>0</v>
      </c>
      <c r="AY94" s="170">
        <v>0</v>
      </c>
      <c r="AZ94" s="170">
        <v>0</v>
      </c>
      <c r="BA94" s="170">
        <v>0</v>
      </c>
      <c r="BB94" s="170">
        <v>0</v>
      </c>
      <c r="BC94" s="170">
        <v>0</v>
      </c>
      <c r="BD94" s="170">
        <v>0</v>
      </c>
      <c r="BE94" s="170">
        <v>0</v>
      </c>
      <c r="BF94" s="170">
        <v>0</v>
      </c>
      <c r="BG94" s="170">
        <v>0</v>
      </c>
      <c r="BH94" s="170">
        <v>0</v>
      </c>
      <c r="BI94" s="170">
        <v>0</v>
      </c>
      <c r="BJ94" s="172">
        <v>0</v>
      </c>
      <c r="BK94" s="67">
        <v>0</v>
      </c>
      <c r="BL94" s="172">
        <v>0</v>
      </c>
      <c r="BM94" s="172">
        <v>0</v>
      </c>
      <c r="BN94" s="172">
        <v>0</v>
      </c>
      <c r="BO94" s="172">
        <v>0</v>
      </c>
      <c r="BP94" s="172">
        <v>0</v>
      </c>
      <c r="BQ94" s="172">
        <v>0</v>
      </c>
      <c r="BR94" s="172">
        <v>0</v>
      </c>
      <c r="BS94" s="172">
        <v>0</v>
      </c>
      <c r="BT94" s="172">
        <v>0</v>
      </c>
      <c r="BU94" s="172">
        <v>0</v>
      </c>
      <c r="BV94" s="172">
        <v>0</v>
      </c>
      <c r="BW94" s="172">
        <v>0</v>
      </c>
      <c r="BX94" s="172">
        <v>0</v>
      </c>
      <c r="BY94" s="172">
        <v>0</v>
      </c>
      <c r="BZ94" s="172">
        <v>0</v>
      </c>
      <c r="CA94" s="172">
        <v>0</v>
      </c>
      <c r="CB94" s="172">
        <v>0</v>
      </c>
      <c r="CC94" s="172">
        <v>0</v>
      </c>
      <c r="CD94" s="175">
        <v>0</v>
      </c>
      <c r="CE94" s="70">
        <v>0</v>
      </c>
      <c r="CF94" s="174">
        <v>0</v>
      </c>
      <c r="CG94" s="174">
        <v>0</v>
      </c>
      <c r="CH94" s="174">
        <v>0</v>
      </c>
      <c r="CI94" s="174">
        <v>0</v>
      </c>
      <c r="CJ94" s="175">
        <v>0</v>
      </c>
      <c r="CK94" s="174">
        <v>0</v>
      </c>
      <c r="CL94" s="175">
        <v>0</v>
      </c>
      <c r="CM94" s="175">
        <v>0</v>
      </c>
      <c r="CN94" s="175">
        <v>0</v>
      </c>
      <c r="CO94" s="174">
        <v>0</v>
      </c>
      <c r="CP94" s="174">
        <v>0</v>
      </c>
      <c r="CQ94" s="174">
        <v>0</v>
      </c>
      <c r="CR94" s="174">
        <v>0</v>
      </c>
      <c r="CS94" s="175">
        <v>0</v>
      </c>
      <c r="CT94" s="174">
        <v>0</v>
      </c>
      <c r="CU94" s="174">
        <v>0</v>
      </c>
      <c r="CV94" s="174">
        <v>0</v>
      </c>
    </row>
    <row r="95" spans="1:100" x14ac:dyDescent="0.25">
      <c r="A95" t="s">
        <v>87</v>
      </c>
      <c r="B95" s="166">
        <v>0</v>
      </c>
      <c r="C95" s="168">
        <v>0</v>
      </c>
      <c r="D95" s="167">
        <v>0</v>
      </c>
      <c r="E95" s="168">
        <v>0</v>
      </c>
      <c r="F95" s="167">
        <v>0</v>
      </c>
      <c r="G95" s="168">
        <v>0</v>
      </c>
      <c r="H95" s="168">
        <v>0</v>
      </c>
      <c r="I95" s="168">
        <v>0</v>
      </c>
      <c r="J95" s="168">
        <v>0</v>
      </c>
      <c r="K95" s="168">
        <v>0</v>
      </c>
      <c r="L95" s="168">
        <v>0</v>
      </c>
      <c r="M95" s="168">
        <v>0</v>
      </c>
      <c r="N95" s="168">
        <v>0</v>
      </c>
      <c r="O95" s="168">
        <v>0</v>
      </c>
      <c r="P95" s="167">
        <v>0</v>
      </c>
      <c r="Q95" s="167">
        <v>0</v>
      </c>
      <c r="R95" s="167">
        <v>0</v>
      </c>
      <c r="S95" s="168">
        <v>0</v>
      </c>
      <c r="T95" s="168">
        <v>0</v>
      </c>
      <c r="U95" s="169">
        <v>0</v>
      </c>
      <c r="V95" s="169">
        <v>0</v>
      </c>
      <c r="W95" s="169">
        <v>0</v>
      </c>
      <c r="X95" s="169">
        <v>0</v>
      </c>
      <c r="Y95" s="169">
        <v>0</v>
      </c>
      <c r="Z95" s="65">
        <v>0</v>
      </c>
      <c r="AA95" s="169">
        <v>0</v>
      </c>
      <c r="AB95" s="169">
        <v>0</v>
      </c>
      <c r="AC95" s="169">
        <v>0</v>
      </c>
      <c r="AD95" s="169">
        <v>0</v>
      </c>
      <c r="AE95" s="169">
        <v>0</v>
      </c>
      <c r="AF95" s="169">
        <v>0</v>
      </c>
      <c r="AG95" s="169">
        <v>0</v>
      </c>
      <c r="AH95" s="65">
        <v>0</v>
      </c>
      <c r="AI95" s="169">
        <v>0</v>
      </c>
      <c r="AJ95" s="169">
        <v>0</v>
      </c>
      <c r="AK95" s="169">
        <v>0</v>
      </c>
      <c r="AL95" s="169">
        <v>0</v>
      </c>
      <c r="AM95" s="169">
        <v>0</v>
      </c>
      <c r="AN95" s="170">
        <v>0</v>
      </c>
      <c r="AO95" s="170">
        <v>0</v>
      </c>
      <c r="AP95" s="170">
        <v>0</v>
      </c>
      <c r="AQ95" s="170">
        <v>0</v>
      </c>
      <c r="AR95" s="170">
        <v>0</v>
      </c>
      <c r="AS95" s="170">
        <v>0</v>
      </c>
      <c r="AT95" s="170">
        <v>0</v>
      </c>
      <c r="AU95" s="170">
        <v>0</v>
      </c>
      <c r="AV95" s="170">
        <v>0</v>
      </c>
      <c r="AW95" s="170">
        <v>0</v>
      </c>
      <c r="AX95" s="170">
        <v>0</v>
      </c>
      <c r="AY95" s="170">
        <v>0</v>
      </c>
      <c r="AZ95" s="170">
        <v>0</v>
      </c>
      <c r="BA95" s="170">
        <v>0</v>
      </c>
      <c r="BB95" s="170">
        <v>0</v>
      </c>
      <c r="BC95" s="170">
        <v>0</v>
      </c>
      <c r="BD95" s="170">
        <v>0</v>
      </c>
      <c r="BE95" s="170">
        <v>0</v>
      </c>
      <c r="BF95" s="170">
        <v>0</v>
      </c>
      <c r="BG95" s="170">
        <v>0</v>
      </c>
      <c r="BH95" s="170">
        <v>0</v>
      </c>
      <c r="BI95" s="170">
        <v>0</v>
      </c>
      <c r="BJ95" s="172">
        <v>0</v>
      </c>
      <c r="BK95" s="67">
        <v>0</v>
      </c>
      <c r="BL95" s="172">
        <v>0</v>
      </c>
      <c r="BM95" s="172">
        <v>0</v>
      </c>
      <c r="BN95" s="172">
        <v>0</v>
      </c>
      <c r="BO95" s="172">
        <v>0</v>
      </c>
      <c r="BP95" s="172">
        <v>0</v>
      </c>
      <c r="BQ95" s="172">
        <v>0</v>
      </c>
      <c r="BR95" s="172">
        <v>0</v>
      </c>
      <c r="BS95" s="172">
        <v>0</v>
      </c>
      <c r="BT95" s="172">
        <v>0</v>
      </c>
      <c r="BU95" s="172">
        <v>0</v>
      </c>
      <c r="BV95" s="172">
        <v>0</v>
      </c>
      <c r="BW95" s="172">
        <v>0</v>
      </c>
      <c r="BX95" s="172">
        <v>0</v>
      </c>
      <c r="BY95" s="172">
        <v>0</v>
      </c>
      <c r="BZ95" s="172">
        <v>0</v>
      </c>
      <c r="CA95" s="172">
        <v>0</v>
      </c>
      <c r="CB95" s="172">
        <v>0</v>
      </c>
      <c r="CC95" s="172">
        <v>0</v>
      </c>
      <c r="CD95" s="175">
        <v>0</v>
      </c>
      <c r="CE95" s="70">
        <v>0</v>
      </c>
      <c r="CF95" s="174">
        <v>0</v>
      </c>
      <c r="CG95" s="174">
        <v>0</v>
      </c>
      <c r="CH95" s="174">
        <v>0</v>
      </c>
      <c r="CI95" s="174">
        <v>0</v>
      </c>
      <c r="CJ95" s="175">
        <v>0</v>
      </c>
      <c r="CK95" s="174">
        <v>0</v>
      </c>
      <c r="CL95" s="175">
        <v>0</v>
      </c>
      <c r="CM95" s="175">
        <v>0</v>
      </c>
      <c r="CN95" s="175">
        <v>0</v>
      </c>
      <c r="CO95" s="174">
        <v>0</v>
      </c>
      <c r="CP95" s="174">
        <v>0</v>
      </c>
      <c r="CQ95" s="174">
        <v>0</v>
      </c>
      <c r="CR95" s="174">
        <v>0</v>
      </c>
      <c r="CS95" s="175">
        <v>0</v>
      </c>
      <c r="CT95" s="174">
        <v>0</v>
      </c>
      <c r="CU95" s="174">
        <v>0</v>
      </c>
      <c r="CV95" s="174">
        <v>0</v>
      </c>
    </row>
    <row r="96" spans="1:100" x14ac:dyDescent="0.25">
      <c r="A96" t="s">
        <v>86</v>
      </c>
      <c r="B96" s="166">
        <v>0</v>
      </c>
      <c r="C96" s="168">
        <v>0</v>
      </c>
      <c r="D96" s="167">
        <v>0</v>
      </c>
      <c r="E96" s="168">
        <v>0</v>
      </c>
      <c r="F96" s="167">
        <v>0</v>
      </c>
      <c r="G96" s="168">
        <v>0</v>
      </c>
      <c r="H96" s="168">
        <v>0</v>
      </c>
      <c r="I96" s="168">
        <v>0</v>
      </c>
      <c r="J96" s="168">
        <v>0</v>
      </c>
      <c r="K96" s="168">
        <v>0</v>
      </c>
      <c r="L96" s="168">
        <v>0</v>
      </c>
      <c r="M96" s="168">
        <v>0</v>
      </c>
      <c r="N96" s="168">
        <v>0</v>
      </c>
      <c r="O96" s="168">
        <v>0</v>
      </c>
      <c r="P96" s="167">
        <v>0</v>
      </c>
      <c r="Q96" s="167">
        <v>0</v>
      </c>
      <c r="R96" s="167">
        <v>0</v>
      </c>
      <c r="S96" s="168">
        <v>0</v>
      </c>
      <c r="T96" s="168">
        <v>0</v>
      </c>
      <c r="U96" s="169">
        <v>0</v>
      </c>
      <c r="V96" s="169">
        <v>0</v>
      </c>
      <c r="W96" s="169">
        <v>0</v>
      </c>
      <c r="X96" s="169">
        <v>0</v>
      </c>
      <c r="Y96" s="169">
        <v>0</v>
      </c>
      <c r="Z96" s="65">
        <v>0</v>
      </c>
      <c r="AA96" s="169">
        <v>0</v>
      </c>
      <c r="AB96" s="169">
        <v>0</v>
      </c>
      <c r="AC96" s="169">
        <v>0</v>
      </c>
      <c r="AD96" s="169">
        <v>0</v>
      </c>
      <c r="AE96" s="169">
        <v>0</v>
      </c>
      <c r="AF96" s="169">
        <v>0</v>
      </c>
      <c r="AG96" s="169">
        <v>0</v>
      </c>
      <c r="AH96" s="65">
        <v>0</v>
      </c>
      <c r="AI96" s="169">
        <v>0</v>
      </c>
      <c r="AJ96" s="169">
        <v>0</v>
      </c>
      <c r="AK96" s="169">
        <v>0</v>
      </c>
      <c r="AL96" s="169">
        <v>0</v>
      </c>
      <c r="AM96" s="169">
        <v>0</v>
      </c>
      <c r="AN96" s="170">
        <v>0</v>
      </c>
      <c r="AO96" s="170">
        <v>0</v>
      </c>
      <c r="AP96" s="170">
        <v>0</v>
      </c>
      <c r="AQ96" s="170">
        <v>0</v>
      </c>
      <c r="AR96" s="170">
        <v>0</v>
      </c>
      <c r="AS96" s="170">
        <v>0</v>
      </c>
      <c r="AT96" s="170">
        <v>0</v>
      </c>
      <c r="AU96" s="170">
        <v>0</v>
      </c>
      <c r="AV96" s="170">
        <v>0</v>
      </c>
      <c r="AW96" s="170">
        <v>0</v>
      </c>
      <c r="AX96" s="170">
        <v>0</v>
      </c>
      <c r="AY96" s="170">
        <v>0</v>
      </c>
      <c r="AZ96" s="170">
        <v>0</v>
      </c>
      <c r="BA96" s="170">
        <v>0</v>
      </c>
      <c r="BB96" s="170">
        <v>0</v>
      </c>
      <c r="BC96" s="170">
        <v>0</v>
      </c>
      <c r="BD96" s="170">
        <v>0</v>
      </c>
      <c r="BE96" s="170">
        <v>0</v>
      </c>
      <c r="BF96" s="170">
        <v>0</v>
      </c>
      <c r="BG96" s="170">
        <v>0</v>
      </c>
      <c r="BH96" s="170">
        <v>0</v>
      </c>
      <c r="BI96" s="170">
        <v>0</v>
      </c>
      <c r="BJ96" s="172">
        <v>0</v>
      </c>
      <c r="BK96" s="67">
        <v>0</v>
      </c>
      <c r="BL96" s="172">
        <v>0</v>
      </c>
      <c r="BM96" s="172">
        <v>0</v>
      </c>
      <c r="BN96" s="172">
        <v>0</v>
      </c>
      <c r="BO96" s="172">
        <v>0</v>
      </c>
      <c r="BP96" s="172">
        <v>0</v>
      </c>
      <c r="BQ96" s="172">
        <v>0</v>
      </c>
      <c r="BR96" s="172">
        <v>0</v>
      </c>
      <c r="BS96" s="172">
        <v>0</v>
      </c>
      <c r="BT96" s="172">
        <v>0</v>
      </c>
      <c r="BU96" s="172">
        <v>0</v>
      </c>
      <c r="BV96" s="172">
        <v>0</v>
      </c>
      <c r="BW96" s="172">
        <v>0</v>
      </c>
      <c r="BX96" s="172">
        <v>0</v>
      </c>
      <c r="BY96" s="172">
        <v>0</v>
      </c>
      <c r="BZ96" s="172">
        <v>0</v>
      </c>
      <c r="CA96" s="172">
        <v>0</v>
      </c>
      <c r="CB96" s="172">
        <v>0</v>
      </c>
      <c r="CC96" s="172">
        <v>0</v>
      </c>
      <c r="CD96" s="175">
        <v>0</v>
      </c>
      <c r="CE96" s="70">
        <v>0</v>
      </c>
      <c r="CF96" s="174">
        <v>0</v>
      </c>
      <c r="CG96" s="174">
        <v>0</v>
      </c>
      <c r="CH96" s="174">
        <v>0</v>
      </c>
      <c r="CI96" s="174">
        <v>0</v>
      </c>
      <c r="CJ96" s="175">
        <v>0</v>
      </c>
      <c r="CK96" s="174">
        <v>0</v>
      </c>
      <c r="CL96" s="175">
        <v>0</v>
      </c>
      <c r="CM96" s="175">
        <v>0</v>
      </c>
      <c r="CN96" s="175">
        <v>0</v>
      </c>
      <c r="CO96" s="174">
        <v>0</v>
      </c>
      <c r="CP96" s="174">
        <v>0</v>
      </c>
      <c r="CQ96" s="174">
        <v>0</v>
      </c>
      <c r="CR96" s="174">
        <v>0</v>
      </c>
      <c r="CS96" s="175">
        <v>0</v>
      </c>
      <c r="CT96" s="174">
        <v>0</v>
      </c>
      <c r="CU96" s="174">
        <v>0</v>
      </c>
      <c r="CV96" s="174">
        <v>0</v>
      </c>
    </row>
    <row r="97" spans="1:100" x14ac:dyDescent="0.25">
      <c r="A97" t="s">
        <v>88</v>
      </c>
      <c r="B97" s="166">
        <v>0</v>
      </c>
      <c r="C97" s="168">
        <v>0</v>
      </c>
      <c r="D97" s="167">
        <v>0</v>
      </c>
      <c r="E97" s="168">
        <v>0</v>
      </c>
      <c r="F97" s="167">
        <v>0</v>
      </c>
      <c r="G97" s="168">
        <v>0</v>
      </c>
      <c r="H97" s="168">
        <v>0</v>
      </c>
      <c r="I97" s="168">
        <v>0</v>
      </c>
      <c r="J97" s="168">
        <v>0</v>
      </c>
      <c r="K97" s="168">
        <v>0</v>
      </c>
      <c r="L97" s="168">
        <v>0</v>
      </c>
      <c r="M97" s="168">
        <v>0</v>
      </c>
      <c r="N97" s="168">
        <v>0</v>
      </c>
      <c r="O97" s="168">
        <v>0</v>
      </c>
      <c r="P97" s="167">
        <v>0</v>
      </c>
      <c r="Q97" s="167">
        <v>0</v>
      </c>
      <c r="R97" s="167">
        <v>0</v>
      </c>
      <c r="S97" s="168">
        <v>0</v>
      </c>
      <c r="T97" s="168">
        <v>0</v>
      </c>
      <c r="U97" s="169">
        <v>0</v>
      </c>
      <c r="V97" s="169">
        <v>0</v>
      </c>
      <c r="W97" s="169">
        <v>0</v>
      </c>
      <c r="X97" s="169">
        <v>0</v>
      </c>
      <c r="Y97" s="169">
        <v>0</v>
      </c>
      <c r="Z97" s="65">
        <v>0</v>
      </c>
      <c r="AA97" s="169">
        <v>0</v>
      </c>
      <c r="AB97" s="169">
        <v>0</v>
      </c>
      <c r="AC97" s="169">
        <v>0</v>
      </c>
      <c r="AD97" s="169">
        <v>0</v>
      </c>
      <c r="AE97" s="169">
        <v>0</v>
      </c>
      <c r="AF97" s="169">
        <v>0</v>
      </c>
      <c r="AG97" s="169">
        <v>0</v>
      </c>
      <c r="AH97" s="65">
        <v>0</v>
      </c>
      <c r="AI97" s="169">
        <v>0</v>
      </c>
      <c r="AJ97" s="169">
        <v>0</v>
      </c>
      <c r="AK97" s="169">
        <v>0</v>
      </c>
      <c r="AL97" s="169">
        <v>0</v>
      </c>
      <c r="AM97" s="169">
        <v>0</v>
      </c>
      <c r="AN97" s="170">
        <v>0</v>
      </c>
      <c r="AO97" s="170">
        <v>0</v>
      </c>
      <c r="AP97" s="170">
        <v>0</v>
      </c>
      <c r="AQ97" s="170">
        <v>0</v>
      </c>
      <c r="AR97" s="170">
        <v>0</v>
      </c>
      <c r="AS97" s="170">
        <v>0</v>
      </c>
      <c r="AT97" s="170">
        <v>0</v>
      </c>
      <c r="AU97" s="170">
        <v>0</v>
      </c>
      <c r="AV97" s="170">
        <v>0</v>
      </c>
      <c r="AW97" s="170">
        <v>0</v>
      </c>
      <c r="AX97" s="170">
        <v>0</v>
      </c>
      <c r="AY97" s="170">
        <v>0</v>
      </c>
      <c r="AZ97" s="170">
        <v>0</v>
      </c>
      <c r="BA97" s="170">
        <v>0</v>
      </c>
      <c r="BB97" s="170">
        <v>0</v>
      </c>
      <c r="BC97" s="170">
        <v>0</v>
      </c>
      <c r="BD97" s="170">
        <v>0</v>
      </c>
      <c r="BE97" s="170">
        <v>0</v>
      </c>
      <c r="BF97" s="170">
        <v>0</v>
      </c>
      <c r="BG97" s="170">
        <v>0</v>
      </c>
      <c r="BH97" s="170">
        <v>0</v>
      </c>
      <c r="BI97" s="170">
        <v>0</v>
      </c>
      <c r="BJ97" s="172">
        <v>0</v>
      </c>
      <c r="BK97" s="67">
        <v>0</v>
      </c>
      <c r="BL97" s="172">
        <v>0</v>
      </c>
      <c r="BM97" s="172">
        <v>0</v>
      </c>
      <c r="BN97" s="172">
        <v>0</v>
      </c>
      <c r="BO97" s="172">
        <v>0</v>
      </c>
      <c r="BP97" s="172">
        <v>0</v>
      </c>
      <c r="BQ97" s="172">
        <v>0</v>
      </c>
      <c r="BR97" s="172">
        <v>0</v>
      </c>
      <c r="BS97" s="172">
        <v>0</v>
      </c>
      <c r="BT97" s="172">
        <v>0</v>
      </c>
      <c r="BU97" s="172">
        <v>0</v>
      </c>
      <c r="BV97" s="172">
        <v>0</v>
      </c>
      <c r="BW97" s="172">
        <v>0</v>
      </c>
      <c r="BX97" s="172">
        <v>0</v>
      </c>
      <c r="BY97" s="172">
        <v>0</v>
      </c>
      <c r="BZ97" s="172">
        <v>0</v>
      </c>
      <c r="CA97" s="172">
        <v>0</v>
      </c>
      <c r="CB97" s="172">
        <v>0</v>
      </c>
      <c r="CC97" s="172">
        <v>0</v>
      </c>
      <c r="CD97" s="175">
        <v>0</v>
      </c>
      <c r="CE97" s="70">
        <v>0</v>
      </c>
      <c r="CF97" s="174">
        <v>0</v>
      </c>
      <c r="CG97" s="174">
        <v>0</v>
      </c>
      <c r="CH97" s="174">
        <v>0</v>
      </c>
      <c r="CI97" s="174">
        <v>0</v>
      </c>
      <c r="CJ97" s="175">
        <v>0</v>
      </c>
      <c r="CK97" s="174">
        <v>0</v>
      </c>
      <c r="CL97" s="175">
        <v>0</v>
      </c>
      <c r="CM97" s="175">
        <v>0</v>
      </c>
      <c r="CN97" s="175">
        <v>0</v>
      </c>
      <c r="CO97" s="174">
        <v>0</v>
      </c>
      <c r="CP97" s="174">
        <v>0</v>
      </c>
      <c r="CQ97" s="174">
        <v>0</v>
      </c>
      <c r="CR97" s="174">
        <v>0</v>
      </c>
      <c r="CS97" s="175">
        <v>0</v>
      </c>
      <c r="CT97" s="174">
        <v>0</v>
      </c>
      <c r="CU97" s="174">
        <v>0</v>
      </c>
      <c r="CV97" s="174">
        <v>0</v>
      </c>
    </row>
    <row r="98" spans="1:100" x14ac:dyDescent="0.25">
      <c r="A98" t="s">
        <v>89</v>
      </c>
      <c r="B98" s="166">
        <v>0</v>
      </c>
      <c r="C98" s="168">
        <v>0</v>
      </c>
      <c r="D98" s="167">
        <v>0</v>
      </c>
      <c r="E98" s="168">
        <v>0</v>
      </c>
      <c r="F98" s="167">
        <v>0</v>
      </c>
      <c r="G98" s="168">
        <v>0</v>
      </c>
      <c r="H98" s="168">
        <v>0</v>
      </c>
      <c r="I98" s="168">
        <v>0</v>
      </c>
      <c r="J98" s="168">
        <v>0</v>
      </c>
      <c r="K98" s="168">
        <v>0</v>
      </c>
      <c r="L98" s="168">
        <v>0</v>
      </c>
      <c r="M98" s="168">
        <v>0</v>
      </c>
      <c r="N98" s="168">
        <v>0</v>
      </c>
      <c r="O98" s="168">
        <v>0</v>
      </c>
      <c r="P98" s="167">
        <v>0</v>
      </c>
      <c r="Q98" s="167">
        <v>0</v>
      </c>
      <c r="R98" s="167">
        <v>0</v>
      </c>
      <c r="S98" s="168">
        <v>0</v>
      </c>
      <c r="T98" s="168">
        <v>0</v>
      </c>
      <c r="U98" s="169">
        <v>0</v>
      </c>
      <c r="V98" s="169">
        <v>0</v>
      </c>
      <c r="W98" s="169">
        <v>0</v>
      </c>
      <c r="X98" s="169">
        <v>0</v>
      </c>
      <c r="Y98" s="169">
        <v>0</v>
      </c>
      <c r="Z98" s="65">
        <v>0</v>
      </c>
      <c r="AA98" s="169">
        <v>0</v>
      </c>
      <c r="AB98" s="169">
        <v>0</v>
      </c>
      <c r="AC98" s="169">
        <v>0</v>
      </c>
      <c r="AD98" s="169">
        <v>0</v>
      </c>
      <c r="AE98" s="169">
        <v>0</v>
      </c>
      <c r="AF98" s="169">
        <v>0</v>
      </c>
      <c r="AG98" s="169">
        <v>0</v>
      </c>
      <c r="AH98" s="65">
        <v>0</v>
      </c>
      <c r="AI98" s="169">
        <v>0</v>
      </c>
      <c r="AJ98" s="169">
        <v>0</v>
      </c>
      <c r="AK98" s="169">
        <v>0</v>
      </c>
      <c r="AL98" s="169">
        <v>0</v>
      </c>
      <c r="AM98" s="169">
        <v>0</v>
      </c>
      <c r="AN98" s="170">
        <v>0</v>
      </c>
      <c r="AO98" s="170">
        <v>0</v>
      </c>
      <c r="AP98" s="170">
        <v>0</v>
      </c>
      <c r="AQ98" s="170">
        <v>0</v>
      </c>
      <c r="AR98" s="170">
        <v>0</v>
      </c>
      <c r="AS98" s="170">
        <v>0</v>
      </c>
      <c r="AT98" s="170">
        <v>0</v>
      </c>
      <c r="AU98" s="170">
        <v>0</v>
      </c>
      <c r="AV98" s="170">
        <v>0</v>
      </c>
      <c r="AW98" s="170">
        <v>0</v>
      </c>
      <c r="AX98" s="170">
        <v>0</v>
      </c>
      <c r="AY98" s="170">
        <v>0</v>
      </c>
      <c r="AZ98" s="170">
        <v>0</v>
      </c>
      <c r="BA98" s="170">
        <v>0</v>
      </c>
      <c r="BB98" s="170">
        <v>0</v>
      </c>
      <c r="BC98" s="170">
        <v>0</v>
      </c>
      <c r="BD98" s="170">
        <v>0</v>
      </c>
      <c r="BE98" s="170">
        <v>0</v>
      </c>
      <c r="BF98" s="170">
        <v>0</v>
      </c>
      <c r="BG98" s="170">
        <v>0</v>
      </c>
      <c r="BH98" s="170">
        <v>0</v>
      </c>
      <c r="BI98" s="170">
        <v>0</v>
      </c>
      <c r="BJ98" s="172">
        <v>0</v>
      </c>
      <c r="BK98" s="67">
        <v>0</v>
      </c>
      <c r="BL98" s="172">
        <v>0</v>
      </c>
      <c r="BM98" s="172">
        <v>0</v>
      </c>
      <c r="BN98" s="172">
        <v>0</v>
      </c>
      <c r="BO98" s="172">
        <v>0</v>
      </c>
      <c r="BP98" s="172">
        <v>0</v>
      </c>
      <c r="BQ98" s="172">
        <v>0</v>
      </c>
      <c r="BR98" s="172">
        <v>0</v>
      </c>
      <c r="BS98" s="172">
        <v>0</v>
      </c>
      <c r="BT98" s="172">
        <v>0</v>
      </c>
      <c r="BU98" s="172">
        <v>0</v>
      </c>
      <c r="BV98" s="172">
        <v>0</v>
      </c>
      <c r="BW98" s="172">
        <v>0</v>
      </c>
      <c r="BX98" s="172">
        <v>0</v>
      </c>
      <c r="BY98" s="172">
        <v>0</v>
      </c>
      <c r="BZ98" s="172">
        <v>0</v>
      </c>
      <c r="CA98" s="172">
        <v>0</v>
      </c>
      <c r="CB98" s="172">
        <v>0</v>
      </c>
      <c r="CC98" s="172">
        <v>0</v>
      </c>
      <c r="CD98" s="175">
        <v>0</v>
      </c>
      <c r="CE98" s="70">
        <v>0</v>
      </c>
      <c r="CF98" s="174">
        <v>0</v>
      </c>
      <c r="CG98" s="174">
        <v>0</v>
      </c>
      <c r="CH98" s="174">
        <v>0</v>
      </c>
      <c r="CI98" s="174">
        <v>0</v>
      </c>
      <c r="CJ98" s="175">
        <v>0</v>
      </c>
      <c r="CK98" s="174">
        <v>0</v>
      </c>
      <c r="CL98" s="175">
        <v>0</v>
      </c>
      <c r="CM98" s="175">
        <v>0</v>
      </c>
      <c r="CN98" s="175">
        <v>0</v>
      </c>
      <c r="CO98" s="174">
        <v>0</v>
      </c>
      <c r="CP98" s="174">
        <v>0</v>
      </c>
      <c r="CQ98" s="174">
        <v>0</v>
      </c>
      <c r="CR98" s="174">
        <v>0</v>
      </c>
      <c r="CS98" s="175">
        <v>0</v>
      </c>
      <c r="CT98" s="174">
        <v>0</v>
      </c>
      <c r="CU98" s="174">
        <v>0</v>
      </c>
      <c r="CV98" s="174">
        <v>0</v>
      </c>
    </row>
    <row r="99" spans="1:100" x14ac:dyDescent="0.25">
      <c r="A99" t="s">
        <v>90</v>
      </c>
      <c r="B99" s="166">
        <v>0</v>
      </c>
      <c r="C99" s="168">
        <v>0</v>
      </c>
      <c r="D99" s="167">
        <v>0</v>
      </c>
      <c r="E99" s="168">
        <v>0</v>
      </c>
      <c r="F99" s="167">
        <v>0</v>
      </c>
      <c r="G99" s="168">
        <v>0</v>
      </c>
      <c r="H99" s="168">
        <v>0</v>
      </c>
      <c r="I99" s="168">
        <v>0</v>
      </c>
      <c r="J99" s="168">
        <v>0</v>
      </c>
      <c r="K99" s="168">
        <v>0</v>
      </c>
      <c r="L99" s="168">
        <v>0</v>
      </c>
      <c r="M99" s="168">
        <v>0</v>
      </c>
      <c r="N99" s="168">
        <v>0</v>
      </c>
      <c r="O99" s="168">
        <v>0</v>
      </c>
      <c r="P99" s="167">
        <v>0</v>
      </c>
      <c r="Q99" s="167">
        <v>0</v>
      </c>
      <c r="R99" s="167">
        <v>0</v>
      </c>
      <c r="S99" s="168">
        <v>0</v>
      </c>
      <c r="T99" s="168">
        <v>0</v>
      </c>
      <c r="U99" s="169">
        <v>0</v>
      </c>
      <c r="V99" s="169">
        <v>0</v>
      </c>
      <c r="W99" s="169">
        <v>0</v>
      </c>
      <c r="X99" s="169">
        <v>0</v>
      </c>
      <c r="Y99" s="169">
        <v>0</v>
      </c>
      <c r="Z99" s="65">
        <v>0</v>
      </c>
      <c r="AA99" s="169">
        <v>0</v>
      </c>
      <c r="AB99" s="169">
        <v>0</v>
      </c>
      <c r="AC99" s="169">
        <v>0</v>
      </c>
      <c r="AD99" s="169">
        <v>0</v>
      </c>
      <c r="AE99" s="169">
        <v>0</v>
      </c>
      <c r="AF99" s="169">
        <v>0</v>
      </c>
      <c r="AG99" s="169">
        <v>0</v>
      </c>
      <c r="AH99" s="65">
        <v>0</v>
      </c>
      <c r="AI99" s="169">
        <v>0</v>
      </c>
      <c r="AJ99" s="169">
        <v>0</v>
      </c>
      <c r="AK99" s="169">
        <v>0</v>
      </c>
      <c r="AL99" s="169">
        <v>0</v>
      </c>
      <c r="AM99" s="169">
        <v>0</v>
      </c>
      <c r="AN99" s="170">
        <v>0</v>
      </c>
      <c r="AO99" s="170">
        <v>0</v>
      </c>
      <c r="AP99" s="170">
        <v>0</v>
      </c>
      <c r="AQ99" s="170">
        <v>0</v>
      </c>
      <c r="AR99" s="170">
        <v>0</v>
      </c>
      <c r="AS99" s="170">
        <v>0</v>
      </c>
      <c r="AT99" s="170">
        <v>0</v>
      </c>
      <c r="AU99" s="170">
        <v>0</v>
      </c>
      <c r="AV99" s="170">
        <v>0</v>
      </c>
      <c r="AW99" s="170">
        <v>0</v>
      </c>
      <c r="AX99" s="170">
        <v>0</v>
      </c>
      <c r="AY99" s="170">
        <v>0</v>
      </c>
      <c r="AZ99" s="170">
        <v>0</v>
      </c>
      <c r="BA99" s="170">
        <v>0</v>
      </c>
      <c r="BB99" s="170">
        <v>0</v>
      </c>
      <c r="BC99" s="170">
        <v>0</v>
      </c>
      <c r="BD99" s="170">
        <v>0</v>
      </c>
      <c r="BE99" s="170">
        <v>0</v>
      </c>
      <c r="BF99" s="170">
        <v>0</v>
      </c>
      <c r="BG99" s="170">
        <v>0</v>
      </c>
      <c r="BH99" s="170">
        <v>0</v>
      </c>
      <c r="BI99" s="170">
        <v>0</v>
      </c>
      <c r="BJ99" s="172">
        <v>0</v>
      </c>
      <c r="BK99" s="67">
        <v>0</v>
      </c>
      <c r="BL99" s="172">
        <v>0</v>
      </c>
      <c r="BM99" s="172">
        <v>0</v>
      </c>
      <c r="BN99" s="172">
        <v>0</v>
      </c>
      <c r="BO99" s="172">
        <v>0</v>
      </c>
      <c r="BP99" s="172">
        <v>0</v>
      </c>
      <c r="BQ99" s="172">
        <v>0</v>
      </c>
      <c r="BR99" s="172">
        <v>0</v>
      </c>
      <c r="BS99" s="172">
        <v>0</v>
      </c>
      <c r="BT99" s="172">
        <v>0</v>
      </c>
      <c r="BU99" s="172">
        <v>0</v>
      </c>
      <c r="BV99" s="172">
        <v>0</v>
      </c>
      <c r="BW99" s="172">
        <v>0</v>
      </c>
      <c r="BX99" s="172">
        <v>0</v>
      </c>
      <c r="BY99" s="172">
        <v>0</v>
      </c>
      <c r="BZ99" s="172">
        <v>0</v>
      </c>
      <c r="CA99" s="172">
        <v>0</v>
      </c>
      <c r="CB99" s="172">
        <v>0</v>
      </c>
      <c r="CC99" s="172">
        <v>0</v>
      </c>
      <c r="CD99" s="175">
        <v>0</v>
      </c>
      <c r="CE99" s="70">
        <v>0</v>
      </c>
      <c r="CF99" s="174">
        <v>0</v>
      </c>
      <c r="CG99" s="174">
        <v>0</v>
      </c>
      <c r="CH99" s="174">
        <v>0</v>
      </c>
      <c r="CI99" s="174">
        <v>0</v>
      </c>
      <c r="CJ99" s="175">
        <v>0</v>
      </c>
      <c r="CK99" s="174">
        <v>0</v>
      </c>
      <c r="CL99" s="175">
        <v>0</v>
      </c>
      <c r="CM99" s="175">
        <v>0</v>
      </c>
      <c r="CN99" s="175">
        <v>0</v>
      </c>
      <c r="CO99" s="174">
        <v>0</v>
      </c>
      <c r="CP99" s="174">
        <v>0</v>
      </c>
      <c r="CQ99" s="174">
        <v>0</v>
      </c>
      <c r="CR99" s="174">
        <v>0</v>
      </c>
      <c r="CS99" s="175">
        <v>0</v>
      </c>
      <c r="CT99" s="174">
        <v>0</v>
      </c>
      <c r="CU99" s="174">
        <v>0</v>
      </c>
      <c r="CV99" s="174">
        <v>0</v>
      </c>
    </row>
    <row r="100" spans="1:100" x14ac:dyDescent="0.25">
      <c r="A100" t="s">
        <v>454</v>
      </c>
      <c r="B100" s="166">
        <v>0</v>
      </c>
      <c r="C100" s="168">
        <v>0</v>
      </c>
      <c r="D100" s="167">
        <v>0</v>
      </c>
      <c r="E100" s="168">
        <v>0</v>
      </c>
      <c r="F100" s="167">
        <v>0</v>
      </c>
      <c r="G100" s="168">
        <v>0</v>
      </c>
      <c r="H100" s="168">
        <v>0</v>
      </c>
      <c r="I100" s="168">
        <v>0</v>
      </c>
      <c r="J100" s="168">
        <v>0</v>
      </c>
      <c r="K100" s="168">
        <v>0</v>
      </c>
      <c r="L100" s="168">
        <v>0</v>
      </c>
      <c r="M100" s="168">
        <v>0</v>
      </c>
      <c r="N100" s="168">
        <v>0</v>
      </c>
      <c r="O100" s="168">
        <v>0</v>
      </c>
      <c r="P100" s="167">
        <v>0</v>
      </c>
      <c r="Q100" s="167">
        <v>0</v>
      </c>
      <c r="R100" s="167">
        <v>0</v>
      </c>
      <c r="S100" s="168">
        <v>0</v>
      </c>
      <c r="T100" s="168">
        <v>0</v>
      </c>
      <c r="U100" s="169">
        <v>0</v>
      </c>
      <c r="V100" s="169">
        <v>0</v>
      </c>
      <c r="W100" s="169">
        <v>0</v>
      </c>
      <c r="X100" s="169">
        <v>0</v>
      </c>
      <c r="Y100" s="169">
        <v>0</v>
      </c>
      <c r="Z100" s="65">
        <v>0</v>
      </c>
      <c r="AA100" s="169">
        <v>0</v>
      </c>
      <c r="AB100" s="169">
        <v>0</v>
      </c>
      <c r="AC100" s="169">
        <v>0</v>
      </c>
      <c r="AD100" s="169">
        <v>0</v>
      </c>
      <c r="AE100" s="169">
        <v>0</v>
      </c>
      <c r="AF100" s="169">
        <v>0</v>
      </c>
      <c r="AG100" s="169">
        <v>0</v>
      </c>
      <c r="AH100" s="65">
        <v>0</v>
      </c>
      <c r="AI100" s="169">
        <v>0</v>
      </c>
      <c r="AJ100" s="169">
        <v>0</v>
      </c>
      <c r="AK100" s="169">
        <v>0</v>
      </c>
      <c r="AL100" s="169">
        <v>0</v>
      </c>
      <c r="AM100" s="169">
        <v>0</v>
      </c>
      <c r="AN100" s="170">
        <v>0</v>
      </c>
      <c r="AO100" s="170">
        <v>0</v>
      </c>
      <c r="AP100" s="170">
        <v>0</v>
      </c>
      <c r="AQ100" s="170">
        <v>0</v>
      </c>
      <c r="AR100" s="170">
        <v>0</v>
      </c>
      <c r="AS100" s="170">
        <v>0</v>
      </c>
      <c r="AT100" s="170">
        <v>0</v>
      </c>
      <c r="AU100" s="170">
        <v>0</v>
      </c>
      <c r="AV100" s="170">
        <v>0</v>
      </c>
      <c r="AW100" s="170">
        <v>0</v>
      </c>
      <c r="AX100" s="170">
        <v>0</v>
      </c>
      <c r="AY100" s="170">
        <v>0</v>
      </c>
      <c r="AZ100" s="170">
        <v>0</v>
      </c>
      <c r="BA100" s="170">
        <v>0</v>
      </c>
      <c r="BB100" s="170">
        <v>0</v>
      </c>
      <c r="BC100" s="170">
        <v>0</v>
      </c>
      <c r="BD100" s="170">
        <v>0</v>
      </c>
      <c r="BE100" s="170">
        <v>0</v>
      </c>
      <c r="BF100" s="170">
        <v>0</v>
      </c>
      <c r="BG100" s="170">
        <v>0</v>
      </c>
      <c r="BH100" s="170">
        <v>0</v>
      </c>
      <c r="BI100" s="170">
        <v>0</v>
      </c>
      <c r="BJ100" s="172">
        <v>0</v>
      </c>
      <c r="BK100" s="67">
        <v>0</v>
      </c>
      <c r="BL100" s="172">
        <v>0</v>
      </c>
      <c r="BM100" s="172">
        <v>0</v>
      </c>
      <c r="BN100" s="172">
        <v>0</v>
      </c>
      <c r="BO100" s="172">
        <v>0</v>
      </c>
      <c r="BP100" s="172">
        <v>0</v>
      </c>
      <c r="BQ100" s="172">
        <v>0</v>
      </c>
      <c r="BR100" s="172">
        <v>0</v>
      </c>
      <c r="BS100" s="172">
        <v>0</v>
      </c>
      <c r="BT100" s="172">
        <v>0</v>
      </c>
      <c r="BU100" s="172">
        <v>0</v>
      </c>
      <c r="BV100" s="172">
        <v>0</v>
      </c>
      <c r="BW100" s="172">
        <v>0</v>
      </c>
      <c r="BX100" s="172">
        <v>0</v>
      </c>
      <c r="BY100" s="172">
        <v>0</v>
      </c>
      <c r="BZ100" s="172">
        <v>0</v>
      </c>
      <c r="CA100" s="172">
        <v>0</v>
      </c>
      <c r="CB100" s="172">
        <v>0</v>
      </c>
      <c r="CC100" s="172">
        <v>0</v>
      </c>
      <c r="CD100" s="175">
        <v>0</v>
      </c>
      <c r="CE100" s="70">
        <v>0</v>
      </c>
      <c r="CF100" s="174">
        <v>0</v>
      </c>
      <c r="CG100" s="174">
        <v>0</v>
      </c>
      <c r="CH100" s="174">
        <v>0</v>
      </c>
      <c r="CI100" s="174">
        <v>0</v>
      </c>
      <c r="CJ100" s="175">
        <v>0</v>
      </c>
      <c r="CK100" s="174">
        <v>0</v>
      </c>
      <c r="CL100" s="175">
        <v>0</v>
      </c>
      <c r="CM100" s="175">
        <v>0</v>
      </c>
      <c r="CN100" s="175">
        <v>0</v>
      </c>
      <c r="CO100" s="174">
        <v>0</v>
      </c>
      <c r="CP100" s="174">
        <v>0</v>
      </c>
      <c r="CQ100" s="174">
        <v>0</v>
      </c>
      <c r="CR100" s="174">
        <v>0</v>
      </c>
      <c r="CS100" s="175">
        <v>0</v>
      </c>
      <c r="CT100" s="174">
        <v>0</v>
      </c>
      <c r="CU100" s="174">
        <v>0</v>
      </c>
      <c r="CV100" s="174">
        <v>0</v>
      </c>
    </row>
    <row r="101" spans="1:100" x14ac:dyDescent="0.25">
      <c r="A101" t="s">
        <v>455</v>
      </c>
      <c r="B101" s="166">
        <v>0</v>
      </c>
      <c r="C101" s="168">
        <v>0</v>
      </c>
      <c r="D101" s="167">
        <v>0</v>
      </c>
      <c r="E101" s="168">
        <v>0</v>
      </c>
      <c r="F101" s="167">
        <v>0</v>
      </c>
      <c r="G101" s="168">
        <v>0</v>
      </c>
      <c r="H101" s="168">
        <v>0</v>
      </c>
      <c r="I101" s="168">
        <v>0</v>
      </c>
      <c r="J101" s="168">
        <v>0</v>
      </c>
      <c r="K101" s="168">
        <v>0</v>
      </c>
      <c r="L101" s="168">
        <v>0</v>
      </c>
      <c r="M101" s="168">
        <v>0</v>
      </c>
      <c r="N101" s="168">
        <v>0</v>
      </c>
      <c r="O101" s="168">
        <v>0</v>
      </c>
      <c r="P101" s="167">
        <v>0</v>
      </c>
      <c r="Q101" s="167">
        <v>0</v>
      </c>
      <c r="R101" s="167">
        <v>0</v>
      </c>
      <c r="S101" s="168">
        <v>0</v>
      </c>
      <c r="T101" s="168">
        <v>0</v>
      </c>
      <c r="U101" s="169">
        <v>0</v>
      </c>
      <c r="V101" s="169">
        <v>0</v>
      </c>
      <c r="W101" s="169">
        <v>0</v>
      </c>
      <c r="X101" s="169">
        <v>0</v>
      </c>
      <c r="Y101" s="169">
        <v>0</v>
      </c>
      <c r="Z101" s="65">
        <v>0</v>
      </c>
      <c r="AA101" s="169">
        <v>0</v>
      </c>
      <c r="AB101" s="169">
        <v>0</v>
      </c>
      <c r="AC101" s="169">
        <v>0</v>
      </c>
      <c r="AD101" s="169">
        <v>0</v>
      </c>
      <c r="AE101" s="169">
        <v>0</v>
      </c>
      <c r="AF101" s="169">
        <v>0</v>
      </c>
      <c r="AG101" s="169">
        <v>0</v>
      </c>
      <c r="AH101" s="65">
        <v>0</v>
      </c>
      <c r="AI101" s="169">
        <v>0</v>
      </c>
      <c r="AJ101" s="169">
        <v>0</v>
      </c>
      <c r="AK101" s="169">
        <v>0</v>
      </c>
      <c r="AL101" s="169">
        <v>0</v>
      </c>
      <c r="AM101" s="169">
        <v>0</v>
      </c>
      <c r="AN101" s="170">
        <v>0</v>
      </c>
      <c r="AO101" s="170">
        <v>0</v>
      </c>
      <c r="AP101" s="170">
        <v>0</v>
      </c>
      <c r="AQ101" s="170">
        <v>0</v>
      </c>
      <c r="AR101" s="170">
        <v>0</v>
      </c>
      <c r="AS101" s="170">
        <v>0</v>
      </c>
      <c r="AT101" s="170">
        <v>0</v>
      </c>
      <c r="AU101" s="170">
        <v>0</v>
      </c>
      <c r="AV101" s="170">
        <v>0</v>
      </c>
      <c r="AW101" s="170">
        <v>0</v>
      </c>
      <c r="AX101" s="170">
        <v>0</v>
      </c>
      <c r="AY101" s="170">
        <v>0</v>
      </c>
      <c r="AZ101" s="170">
        <v>0</v>
      </c>
      <c r="BA101" s="170">
        <v>0</v>
      </c>
      <c r="BB101" s="170">
        <v>0</v>
      </c>
      <c r="BC101" s="170">
        <v>0</v>
      </c>
      <c r="BD101" s="170">
        <v>0</v>
      </c>
      <c r="BE101" s="170">
        <v>0</v>
      </c>
      <c r="BF101" s="170">
        <v>0</v>
      </c>
      <c r="BG101" s="170">
        <v>0</v>
      </c>
      <c r="BH101" s="170">
        <v>0</v>
      </c>
      <c r="BI101" s="170">
        <v>0</v>
      </c>
      <c r="BJ101" s="172">
        <v>0</v>
      </c>
      <c r="BK101" s="67">
        <v>0</v>
      </c>
      <c r="BL101" s="172">
        <v>0</v>
      </c>
      <c r="BM101" s="172">
        <v>0</v>
      </c>
      <c r="BN101" s="172">
        <v>0</v>
      </c>
      <c r="BO101" s="172">
        <v>0</v>
      </c>
      <c r="BP101" s="172">
        <v>0</v>
      </c>
      <c r="BQ101" s="172">
        <v>0</v>
      </c>
      <c r="BR101" s="172">
        <v>0</v>
      </c>
      <c r="BS101" s="172">
        <v>0</v>
      </c>
      <c r="BT101" s="172">
        <v>0</v>
      </c>
      <c r="BU101" s="172">
        <v>0</v>
      </c>
      <c r="BV101" s="172">
        <v>0</v>
      </c>
      <c r="BW101" s="172">
        <v>0</v>
      </c>
      <c r="BX101" s="172">
        <v>0</v>
      </c>
      <c r="BY101" s="172">
        <v>0</v>
      </c>
      <c r="BZ101" s="172">
        <v>0</v>
      </c>
      <c r="CA101" s="172">
        <v>0</v>
      </c>
      <c r="CB101" s="172">
        <v>0</v>
      </c>
      <c r="CC101" s="172">
        <v>0</v>
      </c>
      <c r="CD101" s="175">
        <v>0</v>
      </c>
      <c r="CE101" s="70">
        <v>0</v>
      </c>
      <c r="CF101" s="174">
        <v>0</v>
      </c>
      <c r="CG101" s="174">
        <v>0</v>
      </c>
      <c r="CH101" s="174">
        <v>0</v>
      </c>
      <c r="CI101" s="174">
        <v>0</v>
      </c>
      <c r="CJ101" s="175">
        <v>0</v>
      </c>
      <c r="CK101" s="174">
        <v>0</v>
      </c>
      <c r="CL101" s="175">
        <v>0</v>
      </c>
      <c r="CM101" s="175">
        <v>0</v>
      </c>
      <c r="CN101" s="175">
        <v>0</v>
      </c>
      <c r="CO101" s="174">
        <v>0</v>
      </c>
      <c r="CP101" s="174">
        <v>0</v>
      </c>
      <c r="CQ101" s="174">
        <v>0</v>
      </c>
      <c r="CR101" s="174">
        <v>0</v>
      </c>
      <c r="CS101" s="175">
        <v>0</v>
      </c>
      <c r="CT101" s="174">
        <v>0</v>
      </c>
      <c r="CU101" s="174">
        <v>0</v>
      </c>
      <c r="CV101" s="174">
        <v>0</v>
      </c>
    </row>
    <row r="102" spans="1:100" x14ac:dyDescent="0.25">
      <c r="A102" t="s">
        <v>456</v>
      </c>
      <c r="B102" s="166">
        <v>0</v>
      </c>
      <c r="C102" s="168">
        <v>0</v>
      </c>
      <c r="D102" s="167">
        <v>0</v>
      </c>
      <c r="E102" s="168">
        <v>0</v>
      </c>
      <c r="F102" s="167">
        <v>0</v>
      </c>
      <c r="G102" s="168">
        <v>0</v>
      </c>
      <c r="H102" s="168">
        <v>0</v>
      </c>
      <c r="I102" s="168">
        <v>0</v>
      </c>
      <c r="J102" s="168">
        <v>0</v>
      </c>
      <c r="K102" s="168">
        <v>0</v>
      </c>
      <c r="L102" s="168">
        <v>0</v>
      </c>
      <c r="M102" s="168">
        <v>0</v>
      </c>
      <c r="N102" s="168">
        <v>0</v>
      </c>
      <c r="O102" s="168">
        <v>0</v>
      </c>
      <c r="P102" s="167">
        <v>0</v>
      </c>
      <c r="Q102" s="167">
        <v>0</v>
      </c>
      <c r="R102" s="167">
        <v>0</v>
      </c>
      <c r="S102" s="168">
        <v>0</v>
      </c>
      <c r="T102" s="168">
        <v>0</v>
      </c>
      <c r="U102" s="169">
        <v>0</v>
      </c>
      <c r="V102" s="169">
        <v>0</v>
      </c>
      <c r="W102" s="169">
        <v>0</v>
      </c>
      <c r="X102" s="169">
        <v>0</v>
      </c>
      <c r="Y102" s="169">
        <v>0</v>
      </c>
      <c r="Z102" s="65">
        <v>0</v>
      </c>
      <c r="AA102" s="169">
        <v>0</v>
      </c>
      <c r="AB102" s="169">
        <v>0</v>
      </c>
      <c r="AC102" s="169">
        <v>0</v>
      </c>
      <c r="AD102" s="169">
        <v>0</v>
      </c>
      <c r="AE102" s="169">
        <v>0</v>
      </c>
      <c r="AF102" s="169">
        <v>0</v>
      </c>
      <c r="AG102" s="169">
        <v>0</v>
      </c>
      <c r="AH102" s="65">
        <v>0</v>
      </c>
      <c r="AI102" s="169">
        <v>0</v>
      </c>
      <c r="AJ102" s="169">
        <v>0</v>
      </c>
      <c r="AK102" s="169">
        <v>0</v>
      </c>
      <c r="AL102" s="169">
        <v>0</v>
      </c>
      <c r="AM102" s="169">
        <v>0</v>
      </c>
      <c r="AN102" s="170">
        <v>0</v>
      </c>
      <c r="AO102" s="170">
        <v>0</v>
      </c>
      <c r="AP102" s="170">
        <v>0</v>
      </c>
      <c r="AQ102" s="170">
        <v>0</v>
      </c>
      <c r="AR102" s="170">
        <v>0</v>
      </c>
      <c r="AS102" s="170">
        <v>0</v>
      </c>
      <c r="AT102" s="170">
        <v>0</v>
      </c>
      <c r="AU102" s="170">
        <v>0</v>
      </c>
      <c r="AV102" s="170">
        <v>0</v>
      </c>
      <c r="AW102" s="170">
        <v>0</v>
      </c>
      <c r="AX102" s="170">
        <v>0</v>
      </c>
      <c r="AY102" s="170">
        <v>0</v>
      </c>
      <c r="AZ102" s="170">
        <v>0</v>
      </c>
      <c r="BA102" s="170">
        <v>0</v>
      </c>
      <c r="BB102" s="170">
        <v>0</v>
      </c>
      <c r="BC102" s="170">
        <v>0</v>
      </c>
      <c r="BD102" s="170">
        <v>0</v>
      </c>
      <c r="BE102" s="170">
        <v>0</v>
      </c>
      <c r="BF102" s="170">
        <v>0</v>
      </c>
      <c r="BG102" s="170">
        <v>0</v>
      </c>
      <c r="BH102" s="170">
        <v>0</v>
      </c>
      <c r="BI102" s="170">
        <v>0</v>
      </c>
      <c r="BJ102" s="172">
        <v>0</v>
      </c>
      <c r="BK102" s="67">
        <v>0</v>
      </c>
      <c r="BL102" s="172">
        <v>0</v>
      </c>
      <c r="BM102" s="172">
        <v>0</v>
      </c>
      <c r="BN102" s="172">
        <v>0</v>
      </c>
      <c r="BO102" s="172">
        <v>0</v>
      </c>
      <c r="BP102" s="172">
        <v>0</v>
      </c>
      <c r="BQ102" s="172">
        <v>0</v>
      </c>
      <c r="BR102" s="172">
        <v>0</v>
      </c>
      <c r="BS102" s="172">
        <v>0</v>
      </c>
      <c r="BT102" s="172">
        <v>0</v>
      </c>
      <c r="BU102" s="172">
        <v>0</v>
      </c>
      <c r="BV102" s="172">
        <v>0</v>
      </c>
      <c r="BW102" s="172">
        <v>0</v>
      </c>
      <c r="BX102" s="172">
        <v>0</v>
      </c>
      <c r="BY102" s="172">
        <v>0</v>
      </c>
      <c r="BZ102" s="172">
        <v>0</v>
      </c>
      <c r="CA102" s="172">
        <v>0</v>
      </c>
      <c r="CB102" s="172">
        <v>0</v>
      </c>
      <c r="CC102" s="172">
        <v>0</v>
      </c>
      <c r="CD102" s="175">
        <v>0</v>
      </c>
      <c r="CE102" s="70">
        <v>0</v>
      </c>
      <c r="CF102" s="174">
        <v>0</v>
      </c>
      <c r="CG102" s="174">
        <v>0</v>
      </c>
      <c r="CH102" s="174">
        <v>0</v>
      </c>
      <c r="CI102" s="174">
        <v>0</v>
      </c>
      <c r="CJ102" s="175">
        <v>0</v>
      </c>
      <c r="CK102" s="174">
        <v>0</v>
      </c>
      <c r="CL102" s="175">
        <v>0</v>
      </c>
      <c r="CM102" s="175">
        <v>0</v>
      </c>
      <c r="CN102" s="175">
        <v>0</v>
      </c>
      <c r="CO102" s="174">
        <v>0</v>
      </c>
      <c r="CP102" s="174">
        <v>0</v>
      </c>
      <c r="CQ102" s="174">
        <v>0</v>
      </c>
      <c r="CR102" s="174">
        <v>0</v>
      </c>
      <c r="CS102" s="175">
        <v>0</v>
      </c>
      <c r="CT102" s="174">
        <v>0</v>
      </c>
      <c r="CU102" s="174">
        <v>0</v>
      </c>
      <c r="CV102" s="174">
        <v>0</v>
      </c>
    </row>
    <row r="103" spans="1:100" x14ac:dyDescent="0.25">
      <c r="A103" t="s">
        <v>457</v>
      </c>
      <c r="B103" s="166">
        <v>0</v>
      </c>
      <c r="C103" s="168">
        <v>0</v>
      </c>
      <c r="D103" s="167">
        <v>0</v>
      </c>
      <c r="E103" s="168">
        <v>0</v>
      </c>
      <c r="F103" s="167">
        <v>0</v>
      </c>
      <c r="G103" s="168">
        <v>0</v>
      </c>
      <c r="H103" s="168">
        <v>0</v>
      </c>
      <c r="I103" s="168">
        <v>0</v>
      </c>
      <c r="J103" s="168">
        <v>0</v>
      </c>
      <c r="K103" s="168">
        <v>0</v>
      </c>
      <c r="L103" s="168">
        <v>0</v>
      </c>
      <c r="M103" s="168">
        <v>0</v>
      </c>
      <c r="N103" s="168">
        <v>0</v>
      </c>
      <c r="O103" s="168">
        <v>0</v>
      </c>
      <c r="P103" s="167">
        <v>0</v>
      </c>
      <c r="Q103" s="167">
        <v>0</v>
      </c>
      <c r="R103" s="167">
        <v>0</v>
      </c>
      <c r="S103" s="168">
        <v>0</v>
      </c>
      <c r="T103" s="168">
        <v>0</v>
      </c>
      <c r="U103" s="169">
        <v>0</v>
      </c>
      <c r="V103" s="169">
        <v>0</v>
      </c>
      <c r="W103" s="169">
        <v>0</v>
      </c>
      <c r="X103" s="169">
        <v>0</v>
      </c>
      <c r="Y103" s="169">
        <v>0</v>
      </c>
      <c r="Z103" s="65">
        <v>0</v>
      </c>
      <c r="AA103" s="169">
        <v>0</v>
      </c>
      <c r="AB103" s="169">
        <v>0</v>
      </c>
      <c r="AC103" s="169">
        <v>0</v>
      </c>
      <c r="AD103" s="169">
        <v>0</v>
      </c>
      <c r="AE103" s="169">
        <v>0</v>
      </c>
      <c r="AF103" s="169">
        <v>0</v>
      </c>
      <c r="AG103" s="169">
        <v>0</v>
      </c>
      <c r="AH103" s="65">
        <v>0</v>
      </c>
      <c r="AI103" s="169">
        <v>0</v>
      </c>
      <c r="AJ103" s="169">
        <v>0</v>
      </c>
      <c r="AK103" s="169">
        <v>0</v>
      </c>
      <c r="AL103" s="169">
        <v>0</v>
      </c>
      <c r="AM103" s="169">
        <v>0</v>
      </c>
      <c r="AN103" s="170">
        <v>0</v>
      </c>
      <c r="AO103" s="170">
        <v>0</v>
      </c>
      <c r="AP103" s="170">
        <v>0</v>
      </c>
      <c r="AQ103" s="170">
        <v>0</v>
      </c>
      <c r="AR103" s="170">
        <v>0</v>
      </c>
      <c r="AS103" s="170">
        <v>0</v>
      </c>
      <c r="AT103" s="170">
        <v>0</v>
      </c>
      <c r="AU103" s="170">
        <v>0</v>
      </c>
      <c r="AV103" s="170">
        <v>0</v>
      </c>
      <c r="AW103" s="170">
        <v>0</v>
      </c>
      <c r="AX103" s="170">
        <v>0</v>
      </c>
      <c r="AY103" s="170">
        <v>0</v>
      </c>
      <c r="AZ103" s="170">
        <v>0</v>
      </c>
      <c r="BA103" s="170">
        <v>0</v>
      </c>
      <c r="BB103" s="170">
        <v>0</v>
      </c>
      <c r="BC103" s="170">
        <v>0</v>
      </c>
      <c r="BD103" s="170">
        <v>0</v>
      </c>
      <c r="BE103" s="170">
        <v>0</v>
      </c>
      <c r="BF103" s="170">
        <v>0</v>
      </c>
      <c r="BG103" s="170">
        <v>0</v>
      </c>
      <c r="BH103" s="170">
        <v>0</v>
      </c>
      <c r="BI103" s="170">
        <v>0</v>
      </c>
      <c r="BJ103" s="172">
        <v>0</v>
      </c>
      <c r="BK103" s="67">
        <v>0</v>
      </c>
      <c r="BL103" s="172">
        <v>0</v>
      </c>
      <c r="BM103" s="172">
        <v>0</v>
      </c>
      <c r="BN103" s="172">
        <v>0</v>
      </c>
      <c r="BO103" s="172">
        <v>0</v>
      </c>
      <c r="BP103" s="172">
        <v>0</v>
      </c>
      <c r="BQ103" s="172">
        <v>0</v>
      </c>
      <c r="BR103" s="172">
        <v>0</v>
      </c>
      <c r="BS103" s="172">
        <v>0</v>
      </c>
      <c r="BT103" s="172">
        <v>0</v>
      </c>
      <c r="BU103" s="172">
        <v>0</v>
      </c>
      <c r="BV103" s="172">
        <v>0</v>
      </c>
      <c r="BW103" s="172">
        <v>0</v>
      </c>
      <c r="BX103" s="172">
        <v>0</v>
      </c>
      <c r="BY103" s="172">
        <v>0</v>
      </c>
      <c r="BZ103" s="172">
        <v>0</v>
      </c>
      <c r="CA103" s="172">
        <v>0</v>
      </c>
      <c r="CB103" s="172">
        <v>0</v>
      </c>
      <c r="CC103" s="172">
        <v>0</v>
      </c>
      <c r="CD103" s="175">
        <v>0</v>
      </c>
      <c r="CE103" s="70">
        <v>0</v>
      </c>
      <c r="CF103" s="174">
        <v>0</v>
      </c>
      <c r="CG103" s="174">
        <v>0</v>
      </c>
      <c r="CH103" s="174">
        <v>0</v>
      </c>
      <c r="CI103" s="174">
        <v>0</v>
      </c>
      <c r="CJ103" s="175">
        <v>0</v>
      </c>
      <c r="CK103" s="174">
        <v>0</v>
      </c>
      <c r="CL103" s="175">
        <v>0</v>
      </c>
      <c r="CM103" s="175">
        <v>0</v>
      </c>
      <c r="CN103" s="175">
        <v>0</v>
      </c>
      <c r="CO103" s="174">
        <v>0</v>
      </c>
      <c r="CP103" s="174">
        <v>0</v>
      </c>
      <c r="CQ103" s="174">
        <v>0</v>
      </c>
      <c r="CR103" s="174">
        <v>0</v>
      </c>
      <c r="CS103" s="175">
        <v>0</v>
      </c>
      <c r="CT103" s="174">
        <v>0</v>
      </c>
      <c r="CU103" s="174">
        <v>0</v>
      </c>
      <c r="CV103" s="174">
        <v>0</v>
      </c>
    </row>
    <row r="104" spans="1:100" x14ac:dyDescent="0.25">
      <c r="A104" t="s">
        <v>458</v>
      </c>
      <c r="B104" s="166">
        <v>0</v>
      </c>
      <c r="C104" s="168">
        <v>0</v>
      </c>
      <c r="D104" s="167">
        <v>0</v>
      </c>
      <c r="E104" s="168">
        <v>0</v>
      </c>
      <c r="F104" s="167">
        <v>0</v>
      </c>
      <c r="G104" s="168">
        <v>0</v>
      </c>
      <c r="H104" s="168">
        <v>0</v>
      </c>
      <c r="I104" s="168">
        <v>0</v>
      </c>
      <c r="J104" s="168">
        <v>0</v>
      </c>
      <c r="K104" s="168">
        <v>0</v>
      </c>
      <c r="L104" s="168">
        <v>0</v>
      </c>
      <c r="M104" s="168">
        <v>0</v>
      </c>
      <c r="N104" s="168">
        <v>0</v>
      </c>
      <c r="O104" s="168">
        <v>0</v>
      </c>
      <c r="P104" s="167">
        <v>0</v>
      </c>
      <c r="Q104" s="167">
        <v>0</v>
      </c>
      <c r="R104" s="167">
        <v>0</v>
      </c>
      <c r="S104" s="168">
        <v>0</v>
      </c>
      <c r="T104" s="168">
        <v>0</v>
      </c>
      <c r="U104" s="169">
        <v>0</v>
      </c>
      <c r="V104" s="169">
        <v>0</v>
      </c>
      <c r="W104" s="169">
        <v>0</v>
      </c>
      <c r="X104" s="169">
        <v>0</v>
      </c>
      <c r="Y104" s="169">
        <v>0</v>
      </c>
      <c r="Z104" s="65">
        <v>0</v>
      </c>
      <c r="AA104" s="169">
        <v>0</v>
      </c>
      <c r="AB104" s="169">
        <v>0</v>
      </c>
      <c r="AC104" s="169">
        <v>0</v>
      </c>
      <c r="AD104" s="169">
        <v>0</v>
      </c>
      <c r="AE104" s="169">
        <v>0</v>
      </c>
      <c r="AF104" s="169">
        <v>0</v>
      </c>
      <c r="AG104" s="169">
        <v>0</v>
      </c>
      <c r="AH104" s="65">
        <v>0</v>
      </c>
      <c r="AI104" s="169">
        <v>0</v>
      </c>
      <c r="AJ104" s="169">
        <v>0</v>
      </c>
      <c r="AK104" s="169">
        <v>0</v>
      </c>
      <c r="AL104" s="169">
        <v>0</v>
      </c>
      <c r="AM104" s="169">
        <v>0</v>
      </c>
      <c r="AN104" s="170">
        <v>0</v>
      </c>
      <c r="AO104" s="170">
        <v>0</v>
      </c>
      <c r="AP104" s="170">
        <v>0</v>
      </c>
      <c r="AQ104" s="170">
        <v>0</v>
      </c>
      <c r="AR104" s="170">
        <v>0</v>
      </c>
      <c r="AS104" s="170">
        <v>0</v>
      </c>
      <c r="AT104" s="170">
        <v>0</v>
      </c>
      <c r="AU104" s="170">
        <v>0</v>
      </c>
      <c r="AV104" s="170">
        <v>0</v>
      </c>
      <c r="AW104" s="170">
        <v>0</v>
      </c>
      <c r="AX104" s="170">
        <v>0</v>
      </c>
      <c r="AY104" s="170">
        <v>0</v>
      </c>
      <c r="AZ104" s="170">
        <v>0</v>
      </c>
      <c r="BA104" s="170">
        <v>0</v>
      </c>
      <c r="BB104" s="170">
        <v>0</v>
      </c>
      <c r="BC104" s="170">
        <v>0</v>
      </c>
      <c r="BD104" s="170">
        <v>0</v>
      </c>
      <c r="BE104" s="170">
        <v>0</v>
      </c>
      <c r="BF104" s="170">
        <v>0</v>
      </c>
      <c r="BG104" s="170">
        <v>0</v>
      </c>
      <c r="BH104" s="170">
        <v>0</v>
      </c>
      <c r="BI104" s="170">
        <v>0</v>
      </c>
      <c r="BJ104" s="172">
        <v>0</v>
      </c>
      <c r="BK104" s="67">
        <v>0</v>
      </c>
      <c r="BL104" s="172">
        <v>0</v>
      </c>
      <c r="BM104" s="172">
        <v>0</v>
      </c>
      <c r="BN104" s="172">
        <v>0</v>
      </c>
      <c r="BO104" s="172">
        <v>0</v>
      </c>
      <c r="BP104" s="172">
        <v>0</v>
      </c>
      <c r="BQ104" s="172">
        <v>0</v>
      </c>
      <c r="BR104" s="172">
        <v>0</v>
      </c>
      <c r="BS104" s="172">
        <v>0</v>
      </c>
      <c r="BT104" s="172">
        <v>0</v>
      </c>
      <c r="BU104" s="172">
        <v>0</v>
      </c>
      <c r="BV104" s="172">
        <v>0</v>
      </c>
      <c r="BW104" s="172">
        <v>0</v>
      </c>
      <c r="BX104" s="172">
        <v>0</v>
      </c>
      <c r="BY104" s="172">
        <v>0</v>
      </c>
      <c r="BZ104" s="172">
        <v>0</v>
      </c>
      <c r="CA104" s="172">
        <v>0</v>
      </c>
      <c r="CB104" s="172">
        <v>0</v>
      </c>
      <c r="CC104" s="172">
        <v>0</v>
      </c>
      <c r="CD104" s="175">
        <v>0</v>
      </c>
      <c r="CE104" s="70">
        <v>0</v>
      </c>
      <c r="CF104" s="174">
        <v>0</v>
      </c>
      <c r="CG104" s="174">
        <v>0</v>
      </c>
      <c r="CH104" s="174">
        <v>0</v>
      </c>
      <c r="CI104" s="174">
        <v>0</v>
      </c>
      <c r="CJ104" s="175">
        <v>0</v>
      </c>
      <c r="CK104" s="174">
        <v>0</v>
      </c>
      <c r="CL104" s="175">
        <v>0</v>
      </c>
      <c r="CM104" s="175">
        <v>0</v>
      </c>
      <c r="CN104" s="175">
        <v>0</v>
      </c>
      <c r="CO104" s="174">
        <v>0</v>
      </c>
      <c r="CP104" s="174">
        <v>0</v>
      </c>
      <c r="CQ104" s="174">
        <v>0</v>
      </c>
      <c r="CR104" s="174">
        <v>0</v>
      </c>
      <c r="CS104" s="175">
        <v>0</v>
      </c>
      <c r="CT104" s="174">
        <v>0</v>
      </c>
      <c r="CU104" s="174">
        <v>0</v>
      </c>
      <c r="CV104" s="174">
        <v>0</v>
      </c>
    </row>
    <row r="105" spans="1:100" x14ac:dyDescent="0.25">
      <c r="A105" t="s">
        <v>459</v>
      </c>
      <c r="B105" s="166">
        <v>0</v>
      </c>
      <c r="C105" s="168">
        <v>0</v>
      </c>
      <c r="D105" s="167">
        <v>0</v>
      </c>
      <c r="E105" s="168">
        <v>0</v>
      </c>
      <c r="F105" s="167">
        <v>0</v>
      </c>
      <c r="G105" s="168">
        <v>0</v>
      </c>
      <c r="H105" s="168">
        <v>0</v>
      </c>
      <c r="I105" s="168">
        <v>0</v>
      </c>
      <c r="J105" s="168">
        <v>0</v>
      </c>
      <c r="K105" s="168">
        <v>0</v>
      </c>
      <c r="L105" s="168">
        <v>0</v>
      </c>
      <c r="M105" s="168">
        <v>0</v>
      </c>
      <c r="N105" s="168">
        <v>0</v>
      </c>
      <c r="O105" s="168">
        <v>0</v>
      </c>
      <c r="P105" s="167">
        <v>0</v>
      </c>
      <c r="Q105" s="167">
        <v>0</v>
      </c>
      <c r="R105" s="167">
        <v>0</v>
      </c>
      <c r="S105" s="168">
        <v>0</v>
      </c>
      <c r="T105" s="168">
        <v>0</v>
      </c>
      <c r="U105" s="169">
        <v>0</v>
      </c>
      <c r="V105" s="169">
        <v>0</v>
      </c>
      <c r="W105" s="169">
        <v>0</v>
      </c>
      <c r="X105" s="169">
        <v>0</v>
      </c>
      <c r="Y105" s="169">
        <v>0</v>
      </c>
      <c r="Z105" s="65">
        <v>0</v>
      </c>
      <c r="AA105" s="169">
        <v>0</v>
      </c>
      <c r="AB105" s="169">
        <v>0</v>
      </c>
      <c r="AC105" s="169">
        <v>0</v>
      </c>
      <c r="AD105" s="169">
        <v>0</v>
      </c>
      <c r="AE105" s="169">
        <v>0</v>
      </c>
      <c r="AF105" s="169">
        <v>0</v>
      </c>
      <c r="AG105" s="169">
        <v>0</v>
      </c>
      <c r="AH105" s="65">
        <v>0</v>
      </c>
      <c r="AI105" s="169">
        <v>0</v>
      </c>
      <c r="AJ105" s="169">
        <v>0</v>
      </c>
      <c r="AK105" s="169">
        <v>0</v>
      </c>
      <c r="AL105" s="169">
        <v>0</v>
      </c>
      <c r="AM105" s="169">
        <v>0</v>
      </c>
      <c r="AN105" s="170">
        <v>0</v>
      </c>
      <c r="AO105" s="170">
        <v>0</v>
      </c>
      <c r="AP105" s="170">
        <v>0</v>
      </c>
      <c r="AQ105" s="170">
        <v>0</v>
      </c>
      <c r="AR105" s="170">
        <v>0</v>
      </c>
      <c r="AS105" s="170">
        <v>0</v>
      </c>
      <c r="AT105" s="170">
        <v>0</v>
      </c>
      <c r="AU105" s="170">
        <v>0</v>
      </c>
      <c r="AV105" s="170">
        <v>0</v>
      </c>
      <c r="AW105" s="170">
        <v>0</v>
      </c>
      <c r="AX105" s="170">
        <v>0</v>
      </c>
      <c r="AY105" s="170">
        <v>0</v>
      </c>
      <c r="AZ105" s="170">
        <v>0</v>
      </c>
      <c r="BA105" s="170">
        <v>0</v>
      </c>
      <c r="BB105" s="170">
        <v>0</v>
      </c>
      <c r="BC105" s="170">
        <v>0</v>
      </c>
      <c r="BD105" s="170">
        <v>0</v>
      </c>
      <c r="BE105" s="170">
        <v>0</v>
      </c>
      <c r="BF105" s="170">
        <v>0</v>
      </c>
      <c r="BG105" s="170">
        <v>0</v>
      </c>
      <c r="BH105" s="170">
        <v>0</v>
      </c>
      <c r="BI105" s="170">
        <v>0</v>
      </c>
      <c r="BJ105" s="172">
        <v>0</v>
      </c>
      <c r="BK105" s="67">
        <v>0</v>
      </c>
      <c r="BL105" s="172">
        <v>0</v>
      </c>
      <c r="BM105" s="172">
        <v>0</v>
      </c>
      <c r="BN105" s="172">
        <v>0</v>
      </c>
      <c r="BO105" s="172">
        <v>0</v>
      </c>
      <c r="BP105" s="172">
        <v>0</v>
      </c>
      <c r="BQ105" s="172">
        <v>0</v>
      </c>
      <c r="BR105" s="172">
        <v>0</v>
      </c>
      <c r="BS105" s="172">
        <v>0</v>
      </c>
      <c r="BT105" s="172">
        <v>0</v>
      </c>
      <c r="BU105" s="172">
        <v>0</v>
      </c>
      <c r="BV105" s="172">
        <v>0</v>
      </c>
      <c r="BW105" s="172">
        <v>0</v>
      </c>
      <c r="BX105" s="172">
        <v>0</v>
      </c>
      <c r="BY105" s="172">
        <v>0</v>
      </c>
      <c r="BZ105" s="172">
        <v>0</v>
      </c>
      <c r="CA105" s="172">
        <v>0</v>
      </c>
      <c r="CB105" s="172">
        <v>0</v>
      </c>
      <c r="CC105" s="172">
        <v>0</v>
      </c>
      <c r="CD105" s="175">
        <v>0</v>
      </c>
      <c r="CE105" s="70">
        <v>0</v>
      </c>
      <c r="CF105" s="174">
        <v>0</v>
      </c>
      <c r="CG105" s="174">
        <v>0</v>
      </c>
      <c r="CH105" s="174">
        <v>0</v>
      </c>
      <c r="CI105" s="174">
        <v>0</v>
      </c>
      <c r="CJ105" s="175">
        <v>0</v>
      </c>
      <c r="CK105" s="174">
        <v>0</v>
      </c>
      <c r="CL105" s="175">
        <v>0</v>
      </c>
      <c r="CM105" s="175">
        <v>0</v>
      </c>
      <c r="CN105" s="175">
        <v>0</v>
      </c>
      <c r="CO105" s="174">
        <v>0</v>
      </c>
      <c r="CP105" s="174">
        <v>0</v>
      </c>
      <c r="CQ105" s="174">
        <v>0</v>
      </c>
      <c r="CR105" s="174">
        <v>0</v>
      </c>
      <c r="CS105" s="175">
        <v>0</v>
      </c>
      <c r="CT105" s="174">
        <v>0</v>
      </c>
      <c r="CU105" s="174">
        <v>0</v>
      </c>
      <c r="CV105" s="174">
        <v>0</v>
      </c>
    </row>
    <row r="106" spans="1:100" x14ac:dyDescent="0.25">
      <c r="A106" t="s">
        <v>460</v>
      </c>
      <c r="B106" s="166">
        <v>0</v>
      </c>
      <c r="C106" s="168">
        <v>0</v>
      </c>
      <c r="D106" s="167">
        <v>0</v>
      </c>
      <c r="E106" s="168">
        <v>0</v>
      </c>
      <c r="F106" s="167">
        <v>0</v>
      </c>
      <c r="G106" s="168">
        <v>0</v>
      </c>
      <c r="H106" s="168">
        <v>0</v>
      </c>
      <c r="I106" s="168">
        <v>0</v>
      </c>
      <c r="J106" s="168">
        <v>0</v>
      </c>
      <c r="K106" s="168">
        <v>0</v>
      </c>
      <c r="L106" s="168">
        <v>0</v>
      </c>
      <c r="M106" s="168">
        <v>0</v>
      </c>
      <c r="N106" s="168">
        <v>0</v>
      </c>
      <c r="O106" s="168">
        <v>0</v>
      </c>
      <c r="P106" s="167">
        <v>0</v>
      </c>
      <c r="Q106" s="167">
        <v>0</v>
      </c>
      <c r="R106" s="167">
        <v>0</v>
      </c>
      <c r="S106" s="168">
        <v>0</v>
      </c>
      <c r="T106" s="168">
        <v>0</v>
      </c>
      <c r="U106" s="169">
        <v>0</v>
      </c>
      <c r="V106" s="169">
        <v>0</v>
      </c>
      <c r="W106" s="169">
        <v>0</v>
      </c>
      <c r="X106" s="169">
        <v>0</v>
      </c>
      <c r="Y106" s="169">
        <v>0</v>
      </c>
      <c r="Z106" s="65">
        <v>0</v>
      </c>
      <c r="AA106" s="169">
        <v>0</v>
      </c>
      <c r="AB106" s="169">
        <v>0</v>
      </c>
      <c r="AC106" s="169">
        <v>0</v>
      </c>
      <c r="AD106" s="169">
        <v>0</v>
      </c>
      <c r="AE106" s="169">
        <v>0</v>
      </c>
      <c r="AF106" s="169">
        <v>0</v>
      </c>
      <c r="AG106" s="169">
        <v>0</v>
      </c>
      <c r="AH106" s="65">
        <v>0</v>
      </c>
      <c r="AI106" s="169">
        <v>0</v>
      </c>
      <c r="AJ106" s="169">
        <v>0</v>
      </c>
      <c r="AK106" s="169">
        <v>0</v>
      </c>
      <c r="AL106" s="169">
        <v>0</v>
      </c>
      <c r="AM106" s="169">
        <v>0</v>
      </c>
      <c r="AN106" s="170">
        <v>0</v>
      </c>
      <c r="AO106" s="170">
        <v>0</v>
      </c>
      <c r="AP106" s="170">
        <v>0</v>
      </c>
      <c r="AQ106" s="170">
        <v>0</v>
      </c>
      <c r="AR106" s="170">
        <v>0</v>
      </c>
      <c r="AS106" s="170">
        <v>0</v>
      </c>
      <c r="AT106" s="170">
        <v>0</v>
      </c>
      <c r="AU106" s="170">
        <v>0</v>
      </c>
      <c r="AV106" s="170">
        <v>0</v>
      </c>
      <c r="AW106" s="170">
        <v>0</v>
      </c>
      <c r="AX106" s="170">
        <v>0</v>
      </c>
      <c r="AY106" s="170">
        <v>0</v>
      </c>
      <c r="AZ106" s="170">
        <v>0</v>
      </c>
      <c r="BA106" s="170">
        <v>0</v>
      </c>
      <c r="BB106" s="170">
        <v>0</v>
      </c>
      <c r="BC106" s="170">
        <v>0</v>
      </c>
      <c r="BD106" s="170">
        <v>0</v>
      </c>
      <c r="BE106" s="170">
        <v>0</v>
      </c>
      <c r="BF106" s="170">
        <v>0</v>
      </c>
      <c r="BG106" s="170">
        <v>0</v>
      </c>
      <c r="BH106" s="170">
        <v>0</v>
      </c>
      <c r="BI106" s="170">
        <v>0</v>
      </c>
      <c r="BJ106" s="172">
        <v>0</v>
      </c>
      <c r="BK106" s="67">
        <v>0</v>
      </c>
      <c r="BL106" s="172">
        <v>0</v>
      </c>
      <c r="BM106" s="172">
        <v>0</v>
      </c>
      <c r="BN106" s="172">
        <v>0</v>
      </c>
      <c r="BO106" s="172">
        <v>0</v>
      </c>
      <c r="BP106" s="172">
        <v>0</v>
      </c>
      <c r="BQ106" s="172">
        <v>0</v>
      </c>
      <c r="BR106" s="172">
        <v>0</v>
      </c>
      <c r="BS106" s="172">
        <v>0</v>
      </c>
      <c r="BT106" s="172">
        <v>0</v>
      </c>
      <c r="BU106" s="172">
        <v>0</v>
      </c>
      <c r="BV106" s="172">
        <v>0</v>
      </c>
      <c r="BW106" s="172">
        <v>0</v>
      </c>
      <c r="BX106" s="172">
        <v>0</v>
      </c>
      <c r="BY106" s="172">
        <v>0</v>
      </c>
      <c r="BZ106" s="172">
        <v>0</v>
      </c>
      <c r="CA106" s="172">
        <v>0</v>
      </c>
      <c r="CB106" s="172">
        <v>0</v>
      </c>
      <c r="CC106" s="172">
        <v>0</v>
      </c>
      <c r="CD106" s="175">
        <v>0</v>
      </c>
      <c r="CE106" s="70">
        <v>0</v>
      </c>
      <c r="CF106" s="174">
        <v>0</v>
      </c>
      <c r="CG106" s="174">
        <v>0</v>
      </c>
      <c r="CH106" s="174">
        <v>0</v>
      </c>
      <c r="CI106" s="174">
        <v>0</v>
      </c>
      <c r="CJ106" s="175">
        <v>0</v>
      </c>
      <c r="CK106" s="174">
        <v>0</v>
      </c>
      <c r="CL106" s="175">
        <v>0</v>
      </c>
      <c r="CM106" s="175">
        <v>0</v>
      </c>
      <c r="CN106" s="175">
        <v>0</v>
      </c>
      <c r="CO106" s="174">
        <v>0</v>
      </c>
      <c r="CP106" s="174">
        <v>0</v>
      </c>
      <c r="CQ106" s="174">
        <v>0</v>
      </c>
      <c r="CR106" s="174">
        <v>0</v>
      </c>
      <c r="CS106" s="175">
        <v>0</v>
      </c>
      <c r="CT106" s="174">
        <v>0</v>
      </c>
      <c r="CU106" s="174">
        <v>0</v>
      </c>
      <c r="CV106" s="174">
        <v>0</v>
      </c>
    </row>
    <row r="107" spans="1:100" x14ac:dyDescent="0.25">
      <c r="A107" t="s">
        <v>420</v>
      </c>
      <c r="B107" s="166">
        <v>0</v>
      </c>
      <c r="C107" s="166">
        <v>0</v>
      </c>
      <c r="D107" s="166">
        <v>0</v>
      </c>
      <c r="E107" s="166">
        <v>0</v>
      </c>
      <c r="F107" s="166">
        <v>0</v>
      </c>
      <c r="G107" s="166">
        <v>0</v>
      </c>
      <c r="H107" s="166">
        <v>0</v>
      </c>
      <c r="I107" s="166">
        <v>0</v>
      </c>
      <c r="J107" s="166">
        <v>0</v>
      </c>
      <c r="K107" s="166">
        <v>0</v>
      </c>
      <c r="L107" s="166">
        <v>0</v>
      </c>
      <c r="M107" s="166">
        <v>0</v>
      </c>
      <c r="N107" s="166">
        <v>0</v>
      </c>
      <c r="O107" s="166">
        <v>0</v>
      </c>
      <c r="P107" s="166">
        <v>0</v>
      </c>
      <c r="Q107" s="166">
        <v>0</v>
      </c>
      <c r="R107" s="166">
        <v>0</v>
      </c>
      <c r="S107" s="166">
        <v>0</v>
      </c>
      <c r="T107" s="166">
        <v>0</v>
      </c>
      <c r="U107" s="169">
        <v>0</v>
      </c>
      <c r="V107" s="169">
        <v>0</v>
      </c>
      <c r="W107" s="169">
        <v>0</v>
      </c>
      <c r="X107" s="169">
        <v>0</v>
      </c>
      <c r="Y107" s="169">
        <v>0</v>
      </c>
      <c r="Z107" s="65">
        <v>0</v>
      </c>
      <c r="AA107" s="169">
        <v>0</v>
      </c>
      <c r="AB107" s="169">
        <v>0</v>
      </c>
      <c r="AC107" s="169">
        <v>0</v>
      </c>
      <c r="AD107" s="169">
        <v>0</v>
      </c>
      <c r="AE107" s="169">
        <v>0</v>
      </c>
      <c r="AF107" s="169">
        <v>0</v>
      </c>
      <c r="AG107" s="169">
        <v>0</v>
      </c>
      <c r="AH107" s="65">
        <v>0</v>
      </c>
      <c r="AI107" s="169">
        <v>0</v>
      </c>
      <c r="AJ107" s="169">
        <v>0</v>
      </c>
      <c r="AK107" s="169">
        <v>0</v>
      </c>
      <c r="AL107" s="169">
        <v>0</v>
      </c>
      <c r="AM107" s="169">
        <v>0</v>
      </c>
      <c r="AN107" s="170">
        <v>0</v>
      </c>
      <c r="AO107" s="170">
        <v>0</v>
      </c>
      <c r="AP107" s="170">
        <v>0</v>
      </c>
      <c r="AQ107" s="170">
        <v>0</v>
      </c>
      <c r="AR107" s="170">
        <v>0</v>
      </c>
      <c r="AS107" s="170">
        <v>0</v>
      </c>
      <c r="AT107" s="170">
        <f>6%+(char2Refine-1)*2%</f>
        <v>0.14000000000000001</v>
      </c>
      <c r="AU107" s="170">
        <v>0</v>
      </c>
      <c r="AV107" s="170">
        <v>0</v>
      </c>
      <c r="AW107" s="170">
        <v>0</v>
      </c>
      <c r="AX107" s="170">
        <v>0</v>
      </c>
      <c r="AY107" s="170">
        <v>0</v>
      </c>
      <c r="AZ107" s="170">
        <v>0</v>
      </c>
      <c r="BA107" s="170">
        <v>0</v>
      </c>
      <c r="BB107" s="170">
        <v>0</v>
      </c>
      <c r="BC107" s="170">
        <v>0</v>
      </c>
      <c r="BD107" s="170">
        <v>0</v>
      </c>
      <c r="BE107" s="170">
        <v>0</v>
      </c>
      <c r="BF107" s="170">
        <v>0</v>
      </c>
      <c r="BG107" s="170">
        <v>0</v>
      </c>
      <c r="BH107" s="170">
        <v>0</v>
      </c>
      <c r="BI107" s="170">
        <v>0</v>
      </c>
      <c r="BJ107" s="172">
        <v>0</v>
      </c>
      <c r="BK107" s="67">
        <v>0</v>
      </c>
      <c r="BL107" s="172">
        <v>0</v>
      </c>
      <c r="BM107" s="172">
        <v>0</v>
      </c>
      <c r="BN107" s="172">
        <v>0</v>
      </c>
      <c r="BO107" s="172">
        <v>0</v>
      </c>
      <c r="BP107" s="172">
        <v>0</v>
      </c>
      <c r="BQ107" s="172">
        <v>0</v>
      </c>
      <c r="BR107" s="172">
        <v>0</v>
      </c>
      <c r="BS107" s="172">
        <v>0</v>
      </c>
      <c r="BT107" s="172">
        <v>0</v>
      </c>
      <c r="BU107" s="172">
        <v>0</v>
      </c>
      <c r="BV107" s="172">
        <v>0</v>
      </c>
      <c r="BW107" s="172">
        <v>0</v>
      </c>
      <c r="BX107" s="172">
        <v>0</v>
      </c>
      <c r="BY107" s="172">
        <v>0</v>
      </c>
      <c r="BZ107" s="172">
        <v>0</v>
      </c>
      <c r="CA107" s="172">
        <v>0</v>
      </c>
      <c r="CB107" s="172">
        <v>0</v>
      </c>
      <c r="CC107" s="172">
        <v>0</v>
      </c>
      <c r="CD107" s="175">
        <v>0</v>
      </c>
      <c r="CE107" s="72">
        <v>0</v>
      </c>
      <c r="CF107" s="175">
        <v>0</v>
      </c>
      <c r="CG107" s="175">
        <v>0</v>
      </c>
      <c r="CH107" s="175">
        <v>0</v>
      </c>
      <c r="CI107" s="175">
        <v>0</v>
      </c>
      <c r="CJ107" s="175">
        <v>0</v>
      </c>
      <c r="CK107" s="175">
        <v>0</v>
      </c>
      <c r="CL107" s="175">
        <v>0</v>
      </c>
      <c r="CM107" s="175">
        <v>0</v>
      </c>
      <c r="CN107" s="175">
        <v>0</v>
      </c>
      <c r="CO107" s="175">
        <v>0</v>
      </c>
      <c r="CP107" s="175">
        <v>0</v>
      </c>
      <c r="CQ107" s="175">
        <v>0</v>
      </c>
      <c r="CR107" s="175">
        <v>0</v>
      </c>
      <c r="CS107" s="175">
        <v>0</v>
      </c>
      <c r="CT107" s="175">
        <v>0</v>
      </c>
      <c r="CU107" s="175">
        <v>0</v>
      </c>
      <c r="CV107" s="175">
        <v>0</v>
      </c>
    </row>
    <row r="108" spans="1:100" x14ac:dyDescent="0.25">
      <c r="A108" t="s">
        <v>419</v>
      </c>
      <c r="B108" s="166">
        <v>0</v>
      </c>
      <c r="C108" s="166">
        <v>0</v>
      </c>
      <c r="D108" s="166">
        <v>0</v>
      </c>
      <c r="E108" s="166">
        <v>0</v>
      </c>
      <c r="F108" s="166">
        <v>0</v>
      </c>
      <c r="G108" s="166">
        <v>0</v>
      </c>
      <c r="H108" s="166">
        <v>0</v>
      </c>
      <c r="I108" s="166">
        <v>0</v>
      </c>
      <c r="J108" s="166">
        <v>0</v>
      </c>
      <c r="K108" s="166">
        <v>0</v>
      </c>
      <c r="L108" s="166">
        <v>0</v>
      </c>
      <c r="M108" s="166">
        <v>0</v>
      </c>
      <c r="N108" s="166">
        <v>0</v>
      </c>
      <c r="O108" s="166">
        <v>0</v>
      </c>
      <c r="P108" s="166">
        <v>0</v>
      </c>
      <c r="Q108" s="166">
        <v>0</v>
      </c>
      <c r="R108" s="166">
        <v>0</v>
      </c>
      <c r="S108" s="166">
        <v>0</v>
      </c>
      <c r="T108" s="166">
        <v>0</v>
      </c>
      <c r="U108" s="169">
        <v>0</v>
      </c>
      <c r="V108" s="169">
        <v>0</v>
      </c>
      <c r="W108" s="169">
        <v>0</v>
      </c>
      <c r="X108" s="169">
        <v>0</v>
      </c>
      <c r="Y108" s="169">
        <v>0</v>
      </c>
      <c r="Z108" s="65">
        <v>0</v>
      </c>
      <c r="AA108" s="169">
        <f>6%+(char2Refine-1)*1.5%</f>
        <v>0.12</v>
      </c>
      <c r="AB108" s="169">
        <v>0</v>
      </c>
      <c r="AC108" s="169">
        <v>0</v>
      </c>
      <c r="AD108" s="169">
        <v>0</v>
      </c>
      <c r="AE108" s="169">
        <v>0</v>
      </c>
      <c r="AF108" s="169">
        <v>0</v>
      </c>
      <c r="AG108" s="169">
        <v>0</v>
      </c>
      <c r="AH108" s="65">
        <v>0</v>
      </c>
      <c r="AI108" s="169">
        <v>0</v>
      </c>
      <c r="AJ108" s="169">
        <v>0</v>
      </c>
      <c r="AK108" s="169">
        <v>0</v>
      </c>
      <c r="AL108" s="169">
        <v>0</v>
      </c>
      <c r="AM108" s="169">
        <v>0</v>
      </c>
      <c r="AN108" s="170">
        <v>0</v>
      </c>
      <c r="AO108" s="170">
        <v>0</v>
      </c>
      <c r="AP108" s="170">
        <v>0</v>
      </c>
      <c r="AQ108" s="170">
        <v>0</v>
      </c>
      <c r="AR108" s="170">
        <v>0</v>
      </c>
      <c r="AS108" s="170">
        <v>0</v>
      </c>
      <c r="AT108" s="170">
        <v>0</v>
      </c>
      <c r="AU108" s="170">
        <v>0</v>
      </c>
      <c r="AV108" s="170">
        <v>0</v>
      </c>
      <c r="AW108" s="170">
        <v>0</v>
      </c>
      <c r="AX108" s="170">
        <v>0</v>
      </c>
      <c r="AY108" s="170">
        <v>0</v>
      </c>
      <c r="AZ108" s="170">
        <v>0</v>
      </c>
      <c r="BA108" s="170">
        <v>0</v>
      </c>
      <c r="BB108" s="170">
        <v>0</v>
      </c>
      <c r="BC108" s="170">
        <v>0</v>
      </c>
      <c r="BD108" s="170">
        <v>0</v>
      </c>
      <c r="BE108" s="170">
        <v>0</v>
      </c>
      <c r="BF108" s="170">
        <v>0</v>
      </c>
      <c r="BG108" s="170">
        <v>0</v>
      </c>
      <c r="BH108" s="170">
        <v>0</v>
      </c>
      <c r="BI108" s="170">
        <v>0</v>
      </c>
      <c r="BJ108" s="172">
        <v>0</v>
      </c>
      <c r="BK108" s="67">
        <v>0</v>
      </c>
      <c r="BL108" s="172">
        <v>0</v>
      </c>
      <c r="BM108" s="172">
        <v>0</v>
      </c>
      <c r="BN108" s="172">
        <v>0</v>
      </c>
      <c r="BO108" s="172">
        <v>0</v>
      </c>
      <c r="BP108" s="172">
        <v>0</v>
      </c>
      <c r="BQ108" s="172">
        <v>0</v>
      </c>
      <c r="BR108" s="172">
        <v>0</v>
      </c>
      <c r="BS108" s="172">
        <v>0</v>
      </c>
      <c r="BT108" s="172">
        <v>0</v>
      </c>
      <c r="BU108" s="172">
        <v>0</v>
      </c>
      <c r="BV108" s="172">
        <v>0</v>
      </c>
      <c r="BW108" s="172">
        <v>0</v>
      </c>
      <c r="BX108" s="172">
        <v>0</v>
      </c>
      <c r="BY108" s="172">
        <v>0</v>
      </c>
      <c r="BZ108" s="172">
        <v>0</v>
      </c>
      <c r="CA108" s="172">
        <v>0</v>
      </c>
      <c r="CB108" s="172">
        <v>0</v>
      </c>
      <c r="CC108" s="172">
        <v>0</v>
      </c>
      <c r="CD108" s="175">
        <v>0</v>
      </c>
      <c r="CE108" s="72">
        <v>0</v>
      </c>
      <c r="CF108" s="175">
        <v>0</v>
      </c>
      <c r="CG108" s="175">
        <v>0</v>
      </c>
      <c r="CH108" s="175">
        <v>0</v>
      </c>
      <c r="CI108" s="175">
        <v>0</v>
      </c>
      <c r="CJ108" s="175">
        <v>0</v>
      </c>
      <c r="CK108" s="175">
        <v>0</v>
      </c>
      <c r="CL108" s="175">
        <v>0</v>
      </c>
      <c r="CM108" s="175">
        <v>0</v>
      </c>
      <c r="CN108" s="175">
        <v>0</v>
      </c>
      <c r="CO108" s="175">
        <v>0</v>
      </c>
      <c r="CP108" s="175">
        <v>0</v>
      </c>
      <c r="CQ108" s="175">
        <v>0</v>
      </c>
      <c r="CR108" s="175">
        <v>0</v>
      </c>
      <c r="CS108" s="175">
        <v>0</v>
      </c>
      <c r="CT108" s="175">
        <v>0</v>
      </c>
      <c r="CU108" s="175">
        <v>0</v>
      </c>
      <c r="CV108" s="175">
        <v>0</v>
      </c>
    </row>
    <row r="109" spans="1:100" x14ac:dyDescent="0.25">
      <c r="A109" t="s">
        <v>421</v>
      </c>
      <c r="B109" s="166">
        <v>0</v>
      </c>
      <c r="C109" s="166">
        <v>0</v>
      </c>
      <c r="D109" s="166">
        <v>0</v>
      </c>
      <c r="E109" s="166">
        <v>0</v>
      </c>
      <c r="F109" s="166">
        <v>0</v>
      </c>
      <c r="G109" s="166">
        <v>0</v>
      </c>
      <c r="H109" s="166">
        <v>0</v>
      </c>
      <c r="I109" s="166">
        <v>0</v>
      </c>
      <c r="J109" s="166">
        <v>0</v>
      </c>
      <c r="K109" s="166">
        <v>0</v>
      </c>
      <c r="L109" s="166">
        <v>0</v>
      </c>
      <c r="M109" s="166">
        <v>0</v>
      </c>
      <c r="N109" s="166">
        <v>0</v>
      </c>
      <c r="O109" s="166">
        <v>0</v>
      </c>
      <c r="P109" s="166">
        <v>0</v>
      </c>
      <c r="Q109" s="166">
        <v>0</v>
      </c>
      <c r="R109" s="166">
        <v>0</v>
      </c>
      <c r="S109" s="166">
        <v>0</v>
      </c>
      <c r="T109" s="166">
        <v>0</v>
      </c>
      <c r="U109" s="169">
        <v>0</v>
      </c>
      <c r="V109" s="169">
        <v>0</v>
      </c>
      <c r="W109" s="169">
        <v>0</v>
      </c>
      <c r="X109" s="169">
        <v>0</v>
      </c>
      <c r="Y109" s="169">
        <v>0</v>
      </c>
      <c r="Z109" s="65">
        <v>0</v>
      </c>
      <c r="AA109" s="169">
        <v>0</v>
      </c>
      <c r="AB109" s="169">
        <v>0</v>
      </c>
      <c r="AC109" s="169">
        <v>0</v>
      </c>
      <c r="AD109" s="169">
        <v>0</v>
      </c>
      <c r="AE109" s="169">
        <v>0</v>
      </c>
      <c r="AF109" s="169">
        <v>0</v>
      </c>
      <c r="AG109" s="169">
        <v>0</v>
      </c>
      <c r="AH109" s="65">
        <v>0</v>
      </c>
      <c r="AI109" s="169">
        <v>0</v>
      </c>
      <c r="AJ109" s="169">
        <v>0</v>
      </c>
      <c r="AK109" s="169">
        <v>0</v>
      </c>
      <c r="AL109" s="169">
        <v>0</v>
      </c>
      <c r="AM109" s="169">
        <v>0</v>
      </c>
      <c r="AN109" s="170">
        <v>0</v>
      </c>
      <c r="AO109" s="170">
        <v>0</v>
      </c>
      <c r="AP109" s="170">
        <v>0</v>
      </c>
      <c r="AQ109" s="170">
        <v>0</v>
      </c>
      <c r="AR109" s="170">
        <v>0</v>
      </c>
      <c r="AS109" s="170">
        <v>0</v>
      </c>
      <c r="AT109" s="170">
        <v>0</v>
      </c>
      <c r="AU109" s="170">
        <v>0</v>
      </c>
      <c r="AV109" s="170">
        <v>0</v>
      </c>
      <c r="AW109" s="170">
        <v>0</v>
      </c>
      <c r="AX109" s="170">
        <v>0</v>
      </c>
      <c r="AY109" s="170">
        <v>0</v>
      </c>
      <c r="AZ109" s="170">
        <v>0</v>
      </c>
      <c r="BA109" s="170">
        <v>0</v>
      </c>
      <c r="BB109" s="170">
        <v>0</v>
      </c>
      <c r="BC109" s="170">
        <v>0</v>
      </c>
      <c r="BD109" s="170">
        <v>0</v>
      </c>
      <c r="BE109" s="170">
        <v>0</v>
      </c>
      <c r="BF109" s="170">
        <v>0</v>
      </c>
      <c r="BG109" s="170">
        <v>0</v>
      </c>
      <c r="BH109" s="170">
        <v>0</v>
      </c>
      <c r="BI109" s="170">
        <v>0</v>
      </c>
      <c r="BJ109" s="172">
        <v>0</v>
      </c>
      <c r="BK109" s="67">
        <v>0</v>
      </c>
      <c r="BL109" s="172">
        <v>0</v>
      </c>
      <c r="BM109" s="172">
        <v>0</v>
      </c>
      <c r="BN109" s="172">
        <v>0</v>
      </c>
      <c r="BO109" s="172">
        <v>0</v>
      </c>
      <c r="BP109" s="172">
        <v>0</v>
      </c>
      <c r="BQ109" s="172">
        <v>0</v>
      </c>
      <c r="BR109" s="172">
        <v>0</v>
      </c>
      <c r="BS109" s="172">
        <v>0</v>
      </c>
      <c r="BT109" s="172">
        <v>0</v>
      </c>
      <c r="BU109" s="172">
        <v>0</v>
      </c>
      <c r="BV109" s="172">
        <v>0</v>
      </c>
      <c r="BW109" s="172">
        <v>0</v>
      </c>
      <c r="BX109" s="172">
        <v>0</v>
      </c>
      <c r="BY109" s="172">
        <v>0</v>
      </c>
      <c r="BZ109" s="172">
        <v>0</v>
      </c>
      <c r="CA109" s="172">
        <v>0</v>
      </c>
      <c r="CB109" s="172">
        <v>0</v>
      </c>
      <c r="CC109" s="172">
        <v>0</v>
      </c>
      <c r="CD109" s="175">
        <v>0</v>
      </c>
      <c r="CE109" s="72">
        <v>0</v>
      </c>
      <c r="CF109" s="175">
        <v>0</v>
      </c>
      <c r="CG109" s="175">
        <v>0</v>
      </c>
      <c r="CH109" s="175">
        <v>0</v>
      </c>
      <c r="CI109" s="175">
        <v>0</v>
      </c>
      <c r="CJ109" s="175">
        <v>0</v>
      </c>
      <c r="CK109" s="175">
        <v>0</v>
      </c>
      <c r="CL109" s="175">
        <v>0</v>
      </c>
      <c r="CM109" s="175">
        <v>0</v>
      </c>
      <c r="CN109" s="175">
        <v>0</v>
      </c>
      <c r="CO109" s="175">
        <v>0</v>
      </c>
      <c r="CP109" s="175">
        <v>0</v>
      </c>
      <c r="CQ109" s="175">
        <v>0</v>
      </c>
      <c r="CR109" s="175">
        <v>0</v>
      </c>
      <c r="CS109" s="175">
        <v>0</v>
      </c>
      <c r="CT109" s="175">
        <v>0</v>
      </c>
      <c r="CU109" s="175">
        <v>0</v>
      </c>
      <c r="CV109" s="175">
        <v>0</v>
      </c>
    </row>
    <row r="110" spans="1:100" x14ac:dyDescent="0.25">
      <c r="A110" t="s">
        <v>433</v>
      </c>
      <c r="B110" s="166">
        <v>0</v>
      </c>
      <c r="C110" s="166">
        <v>0</v>
      </c>
      <c r="D110" s="166">
        <v>0</v>
      </c>
      <c r="E110" s="166">
        <v>0</v>
      </c>
      <c r="F110" s="166">
        <v>0</v>
      </c>
      <c r="G110" s="166">
        <v>0</v>
      </c>
      <c r="H110" s="166">
        <v>0</v>
      </c>
      <c r="I110" s="166">
        <v>0</v>
      </c>
      <c r="J110" s="166">
        <v>0</v>
      </c>
      <c r="K110" s="166">
        <v>0</v>
      </c>
      <c r="L110" s="166">
        <v>0</v>
      </c>
      <c r="M110" s="166">
        <v>0</v>
      </c>
      <c r="N110" s="166">
        <v>0</v>
      </c>
      <c r="O110" s="166">
        <v>0</v>
      </c>
      <c r="P110" s="166">
        <v>0</v>
      </c>
      <c r="Q110" s="166">
        <v>0</v>
      </c>
      <c r="R110" s="166">
        <v>0</v>
      </c>
      <c r="S110" s="166">
        <v>0</v>
      </c>
      <c r="T110" s="166">
        <v>0</v>
      </c>
      <c r="U110" s="169">
        <v>0</v>
      </c>
      <c r="V110" s="169">
        <v>0</v>
      </c>
      <c r="W110" s="169">
        <v>0</v>
      </c>
      <c r="X110" s="169">
        <v>0</v>
      </c>
      <c r="Y110" s="169">
        <v>0</v>
      </c>
      <c r="Z110" s="65">
        <v>0</v>
      </c>
      <c r="AA110" s="169">
        <v>0</v>
      </c>
      <c r="AB110" s="169">
        <v>0</v>
      </c>
      <c r="AC110" s="169">
        <v>0</v>
      </c>
      <c r="AD110" s="169">
        <v>0</v>
      </c>
      <c r="AE110" s="169">
        <v>0</v>
      </c>
      <c r="AF110" s="169">
        <v>0</v>
      </c>
      <c r="AG110" s="169">
        <v>0</v>
      </c>
      <c r="AH110" s="65">
        <v>0</v>
      </c>
      <c r="AI110" s="169">
        <v>0</v>
      </c>
      <c r="AJ110" s="169">
        <v>0</v>
      </c>
      <c r="AK110" s="169">
        <v>0</v>
      </c>
      <c r="AL110" s="169">
        <v>0</v>
      </c>
      <c r="AM110" s="169">
        <v>0</v>
      </c>
      <c r="AN110" s="170">
        <v>0</v>
      </c>
      <c r="AO110" s="170">
        <v>0</v>
      </c>
      <c r="AP110" s="170">
        <v>0</v>
      </c>
      <c r="AQ110" s="170">
        <v>0</v>
      </c>
      <c r="AR110" s="170">
        <v>0</v>
      </c>
      <c r="AS110" s="170">
        <v>0</v>
      </c>
      <c r="AT110" s="170">
        <v>0</v>
      </c>
      <c r="AU110" s="170">
        <v>0</v>
      </c>
      <c r="AV110" s="170">
        <v>0</v>
      </c>
      <c r="AW110" s="170">
        <v>0</v>
      </c>
      <c r="AX110" s="170">
        <v>0</v>
      </c>
      <c r="AY110" s="170">
        <v>0</v>
      </c>
      <c r="AZ110" s="170">
        <v>0</v>
      </c>
      <c r="BA110" s="170">
        <v>0</v>
      </c>
      <c r="BB110" s="170">
        <v>0</v>
      </c>
      <c r="BC110" s="170">
        <v>0</v>
      </c>
      <c r="BD110" s="170">
        <v>0</v>
      </c>
      <c r="BE110" s="170">
        <v>0</v>
      </c>
      <c r="BF110" s="170">
        <v>0</v>
      </c>
      <c r="BG110" s="170">
        <v>0</v>
      </c>
      <c r="BH110" s="170">
        <v>0</v>
      </c>
      <c r="BI110" s="170">
        <v>0</v>
      </c>
      <c r="BJ110" s="172">
        <v>0</v>
      </c>
      <c r="BK110" s="67">
        <v>0</v>
      </c>
      <c r="BL110" s="172">
        <v>0</v>
      </c>
      <c r="BM110" s="172">
        <v>0</v>
      </c>
      <c r="BN110" s="172">
        <v>0</v>
      </c>
      <c r="BO110" s="172">
        <v>0</v>
      </c>
      <c r="BP110" s="172">
        <v>0</v>
      </c>
      <c r="BQ110" s="172">
        <v>0</v>
      </c>
      <c r="BR110" s="172">
        <v>0</v>
      </c>
      <c r="BS110" s="172">
        <v>0</v>
      </c>
      <c r="BT110" s="172">
        <v>0</v>
      </c>
      <c r="BU110" s="172">
        <v>0</v>
      </c>
      <c r="BV110" s="172">
        <v>0</v>
      </c>
      <c r="BW110" s="172">
        <v>0</v>
      </c>
      <c r="BX110" s="172">
        <v>0</v>
      </c>
      <c r="BY110" s="172">
        <v>0</v>
      </c>
      <c r="BZ110" s="172">
        <v>0</v>
      </c>
      <c r="CA110" s="172">
        <v>0</v>
      </c>
      <c r="CB110" s="172">
        <v>0</v>
      </c>
      <c r="CC110" s="172">
        <v>0</v>
      </c>
      <c r="CD110" s="175">
        <v>0</v>
      </c>
      <c r="CE110" s="72">
        <v>0</v>
      </c>
      <c r="CF110" s="175">
        <v>0</v>
      </c>
      <c r="CG110" s="175">
        <v>0</v>
      </c>
      <c r="CH110" s="175">
        <v>0</v>
      </c>
      <c r="CI110" s="175">
        <v>0</v>
      </c>
      <c r="CJ110" s="175">
        <v>0</v>
      </c>
      <c r="CK110" s="175">
        <v>0</v>
      </c>
      <c r="CL110" s="175">
        <v>0</v>
      </c>
      <c r="CM110" s="175">
        <v>0</v>
      </c>
      <c r="CN110" s="175">
        <v>0</v>
      </c>
      <c r="CO110" s="175">
        <v>0</v>
      </c>
      <c r="CP110" s="175">
        <v>0</v>
      </c>
      <c r="CQ110" s="175">
        <v>0</v>
      </c>
      <c r="CR110" s="175">
        <v>0</v>
      </c>
      <c r="CS110" s="175">
        <v>0</v>
      </c>
      <c r="CT110" s="175">
        <v>0</v>
      </c>
      <c r="CU110" s="175">
        <v>0</v>
      </c>
      <c r="CV110" s="175">
        <v>0</v>
      </c>
    </row>
    <row r="111" spans="1:100" x14ac:dyDescent="0.25">
      <c r="A111" s="44" t="s">
        <v>62</v>
      </c>
      <c r="B111" s="176">
        <v>0</v>
      </c>
      <c r="C111" s="177">
        <v>0</v>
      </c>
      <c r="D111" s="202">
        <v>0</v>
      </c>
      <c r="E111" s="177">
        <v>0</v>
      </c>
      <c r="F111" s="202">
        <v>0</v>
      </c>
      <c r="G111" s="177">
        <v>0</v>
      </c>
      <c r="H111" s="177">
        <v>0</v>
      </c>
      <c r="I111" s="177">
        <v>0</v>
      </c>
      <c r="J111" s="177">
        <v>0</v>
      </c>
      <c r="K111" s="177">
        <v>0</v>
      </c>
      <c r="L111" s="177">
        <v>0</v>
      </c>
      <c r="M111" s="177">
        <v>0</v>
      </c>
      <c r="N111" s="177">
        <v>0</v>
      </c>
      <c r="O111" s="177">
        <v>0</v>
      </c>
      <c r="P111" s="202">
        <v>0</v>
      </c>
      <c r="Q111" s="202">
        <v>0</v>
      </c>
      <c r="R111" s="202">
        <v>0</v>
      </c>
      <c r="S111" s="177">
        <v>0</v>
      </c>
      <c r="T111" s="177">
        <v>0</v>
      </c>
      <c r="U111" s="178">
        <v>0</v>
      </c>
      <c r="V111" s="178">
        <v>0</v>
      </c>
      <c r="W111" s="178">
        <v>0</v>
      </c>
      <c r="X111" s="178">
        <v>0</v>
      </c>
      <c r="Y111" s="178" cm="1">
        <f t="array" ref="Y111">IF(char2WeapToggle,(char2FinalHP*(0.008+(char2Refine-1)*0.002))+(char2FinalHP*(0.01+(char2Refine-1)*0.002)),(char2FinalHP*(0.008+(char2Refine-1)*0.002)))</f>
        <v>256.90787840000002</v>
      </c>
      <c r="Z111" s="65">
        <v>0</v>
      </c>
      <c r="AA111" s="178">
        <v>0</v>
      </c>
      <c r="AB111" s="178">
        <v>0</v>
      </c>
      <c r="AC111" s="178">
        <v>0</v>
      </c>
      <c r="AD111" s="178">
        <v>0</v>
      </c>
      <c r="AE111" s="178">
        <v>0</v>
      </c>
      <c r="AF111" s="178">
        <v>0</v>
      </c>
      <c r="AG111" s="178">
        <v>0</v>
      </c>
      <c r="AH111" s="74">
        <v>0</v>
      </c>
      <c r="AI111" s="178">
        <v>0</v>
      </c>
      <c r="AJ111" s="178">
        <v>0</v>
      </c>
      <c r="AK111" s="178">
        <v>0</v>
      </c>
      <c r="AL111" s="178">
        <v>0</v>
      </c>
      <c r="AM111" s="178">
        <v>0</v>
      </c>
      <c r="AN111" s="179">
        <f>((1.2+(char2Refine-1)*0.3)/100)*char2FinalHP</f>
        <v>385.36181759999999</v>
      </c>
      <c r="AO111" s="179">
        <v>0</v>
      </c>
      <c r="AP111" s="179">
        <v>0</v>
      </c>
      <c r="AQ111" s="179">
        <v>0</v>
      </c>
      <c r="AR111" s="179">
        <v>0</v>
      </c>
      <c r="AS111" s="179">
        <v>0</v>
      </c>
      <c r="AT111" s="179">
        <v>0</v>
      </c>
      <c r="AU111" s="179">
        <v>0</v>
      </c>
      <c r="AV111" s="179">
        <v>0</v>
      </c>
      <c r="AW111" s="179">
        <v>0</v>
      </c>
      <c r="AX111" s="179">
        <v>0</v>
      </c>
      <c r="AY111" s="179">
        <v>0</v>
      </c>
      <c r="AZ111" s="179">
        <v>0</v>
      </c>
      <c r="BA111" s="179">
        <v>0</v>
      </c>
      <c r="BB111" s="179">
        <v>0</v>
      </c>
      <c r="BC111" s="179">
        <v>0</v>
      </c>
      <c r="BD111" s="179">
        <v>0</v>
      </c>
      <c r="BE111" s="179">
        <v>0</v>
      </c>
      <c r="BF111" s="179">
        <v>0</v>
      </c>
      <c r="BG111" s="179">
        <v>0</v>
      </c>
      <c r="BH111" s="179">
        <v>0</v>
      </c>
      <c r="BI111" s="179">
        <v>0</v>
      </c>
      <c r="BJ111" s="164">
        <v>0</v>
      </c>
      <c r="BK111" s="67">
        <v>0</v>
      </c>
      <c r="BL111" s="164">
        <v>0</v>
      </c>
      <c r="BM111" s="164">
        <v>0</v>
      </c>
      <c r="BN111" s="164">
        <v>0</v>
      </c>
      <c r="BO111" s="164">
        <v>0</v>
      </c>
      <c r="BP111" s="164">
        <v>0</v>
      </c>
      <c r="BQ111" s="164">
        <v>0</v>
      </c>
      <c r="BR111" s="164">
        <v>0</v>
      </c>
      <c r="BS111" s="164">
        <v>0</v>
      </c>
      <c r="BT111" s="164">
        <v>0</v>
      </c>
      <c r="BU111" s="164">
        <v>0</v>
      </c>
      <c r="BV111" s="164">
        <v>0</v>
      </c>
      <c r="BW111" s="164">
        <v>0</v>
      </c>
      <c r="BX111" s="164">
        <v>0</v>
      </c>
      <c r="BY111" s="164">
        <v>0</v>
      </c>
      <c r="BZ111" s="164">
        <v>0</v>
      </c>
      <c r="CA111" s="164">
        <v>0</v>
      </c>
      <c r="CB111" s="164">
        <v>0</v>
      </c>
      <c r="CC111" s="164">
        <v>0</v>
      </c>
      <c r="CD111" s="180">
        <v>0</v>
      </c>
      <c r="CE111" s="77">
        <v>0</v>
      </c>
      <c r="CF111" s="180">
        <v>0</v>
      </c>
      <c r="CG111" s="180">
        <v>0</v>
      </c>
      <c r="CH111" s="180">
        <v>0</v>
      </c>
      <c r="CI111" s="180">
        <v>0</v>
      </c>
      <c r="CJ111" s="180">
        <v>0</v>
      </c>
      <c r="CK111" s="181">
        <v>0</v>
      </c>
      <c r="CL111" s="180">
        <v>0</v>
      </c>
      <c r="CM111" s="180">
        <v>0</v>
      </c>
      <c r="CN111" s="180">
        <v>0</v>
      </c>
      <c r="CO111" s="180">
        <v>0</v>
      </c>
      <c r="CP111" s="180">
        <v>0</v>
      </c>
      <c r="CQ111" s="181">
        <v>0</v>
      </c>
      <c r="CR111" s="180">
        <v>0</v>
      </c>
      <c r="CS111" s="180">
        <v>0</v>
      </c>
      <c r="CT111" s="180">
        <v>0</v>
      </c>
      <c r="CU111" s="180">
        <v>0</v>
      </c>
      <c r="CV111" s="181">
        <v>0</v>
      </c>
    </row>
    <row r="112" spans="1:100" x14ac:dyDescent="0.25">
      <c r="A112" s="44" t="s">
        <v>64</v>
      </c>
      <c r="B112" s="176">
        <v>0</v>
      </c>
      <c r="C112" s="177">
        <v>0</v>
      </c>
      <c r="D112" s="202">
        <v>0</v>
      </c>
      <c r="E112" s="177">
        <v>0</v>
      </c>
      <c r="F112" s="202">
        <v>0</v>
      </c>
      <c r="G112" s="177">
        <v>0</v>
      </c>
      <c r="H112" s="177">
        <v>0</v>
      </c>
      <c r="I112" s="177">
        <v>0</v>
      </c>
      <c r="J112" s="177">
        <v>0</v>
      </c>
      <c r="K112" s="177">
        <v>0</v>
      </c>
      <c r="L112" s="177">
        <v>0</v>
      </c>
      <c r="M112" s="177">
        <v>0</v>
      </c>
      <c r="N112" s="177">
        <v>0</v>
      </c>
      <c r="O112" s="177">
        <v>0</v>
      </c>
      <c r="P112" s="202">
        <v>0</v>
      </c>
      <c r="Q112" s="202">
        <v>0</v>
      </c>
      <c r="R112" s="202">
        <v>0</v>
      </c>
      <c r="S112" s="177">
        <v>0</v>
      </c>
      <c r="T112" s="177">
        <v>0</v>
      </c>
      <c r="U112" s="178">
        <v>0</v>
      </c>
      <c r="V112" s="178">
        <v>0</v>
      </c>
      <c r="W112" s="178">
        <v>0</v>
      </c>
      <c r="X112" s="178">
        <v>0</v>
      </c>
      <c r="Y112" s="178">
        <v>0</v>
      </c>
      <c r="Z112" s="65">
        <v>0</v>
      </c>
      <c r="AA112" s="178">
        <v>0</v>
      </c>
      <c r="AB112" s="178">
        <v>0</v>
      </c>
      <c r="AC112" s="178">
        <v>0</v>
      </c>
      <c r="AD112" s="178">
        <v>0</v>
      </c>
      <c r="AE112" s="178">
        <v>0</v>
      </c>
      <c r="AF112" s="178">
        <v>0</v>
      </c>
      <c r="AG112" s="178">
        <v>0</v>
      </c>
      <c r="AH112" s="74">
        <v>0</v>
      </c>
      <c r="AI112" s="178">
        <v>0</v>
      </c>
      <c r="AJ112" s="178">
        <v>0</v>
      </c>
      <c r="AK112" s="178">
        <v>0</v>
      </c>
      <c r="AL112" s="178">
        <v>0</v>
      </c>
      <c r="AM112" s="178">
        <v>0</v>
      </c>
      <c r="AN112" s="179">
        <v>0</v>
      </c>
      <c r="AO112" s="179">
        <v>0</v>
      </c>
      <c r="AP112" s="179">
        <v>0</v>
      </c>
      <c r="AQ112" s="179">
        <v>0</v>
      </c>
      <c r="AR112" s="179">
        <v>0</v>
      </c>
      <c r="AS112" s="179">
        <v>0</v>
      </c>
      <c r="AT112" s="179">
        <v>0</v>
      </c>
      <c r="AU112" s="179">
        <v>0</v>
      </c>
      <c r="AV112" s="179">
        <v>0</v>
      </c>
      <c r="AW112" s="179">
        <v>0</v>
      </c>
      <c r="AX112" s="179">
        <v>0</v>
      </c>
      <c r="AY112" s="179">
        <v>0</v>
      </c>
      <c r="AZ112" s="179">
        <v>0</v>
      </c>
      <c r="BA112" s="179">
        <v>0</v>
      </c>
      <c r="BB112" s="179">
        <v>0</v>
      </c>
      <c r="BC112" s="179">
        <v>0</v>
      </c>
      <c r="BD112" s="179">
        <v>0</v>
      </c>
      <c r="BE112" s="179">
        <v>0</v>
      </c>
      <c r="BF112" s="179">
        <v>0</v>
      </c>
      <c r="BG112" s="179">
        <v>0</v>
      </c>
      <c r="BH112" s="179">
        <v>0</v>
      </c>
      <c r="BI112" s="179">
        <v>0</v>
      </c>
      <c r="BJ112" s="164">
        <v>0</v>
      </c>
      <c r="BK112" s="67">
        <v>0</v>
      </c>
      <c r="BL112" s="164">
        <v>0</v>
      </c>
      <c r="BM112" s="164">
        <v>0</v>
      </c>
      <c r="BN112" s="164">
        <v>0</v>
      </c>
      <c r="BO112" s="164">
        <v>0</v>
      </c>
      <c r="BP112" s="164">
        <v>0</v>
      </c>
      <c r="BQ112" s="164">
        <v>0</v>
      </c>
      <c r="BR112" s="164">
        <v>0</v>
      </c>
      <c r="BS112" s="164">
        <v>0</v>
      </c>
      <c r="BT112" s="164">
        <v>0</v>
      </c>
      <c r="BU112" s="164">
        <v>0</v>
      </c>
      <c r="BV112" s="164">
        <v>0</v>
      </c>
      <c r="BW112" s="164">
        <v>0</v>
      </c>
      <c r="BX112" s="164">
        <v>0</v>
      </c>
      <c r="BY112" s="164">
        <v>0</v>
      </c>
      <c r="BZ112" s="164">
        <v>0</v>
      </c>
      <c r="CA112" s="164">
        <v>0</v>
      </c>
      <c r="CB112" s="164">
        <v>0</v>
      </c>
      <c r="CC112" s="164">
        <v>0</v>
      </c>
      <c r="CD112" s="180">
        <v>0</v>
      </c>
      <c r="CE112" s="77">
        <v>0</v>
      </c>
      <c r="CF112" s="180">
        <v>0</v>
      </c>
      <c r="CG112" s="180">
        <v>0</v>
      </c>
      <c r="CH112" s="180">
        <v>0</v>
      </c>
      <c r="CI112" s="180">
        <v>0</v>
      </c>
      <c r="CJ112" s="180">
        <v>0</v>
      </c>
      <c r="CK112" s="181">
        <v>0</v>
      </c>
      <c r="CL112" s="180">
        <v>0</v>
      </c>
      <c r="CM112" s="180">
        <v>0</v>
      </c>
      <c r="CN112" s="180">
        <v>0</v>
      </c>
      <c r="CO112" s="180">
        <v>0</v>
      </c>
      <c r="CP112" s="180">
        <v>0</v>
      </c>
      <c r="CQ112" s="181">
        <v>0</v>
      </c>
      <c r="CR112" s="180">
        <v>0</v>
      </c>
      <c r="CS112" s="180">
        <v>0</v>
      </c>
      <c r="CT112" s="180">
        <v>0</v>
      </c>
      <c r="CU112" s="180">
        <v>0</v>
      </c>
      <c r="CV112" s="181">
        <v>0</v>
      </c>
    </row>
    <row r="113" spans="1:100" x14ac:dyDescent="0.25">
      <c r="A113" s="44" t="s">
        <v>63</v>
      </c>
      <c r="B113" s="176">
        <v>0</v>
      </c>
      <c r="C113" s="177">
        <v>0</v>
      </c>
      <c r="D113" s="202">
        <v>0</v>
      </c>
      <c r="E113" s="177">
        <v>0</v>
      </c>
      <c r="F113" s="202">
        <v>0</v>
      </c>
      <c r="G113" s="177">
        <v>0</v>
      </c>
      <c r="H113" s="177">
        <v>0</v>
      </c>
      <c r="I113" s="177">
        <v>0</v>
      </c>
      <c r="J113" s="177">
        <v>0</v>
      </c>
      <c r="K113" s="177">
        <v>0</v>
      </c>
      <c r="L113" s="177">
        <v>0</v>
      </c>
      <c r="M113" s="177">
        <v>0</v>
      </c>
      <c r="N113" s="177">
        <v>0</v>
      </c>
      <c r="O113" s="177">
        <v>0</v>
      </c>
      <c r="P113" s="202">
        <v>0</v>
      </c>
      <c r="Q113" s="202">
        <v>0</v>
      </c>
      <c r="R113" s="202">
        <v>0</v>
      </c>
      <c r="S113" s="177">
        <v>0</v>
      </c>
      <c r="T113" s="177">
        <v>0</v>
      </c>
      <c r="U113" s="178">
        <v>0</v>
      </c>
      <c r="V113" s="178">
        <v>0</v>
      </c>
      <c r="W113" s="178">
        <v>0</v>
      </c>
      <c r="X113" s="178">
        <v>0</v>
      </c>
      <c r="Y113" s="178">
        <v>0</v>
      </c>
      <c r="Z113" s="65">
        <v>0</v>
      </c>
      <c r="AA113" s="178">
        <v>0</v>
      </c>
      <c r="AB113" s="178">
        <v>0</v>
      </c>
      <c r="AC113" s="178">
        <v>0</v>
      </c>
      <c r="AD113" s="178">
        <v>0</v>
      </c>
      <c r="AE113" s="178">
        <v>0</v>
      </c>
      <c r="AF113" s="178">
        <v>0</v>
      </c>
      <c r="AG113" s="178">
        <v>0</v>
      </c>
      <c r="AH113" s="74">
        <v>0</v>
      </c>
      <c r="AI113" s="178">
        <v>0</v>
      </c>
      <c r="AJ113" s="178">
        <v>0</v>
      </c>
      <c r="AK113" s="178">
        <v>0</v>
      </c>
      <c r="AL113" s="178">
        <v>0</v>
      </c>
      <c r="AM113" s="178">
        <v>0</v>
      </c>
      <c r="AN113" s="179">
        <v>0</v>
      </c>
      <c r="AO113" s="179">
        <v>0</v>
      </c>
      <c r="AP113" s="179">
        <v>0</v>
      </c>
      <c r="AQ113" s="179">
        <v>0</v>
      </c>
      <c r="AR113" s="179">
        <v>0</v>
      </c>
      <c r="AS113" s="179">
        <v>0</v>
      </c>
      <c r="AT113" s="179">
        <v>0</v>
      </c>
      <c r="AU113" s="179">
        <v>0</v>
      </c>
      <c r="AV113" s="179">
        <v>0</v>
      </c>
      <c r="AW113" s="179">
        <v>0</v>
      </c>
      <c r="AX113" s="179">
        <v>0</v>
      </c>
      <c r="AY113" s="179">
        <v>0</v>
      </c>
      <c r="AZ113" s="179">
        <v>0</v>
      </c>
      <c r="BA113" s="179">
        <v>0</v>
      </c>
      <c r="BB113" s="179">
        <v>0</v>
      </c>
      <c r="BC113" s="179">
        <v>0</v>
      </c>
      <c r="BD113" s="179">
        <v>0</v>
      </c>
      <c r="BE113" s="179">
        <v>0</v>
      </c>
      <c r="BF113" s="179">
        <v>0</v>
      </c>
      <c r="BG113" s="179">
        <v>0</v>
      </c>
      <c r="BH113" s="179">
        <v>0</v>
      </c>
      <c r="BI113" s="179">
        <v>0</v>
      </c>
      <c r="BJ113" s="164">
        <v>0</v>
      </c>
      <c r="BK113" s="67">
        <v>0</v>
      </c>
      <c r="BL113" s="164">
        <v>0</v>
      </c>
      <c r="BM113" s="164">
        <v>0</v>
      </c>
      <c r="BN113" s="164">
        <v>0</v>
      </c>
      <c r="BO113" s="164">
        <v>0</v>
      </c>
      <c r="BP113" s="164">
        <v>0</v>
      </c>
      <c r="BQ113" s="164">
        <v>0</v>
      </c>
      <c r="BR113" s="164">
        <v>0</v>
      </c>
      <c r="BS113" s="164">
        <v>0</v>
      </c>
      <c r="BT113" s="164">
        <v>0</v>
      </c>
      <c r="BU113" s="164">
        <v>0</v>
      </c>
      <c r="BV113" s="164">
        <v>0</v>
      </c>
      <c r="BW113" s="164">
        <v>0</v>
      </c>
      <c r="BX113" s="164">
        <v>0</v>
      </c>
      <c r="BY113" s="164">
        <v>0</v>
      </c>
      <c r="BZ113" s="164">
        <v>0</v>
      </c>
      <c r="CA113" s="164">
        <v>0</v>
      </c>
      <c r="CB113" s="164">
        <v>0</v>
      </c>
      <c r="CC113" s="164">
        <v>0</v>
      </c>
      <c r="CD113" s="180">
        <v>0</v>
      </c>
      <c r="CE113" s="77">
        <v>0</v>
      </c>
      <c r="CF113" s="180">
        <v>0</v>
      </c>
      <c r="CG113" s="180">
        <v>0</v>
      </c>
      <c r="CH113" s="180">
        <v>0</v>
      </c>
      <c r="CI113" s="180">
        <v>0</v>
      </c>
      <c r="CJ113" s="180">
        <v>0</v>
      </c>
      <c r="CK113" s="181">
        <v>0</v>
      </c>
      <c r="CL113" s="180">
        <v>0</v>
      </c>
      <c r="CM113" s="180">
        <v>0</v>
      </c>
      <c r="CN113" s="180">
        <v>0</v>
      </c>
      <c r="CO113" s="180">
        <v>0</v>
      </c>
      <c r="CP113" s="180">
        <v>0</v>
      </c>
      <c r="CQ113" s="181">
        <v>0</v>
      </c>
      <c r="CR113" s="180">
        <v>0</v>
      </c>
      <c r="CS113" s="180">
        <v>0</v>
      </c>
      <c r="CT113" s="180">
        <v>0</v>
      </c>
      <c r="CU113" s="180">
        <v>0</v>
      </c>
      <c r="CV113" s="181">
        <v>0</v>
      </c>
    </row>
    <row r="114" spans="1:100" x14ac:dyDescent="0.25">
      <c r="A114" s="44" t="s">
        <v>719</v>
      </c>
      <c r="B114" s="176" t="b">
        <v>1</v>
      </c>
      <c r="C114" s="177" t="b">
        <v>0</v>
      </c>
      <c r="D114" s="177" t="b">
        <v>1</v>
      </c>
      <c r="E114" s="177" t="b">
        <v>0</v>
      </c>
      <c r="F114" s="177" t="b">
        <v>0</v>
      </c>
      <c r="G114" s="177" t="b">
        <v>0</v>
      </c>
      <c r="H114" s="177" t="b">
        <v>0</v>
      </c>
      <c r="I114" s="177" t="b">
        <v>0</v>
      </c>
      <c r="J114" s="177" t="b">
        <v>0</v>
      </c>
      <c r="K114" s="177" t="b">
        <v>0</v>
      </c>
      <c r="L114" s="177" t="b">
        <v>1</v>
      </c>
      <c r="M114" s="177" t="b">
        <v>0</v>
      </c>
      <c r="N114" s="177" t="b">
        <v>0</v>
      </c>
      <c r="O114" s="177" t="b">
        <v>1</v>
      </c>
      <c r="P114" s="177" t="b">
        <v>1</v>
      </c>
      <c r="Q114" s="177" t="b">
        <v>0</v>
      </c>
      <c r="R114" s="177" t="b">
        <v>0</v>
      </c>
      <c r="S114" s="177" t="b">
        <v>0</v>
      </c>
      <c r="T114" s="177" t="b">
        <v>0</v>
      </c>
      <c r="U114" s="178" t="b">
        <v>1</v>
      </c>
      <c r="V114" s="178" t="b">
        <v>0</v>
      </c>
      <c r="W114" s="178" t="b">
        <v>0</v>
      </c>
      <c r="X114" s="178" t="b">
        <v>0</v>
      </c>
      <c r="Y114" s="178" t="b">
        <v>0</v>
      </c>
      <c r="Z114" s="137" t="b">
        <v>0</v>
      </c>
      <c r="AA114" s="178" t="b">
        <v>0</v>
      </c>
      <c r="AB114" s="178" t="b">
        <v>0</v>
      </c>
      <c r="AC114" s="178" t="b">
        <v>1</v>
      </c>
      <c r="AD114" s="178" t="b">
        <v>0</v>
      </c>
      <c r="AE114" s="178" t="b">
        <v>0</v>
      </c>
      <c r="AF114" s="178" t="b">
        <v>0</v>
      </c>
      <c r="AG114" s="178" t="b">
        <v>0</v>
      </c>
      <c r="AH114" s="137" t="b">
        <v>0</v>
      </c>
      <c r="AI114" s="178" t="b">
        <v>0</v>
      </c>
      <c r="AJ114" s="178" t="b">
        <v>1</v>
      </c>
      <c r="AK114" s="178" t="b">
        <v>0</v>
      </c>
      <c r="AL114" s="178" t="b">
        <v>0</v>
      </c>
      <c r="AM114" s="178" t="b">
        <v>0</v>
      </c>
      <c r="AN114" s="179" t="b">
        <v>0</v>
      </c>
      <c r="AO114" s="179" t="b">
        <v>0</v>
      </c>
      <c r="AP114" s="179" t="b">
        <v>0</v>
      </c>
      <c r="AQ114" s="179" t="b">
        <v>0</v>
      </c>
      <c r="AR114" s="179" t="b">
        <v>1</v>
      </c>
      <c r="AS114" s="179" t="b">
        <v>1</v>
      </c>
      <c r="AT114" s="179" t="b">
        <v>0</v>
      </c>
      <c r="AU114" s="179" t="b">
        <v>1</v>
      </c>
      <c r="AV114" s="179" t="b">
        <v>0</v>
      </c>
      <c r="AW114" s="179" t="b">
        <v>0</v>
      </c>
      <c r="AX114" s="179" t="b">
        <v>0</v>
      </c>
      <c r="AY114" s="179" t="b">
        <v>0</v>
      </c>
      <c r="AZ114" s="179" t="b">
        <v>0</v>
      </c>
      <c r="BA114" s="179" t="b">
        <v>0</v>
      </c>
      <c r="BB114" s="179" t="b">
        <v>0</v>
      </c>
      <c r="BC114" s="179" t="b">
        <v>0</v>
      </c>
      <c r="BD114" s="179" t="b">
        <v>0</v>
      </c>
      <c r="BE114" s="179" t="b">
        <v>0</v>
      </c>
      <c r="BF114" s="179" t="b">
        <v>1</v>
      </c>
      <c r="BG114" s="179" t="b">
        <v>0</v>
      </c>
      <c r="BH114" s="179" t="b">
        <v>0</v>
      </c>
      <c r="BI114" s="179" t="b">
        <v>0</v>
      </c>
      <c r="BJ114" s="164" t="b">
        <v>0</v>
      </c>
      <c r="BK114" s="140" t="b">
        <v>0</v>
      </c>
      <c r="BL114" s="164" t="b">
        <v>1</v>
      </c>
      <c r="BM114" s="164" t="b">
        <v>0</v>
      </c>
      <c r="BN114" s="164" t="b">
        <v>1</v>
      </c>
      <c r="BO114" s="164" t="b">
        <v>1</v>
      </c>
      <c r="BP114" s="164" t="b">
        <v>1</v>
      </c>
      <c r="BQ114" s="164" t="b">
        <v>0</v>
      </c>
      <c r="BR114" s="164" t="b">
        <v>0</v>
      </c>
      <c r="BS114" s="164" t="b">
        <v>0</v>
      </c>
      <c r="BT114" s="164" t="b">
        <v>0</v>
      </c>
      <c r="BU114" s="164" t="b">
        <v>0</v>
      </c>
      <c r="BV114" s="140" t="b">
        <v>1</v>
      </c>
      <c r="BW114" s="164" t="b">
        <v>0</v>
      </c>
      <c r="BX114" s="164" t="b">
        <v>0</v>
      </c>
      <c r="BY114" s="164" t="b">
        <v>0</v>
      </c>
      <c r="BZ114" s="164" t="b">
        <v>0</v>
      </c>
      <c r="CA114" s="164" t="b">
        <v>0</v>
      </c>
      <c r="CB114" s="164" t="b">
        <v>0</v>
      </c>
      <c r="CC114" s="164" t="b">
        <v>0</v>
      </c>
      <c r="CD114" s="180" t="b">
        <v>0</v>
      </c>
      <c r="CE114" s="76" t="b">
        <v>0</v>
      </c>
      <c r="CF114" s="180" t="b">
        <v>1</v>
      </c>
      <c r="CG114" s="180" t="b">
        <v>0</v>
      </c>
      <c r="CH114" s="180" t="b">
        <v>0</v>
      </c>
      <c r="CI114" s="180" t="b">
        <v>1</v>
      </c>
      <c r="CJ114" s="180" t="b">
        <v>0</v>
      </c>
      <c r="CK114" s="180" t="b">
        <v>0</v>
      </c>
      <c r="CL114" s="180" t="b">
        <v>0</v>
      </c>
      <c r="CM114" s="180" t="b">
        <v>0</v>
      </c>
      <c r="CN114" s="180" t="b">
        <v>0</v>
      </c>
      <c r="CO114" s="180" t="b">
        <v>0</v>
      </c>
      <c r="CP114" s="180" t="b">
        <v>0</v>
      </c>
      <c r="CQ114" s="180" t="b">
        <v>0</v>
      </c>
      <c r="CR114" s="180" t="b">
        <v>0</v>
      </c>
      <c r="CS114" s="180" t="b">
        <v>0</v>
      </c>
      <c r="CT114" s="180" t="b">
        <v>0</v>
      </c>
      <c r="CU114" s="180" t="b">
        <v>0</v>
      </c>
      <c r="CV114" s="180" t="b">
        <v>0</v>
      </c>
    </row>
    <row r="115" spans="1:100" x14ac:dyDescent="0.25">
      <c r="A115" s="44" t="s">
        <v>720</v>
      </c>
      <c r="B115" s="176" t="b">
        <v>0</v>
      </c>
      <c r="C115" s="177" t="b">
        <v>0</v>
      </c>
      <c r="D115" s="177" t="b">
        <v>1</v>
      </c>
      <c r="E115" s="177" t="b">
        <v>0</v>
      </c>
      <c r="F115" s="177" t="b">
        <v>0</v>
      </c>
      <c r="G115" s="177" t="b">
        <v>0</v>
      </c>
      <c r="H115" s="177" t="b">
        <v>0</v>
      </c>
      <c r="I115" s="177" t="b">
        <v>0</v>
      </c>
      <c r="J115" s="177" t="b">
        <v>0</v>
      </c>
      <c r="K115" s="177" t="b">
        <v>0</v>
      </c>
      <c r="L115" s="177" t="b">
        <v>1</v>
      </c>
      <c r="M115" s="177" t="b">
        <v>0</v>
      </c>
      <c r="N115" s="177" t="b">
        <v>0</v>
      </c>
      <c r="O115" s="177" t="b">
        <v>0</v>
      </c>
      <c r="P115" s="177" t="b">
        <v>0</v>
      </c>
      <c r="Q115" s="177" t="b">
        <v>0</v>
      </c>
      <c r="R115" s="177" t="b">
        <v>0</v>
      </c>
      <c r="S115" s="177" t="b">
        <v>0</v>
      </c>
      <c r="T115" s="177" t="b">
        <v>0</v>
      </c>
      <c r="U115" s="178" t="b">
        <v>0</v>
      </c>
      <c r="V115" s="178" t="b">
        <v>0</v>
      </c>
      <c r="W115" s="178" t="b">
        <v>0</v>
      </c>
      <c r="X115" s="178" t="b">
        <v>0</v>
      </c>
      <c r="Y115" s="178" t="b">
        <v>0</v>
      </c>
      <c r="Z115" s="137" t="b">
        <v>0</v>
      </c>
      <c r="AA115" s="178" t="b">
        <v>0</v>
      </c>
      <c r="AB115" s="178" t="b">
        <v>0</v>
      </c>
      <c r="AC115" s="178" t="b">
        <v>1</v>
      </c>
      <c r="AD115" s="178" t="b">
        <v>0</v>
      </c>
      <c r="AE115" s="178" t="b">
        <v>0</v>
      </c>
      <c r="AF115" s="178" t="b">
        <v>0</v>
      </c>
      <c r="AG115" s="178" t="b">
        <v>0</v>
      </c>
      <c r="AH115" s="137" t="b">
        <v>0</v>
      </c>
      <c r="AI115" s="178" t="b">
        <v>0</v>
      </c>
      <c r="AJ115" s="178" t="b">
        <v>0</v>
      </c>
      <c r="AK115" s="178" t="b">
        <v>0</v>
      </c>
      <c r="AL115" s="178" t="b">
        <v>0</v>
      </c>
      <c r="AM115" s="178" t="b">
        <v>0</v>
      </c>
      <c r="AN115" s="179" t="b">
        <v>0</v>
      </c>
      <c r="AO115" s="179" t="b">
        <v>0</v>
      </c>
      <c r="AP115" s="179" t="b">
        <v>0</v>
      </c>
      <c r="AQ115" s="179" t="b">
        <v>0</v>
      </c>
      <c r="AR115" s="179" t="b">
        <v>0</v>
      </c>
      <c r="AS115" s="179" t="b">
        <v>0</v>
      </c>
      <c r="AT115" s="179" t="b">
        <v>0</v>
      </c>
      <c r="AU115" s="179" t="b">
        <v>0</v>
      </c>
      <c r="AV115" s="179" t="b">
        <v>0</v>
      </c>
      <c r="AW115" s="179" t="b">
        <v>0</v>
      </c>
      <c r="AX115" s="179" t="b">
        <v>0</v>
      </c>
      <c r="AY115" s="179" t="b">
        <v>0</v>
      </c>
      <c r="AZ115" s="179" t="b">
        <v>0</v>
      </c>
      <c r="BA115" s="179" t="b">
        <v>0</v>
      </c>
      <c r="BB115" s="179" t="b">
        <v>0</v>
      </c>
      <c r="BC115" s="179" t="b">
        <v>0</v>
      </c>
      <c r="BD115" s="179" t="b">
        <v>0</v>
      </c>
      <c r="BE115" s="179" t="b">
        <v>0</v>
      </c>
      <c r="BF115" s="179" t="b">
        <v>0</v>
      </c>
      <c r="BG115" s="179" t="b">
        <v>0</v>
      </c>
      <c r="BH115" s="179" t="b">
        <v>0</v>
      </c>
      <c r="BI115" s="179" t="b">
        <v>0</v>
      </c>
      <c r="BJ115" s="164" t="b">
        <v>0</v>
      </c>
      <c r="BK115" s="140" t="b">
        <v>0</v>
      </c>
      <c r="BL115" s="164" t="b">
        <v>0</v>
      </c>
      <c r="BM115" s="164" t="b">
        <v>0</v>
      </c>
      <c r="BN115" s="164" t="b">
        <v>0</v>
      </c>
      <c r="BO115" s="164" t="b">
        <v>1</v>
      </c>
      <c r="BP115" s="164" t="b">
        <v>0</v>
      </c>
      <c r="BQ115" s="164" t="b">
        <v>0</v>
      </c>
      <c r="BR115" s="164" t="b">
        <v>0</v>
      </c>
      <c r="BS115" s="164" t="b">
        <v>0</v>
      </c>
      <c r="BT115" s="164" t="b">
        <v>0</v>
      </c>
      <c r="BU115" s="164" t="b">
        <v>0</v>
      </c>
      <c r="BV115" s="140" t="b">
        <v>0</v>
      </c>
      <c r="BW115" s="164" t="b">
        <v>0</v>
      </c>
      <c r="BX115" s="164" t="b">
        <v>0</v>
      </c>
      <c r="BY115" s="164" t="b">
        <v>0</v>
      </c>
      <c r="BZ115" s="164" t="b">
        <v>0</v>
      </c>
      <c r="CA115" s="164" t="b">
        <v>0</v>
      </c>
      <c r="CB115" s="164" t="b">
        <v>0</v>
      </c>
      <c r="CC115" s="164" t="b">
        <v>0</v>
      </c>
      <c r="CD115" s="180" t="b">
        <v>0</v>
      </c>
      <c r="CE115" s="76" t="b">
        <v>0</v>
      </c>
      <c r="CF115" s="180" t="b">
        <v>0</v>
      </c>
      <c r="CG115" s="180" t="b">
        <v>0</v>
      </c>
      <c r="CH115" s="180" t="b">
        <v>0</v>
      </c>
      <c r="CI115" s="180" t="b">
        <v>0</v>
      </c>
      <c r="CJ115" s="180" t="b">
        <v>0</v>
      </c>
      <c r="CK115" s="180" t="b">
        <v>0</v>
      </c>
      <c r="CL115" s="180" t="b">
        <v>0</v>
      </c>
      <c r="CM115" s="180" t="b">
        <v>0</v>
      </c>
      <c r="CN115" s="180" t="b">
        <v>0</v>
      </c>
      <c r="CO115" s="180" t="b">
        <v>0</v>
      </c>
      <c r="CP115" s="180" t="b">
        <v>0</v>
      </c>
      <c r="CQ115" s="180" t="b">
        <v>0</v>
      </c>
      <c r="CR115" s="180" t="b">
        <v>0</v>
      </c>
      <c r="CS115" s="180" t="b">
        <v>0</v>
      </c>
      <c r="CT115" s="180" t="b">
        <v>0</v>
      </c>
      <c r="CU115" s="180" t="b">
        <v>0</v>
      </c>
      <c r="CV115" s="180" t="b">
        <v>0</v>
      </c>
    </row>
    <row r="116" spans="1:100" x14ac:dyDescent="0.25">
      <c r="A116" s="44" t="s">
        <v>721</v>
      </c>
      <c r="B116" s="176" t="b">
        <v>0</v>
      </c>
      <c r="C116" s="177" t="b">
        <v>0</v>
      </c>
      <c r="D116" s="177" t="b">
        <v>0</v>
      </c>
      <c r="E116" s="177" t="b">
        <v>0</v>
      </c>
      <c r="F116" s="177" t="b">
        <v>0</v>
      </c>
      <c r="G116" s="177" t="b">
        <v>0</v>
      </c>
      <c r="H116" s="177" t="b">
        <v>0</v>
      </c>
      <c r="I116" s="177" t="b">
        <v>0</v>
      </c>
      <c r="J116" s="177" t="b">
        <v>0</v>
      </c>
      <c r="K116" s="177" t="b">
        <v>0</v>
      </c>
      <c r="L116" s="177" t="b">
        <v>0</v>
      </c>
      <c r="M116" s="177" t="b">
        <v>0</v>
      </c>
      <c r="N116" s="177" t="b">
        <v>0</v>
      </c>
      <c r="O116" s="177" t="b">
        <v>0</v>
      </c>
      <c r="P116" s="177" t="b">
        <v>0</v>
      </c>
      <c r="Q116" s="177" t="b">
        <v>0</v>
      </c>
      <c r="R116" s="177" t="b">
        <v>0</v>
      </c>
      <c r="S116" s="177" t="b">
        <v>0</v>
      </c>
      <c r="T116" s="177" t="b">
        <v>0</v>
      </c>
      <c r="U116" s="178" t="b">
        <v>0</v>
      </c>
      <c r="V116" s="178" t="b">
        <v>0</v>
      </c>
      <c r="W116" s="178" t="b">
        <v>0</v>
      </c>
      <c r="X116" s="178" t="b">
        <v>0</v>
      </c>
      <c r="Y116" s="178" t="b">
        <v>0</v>
      </c>
      <c r="Z116" s="137" t="b">
        <v>0</v>
      </c>
      <c r="AA116" s="178" t="b">
        <v>0</v>
      </c>
      <c r="AB116" s="178" t="b">
        <v>0</v>
      </c>
      <c r="AC116" s="178" t="b">
        <v>0</v>
      </c>
      <c r="AD116" s="178" t="b">
        <v>0</v>
      </c>
      <c r="AE116" s="178" t="b">
        <v>0</v>
      </c>
      <c r="AF116" s="178" t="b">
        <v>0</v>
      </c>
      <c r="AG116" s="178" t="b">
        <v>0</v>
      </c>
      <c r="AH116" s="137" t="b">
        <v>0</v>
      </c>
      <c r="AI116" s="178" t="b">
        <v>0</v>
      </c>
      <c r="AJ116" s="178" t="b">
        <v>0</v>
      </c>
      <c r="AK116" s="178" t="b">
        <v>0</v>
      </c>
      <c r="AL116" s="178" t="b">
        <v>0</v>
      </c>
      <c r="AM116" s="178" t="b">
        <v>0</v>
      </c>
      <c r="AN116" s="179" t="b">
        <v>0</v>
      </c>
      <c r="AO116" s="179" t="b">
        <v>0</v>
      </c>
      <c r="AP116" s="179" t="b">
        <v>0</v>
      </c>
      <c r="AQ116" s="179" t="b">
        <v>0</v>
      </c>
      <c r="AR116" s="179" t="b">
        <v>0</v>
      </c>
      <c r="AS116" s="179" t="b">
        <v>0</v>
      </c>
      <c r="AT116" s="179" t="b">
        <v>0</v>
      </c>
      <c r="AU116" s="179" t="b">
        <v>0</v>
      </c>
      <c r="AV116" s="179" t="b">
        <v>0</v>
      </c>
      <c r="AW116" s="179" t="b">
        <v>0</v>
      </c>
      <c r="AX116" s="179" t="b">
        <v>0</v>
      </c>
      <c r="AY116" s="179" t="b">
        <v>0</v>
      </c>
      <c r="AZ116" s="179" t="b">
        <v>0</v>
      </c>
      <c r="BA116" s="179" t="b">
        <v>0</v>
      </c>
      <c r="BB116" s="179" t="b">
        <v>0</v>
      </c>
      <c r="BC116" s="179" t="b">
        <v>0</v>
      </c>
      <c r="BD116" s="179" t="b">
        <v>0</v>
      </c>
      <c r="BE116" s="179" t="b">
        <v>0</v>
      </c>
      <c r="BF116" s="179" t="b">
        <v>0</v>
      </c>
      <c r="BG116" s="179" t="b">
        <v>0</v>
      </c>
      <c r="BH116" s="179" t="b">
        <v>0</v>
      </c>
      <c r="BI116" s="179" t="b">
        <v>0</v>
      </c>
      <c r="BJ116" s="164" t="b">
        <v>0</v>
      </c>
      <c r="BK116" s="140" t="b">
        <v>0</v>
      </c>
      <c r="BL116" s="164" t="b">
        <v>0</v>
      </c>
      <c r="BM116" s="164" t="b">
        <v>0</v>
      </c>
      <c r="BN116" s="164" t="b">
        <v>0</v>
      </c>
      <c r="BO116" s="164" t="b">
        <v>0</v>
      </c>
      <c r="BP116" s="164" t="b">
        <v>0</v>
      </c>
      <c r="BQ116" s="164" t="b">
        <v>0</v>
      </c>
      <c r="BR116" s="164" t="b">
        <v>0</v>
      </c>
      <c r="BS116" s="164" t="b">
        <v>0</v>
      </c>
      <c r="BT116" s="164" t="b">
        <v>0</v>
      </c>
      <c r="BU116" s="164" t="b">
        <v>0</v>
      </c>
      <c r="BV116" s="140" t="b">
        <v>0</v>
      </c>
      <c r="BW116" s="164" t="b">
        <v>0</v>
      </c>
      <c r="BX116" s="164" t="b">
        <v>0</v>
      </c>
      <c r="BY116" s="164" t="b">
        <v>0</v>
      </c>
      <c r="BZ116" s="164" t="b">
        <v>0</v>
      </c>
      <c r="CA116" s="164" t="b">
        <v>0</v>
      </c>
      <c r="CB116" s="164" t="b">
        <v>0</v>
      </c>
      <c r="CC116" s="164" t="b">
        <v>0</v>
      </c>
      <c r="CD116" s="180" t="b">
        <v>0</v>
      </c>
      <c r="CE116" s="76" t="b">
        <v>0</v>
      </c>
      <c r="CF116" s="180" t="b">
        <v>0</v>
      </c>
      <c r="CG116" s="180" t="b">
        <v>0</v>
      </c>
      <c r="CH116" s="180" t="b">
        <v>0</v>
      </c>
      <c r="CI116" s="180" t="b">
        <v>0</v>
      </c>
      <c r="CJ116" s="180" t="b">
        <v>0</v>
      </c>
      <c r="CK116" s="180" t="b">
        <v>0</v>
      </c>
      <c r="CL116" s="180" t="b">
        <v>0</v>
      </c>
      <c r="CM116" s="180" t="b">
        <v>0</v>
      </c>
      <c r="CN116" s="180" t="b">
        <v>0</v>
      </c>
      <c r="CO116" s="180" t="b">
        <v>0</v>
      </c>
      <c r="CP116" s="180" t="b">
        <v>0</v>
      </c>
      <c r="CQ116" s="180" t="b">
        <v>0</v>
      </c>
      <c r="CR116" s="180" t="b">
        <v>0</v>
      </c>
      <c r="CS116" s="180" t="b">
        <v>0</v>
      </c>
      <c r="CT116" s="180" t="b">
        <v>0</v>
      </c>
      <c r="CU116" s="180" t="b">
        <v>0</v>
      </c>
      <c r="CV116" s="180" t="b">
        <v>0</v>
      </c>
    </row>
    <row r="117" spans="1:100" x14ac:dyDescent="0.25">
      <c r="A117" s="44" t="s">
        <v>722</v>
      </c>
      <c r="B117" s="176" t="s">
        <v>697</v>
      </c>
      <c r="C117" s="177"/>
      <c r="D117" s="177" t="s">
        <v>698</v>
      </c>
      <c r="E117" s="177"/>
      <c r="F117" s="182"/>
      <c r="G117" s="177"/>
      <c r="H117" s="177"/>
      <c r="I117" s="168"/>
      <c r="J117" s="177"/>
      <c r="K117" s="160"/>
      <c r="L117" s="177" t="s">
        <v>699</v>
      </c>
      <c r="M117" s="177"/>
      <c r="N117" s="160"/>
      <c r="O117" s="160" t="s">
        <v>700</v>
      </c>
      <c r="P117" s="177" t="s">
        <v>701</v>
      </c>
      <c r="Q117" s="182"/>
      <c r="R117" s="182"/>
      <c r="S117" s="182"/>
      <c r="T117" s="160"/>
      <c r="U117" s="169" t="s">
        <v>702</v>
      </c>
      <c r="V117" s="178"/>
      <c r="W117" s="169"/>
      <c r="X117" s="169"/>
      <c r="Y117" s="169"/>
      <c r="Z117" s="169"/>
      <c r="AA117" s="178"/>
      <c r="AB117" s="178"/>
      <c r="AC117" s="169" t="s">
        <v>703</v>
      </c>
      <c r="AD117" s="169"/>
      <c r="AE117" s="169"/>
      <c r="AF117" s="169"/>
      <c r="AG117" s="169"/>
      <c r="AH117" s="136"/>
      <c r="AI117" s="169"/>
      <c r="AJ117" s="169" t="s">
        <v>704</v>
      </c>
      <c r="AK117" s="169"/>
      <c r="AL117" s="169"/>
      <c r="AM117" s="169"/>
      <c r="AN117" s="170"/>
      <c r="AO117" s="179"/>
      <c r="AP117" s="179"/>
      <c r="AQ117" s="170"/>
      <c r="AR117" s="170" t="s">
        <v>705</v>
      </c>
      <c r="AS117" s="170" t="s">
        <v>706</v>
      </c>
      <c r="AT117" s="170"/>
      <c r="AU117" s="170" t="s">
        <v>707</v>
      </c>
      <c r="AV117" s="170"/>
      <c r="AW117" s="170"/>
      <c r="AX117" s="170"/>
      <c r="AY117" s="170"/>
      <c r="AZ117" s="170"/>
      <c r="BA117" s="170"/>
      <c r="BB117" s="170"/>
      <c r="BC117" s="170"/>
      <c r="BD117" s="170"/>
      <c r="BE117" s="179"/>
      <c r="BF117" s="170" t="s">
        <v>708</v>
      </c>
      <c r="BG117" s="170"/>
      <c r="BH117" s="179"/>
      <c r="BI117" s="170"/>
      <c r="BJ117" s="172"/>
      <c r="BK117" s="172"/>
      <c r="BL117" s="172" t="s">
        <v>709</v>
      </c>
      <c r="BM117" s="172"/>
      <c r="BN117" s="164" t="s">
        <v>710</v>
      </c>
      <c r="BO117" s="172" t="s">
        <v>711</v>
      </c>
      <c r="BP117" s="172" t="s">
        <v>712</v>
      </c>
      <c r="BQ117" s="172"/>
      <c r="BR117" s="172"/>
      <c r="BS117" s="172"/>
      <c r="BT117" s="172"/>
      <c r="BU117" s="172"/>
      <c r="BV117" s="139" t="s">
        <v>1022</v>
      </c>
      <c r="BW117" s="172"/>
      <c r="BX117" s="172"/>
      <c r="BY117" s="172"/>
      <c r="BZ117" s="164"/>
      <c r="CA117" s="164"/>
      <c r="CB117" s="164"/>
      <c r="CC117" s="172"/>
      <c r="CD117" s="165"/>
      <c r="CE117" s="76"/>
      <c r="CF117" s="165" t="s">
        <v>713</v>
      </c>
      <c r="CG117" s="165"/>
      <c r="CH117" s="165"/>
      <c r="CI117" s="165" t="s">
        <v>714</v>
      </c>
      <c r="CJ117" s="165"/>
      <c r="CK117" s="165"/>
      <c r="CL117" s="165"/>
      <c r="CM117" s="165"/>
      <c r="CN117" s="165"/>
      <c r="CO117" s="165"/>
      <c r="CP117" s="165"/>
      <c r="CQ117" s="165"/>
      <c r="CR117" s="165"/>
      <c r="CS117" s="165"/>
      <c r="CT117" s="165"/>
      <c r="CU117" s="165"/>
      <c r="CV117" s="165"/>
    </row>
    <row r="118" spans="1:100" x14ac:dyDescent="0.25">
      <c r="A118" s="44" t="s">
        <v>723</v>
      </c>
      <c r="B118" s="176" t="s">
        <v>246</v>
      </c>
      <c r="C118" s="177"/>
      <c r="D118" s="177" t="s">
        <v>6</v>
      </c>
      <c r="E118" s="177"/>
      <c r="F118" s="182"/>
      <c r="G118" s="177"/>
      <c r="H118" s="177"/>
      <c r="I118" s="168"/>
      <c r="J118" s="177"/>
      <c r="K118" s="160"/>
      <c r="L118" s="177" t="s">
        <v>246</v>
      </c>
      <c r="M118" s="177"/>
      <c r="N118" s="160"/>
      <c r="O118" s="160" t="s">
        <v>246</v>
      </c>
      <c r="P118" s="177" t="s">
        <v>246</v>
      </c>
      <c r="Q118" s="182"/>
      <c r="R118" s="182"/>
      <c r="S118" s="182"/>
      <c r="T118" s="160"/>
      <c r="U118" s="169" t="s">
        <v>246</v>
      </c>
      <c r="V118" s="178"/>
      <c r="W118" s="169"/>
      <c r="X118" s="169"/>
      <c r="Y118" s="169"/>
      <c r="Z118" s="169"/>
      <c r="AA118" s="178"/>
      <c r="AB118" s="178"/>
      <c r="AC118" s="169" t="s">
        <v>246</v>
      </c>
      <c r="AD118" s="169"/>
      <c r="AE118" s="169"/>
      <c r="AF118" s="169"/>
      <c r="AG118" s="169"/>
      <c r="AH118" s="136"/>
      <c r="AI118" s="169"/>
      <c r="AJ118" s="169" t="s">
        <v>246</v>
      </c>
      <c r="AK118" s="169"/>
      <c r="AL118" s="169"/>
      <c r="AM118" s="169"/>
      <c r="AN118" s="170"/>
      <c r="AO118" s="179"/>
      <c r="AP118" s="179"/>
      <c r="AQ118" s="170"/>
      <c r="AR118" s="170" t="s">
        <v>246</v>
      </c>
      <c r="AS118" s="170" t="s">
        <v>246</v>
      </c>
      <c r="AT118" s="170"/>
      <c r="AU118" s="170" t="s">
        <v>246</v>
      </c>
      <c r="AV118" s="170"/>
      <c r="AW118" s="170"/>
      <c r="AX118" s="170"/>
      <c r="AY118" s="170"/>
      <c r="AZ118" s="170"/>
      <c r="BA118" s="170"/>
      <c r="BB118" s="170"/>
      <c r="BC118" s="170"/>
      <c r="BD118" s="170"/>
      <c r="BE118" s="179"/>
      <c r="BF118" s="170" t="s">
        <v>19</v>
      </c>
      <c r="BG118" s="170"/>
      <c r="BH118" s="179"/>
      <c r="BI118" s="170"/>
      <c r="BJ118" s="172"/>
      <c r="BK118" s="172"/>
      <c r="BL118" s="172" t="s">
        <v>246</v>
      </c>
      <c r="BM118" s="172"/>
      <c r="BN118" s="164" t="s">
        <v>6</v>
      </c>
      <c r="BO118" s="172" t="s">
        <v>246</v>
      </c>
      <c r="BP118" s="172" t="s">
        <v>246</v>
      </c>
      <c r="BQ118" s="172"/>
      <c r="BR118" s="172"/>
      <c r="BS118" s="172"/>
      <c r="BT118" s="172"/>
      <c r="BU118" s="172"/>
      <c r="BV118" s="139" t="s">
        <v>947</v>
      </c>
      <c r="BW118" s="172"/>
      <c r="BX118" s="172"/>
      <c r="BY118" s="172"/>
      <c r="BZ118" s="164"/>
      <c r="CA118" s="164"/>
      <c r="CB118" s="164"/>
      <c r="CC118" s="172"/>
      <c r="CD118" s="165"/>
      <c r="CE118" s="76"/>
      <c r="CF118" s="165" t="s">
        <v>246</v>
      </c>
      <c r="CG118" s="165"/>
      <c r="CH118" s="165"/>
      <c r="CI118" s="165" t="s">
        <v>246</v>
      </c>
      <c r="CJ118" s="165"/>
      <c r="CK118" s="165"/>
      <c r="CL118" s="165"/>
      <c r="CM118" s="165"/>
      <c r="CN118" s="165"/>
      <c r="CO118" s="165"/>
      <c r="CP118" s="165"/>
      <c r="CQ118" s="165"/>
      <c r="CR118" s="165"/>
      <c r="CS118" s="165"/>
      <c r="CT118" s="165"/>
      <c r="CU118" s="165"/>
      <c r="CV118" s="165"/>
    </row>
    <row r="119" spans="1:100" x14ac:dyDescent="0.25">
      <c r="A119" s="44" t="s">
        <v>724</v>
      </c>
      <c r="B119" s="176" t="s">
        <v>125</v>
      </c>
      <c r="C119" s="177"/>
      <c r="D119" s="177" t="s">
        <v>128</v>
      </c>
      <c r="E119" s="177"/>
      <c r="F119" s="182"/>
      <c r="G119" s="177"/>
      <c r="H119" s="177"/>
      <c r="I119" s="168"/>
      <c r="J119" s="177"/>
      <c r="K119" s="160"/>
      <c r="L119" s="177" t="s">
        <v>125</v>
      </c>
      <c r="M119" s="177"/>
      <c r="N119" s="160"/>
      <c r="O119" s="160" t="s">
        <v>125</v>
      </c>
      <c r="P119" s="177" t="s">
        <v>125</v>
      </c>
      <c r="Q119" s="182"/>
      <c r="R119" s="182"/>
      <c r="S119" s="182"/>
      <c r="T119" s="160"/>
      <c r="U119" s="169" t="s">
        <v>125</v>
      </c>
      <c r="V119" s="178"/>
      <c r="W119" s="169"/>
      <c r="X119" s="169"/>
      <c r="Y119" s="169"/>
      <c r="Z119" s="169"/>
      <c r="AA119" s="178"/>
      <c r="AB119" s="178"/>
      <c r="AC119" s="169" t="s">
        <v>125</v>
      </c>
      <c r="AD119" s="169"/>
      <c r="AE119" s="169"/>
      <c r="AF119" s="169"/>
      <c r="AG119" s="169"/>
      <c r="AH119" s="136"/>
      <c r="AI119" s="169"/>
      <c r="AJ119" s="169" t="s">
        <v>125</v>
      </c>
      <c r="AK119" s="169"/>
      <c r="AL119" s="169"/>
      <c r="AM119" s="169"/>
      <c r="AN119" s="170"/>
      <c r="AO119" s="179"/>
      <c r="AP119" s="179"/>
      <c r="AQ119" s="170"/>
      <c r="AR119" s="170" t="s">
        <v>125</v>
      </c>
      <c r="AS119" s="170" t="s">
        <v>125</v>
      </c>
      <c r="AT119" s="170"/>
      <c r="AU119" s="170" t="s">
        <v>125</v>
      </c>
      <c r="AV119" s="170"/>
      <c r="AW119" s="170"/>
      <c r="AX119" s="170"/>
      <c r="AY119" s="170"/>
      <c r="AZ119" s="170"/>
      <c r="BA119" s="170"/>
      <c r="BB119" s="170"/>
      <c r="BC119" s="170"/>
      <c r="BD119" s="170"/>
      <c r="BE119" s="179"/>
      <c r="BF119" s="170" t="s">
        <v>128</v>
      </c>
      <c r="BG119" s="170"/>
      <c r="BH119" s="179"/>
      <c r="BI119" s="170"/>
      <c r="BJ119" s="172"/>
      <c r="BK119" s="172"/>
      <c r="BL119" s="172" t="s">
        <v>125</v>
      </c>
      <c r="BM119" s="172"/>
      <c r="BN119" s="164" t="s">
        <v>223</v>
      </c>
      <c r="BO119" s="172" t="s">
        <v>125</v>
      </c>
      <c r="BP119" s="172" t="s">
        <v>125</v>
      </c>
      <c r="BQ119" s="172"/>
      <c r="BR119" s="172"/>
      <c r="BS119" s="172"/>
      <c r="BT119" s="172"/>
      <c r="BU119" s="172"/>
      <c r="BV119" s="139" t="s">
        <v>223</v>
      </c>
      <c r="BW119" s="172"/>
      <c r="BX119" s="172"/>
      <c r="BY119" s="172"/>
      <c r="BZ119" s="164"/>
      <c r="CA119" s="164"/>
      <c r="CB119" s="164"/>
      <c r="CC119" s="172"/>
      <c r="CD119" s="165"/>
      <c r="CE119" s="76"/>
      <c r="CF119" s="165" t="s">
        <v>125</v>
      </c>
      <c r="CG119" s="165"/>
      <c r="CH119" s="165"/>
      <c r="CI119" s="165" t="s">
        <v>125</v>
      </c>
      <c r="CJ119" s="165"/>
      <c r="CK119" s="165"/>
      <c r="CL119" s="165"/>
      <c r="CM119" s="165"/>
      <c r="CN119" s="165"/>
      <c r="CO119" s="165"/>
      <c r="CP119" s="165"/>
      <c r="CQ119" s="165"/>
      <c r="CR119" s="165"/>
      <c r="CS119" s="165"/>
      <c r="CT119" s="165"/>
      <c r="CU119" s="165"/>
      <c r="CV119" s="165"/>
    </row>
    <row r="120" spans="1:100" x14ac:dyDescent="0.25">
      <c r="A120" s="44" t="s">
        <v>725</v>
      </c>
      <c r="B120" s="166">
        <f>80%+(char2Refine-1)*20%</f>
        <v>1.6</v>
      </c>
      <c r="C120" s="177"/>
      <c r="D120" s="183">
        <f>40%+(char2Refine-1)*10%</f>
        <v>0.8</v>
      </c>
      <c r="E120" s="177"/>
      <c r="F120" s="182"/>
      <c r="G120" s="177"/>
      <c r="H120" s="177"/>
      <c r="I120" s="168"/>
      <c r="J120" s="177"/>
      <c r="K120" s="160"/>
      <c r="L120" s="183">
        <f>80%+(char2Refine-1)*15%</f>
        <v>1.4</v>
      </c>
      <c r="M120" s="177"/>
      <c r="N120" s="160"/>
      <c r="O120" s="183">
        <f>240%+(char2Refine-1)*60%</f>
        <v>4.8</v>
      </c>
      <c r="P120" s="168">
        <f>100%+(char2Refine-1)*25%</f>
        <v>2</v>
      </c>
      <c r="Q120" s="182"/>
      <c r="R120" s="182"/>
      <c r="S120" s="182"/>
      <c r="T120" s="160"/>
      <c r="U120" s="169">
        <f>40%+(char2Refine-1)*15%</f>
        <v>1</v>
      </c>
      <c r="V120" s="178"/>
      <c r="W120" s="169"/>
      <c r="X120" s="169"/>
      <c r="Y120" s="169"/>
      <c r="Z120" s="169"/>
      <c r="AA120" s="178"/>
      <c r="AB120" s="178"/>
      <c r="AC120" s="169">
        <f>60%+(char2Refine-1)*15%</f>
        <v>1.2</v>
      </c>
      <c r="AD120" s="169"/>
      <c r="AE120" s="169"/>
      <c r="AF120" s="169"/>
      <c r="AG120" s="169"/>
      <c r="AH120" s="136"/>
      <c r="AI120" s="169"/>
      <c r="AJ120" s="169">
        <f>20%+(char2Refine-1)*5%</f>
        <v>0.4</v>
      </c>
      <c r="AK120" s="169"/>
      <c r="AL120" s="169"/>
      <c r="AM120" s="169"/>
      <c r="AN120" s="170"/>
      <c r="AO120" s="179"/>
      <c r="AP120" s="179"/>
      <c r="AQ120" s="170"/>
      <c r="AR120" s="170">
        <f>20%+(char2Refine-1)*5%</f>
        <v>0.4</v>
      </c>
      <c r="AS120" s="170">
        <f>200%+(char2Refine-1)*30%</f>
        <v>3.2</v>
      </c>
      <c r="AT120" s="170"/>
      <c r="AU120" s="170">
        <f>100%+(char2Refine-1)*25%</f>
        <v>2</v>
      </c>
      <c r="AV120" s="170"/>
      <c r="AW120" s="170"/>
      <c r="AX120" s="170"/>
      <c r="AY120" s="170"/>
      <c r="AZ120" s="170"/>
      <c r="BA120" s="170"/>
      <c r="BB120" s="170"/>
      <c r="BC120" s="170"/>
      <c r="BD120" s="170"/>
      <c r="BE120" s="179"/>
      <c r="BF120" s="170">
        <f>40%+(char2Refine-1)*10%</f>
        <v>0.8</v>
      </c>
      <c r="BG120" s="170"/>
      <c r="BH120" s="179"/>
      <c r="BI120" s="170"/>
      <c r="BJ120" s="172"/>
      <c r="BK120" s="172"/>
      <c r="BL120" s="172">
        <f>160%+(char2Refine-1)*40%</f>
        <v>3.2</v>
      </c>
      <c r="BM120" s="172"/>
      <c r="BN120" s="172">
        <f>1%+(char2Refine-1)*0.5%</f>
        <v>0.03</v>
      </c>
      <c r="BO120" s="172">
        <f>60%+(char2Refine-1)*15%</f>
        <v>1.2</v>
      </c>
      <c r="BP120" s="172">
        <f>240%+(char2Refine-1)*30%</f>
        <v>3.5999999999999996</v>
      </c>
      <c r="BQ120" s="172"/>
      <c r="BR120" s="172"/>
      <c r="BS120" s="172"/>
      <c r="BT120" s="172"/>
      <c r="BU120" s="172"/>
      <c r="BV120" s="139">
        <f>4%+0.5%*(char2Refine-1)</f>
        <v>0.06</v>
      </c>
      <c r="BW120" s="172"/>
      <c r="BX120" s="172"/>
      <c r="BY120" s="172"/>
      <c r="BZ120" s="164"/>
      <c r="CA120" s="164"/>
      <c r="CB120" s="164"/>
      <c r="CC120" s="172"/>
      <c r="CD120" s="165"/>
      <c r="CE120" s="76"/>
      <c r="CF120" s="175">
        <v>1.25</v>
      </c>
      <c r="CG120" s="165"/>
      <c r="CH120" s="165"/>
      <c r="CI120" s="184">
        <f>40%+(char2Refine-1)*10%</f>
        <v>0.8</v>
      </c>
      <c r="CJ120" s="165"/>
      <c r="CK120" s="165"/>
      <c r="CL120" s="165"/>
      <c r="CM120" s="165"/>
      <c r="CN120" s="165"/>
      <c r="CO120" s="165"/>
      <c r="CP120" s="165"/>
      <c r="CQ120" s="165"/>
      <c r="CR120" s="165"/>
      <c r="CS120" s="165"/>
      <c r="CT120" s="165"/>
      <c r="CU120" s="165"/>
      <c r="CV120" s="165"/>
    </row>
    <row r="121" spans="1:100" x14ac:dyDescent="0.25">
      <c r="A121" s="44" t="s">
        <v>726</v>
      </c>
      <c r="B121" s="176" t="s">
        <v>715</v>
      </c>
      <c r="C121" s="177"/>
      <c r="D121" s="177" t="str">
        <f>char2NAElement</f>
        <v>Cryo</v>
      </c>
      <c r="E121" s="177"/>
      <c r="F121" s="182"/>
      <c r="G121" s="177"/>
      <c r="H121" s="177"/>
      <c r="I121" s="168"/>
      <c r="J121" s="177"/>
      <c r="K121" s="160"/>
      <c r="L121" s="177" t="s">
        <v>715</v>
      </c>
      <c r="M121" s="177"/>
      <c r="N121" s="160"/>
      <c r="O121" s="160" t="s">
        <v>715</v>
      </c>
      <c r="P121" s="177" t="s">
        <v>715</v>
      </c>
      <c r="Q121" s="182"/>
      <c r="R121" s="182"/>
      <c r="S121" s="182"/>
      <c r="T121" s="160"/>
      <c r="U121" s="169" t="s">
        <v>715</v>
      </c>
      <c r="V121" s="178"/>
      <c r="W121" s="169"/>
      <c r="X121" s="169"/>
      <c r="Y121" s="169"/>
      <c r="Z121" s="169"/>
      <c r="AA121" s="178"/>
      <c r="AB121" s="178"/>
      <c r="AC121" s="169" t="s">
        <v>715</v>
      </c>
      <c r="AD121" s="169"/>
      <c r="AE121" s="169"/>
      <c r="AF121" s="169"/>
      <c r="AG121" s="169"/>
      <c r="AH121" s="136"/>
      <c r="AI121" s="169"/>
      <c r="AJ121" s="169"/>
      <c r="AK121" s="169"/>
      <c r="AL121" s="169"/>
      <c r="AM121" s="169"/>
      <c r="AN121" s="170"/>
      <c r="AO121" s="179"/>
      <c r="AP121" s="179"/>
      <c r="AQ121" s="170"/>
      <c r="AR121" s="170" t="s">
        <v>715</v>
      </c>
      <c r="AS121" s="170" t="s">
        <v>715</v>
      </c>
      <c r="AT121" s="170"/>
      <c r="AU121" s="170" t="s">
        <v>715</v>
      </c>
      <c r="AV121" s="170"/>
      <c r="AW121" s="170"/>
      <c r="AX121" s="170"/>
      <c r="AY121" s="170"/>
      <c r="AZ121" s="170"/>
      <c r="BA121" s="170"/>
      <c r="BB121" s="170"/>
      <c r="BC121" s="170"/>
      <c r="BD121" s="170"/>
      <c r="BE121" s="179"/>
      <c r="BF121" s="170" t="str">
        <f>char2SkillElement</f>
        <v>Cryo</v>
      </c>
      <c r="BG121" s="170"/>
      <c r="BH121" s="179"/>
      <c r="BI121" s="170"/>
      <c r="BJ121" s="172"/>
      <c r="BK121" s="172"/>
      <c r="BL121" s="172" t="s">
        <v>715</v>
      </c>
      <c r="BM121" s="172"/>
      <c r="BN121" s="164" t="str">
        <f>char2NAElement</f>
        <v>Cryo</v>
      </c>
      <c r="BO121" s="172" t="s">
        <v>715</v>
      </c>
      <c r="BP121" s="172" t="s">
        <v>715</v>
      </c>
      <c r="BQ121" s="172"/>
      <c r="BR121" s="172"/>
      <c r="BS121" s="172"/>
      <c r="BT121" s="172"/>
      <c r="BU121" s="172"/>
      <c r="BV121" s="139" t="s">
        <v>246</v>
      </c>
      <c r="BW121" s="172"/>
      <c r="BX121" s="172"/>
      <c r="BY121" s="172"/>
      <c r="BZ121" s="164"/>
      <c r="CA121" s="164"/>
      <c r="CB121" s="164"/>
      <c r="CC121" s="172"/>
      <c r="CD121" s="165"/>
      <c r="CE121" s="76"/>
      <c r="CF121" s="165" t="s">
        <v>715</v>
      </c>
      <c r="CG121" s="165"/>
      <c r="CH121" s="165"/>
      <c r="CI121" s="165" t="s">
        <v>715</v>
      </c>
      <c r="CJ121" s="165"/>
      <c r="CK121" s="165"/>
      <c r="CL121" s="165"/>
      <c r="CM121" s="165"/>
      <c r="CN121" s="165"/>
      <c r="CO121" s="165"/>
      <c r="CP121" s="165"/>
      <c r="CQ121" s="165"/>
      <c r="CR121" s="165"/>
      <c r="CS121" s="165"/>
      <c r="CT121" s="165"/>
      <c r="CU121" s="165"/>
      <c r="CV121" s="165"/>
    </row>
    <row r="122" spans="1:100" x14ac:dyDescent="0.25">
      <c r="A122" s="44" t="s">
        <v>727</v>
      </c>
      <c r="B122" s="176"/>
      <c r="C122" s="177"/>
      <c r="D122" s="177" t="s">
        <v>716</v>
      </c>
      <c r="E122" s="177"/>
      <c r="F122" s="182"/>
      <c r="G122" s="177"/>
      <c r="H122" s="177"/>
      <c r="I122" s="168"/>
      <c r="J122" s="177"/>
      <c r="K122" s="160"/>
      <c r="L122" s="177" t="s">
        <v>717</v>
      </c>
      <c r="M122" s="177"/>
      <c r="N122" s="160"/>
      <c r="O122" s="160"/>
      <c r="P122" s="177"/>
      <c r="Q122" s="182"/>
      <c r="R122" s="182"/>
      <c r="S122" s="182"/>
      <c r="T122" s="160"/>
      <c r="U122" s="169"/>
      <c r="V122" s="178"/>
      <c r="W122" s="169"/>
      <c r="X122" s="169"/>
      <c r="Y122" s="169"/>
      <c r="Z122" s="169"/>
      <c r="AA122" s="178"/>
      <c r="AB122" s="178"/>
      <c r="AC122" s="169" t="s">
        <v>718</v>
      </c>
      <c r="AD122" s="169"/>
      <c r="AE122" s="169"/>
      <c r="AF122" s="169"/>
      <c r="AG122" s="169"/>
      <c r="AH122" s="136"/>
      <c r="AI122" s="169"/>
      <c r="AJ122" s="169"/>
      <c r="AK122" s="169"/>
      <c r="AL122" s="169"/>
      <c r="AM122" s="169"/>
      <c r="AN122" s="170"/>
      <c r="AO122" s="179"/>
      <c r="AP122" s="179"/>
      <c r="AQ122" s="170"/>
      <c r="AR122" s="170"/>
      <c r="AS122" s="170"/>
      <c r="AT122" s="170"/>
      <c r="AU122" s="170"/>
      <c r="AV122" s="170"/>
      <c r="AW122" s="170"/>
      <c r="AX122" s="170"/>
      <c r="AY122" s="170"/>
      <c r="AZ122" s="170"/>
      <c r="BA122" s="170"/>
      <c r="BB122" s="170"/>
      <c r="BC122" s="170"/>
      <c r="BD122" s="170"/>
      <c r="BE122" s="179"/>
      <c r="BF122" s="170"/>
      <c r="BG122" s="170"/>
      <c r="BH122" s="179"/>
      <c r="BI122" s="170"/>
      <c r="BJ122" s="172"/>
      <c r="BK122" s="172"/>
      <c r="BL122" s="172"/>
      <c r="BM122" s="172"/>
      <c r="BN122" s="164"/>
      <c r="BO122" s="172" t="s">
        <v>718</v>
      </c>
      <c r="BP122" s="172"/>
      <c r="BQ122" s="172"/>
      <c r="BR122" s="172"/>
      <c r="BS122" s="172"/>
      <c r="BT122" s="172"/>
      <c r="BU122" s="172"/>
      <c r="BV122" s="172"/>
      <c r="BW122" s="172"/>
      <c r="BX122" s="172"/>
      <c r="BY122" s="172"/>
      <c r="BZ122" s="164"/>
      <c r="CA122" s="164"/>
      <c r="CB122" s="164"/>
      <c r="CC122" s="172"/>
      <c r="CD122" s="165"/>
      <c r="CE122" s="76"/>
      <c r="CF122" s="165"/>
      <c r="CG122" s="165"/>
      <c r="CH122" s="165"/>
      <c r="CI122" s="165"/>
      <c r="CJ122" s="165"/>
      <c r="CK122" s="165"/>
      <c r="CL122" s="165"/>
      <c r="CM122" s="165"/>
      <c r="CN122" s="165"/>
      <c r="CO122" s="165"/>
      <c r="CP122" s="165"/>
      <c r="CQ122" s="165"/>
      <c r="CR122" s="165"/>
      <c r="CS122" s="165"/>
      <c r="CT122" s="165"/>
      <c r="CU122" s="165"/>
      <c r="CV122" s="165"/>
    </row>
    <row r="123" spans="1:100" x14ac:dyDescent="0.25">
      <c r="A123" s="44" t="s">
        <v>728</v>
      </c>
      <c r="B123" s="176"/>
      <c r="C123" s="177"/>
      <c r="D123" s="177" t="s">
        <v>5</v>
      </c>
      <c r="E123" s="177"/>
      <c r="F123" s="182"/>
      <c r="G123" s="177"/>
      <c r="H123" s="177"/>
      <c r="I123" s="168"/>
      <c r="J123" s="177"/>
      <c r="K123" s="160"/>
      <c r="L123" s="177" t="s">
        <v>246</v>
      </c>
      <c r="M123" s="177"/>
      <c r="N123" s="160"/>
      <c r="O123" s="160"/>
      <c r="P123" s="177"/>
      <c r="Q123" s="182"/>
      <c r="R123" s="182"/>
      <c r="S123" s="182"/>
      <c r="T123" s="160"/>
      <c r="U123" s="169"/>
      <c r="V123" s="178"/>
      <c r="W123" s="169"/>
      <c r="X123" s="169"/>
      <c r="Y123" s="169"/>
      <c r="Z123" s="169"/>
      <c r="AA123" s="178"/>
      <c r="AB123" s="178"/>
      <c r="AC123" s="169" t="s">
        <v>246</v>
      </c>
      <c r="AD123" s="169"/>
      <c r="AE123" s="169"/>
      <c r="AF123" s="169"/>
      <c r="AG123" s="169"/>
      <c r="AH123" s="136"/>
      <c r="AI123" s="169"/>
      <c r="AJ123" s="169"/>
      <c r="AK123" s="169"/>
      <c r="AL123" s="169"/>
      <c r="AM123" s="169"/>
      <c r="AN123" s="170"/>
      <c r="AO123" s="179"/>
      <c r="AP123" s="179"/>
      <c r="AQ123" s="170"/>
      <c r="AR123" s="170"/>
      <c r="AS123" s="170"/>
      <c r="AT123" s="170"/>
      <c r="AU123" s="170"/>
      <c r="AV123" s="170"/>
      <c r="AW123" s="170"/>
      <c r="AX123" s="170"/>
      <c r="AY123" s="170"/>
      <c r="AZ123" s="170"/>
      <c r="BA123" s="170"/>
      <c r="BB123" s="170"/>
      <c r="BC123" s="170"/>
      <c r="BD123" s="170"/>
      <c r="BE123" s="179"/>
      <c r="BF123" s="170"/>
      <c r="BG123" s="170"/>
      <c r="BH123" s="179"/>
      <c r="BI123" s="170"/>
      <c r="BJ123" s="172"/>
      <c r="BK123" s="172"/>
      <c r="BL123" s="172"/>
      <c r="BM123" s="172"/>
      <c r="BN123" s="164"/>
      <c r="BO123" s="172" t="s">
        <v>246</v>
      </c>
      <c r="BP123" s="172"/>
      <c r="BQ123" s="172"/>
      <c r="BR123" s="172"/>
      <c r="BS123" s="172"/>
      <c r="BT123" s="172"/>
      <c r="BU123" s="172"/>
      <c r="BV123" s="172"/>
      <c r="BW123" s="172"/>
      <c r="BX123" s="172"/>
      <c r="BY123" s="172"/>
      <c r="BZ123" s="164"/>
      <c r="CA123" s="164"/>
      <c r="CB123" s="164"/>
      <c r="CC123" s="172"/>
      <c r="CD123" s="165"/>
      <c r="CE123" s="76"/>
      <c r="CF123" s="165"/>
      <c r="CG123" s="165"/>
      <c r="CH123" s="165"/>
      <c r="CI123" s="165"/>
      <c r="CJ123" s="165"/>
      <c r="CK123" s="165"/>
      <c r="CL123" s="165"/>
      <c r="CM123" s="165"/>
      <c r="CN123" s="165"/>
      <c r="CO123" s="165"/>
      <c r="CP123" s="165"/>
      <c r="CQ123" s="165"/>
      <c r="CR123" s="165"/>
      <c r="CS123" s="165"/>
      <c r="CT123" s="165"/>
      <c r="CU123" s="165"/>
      <c r="CV123" s="165"/>
    </row>
    <row r="124" spans="1:100" x14ac:dyDescent="0.25">
      <c r="A124" s="44" t="s">
        <v>729</v>
      </c>
      <c r="B124" s="176"/>
      <c r="C124" s="177"/>
      <c r="D124" s="177" t="s">
        <v>128</v>
      </c>
      <c r="E124" s="177"/>
      <c r="F124" s="182"/>
      <c r="G124" s="177"/>
      <c r="H124" s="177"/>
      <c r="I124" s="168"/>
      <c r="J124" s="177"/>
      <c r="K124" s="160"/>
      <c r="L124" s="177" t="s">
        <v>125</v>
      </c>
      <c r="M124" s="177"/>
      <c r="N124" s="160"/>
      <c r="O124" s="160"/>
      <c r="P124" s="177"/>
      <c r="Q124" s="182"/>
      <c r="R124" s="182"/>
      <c r="S124" s="182"/>
      <c r="T124" s="160"/>
      <c r="U124" s="169"/>
      <c r="V124" s="178"/>
      <c r="W124" s="169"/>
      <c r="X124" s="169"/>
      <c r="Y124" s="169"/>
      <c r="Z124" s="169"/>
      <c r="AA124" s="178"/>
      <c r="AB124" s="178"/>
      <c r="AC124" s="169" t="s">
        <v>125</v>
      </c>
      <c r="AD124" s="169"/>
      <c r="AE124" s="169"/>
      <c r="AF124" s="169"/>
      <c r="AG124" s="169"/>
      <c r="AH124" s="136"/>
      <c r="AI124" s="169"/>
      <c r="AJ124" s="169"/>
      <c r="AK124" s="169"/>
      <c r="AL124" s="169"/>
      <c r="AM124" s="169"/>
      <c r="AN124" s="170"/>
      <c r="AO124" s="179"/>
      <c r="AP124" s="179"/>
      <c r="AQ124" s="170"/>
      <c r="AR124" s="170"/>
      <c r="AS124" s="170"/>
      <c r="AT124" s="170"/>
      <c r="AU124" s="170"/>
      <c r="AV124" s="170"/>
      <c r="AW124" s="170"/>
      <c r="AX124" s="170"/>
      <c r="AY124" s="170"/>
      <c r="AZ124" s="170"/>
      <c r="BA124" s="170"/>
      <c r="BB124" s="170"/>
      <c r="BC124" s="170"/>
      <c r="BD124" s="170"/>
      <c r="BE124" s="179"/>
      <c r="BF124" s="170"/>
      <c r="BG124" s="170"/>
      <c r="BH124" s="179"/>
      <c r="BI124" s="170"/>
      <c r="BJ124" s="172"/>
      <c r="BK124" s="172"/>
      <c r="BL124" s="172"/>
      <c r="BM124" s="172"/>
      <c r="BN124" s="164"/>
      <c r="BO124" s="172" t="s">
        <v>125</v>
      </c>
      <c r="BP124" s="172"/>
      <c r="BQ124" s="172"/>
      <c r="BR124" s="172"/>
      <c r="BS124" s="172"/>
      <c r="BT124" s="172"/>
      <c r="BU124" s="172"/>
      <c r="BV124" s="172"/>
      <c r="BW124" s="172"/>
      <c r="BX124" s="172"/>
      <c r="BY124" s="172"/>
      <c r="BZ124" s="164"/>
      <c r="CA124" s="164"/>
      <c r="CB124" s="164"/>
      <c r="CC124" s="172"/>
      <c r="CD124" s="165"/>
      <c r="CE124" s="76"/>
      <c r="CF124" s="165"/>
      <c r="CG124" s="165"/>
      <c r="CH124" s="165"/>
      <c r="CI124" s="165"/>
      <c r="CJ124" s="165"/>
      <c r="CK124" s="165"/>
      <c r="CL124" s="165"/>
      <c r="CM124" s="165"/>
      <c r="CN124" s="165"/>
      <c r="CO124" s="165"/>
      <c r="CP124" s="165"/>
      <c r="CQ124" s="165"/>
      <c r="CR124" s="165"/>
      <c r="CS124" s="165"/>
      <c r="CT124" s="165"/>
      <c r="CU124" s="165"/>
      <c r="CV124" s="165"/>
    </row>
    <row r="125" spans="1:100" x14ac:dyDescent="0.25">
      <c r="A125" s="44" t="s">
        <v>730</v>
      </c>
      <c r="B125" s="176"/>
      <c r="C125" s="177"/>
      <c r="D125" s="167">
        <f>0.4+(char2Refine-1)*0.1</f>
        <v>0.8</v>
      </c>
      <c r="E125" s="177"/>
      <c r="F125" s="182"/>
      <c r="G125" s="177"/>
      <c r="H125" s="177"/>
      <c r="I125" s="168"/>
      <c r="J125" s="177"/>
      <c r="K125" s="160"/>
      <c r="L125" s="183">
        <f>200%+(char2Refine-1)*40%</f>
        <v>3.6</v>
      </c>
      <c r="M125" s="177"/>
      <c r="N125" s="160"/>
      <c r="O125" s="160"/>
      <c r="P125" s="177"/>
      <c r="Q125" s="182"/>
      <c r="R125" s="182"/>
      <c r="S125" s="182"/>
      <c r="T125" s="160"/>
      <c r="U125" s="169"/>
      <c r="V125" s="178"/>
      <c r="W125" s="169"/>
      <c r="X125" s="169"/>
      <c r="Y125" s="169"/>
      <c r="Z125" s="169"/>
      <c r="AA125" s="178"/>
      <c r="AB125" s="178"/>
      <c r="AC125" s="169">
        <f>200%+(char2Refine-1)*40%</f>
        <v>3.6</v>
      </c>
      <c r="AD125" s="169"/>
      <c r="AE125" s="169"/>
      <c r="AF125" s="169"/>
      <c r="AG125" s="169"/>
      <c r="AH125" s="136"/>
      <c r="AI125" s="169"/>
      <c r="AJ125" s="169"/>
      <c r="AK125" s="169"/>
      <c r="AL125" s="169"/>
      <c r="AM125" s="169"/>
      <c r="AN125" s="170"/>
      <c r="AO125" s="179"/>
      <c r="AP125" s="179"/>
      <c r="AQ125" s="170"/>
      <c r="AR125" s="170"/>
      <c r="AS125" s="170"/>
      <c r="AT125" s="170"/>
      <c r="AU125" s="170"/>
      <c r="AV125" s="170"/>
      <c r="AW125" s="170"/>
      <c r="AX125" s="170"/>
      <c r="AY125" s="170"/>
      <c r="AZ125" s="170"/>
      <c r="BA125" s="170"/>
      <c r="BB125" s="170"/>
      <c r="BC125" s="170"/>
      <c r="BD125" s="170"/>
      <c r="BE125" s="179"/>
      <c r="BF125" s="170"/>
      <c r="BG125" s="170"/>
      <c r="BH125" s="179"/>
      <c r="BI125" s="170"/>
      <c r="BJ125" s="172"/>
      <c r="BK125" s="172"/>
      <c r="BL125" s="172"/>
      <c r="BM125" s="172"/>
      <c r="BN125" s="164"/>
      <c r="BO125" s="172">
        <f>200%+(char2Refine-1)*40%</f>
        <v>3.6</v>
      </c>
      <c r="BP125" s="172"/>
      <c r="BQ125" s="172"/>
      <c r="BR125" s="172"/>
      <c r="BS125" s="172"/>
      <c r="BT125" s="172"/>
      <c r="BU125" s="172"/>
      <c r="BV125" s="172"/>
      <c r="BW125" s="172"/>
      <c r="BX125" s="172"/>
      <c r="BY125" s="172"/>
      <c r="BZ125" s="164"/>
      <c r="CA125" s="164"/>
      <c r="CB125" s="164"/>
      <c r="CC125" s="172"/>
      <c r="CD125" s="165"/>
      <c r="CE125" s="76"/>
      <c r="CF125" s="165"/>
      <c r="CG125" s="165"/>
      <c r="CH125" s="165"/>
      <c r="CI125" s="165"/>
      <c r="CJ125" s="165"/>
      <c r="CK125" s="165"/>
      <c r="CL125" s="165"/>
      <c r="CM125" s="165"/>
      <c r="CN125" s="165"/>
      <c r="CO125" s="165"/>
      <c r="CP125" s="165"/>
      <c r="CQ125" s="165"/>
      <c r="CR125" s="165"/>
      <c r="CS125" s="165"/>
      <c r="CT125" s="165"/>
      <c r="CU125" s="165"/>
      <c r="CV125" s="165"/>
    </row>
    <row r="126" spans="1:100" x14ac:dyDescent="0.25">
      <c r="A126" s="44" t="s">
        <v>731</v>
      </c>
      <c r="B126" s="176"/>
      <c r="C126" s="177"/>
      <c r="D126" s="167" t="str">
        <f>char2CAElement</f>
        <v>Cryo</v>
      </c>
      <c r="E126" s="177"/>
      <c r="F126" s="182"/>
      <c r="G126" s="177"/>
      <c r="H126" s="177"/>
      <c r="I126" s="168"/>
      <c r="J126" s="177"/>
      <c r="K126" s="160"/>
      <c r="L126" s="177" t="s">
        <v>715</v>
      </c>
      <c r="M126" s="177"/>
      <c r="N126" s="160"/>
      <c r="O126" s="160"/>
      <c r="P126" s="177"/>
      <c r="Q126" s="182"/>
      <c r="R126" s="182"/>
      <c r="S126" s="182"/>
      <c r="T126" s="160"/>
      <c r="U126" s="169"/>
      <c r="V126" s="178"/>
      <c r="W126" s="169"/>
      <c r="X126" s="169"/>
      <c r="Y126" s="169"/>
      <c r="Z126" s="169"/>
      <c r="AA126" s="178"/>
      <c r="AB126" s="178"/>
      <c r="AC126" s="169" t="s">
        <v>715</v>
      </c>
      <c r="AD126" s="169"/>
      <c r="AE126" s="169"/>
      <c r="AF126" s="169"/>
      <c r="AG126" s="169"/>
      <c r="AH126" s="136"/>
      <c r="AI126" s="169"/>
      <c r="AJ126" s="169"/>
      <c r="AK126" s="169"/>
      <c r="AL126" s="169"/>
      <c r="AM126" s="169"/>
      <c r="AN126" s="170"/>
      <c r="AO126" s="179"/>
      <c r="AP126" s="179"/>
      <c r="AQ126" s="170"/>
      <c r="AR126" s="170"/>
      <c r="AS126" s="170"/>
      <c r="AT126" s="170"/>
      <c r="AU126" s="170"/>
      <c r="AV126" s="170"/>
      <c r="AW126" s="170"/>
      <c r="AX126" s="170"/>
      <c r="AY126" s="170"/>
      <c r="AZ126" s="170"/>
      <c r="BA126" s="170"/>
      <c r="BB126" s="170"/>
      <c r="BC126" s="170"/>
      <c r="BD126" s="170"/>
      <c r="BE126" s="179"/>
      <c r="BF126" s="170"/>
      <c r="BG126" s="170"/>
      <c r="BH126" s="179"/>
      <c r="BI126" s="170"/>
      <c r="BJ126" s="172"/>
      <c r="BK126" s="172"/>
      <c r="BL126" s="172"/>
      <c r="BM126" s="172"/>
      <c r="BN126" s="164"/>
      <c r="BO126" s="172" t="s">
        <v>715</v>
      </c>
      <c r="BP126" s="172"/>
      <c r="BQ126" s="172"/>
      <c r="BR126" s="172"/>
      <c r="BS126" s="172"/>
      <c r="BT126" s="172"/>
      <c r="BU126" s="172"/>
      <c r="BV126" s="172"/>
      <c r="BW126" s="172"/>
      <c r="BX126" s="172"/>
      <c r="BY126" s="172"/>
      <c r="BZ126" s="164"/>
      <c r="CA126" s="164"/>
      <c r="CB126" s="164"/>
      <c r="CC126" s="172"/>
      <c r="CD126" s="165"/>
      <c r="CE126" s="76"/>
      <c r="CF126" s="165"/>
      <c r="CG126" s="165"/>
      <c r="CH126" s="165"/>
      <c r="CI126" s="165"/>
      <c r="CJ126" s="165"/>
      <c r="CK126" s="165"/>
      <c r="CL126" s="165"/>
      <c r="CM126" s="165"/>
      <c r="CN126" s="165"/>
      <c r="CO126" s="165"/>
      <c r="CP126" s="165"/>
      <c r="CQ126" s="165"/>
      <c r="CR126" s="165"/>
      <c r="CS126" s="165"/>
      <c r="CT126" s="165"/>
      <c r="CU126" s="165"/>
      <c r="CV126" s="165"/>
    </row>
    <row r="127" spans="1:100" x14ac:dyDescent="0.25">
      <c r="A127" s="44" t="s">
        <v>732</v>
      </c>
      <c r="B127" s="176"/>
      <c r="C127" s="177"/>
      <c r="D127" s="177"/>
      <c r="E127" s="177"/>
      <c r="F127" s="182"/>
      <c r="G127" s="177"/>
      <c r="H127" s="177"/>
      <c r="I127" s="168"/>
      <c r="J127" s="177"/>
      <c r="K127" s="160"/>
      <c r="L127" s="177"/>
      <c r="M127" s="177"/>
      <c r="N127" s="160"/>
      <c r="O127" s="160"/>
      <c r="P127" s="177"/>
      <c r="Q127" s="182"/>
      <c r="R127" s="182"/>
      <c r="S127" s="182"/>
      <c r="T127" s="160"/>
      <c r="U127" s="169"/>
      <c r="V127" s="178"/>
      <c r="W127" s="169"/>
      <c r="X127" s="169"/>
      <c r="Y127" s="169"/>
      <c r="Z127" s="169"/>
      <c r="AA127" s="178"/>
      <c r="AB127" s="178"/>
      <c r="AC127" s="169"/>
      <c r="AD127" s="169"/>
      <c r="AE127" s="169"/>
      <c r="AF127" s="169"/>
      <c r="AG127" s="169"/>
      <c r="AH127" s="136"/>
      <c r="AI127" s="169"/>
      <c r="AJ127" s="169"/>
      <c r="AK127" s="169"/>
      <c r="AL127" s="169"/>
      <c r="AM127" s="169"/>
      <c r="AN127" s="170"/>
      <c r="AO127" s="179"/>
      <c r="AP127" s="179"/>
      <c r="AQ127" s="170"/>
      <c r="AR127" s="170"/>
      <c r="AS127" s="170"/>
      <c r="AT127" s="170"/>
      <c r="AU127" s="170"/>
      <c r="AV127" s="170"/>
      <c r="AW127" s="170"/>
      <c r="AX127" s="170"/>
      <c r="AY127" s="170"/>
      <c r="AZ127" s="170"/>
      <c r="BA127" s="170"/>
      <c r="BB127" s="170"/>
      <c r="BC127" s="170"/>
      <c r="BD127" s="170"/>
      <c r="BE127" s="179"/>
      <c r="BF127" s="170"/>
      <c r="BG127" s="170"/>
      <c r="BH127" s="179"/>
      <c r="BI127" s="170"/>
      <c r="BJ127" s="172"/>
      <c r="BK127" s="172"/>
      <c r="BL127" s="172"/>
      <c r="BM127" s="172"/>
      <c r="BN127" s="164"/>
      <c r="BO127" s="172"/>
      <c r="BP127" s="172"/>
      <c r="BQ127" s="172"/>
      <c r="BR127" s="172"/>
      <c r="BS127" s="172"/>
      <c r="BT127" s="172"/>
      <c r="BU127" s="172"/>
      <c r="BV127" s="172"/>
      <c r="BW127" s="172"/>
      <c r="BX127" s="172"/>
      <c r="BY127" s="172"/>
      <c r="BZ127" s="164"/>
      <c r="CA127" s="164"/>
      <c r="CB127" s="164"/>
      <c r="CC127" s="172"/>
      <c r="CD127" s="165"/>
      <c r="CE127" s="76"/>
      <c r="CF127" s="165"/>
      <c r="CG127" s="165"/>
      <c r="CH127" s="165"/>
      <c r="CI127" s="165"/>
      <c r="CJ127" s="165"/>
      <c r="CK127" s="165"/>
      <c r="CL127" s="165"/>
      <c r="CM127" s="165"/>
      <c r="CN127" s="165"/>
      <c r="CO127" s="165"/>
      <c r="CP127" s="165"/>
      <c r="CQ127" s="165"/>
      <c r="CR127" s="165"/>
      <c r="CS127" s="165"/>
      <c r="CT127" s="165"/>
      <c r="CU127" s="165"/>
      <c r="CV127" s="165"/>
    </row>
    <row r="128" spans="1:100" x14ac:dyDescent="0.25">
      <c r="A128" s="44" t="s">
        <v>733</v>
      </c>
      <c r="B128" s="176"/>
      <c r="C128" s="177"/>
      <c r="D128" s="177"/>
      <c r="E128" s="177"/>
      <c r="F128" s="182"/>
      <c r="G128" s="177"/>
      <c r="H128" s="177"/>
      <c r="I128" s="168"/>
      <c r="J128" s="177"/>
      <c r="K128" s="160"/>
      <c r="L128" s="177"/>
      <c r="M128" s="177"/>
      <c r="N128" s="160"/>
      <c r="O128" s="160"/>
      <c r="P128" s="177"/>
      <c r="Q128" s="182"/>
      <c r="R128" s="182"/>
      <c r="S128" s="182"/>
      <c r="T128" s="160"/>
      <c r="U128" s="169"/>
      <c r="V128" s="178"/>
      <c r="W128" s="169"/>
      <c r="X128" s="169"/>
      <c r="Y128" s="169"/>
      <c r="Z128" s="169"/>
      <c r="AA128" s="178"/>
      <c r="AB128" s="178"/>
      <c r="AC128" s="169"/>
      <c r="AD128" s="169"/>
      <c r="AE128" s="169"/>
      <c r="AF128" s="169"/>
      <c r="AG128" s="169"/>
      <c r="AH128" s="136"/>
      <c r="AI128" s="169"/>
      <c r="AJ128" s="169"/>
      <c r="AK128" s="169"/>
      <c r="AL128" s="169"/>
      <c r="AM128" s="169"/>
      <c r="AN128" s="170"/>
      <c r="AO128" s="179"/>
      <c r="AP128" s="179"/>
      <c r="AQ128" s="170"/>
      <c r="AR128" s="170"/>
      <c r="AS128" s="170"/>
      <c r="AT128" s="170"/>
      <c r="AU128" s="170"/>
      <c r="AV128" s="170"/>
      <c r="AW128" s="170"/>
      <c r="AX128" s="170"/>
      <c r="AY128" s="170"/>
      <c r="AZ128" s="170"/>
      <c r="BA128" s="170"/>
      <c r="BB128" s="170"/>
      <c r="BC128" s="170"/>
      <c r="BD128" s="170"/>
      <c r="BE128" s="179"/>
      <c r="BF128" s="170"/>
      <c r="BG128" s="170"/>
      <c r="BH128" s="179"/>
      <c r="BI128" s="170"/>
      <c r="BJ128" s="172"/>
      <c r="BK128" s="172"/>
      <c r="BL128" s="172"/>
      <c r="BM128" s="172"/>
      <c r="BN128" s="164"/>
      <c r="BO128" s="172"/>
      <c r="BP128" s="172"/>
      <c r="BQ128" s="172"/>
      <c r="BR128" s="172"/>
      <c r="BS128" s="172"/>
      <c r="BT128" s="172"/>
      <c r="BU128" s="172"/>
      <c r="BV128" s="172"/>
      <c r="BW128" s="172"/>
      <c r="BX128" s="172"/>
      <c r="BY128" s="172"/>
      <c r="BZ128" s="164"/>
      <c r="CA128" s="164"/>
      <c r="CB128" s="164"/>
      <c r="CC128" s="172"/>
      <c r="CD128" s="165"/>
      <c r="CE128" s="76"/>
      <c r="CF128" s="165"/>
      <c r="CG128" s="165"/>
      <c r="CH128" s="165"/>
      <c r="CI128" s="165"/>
      <c r="CJ128" s="165"/>
      <c r="CK128" s="165"/>
      <c r="CL128" s="165"/>
      <c r="CM128" s="165"/>
      <c r="CN128" s="165"/>
      <c r="CO128" s="165"/>
      <c r="CP128" s="165"/>
      <c r="CQ128" s="165"/>
      <c r="CR128" s="165"/>
      <c r="CS128" s="165"/>
      <c r="CT128" s="165"/>
      <c r="CU128" s="165"/>
      <c r="CV128" s="165"/>
    </row>
    <row r="129" spans="1:100" x14ac:dyDescent="0.25">
      <c r="A129" s="44" t="s">
        <v>734</v>
      </c>
      <c r="B129" s="176"/>
      <c r="C129" s="177"/>
      <c r="D129" s="177"/>
      <c r="E129" s="177"/>
      <c r="F129" s="182"/>
      <c r="G129" s="177"/>
      <c r="H129" s="177"/>
      <c r="I129" s="168"/>
      <c r="J129" s="177"/>
      <c r="K129" s="160"/>
      <c r="L129" s="177"/>
      <c r="M129" s="177"/>
      <c r="N129" s="160"/>
      <c r="O129" s="160"/>
      <c r="P129" s="177"/>
      <c r="Q129" s="182"/>
      <c r="R129" s="182"/>
      <c r="S129" s="182"/>
      <c r="T129" s="160"/>
      <c r="U129" s="169"/>
      <c r="V129" s="178"/>
      <c r="W129" s="169"/>
      <c r="X129" s="169"/>
      <c r="Y129" s="169"/>
      <c r="Z129" s="169"/>
      <c r="AA129" s="178"/>
      <c r="AB129" s="178"/>
      <c r="AC129" s="169"/>
      <c r="AD129" s="169"/>
      <c r="AE129" s="169"/>
      <c r="AF129" s="169"/>
      <c r="AG129" s="169"/>
      <c r="AH129" s="136"/>
      <c r="AI129" s="169"/>
      <c r="AJ129" s="169"/>
      <c r="AK129" s="169"/>
      <c r="AL129" s="169"/>
      <c r="AM129" s="169"/>
      <c r="AN129" s="170"/>
      <c r="AO129" s="179"/>
      <c r="AP129" s="179"/>
      <c r="AQ129" s="170"/>
      <c r="AR129" s="170"/>
      <c r="AS129" s="170"/>
      <c r="AT129" s="170"/>
      <c r="AU129" s="170"/>
      <c r="AV129" s="170"/>
      <c r="AW129" s="170"/>
      <c r="AX129" s="170"/>
      <c r="AY129" s="170"/>
      <c r="AZ129" s="170"/>
      <c r="BA129" s="170"/>
      <c r="BB129" s="170"/>
      <c r="BC129" s="170"/>
      <c r="BD129" s="170"/>
      <c r="BE129" s="179"/>
      <c r="BF129" s="170"/>
      <c r="BG129" s="170"/>
      <c r="BH129" s="179"/>
      <c r="BI129" s="170"/>
      <c r="BJ129" s="172"/>
      <c r="BK129" s="172"/>
      <c r="BL129" s="172"/>
      <c r="BM129" s="172"/>
      <c r="BN129" s="164"/>
      <c r="BO129" s="172"/>
      <c r="BP129" s="172"/>
      <c r="BQ129" s="172"/>
      <c r="BR129" s="172"/>
      <c r="BS129" s="172"/>
      <c r="BT129" s="172"/>
      <c r="BU129" s="172"/>
      <c r="BV129" s="172"/>
      <c r="BW129" s="172"/>
      <c r="BX129" s="172"/>
      <c r="BY129" s="172"/>
      <c r="BZ129" s="164"/>
      <c r="CA129" s="164"/>
      <c r="CB129" s="164"/>
      <c r="CC129" s="172"/>
      <c r="CD129" s="165"/>
      <c r="CE129" s="76"/>
      <c r="CF129" s="165"/>
      <c r="CG129" s="165"/>
      <c r="CH129" s="165"/>
      <c r="CI129" s="165"/>
      <c r="CJ129" s="165"/>
      <c r="CK129" s="165"/>
      <c r="CL129" s="165"/>
      <c r="CM129" s="165"/>
      <c r="CN129" s="165"/>
      <c r="CO129" s="165"/>
      <c r="CP129" s="165"/>
      <c r="CQ129" s="165"/>
      <c r="CR129" s="165"/>
      <c r="CS129" s="165"/>
      <c r="CT129" s="165"/>
      <c r="CU129" s="165"/>
      <c r="CV129" s="165"/>
    </row>
    <row r="130" spans="1:100" x14ac:dyDescent="0.25">
      <c r="A130" s="44" t="s">
        <v>735</v>
      </c>
      <c r="B130" s="176"/>
      <c r="C130" s="177"/>
      <c r="D130" s="177"/>
      <c r="E130" s="177"/>
      <c r="F130" s="182"/>
      <c r="G130" s="177"/>
      <c r="H130" s="177"/>
      <c r="I130" s="168"/>
      <c r="J130" s="177"/>
      <c r="K130" s="160"/>
      <c r="L130" s="177"/>
      <c r="M130" s="177"/>
      <c r="N130" s="160"/>
      <c r="O130" s="160"/>
      <c r="P130" s="177"/>
      <c r="Q130" s="182"/>
      <c r="R130" s="182"/>
      <c r="S130" s="182"/>
      <c r="T130" s="160"/>
      <c r="U130" s="169"/>
      <c r="V130" s="178"/>
      <c r="W130" s="169"/>
      <c r="X130" s="169"/>
      <c r="Y130" s="169"/>
      <c r="Z130" s="169"/>
      <c r="AA130" s="178"/>
      <c r="AB130" s="178"/>
      <c r="AC130" s="169"/>
      <c r="AD130" s="169"/>
      <c r="AE130" s="169"/>
      <c r="AF130" s="169"/>
      <c r="AG130" s="169"/>
      <c r="AH130" s="136"/>
      <c r="AI130" s="169"/>
      <c r="AJ130" s="169"/>
      <c r="AK130" s="169"/>
      <c r="AL130" s="169"/>
      <c r="AM130" s="169"/>
      <c r="AN130" s="170"/>
      <c r="AO130" s="179"/>
      <c r="AP130" s="179"/>
      <c r="AQ130" s="170"/>
      <c r="AR130" s="170"/>
      <c r="AS130" s="170"/>
      <c r="AT130" s="170"/>
      <c r="AU130" s="170"/>
      <c r="AV130" s="170"/>
      <c r="AW130" s="170"/>
      <c r="AX130" s="170"/>
      <c r="AY130" s="170"/>
      <c r="AZ130" s="170"/>
      <c r="BA130" s="170"/>
      <c r="BB130" s="170"/>
      <c r="BC130" s="170"/>
      <c r="BD130" s="170"/>
      <c r="BE130" s="179"/>
      <c r="BF130" s="170"/>
      <c r="BG130" s="170"/>
      <c r="BH130" s="179"/>
      <c r="BI130" s="170"/>
      <c r="BJ130" s="172"/>
      <c r="BK130" s="172"/>
      <c r="BL130" s="172"/>
      <c r="BM130" s="172"/>
      <c r="BN130" s="164"/>
      <c r="BO130" s="172"/>
      <c r="BP130" s="172"/>
      <c r="BQ130" s="172"/>
      <c r="BR130" s="172"/>
      <c r="BS130" s="172"/>
      <c r="BT130" s="172"/>
      <c r="BU130" s="172"/>
      <c r="BV130" s="172"/>
      <c r="BW130" s="172"/>
      <c r="BX130" s="172"/>
      <c r="BY130" s="172"/>
      <c r="BZ130" s="164"/>
      <c r="CA130" s="164"/>
      <c r="CB130" s="164"/>
      <c r="CC130" s="172"/>
      <c r="CD130" s="165"/>
      <c r="CE130" s="76"/>
      <c r="CF130" s="165"/>
      <c r="CG130" s="165"/>
      <c r="CH130" s="165"/>
      <c r="CI130" s="165"/>
      <c r="CJ130" s="165"/>
      <c r="CK130" s="165"/>
      <c r="CL130" s="165"/>
      <c r="CM130" s="165"/>
      <c r="CN130" s="165"/>
      <c r="CO130" s="165"/>
      <c r="CP130" s="165"/>
      <c r="CQ130" s="165"/>
      <c r="CR130" s="165"/>
      <c r="CS130" s="165"/>
      <c r="CT130" s="165"/>
      <c r="CU130" s="165"/>
      <c r="CV130" s="165"/>
    </row>
    <row r="131" spans="1:100" x14ac:dyDescent="0.25">
      <c r="A131" s="44" t="s">
        <v>736</v>
      </c>
      <c r="B131" s="185"/>
      <c r="C131" s="186"/>
      <c r="D131" s="186"/>
      <c r="E131" s="186"/>
      <c r="F131" s="131"/>
      <c r="G131" s="186"/>
      <c r="H131" s="186"/>
      <c r="I131" s="187"/>
      <c r="J131" s="186"/>
      <c r="K131" s="188"/>
      <c r="L131" s="186"/>
      <c r="M131" s="186"/>
      <c r="N131" s="188"/>
      <c r="O131" s="188"/>
      <c r="P131" s="186"/>
      <c r="Q131" s="131"/>
      <c r="R131" s="131"/>
      <c r="S131" s="131"/>
      <c r="T131" s="188"/>
      <c r="U131" s="189"/>
      <c r="V131" s="190"/>
      <c r="W131" s="189"/>
      <c r="X131" s="189"/>
      <c r="Y131" s="189"/>
      <c r="Z131" s="189"/>
      <c r="AA131" s="190"/>
      <c r="AB131" s="190"/>
      <c r="AC131" s="189"/>
      <c r="AD131" s="189"/>
      <c r="AE131" s="189"/>
      <c r="AF131" s="189"/>
      <c r="AG131" s="189"/>
      <c r="AH131" s="136"/>
      <c r="AI131" s="189"/>
      <c r="AJ131" s="189"/>
      <c r="AK131" s="189"/>
      <c r="AL131" s="189"/>
      <c r="AM131" s="189"/>
      <c r="AN131" s="191"/>
      <c r="AO131" s="192"/>
      <c r="AP131" s="192"/>
      <c r="AQ131" s="191"/>
      <c r="AR131" s="191"/>
      <c r="AS131" s="191"/>
      <c r="AT131" s="191"/>
      <c r="AU131" s="191"/>
      <c r="AV131" s="191"/>
      <c r="AW131" s="191"/>
      <c r="AX131" s="191"/>
      <c r="AY131" s="191"/>
      <c r="AZ131" s="191"/>
      <c r="BA131" s="191"/>
      <c r="BB131" s="191"/>
      <c r="BC131" s="191"/>
      <c r="BD131" s="191"/>
      <c r="BE131" s="192"/>
      <c r="BF131" s="191"/>
      <c r="BG131" s="191"/>
      <c r="BH131" s="192"/>
      <c r="BI131" s="191"/>
      <c r="BJ131" s="193"/>
      <c r="BK131" s="193"/>
      <c r="BL131" s="193"/>
      <c r="BM131" s="193"/>
      <c r="BN131" s="194"/>
      <c r="BO131" s="193"/>
      <c r="BP131" s="193"/>
      <c r="BQ131" s="193"/>
      <c r="BR131" s="193"/>
      <c r="BS131" s="193"/>
      <c r="BT131" s="193"/>
      <c r="BU131" s="193"/>
      <c r="BV131" s="193"/>
      <c r="BW131" s="193"/>
      <c r="BX131" s="193"/>
      <c r="BY131" s="193"/>
      <c r="BZ131" s="194"/>
      <c r="CA131" s="194"/>
      <c r="CB131" s="194"/>
      <c r="CC131" s="193"/>
      <c r="CD131" s="195"/>
      <c r="CE131" s="76"/>
      <c r="CF131" s="195"/>
      <c r="CG131" s="195"/>
      <c r="CH131" s="195"/>
      <c r="CI131" s="195"/>
      <c r="CJ131" s="195"/>
      <c r="CK131" s="195"/>
      <c r="CL131" s="195"/>
      <c r="CM131" s="195"/>
      <c r="CN131" s="195"/>
      <c r="CO131" s="195"/>
      <c r="CP131" s="195"/>
      <c r="CQ131" s="195"/>
      <c r="CR131" s="195"/>
      <c r="CS131" s="195"/>
      <c r="CT131" s="195"/>
      <c r="CU131" s="195"/>
      <c r="CV131" s="195"/>
    </row>
    <row r="133" spans="1:100" x14ac:dyDescent="0.25">
      <c r="A133" s="79" t="s">
        <v>739</v>
      </c>
      <c r="B133" s="153" t="s">
        <v>461</v>
      </c>
      <c r="C133" s="154" t="s">
        <v>462</v>
      </c>
      <c r="D133" s="154" t="s">
        <v>463</v>
      </c>
      <c r="E133" s="154" t="s">
        <v>464</v>
      </c>
      <c r="F133" s="154" t="s">
        <v>465</v>
      </c>
      <c r="G133" s="154" t="s">
        <v>466</v>
      </c>
      <c r="H133" s="154" t="s">
        <v>467</v>
      </c>
      <c r="I133" s="154" t="s">
        <v>468</v>
      </c>
      <c r="J133" s="154" t="s">
        <v>469</v>
      </c>
      <c r="K133" s="154" t="s">
        <v>470</v>
      </c>
      <c r="L133" s="154" t="s">
        <v>471</v>
      </c>
      <c r="M133" s="154" t="s">
        <v>472</v>
      </c>
      <c r="N133" s="154" t="s">
        <v>473</v>
      </c>
      <c r="O133" s="154" t="s">
        <v>474</v>
      </c>
      <c r="P133" s="154" t="s">
        <v>475</v>
      </c>
      <c r="Q133" s="154" t="s">
        <v>476</v>
      </c>
      <c r="R133" s="154" t="s">
        <v>477</v>
      </c>
      <c r="S133" s="154" t="s">
        <v>478</v>
      </c>
      <c r="T133" s="154" t="s">
        <v>479</v>
      </c>
      <c r="U133" s="155" t="s">
        <v>480</v>
      </c>
      <c r="V133" s="155" t="s">
        <v>481</v>
      </c>
      <c r="W133" s="155" t="s">
        <v>482</v>
      </c>
      <c r="X133" s="155" t="s">
        <v>483</v>
      </c>
      <c r="Y133" s="155" t="s">
        <v>484</v>
      </c>
      <c r="Z133" s="56" t="s">
        <v>1078</v>
      </c>
      <c r="AA133" s="155" t="s">
        <v>485</v>
      </c>
      <c r="AB133" s="155" t="s">
        <v>486</v>
      </c>
      <c r="AC133" s="155" t="s">
        <v>487</v>
      </c>
      <c r="AD133" s="155" t="s">
        <v>488</v>
      </c>
      <c r="AE133" s="155" t="s">
        <v>489</v>
      </c>
      <c r="AF133" s="155" t="s">
        <v>490</v>
      </c>
      <c r="AG133" s="155" t="s">
        <v>491</v>
      </c>
      <c r="AH133" s="56" t="s">
        <v>975</v>
      </c>
      <c r="AI133" s="155" t="s">
        <v>492</v>
      </c>
      <c r="AJ133" s="155" t="s">
        <v>493</v>
      </c>
      <c r="AK133" s="155" t="s">
        <v>494</v>
      </c>
      <c r="AL133" s="155" t="s">
        <v>495</v>
      </c>
      <c r="AM133" s="155" t="s">
        <v>496</v>
      </c>
      <c r="AN133" s="156" t="s">
        <v>497</v>
      </c>
      <c r="AO133" s="156" t="s">
        <v>498</v>
      </c>
      <c r="AP133" s="156" t="s">
        <v>499</v>
      </c>
      <c r="AQ133" s="156" t="s">
        <v>500</v>
      </c>
      <c r="AR133" s="156" t="s">
        <v>501</v>
      </c>
      <c r="AS133" s="156" t="s">
        <v>502</v>
      </c>
      <c r="AT133" s="156" t="s">
        <v>503</v>
      </c>
      <c r="AU133" s="156" t="s">
        <v>504</v>
      </c>
      <c r="AV133" s="156" t="s">
        <v>505</v>
      </c>
      <c r="AW133" s="156" t="s">
        <v>506</v>
      </c>
      <c r="AX133" s="156" t="s">
        <v>507</v>
      </c>
      <c r="AY133" s="156" t="s">
        <v>508</v>
      </c>
      <c r="AZ133" s="156" t="s">
        <v>509</v>
      </c>
      <c r="BA133" s="156" t="s">
        <v>510</v>
      </c>
      <c r="BB133" s="156" t="s">
        <v>511</v>
      </c>
      <c r="BC133" s="156" t="s">
        <v>512</v>
      </c>
      <c r="BD133" s="156" t="s">
        <v>513</v>
      </c>
      <c r="BE133" s="57" t="s">
        <v>1136</v>
      </c>
      <c r="BF133" s="156" t="s">
        <v>514</v>
      </c>
      <c r="BG133" s="156" t="s">
        <v>515</v>
      </c>
      <c r="BH133" s="156" t="s">
        <v>516</v>
      </c>
      <c r="BI133" s="156" t="s">
        <v>517</v>
      </c>
      <c r="BJ133" s="157" t="s">
        <v>518</v>
      </c>
      <c r="BK133" s="58" t="s">
        <v>1148</v>
      </c>
      <c r="BL133" s="157" t="s">
        <v>519</v>
      </c>
      <c r="BM133" s="157" t="s">
        <v>520</v>
      </c>
      <c r="BN133" s="157" t="s">
        <v>521</v>
      </c>
      <c r="BO133" s="157" t="s">
        <v>522</v>
      </c>
      <c r="BP133" s="157" t="s">
        <v>523</v>
      </c>
      <c r="BQ133" s="157" t="s">
        <v>524</v>
      </c>
      <c r="BR133" s="157" t="s">
        <v>525</v>
      </c>
      <c r="BS133" s="157" t="s">
        <v>526</v>
      </c>
      <c r="BT133" s="157" t="s">
        <v>527</v>
      </c>
      <c r="BU133" s="157" t="s">
        <v>528</v>
      </c>
      <c r="BV133" s="157" t="s">
        <v>529</v>
      </c>
      <c r="BW133" s="157" t="s">
        <v>530</v>
      </c>
      <c r="BX133" s="157" t="s">
        <v>531</v>
      </c>
      <c r="BY133" s="157" t="s">
        <v>532</v>
      </c>
      <c r="BZ133" s="157" t="s">
        <v>533</v>
      </c>
      <c r="CA133" s="157" t="s">
        <v>534</v>
      </c>
      <c r="CB133" s="157" t="s">
        <v>535</v>
      </c>
      <c r="CC133" s="157" t="s">
        <v>536</v>
      </c>
      <c r="CD133" s="158" t="s">
        <v>537</v>
      </c>
      <c r="CE133" s="59" t="s">
        <v>538</v>
      </c>
      <c r="CF133" s="158" t="s">
        <v>539</v>
      </c>
      <c r="CG133" s="158" t="s">
        <v>540</v>
      </c>
      <c r="CH133" s="158" t="s">
        <v>541</v>
      </c>
      <c r="CI133" s="158" t="s">
        <v>542</v>
      </c>
      <c r="CJ133" s="158" t="s">
        <v>543</v>
      </c>
      <c r="CK133" s="158" t="s">
        <v>544</v>
      </c>
      <c r="CL133" s="158" t="s">
        <v>545</v>
      </c>
      <c r="CM133" s="158" t="s">
        <v>546</v>
      </c>
      <c r="CN133" s="158" t="s">
        <v>547</v>
      </c>
      <c r="CO133" s="158" t="s">
        <v>548</v>
      </c>
      <c r="CP133" s="158" t="s">
        <v>549</v>
      </c>
      <c r="CQ133" s="158" t="s">
        <v>1077</v>
      </c>
      <c r="CR133" s="158" t="s">
        <v>550</v>
      </c>
      <c r="CS133" s="158" t="s">
        <v>551</v>
      </c>
      <c r="CT133" s="158" t="s">
        <v>552</v>
      </c>
      <c r="CU133" s="158" t="s">
        <v>553</v>
      </c>
      <c r="CV133" s="158" t="s">
        <v>554</v>
      </c>
    </row>
    <row r="134" spans="1:100" x14ac:dyDescent="0.25">
      <c r="A134" t="s">
        <v>406</v>
      </c>
      <c r="B134" s="159">
        <v>674</v>
      </c>
      <c r="C134" s="160">
        <v>608</v>
      </c>
      <c r="D134" s="52">
        <v>542</v>
      </c>
      <c r="E134" s="160">
        <v>608</v>
      </c>
      <c r="F134" s="160">
        <v>741</v>
      </c>
      <c r="G134" s="160">
        <v>510</v>
      </c>
      <c r="H134" s="160">
        <v>510</v>
      </c>
      <c r="I134" s="160">
        <v>565</v>
      </c>
      <c r="J134" s="160">
        <v>510</v>
      </c>
      <c r="K134" s="160">
        <v>454</v>
      </c>
      <c r="L134" s="160">
        <v>565</v>
      </c>
      <c r="M134" s="160">
        <v>510</v>
      </c>
      <c r="N134" s="160">
        <v>510</v>
      </c>
      <c r="O134" s="160">
        <v>565</v>
      </c>
      <c r="P134" s="160">
        <v>454</v>
      </c>
      <c r="Q134" s="160">
        <v>510</v>
      </c>
      <c r="R134" s="160">
        <v>565</v>
      </c>
      <c r="S134" s="160">
        <v>510</v>
      </c>
      <c r="T134" s="160">
        <v>510</v>
      </c>
      <c r="U134" s="161">
        <v>674</v>
      </c>
      <c r="V134" s="161">
        <v>608</v>
      </c>
      <c r="W134" s="161">
        <v>674</v>
      </c>
      <c r="X134" s="161">
        <v>608</v>
      </c>
      <c r="Y134" s="161">
        <v>608</v>
      </c>
      <c r="Z134" s="60">
        <v>741</v>
      </c>
      <c r="AA134" s="161">
        <v>510</v>
      </c>
      <c r="AB134" s="161">
        <v>565</v>
      </c>
      <c r="AC134" s="161">
        <v>454</v>
      </c>
      <c r="AD134" s="161">
        <v>565</v>
      </c>
      <c r="AE134" s="161">
        <v>510</v>
      </c>
      <c r="AF134" s="161">
        <v>565</v>
      </c>
      <c r="AG134" s="161">
        <v>454</v>
      </c>
      <c r="AH134" s="60">
        <v>620</v>
      </c>
      <c r="AI134" s="161">
        <v>454</v>
      </c>
      <c r="AJ134" s="161">
        <v>565</v>
      </c>
      <c r="AK134" s="161">
        <v>510</v>
      </c>
      <c r="AL134" s="161">
        <v>401</v>
      </c>
      <c r="AM134" s="161">
        <v>354</v>
      </c>
      <c r="AN134" s="162">
        <v>542</v>
      </c>
      <c r="AO134" s="162">
        <v>608</v>
      </c>
      <c r="AP134" s="162">
        <v>674</v>
      </c>
      <c r="AQ134" s="162">
        <v>608</v>
      </c>
      <c r="AR134" s="162">
        <v>608</v>
      </c>
      <c r="AS134" s="162">
        <v>674</v>
      </c>
      <c r="AT134" s="162">
        <v>510</v>
      </c>
      <c r="AU134" s="162">
        <v>510</v>
      </c>
      <c r="AV134" s="162">
        <v>510</v>
      </c>
      <c r="AW134" s="162">
        <v>620</v>
      </c>
      <c r="AX134" s="162">
        <v>454</v>
      </c>
      <c r="AY134" s="162">
        <v>510</v>
      </c>
      <c r="AZ134" s="162">
        <v>565</v>
      </c>
      <c r="BA134" s="162">
        <v>510</v>
      </c>
      <c r="BB134" s="162">
        <v>510</v>
      </c>
      <c r="BC134" s="162">
        <v>454</v>
      </c>
      <c r="BD134" s="162">
        <v>565</v>
      </c>
      <c r="BE134" s="162">
        <v>454</v>
      </c>
      <c r="BF134" s="162">
        <v>454</v>
      </c>
      <c r="BG134" s="162">
        <v>354</v>
      </c>
      <c r="BH134" s="162">
        <v>401</v>
      </c>
      <c r="BI134" s="162">
        <v>401</v>
      </c>
      <c r="BJ134" s="163">
        <v>608</v>
      </c>
      <c r="BK134" s="62">
        <v>608</v>
      </c>
      <c r="BL134" s="163">
        <v>674</v>
      </c>
      <c r="BM134" s="163">
        <v>608</v>
      </c>
      <c r="BN134" s="163">
        <v>608</v>
      </c>
      <c r="BO134" s="163">
        <v>510</v>
      </c>
      <c r="BP134" s="163">
        <v>454</v>
      </c>
      <c r="BQ134" s="163">
        <v>565</v>
      </c>
      <c r="BR134" s="163">
        <v>510</v>
      </c>
      <c r="BS134" s="163">
        <v>510</v>
      </c>
      <c r="BT134" s="163">
        <v>454</v>
      </c>
      <c r="BU134" s="163">
        <v>565</v>
      </c>
      <c r="BV134" s="163">
        <v>510</v>
      </c>
      <c r="BW134" s="163">
        <v>565</v>
      </c>
      <c r="BX134" s="163">
        <v>510</v>
      </c>
      <c r="BY134" s="163">
        <v>454</v>
      </c>
      <c r="BZ134" s="163">
        <v>354</v>
      </c>
      <c r="CA134" s="163">
        <v>510</v>
      </c>
      <c r="CB134" s="163">
        <v>565</v>
      </c>
      <c r="CC134" s="164">
        <v>401</v>
      </c>
      <c r="CD134" s="165">
        <v>608</v>
      </c>
      <c r="CE134" s="64">
        <v>608</v>
      </c>
      <c r="CF134" s="165">
        <v>674</v>
      </c>
      <c r="CG134" s="165">
        <v>608</v>
      </c>
      <c r="CH134" s="165">
        <v>510</v>
      </c>
      <c r="CI134" s="165">
        <v>510</v>
      </c>
      <c r="CJ134" s="165">
        <v>454</v>
      </c>
      <c r="CK134" s="165">
        <v>565</v>
      </c>
      <c r="CL134" s="165">
        <v>510</v>
      </c>
      <c r="CM134" s="165">
        <v>454</v>
      </c>
      <c r="CN134" s="165">
        <v>510</v>
      </c>
      <c r="CO134" s="165">
        <v>565</v>
      </c>
      <c r="CP134" s="165">
        <v>565</v>
      </c>
      <c r="CQ134" s="165">
        <v>454</v>
      </c>
      <c r="CR134" s="165">
        <v>510</v>
      </c>
      <c r="CS134" s="165">
        <v>510</v>
      </c>
      <c r="CT134" s="165">
        <v>510</v>
      </c>
      <c r="CU134" s="165">
        <v>354</v>
      </c>
      <c r="CV134" s="165">
        <v>608</v>
      </c>
    </row>
    <row r="135" spans="1:100" x14ac:dyDescent="0.25">
      <c r="A135" t="s">
        <v>65</v>
      </c>
      <c r="B135" s="166">
        <v>0</v>
      </c>
      <c r="C135" s="167">
        <f>49.6%+IF(char3WeapToggle, 2*char3WeapStacks*(4+(char3Refine-1))%, char3WeapStacks*(4+(char3Refine-1))%)</f>
        <v>0.496</v>
      </c>
      <c r="D135" s="53">
        <v>0</v>
      </c>
      <c r="E135" s="167">
        <f>49.6%+(20+(char3Refine-1)*5)%+IF(char3WeapToggle,(40+(char3Refine-1)*10),0)%</f>
        <v>1.6960000000000002</v>
      </c>
      <c r="F135" s="167">
        <f>IF(char3WeapToggle, (20+(char3Refine-1)*5)%, 0%) + (16+(char3Refine-1)*4)%</f>
        <v>0.72</v>
      </c>
      <c r="G135" s="168">
        <v>0</v>
      </c>
      <c r="H135" s="168">
        <v>0</v>
      </c>
      <c r="I135" s="168">
        <v>0.27600000000000002</v>
      </c>
      <c r="J135" s="167">
        <f>char3WeapStacks*(6+1.5*(char3Refine-1))%</f>
        <v>0</v>
      </c>
      <c r="K135" s="167">
        <v>0</v>
      </c>
      <c r="L135" s="167">
        <v>0</v>
      </c>
      <c r="M135" s="167">
        <v>0</v>
      </c>
      <c r="N135" s="168">
        <f>41.3%+char3WeapStacks*(7+(char3Refine-1))%</f>
        <v>0.41299999999999998</v>
      </c>
      <c r="O135" s="168">
        <v>0.27600000000000002</v>
      </c>
      <c r="P135" s="168">
        <v>0.55100000000000005</v>
      </c>
      <c r="Q135" s="168">
        <v>0</v>
      </c>
      <c r="R135" s="168">
        <v>0</v>
      </c>
      <c r="S135" s="168">
        <v>0.41299999999999998</v>
      </c>
      <c r="T135" s="167">
        <f>char3WeapStacks*(12+(char3Refine-1)*3)%</f>
        <v>0</v>
      </c>
      <c r="U135" s="169">
        <v>0</v>
      </c>
      <c r="V135" s="169">
        <f ca="1">MIN((28%+(char3Refine-1)*7%)*(char3FinalER-100%),(80+(char3Refine-1)*10)%)</f>
        <v>0.39519200000000004</v>
      </c>
      <c r="W135" s="169">
        <f>char3WeapStacks*(3.2+(char3Refine-1)*0.7)%</f>
        <v>0</v>
      </c>
      <c r="X135" s="169">
        <f>(49.6+(char3WeapStacks*IF(char3WeapToggle,2,1)*(4+(char3Refine-1)*1)))%</f>
        <v>0.496</v>
      </c>
      <c r="Y135" s="169">
        <v>0</v>
      </c>
      <c r="Z135" s="65">
        <f>IF(char3WeapToggle = FALSE, (3.2%+0.8%*(char3Refine-1))*char3WeapStacks, (3.2%+0.8%*(char3Refine-1))*char3WeapStacks*2)</f>
        <v>0</v>
      </c>
      <c r="AA135" s="169">
        <v>0</v>
      </c>
      <c r="AB135" s="169">
        <v>0</v>
      </c>
      <c r="AC135" s="169">
        <v>0</v>
      </c>
      <c r="AD135" s="169">
        <v>0</v>
      </c>
      <c r="AE135" s="169">
        <v>0</v>
      </c>
      <c r="AF135" s="169">
        <f>(27.6+(7+(char3Refine-1)*1)*char3WeapStacks)%</f>
        <v>0.27600000000000002</v>
      </c>
      <c r="AG135" s="169">
        <v>0</v>
      </c>
      <c r="AH135" s="65">
        <v>0.13800000000000001</v>
      </c>
      <c r="AI135" s="169">
        <f>IF(char3WeapToggle,(24+(char3Refine-1)*6),(16+(char3Refine-1)*4))%</f>
        <v>0.48</v>
      </c>
      <c r="AJ135" s="169">
        <v>0</v>
      </c>
      <c r="AK135" s="169">
        <f>(12+(char3Refine-1)*3)*char3WeapStacks%</f>
        <v>0</v>
      </c>
      <c r="AL135" s="169">
        <v>0</v>
      </c>
      <c r="AM135" s="169">
        <v>0</v>
      </c>
      <c r="AN135" s="170">
        <v>0</v>
      </c>
      <c r="AO135" s="170">
        <f>IF(char3WeapToggle, (20+(char3Refine-1)*5), 0)%</f>
        <v>0.4</v>
      </c>
      <c r="AP135" s="170">
        <v>0</v>
      </c>
      <c r="AQ135" s="170">
        <f>(49.6+IF(char3WeapToggle,(4+(char3Refine-1))*char3WeapStacks*2,(4+(char3Refine-1))*char3WeapStacks))%</f>
        <v>0.496</v>
      </c>
      <c r="AR135" s="170">
        <v>0</v>
      </c>
      <c r="AS135" s="170">
        <f>(20+(char3Refine-1)*5)%</f>
        <v>0.4</v>
      </c>
      <c r="AT135" s="170">
        <v>0</v>
      </c>
      <c r="AU135" s="170">
        <v>0.41299999999999998</v>
      </c>
      <c r="AV135" s="170">
        <v>0</v>
      </c>
      <c r="AW135" s="170">
        <v>0</v>
      </c>
      <c r="AX135" s="170">
        <v>0</v>
      </c>
      <c r="AY135" s="170">
        <v>0.41299999999999998</v>
      </c>
      <c r="AZ135" s="170">
        <f>char3WeapStacks*(4+(char3Refine-1))%</f>
        <v>0</v>
      </c>
      <c r="BA135" s="170">
        <v>0.41299999999999998</v>
      </c>
      <c r="BB135" s="170">
        <v>0</v>
      </c>
      <c r="BC135" s="170">
        <v>0</v>
      </c>
      <c r="BD135" s="170">
        <f>(char3WeapStacks*(12+(char3Refine-1)*3))%</f>
        <v>0</v>
      </c>
      <c r="BE135" s="170">
        <v>0.55100000000000005</v>
      </c>
      <c r="BF135" s="170">
        <v>0</v>
      </c>
      <c r="BG135" s="170">
        <f>IF(char3WeapToggle,12+(char3Refine-1)*3,0)%</f>
        <v>0.24</v>
      </c>
      <c r="BH135" s="170">
        <f>IF(char3WeapToggle, 20+(char3Refine-1)*5)%</f>
        <v>0.4</v>
      </c>
      <c r="BI135" s="170">
        <v>0</v>
      </c>
      <c r="BJ135" s="171">
        <f>(49.6+IF(char3WeapToggle,(4+(char3Refine-1))*char3WeapStacks*2,(4+(char3Refine-1))*char3WeapStacks))%</f>
        <v>0.496</v>
      </c>
      <c r="BK135" s="67">
        <v>0</v>
      </c>
      <c r="BL135" s="172">
        <v>0.33100000000000002</v>
      </c>
      <c r="BM135" s="172">
        <v>0</v>
      </c>
      <c r="BN135" s="172">
        <v>0</v>
      </c>
      <c r="BO135" s="172">
        <v>0.41299999999999998</v>
      </c>
      <c r="BP135" s="172">
        <v>0.55100000000000005</v>
      </c>
      <c r="BQ135" s="172">
        <f>IF(char3WeapToggle, 20+(char3Refine-1)*5,0)%</f>
        <v>0.4</v>
      </c>
      <c r="BR135" s="172">
        <f>IF(char3WeapToggle, 20+(char3Refine-1)*5,0)%</f>
        <v>0.4</v>
      </c>
      <c r="BS135" s="172">
        <v>0</v>
      </c>
      <c r="BT135" s="172">
        <v>0</v>
      </c>
      <c r="BU135" s="172">
        <v>0.27600000000000002</v>
      </c>
      <c r="BV135" s="172">
        <v>0</v>
      </c>
      <c r="BW135" s="172">
        <v>0</v>
      </c>
      <c r="BX135" s="172">
        <v>0</v>
      </c>
      <c r="BY135" s="172">
        <f>(55.1+IF(char3WeapToggle,8+(char3Refine-1)*2))%</f>
        <v>0.71099999999999997</v>
      </c>
      <c r="BZ135" s="172">
        <v>0</v>
      </c>
      <c r="CA135" s="172">
        <f>char3WeapStacks*(12+(char3Refine-1)*3)%</f>
        <v>0</v>
      </c>
      <c r="CB135" s="172">
        <v>0</v>
      </c>
      <c r="CC135" s="172">
        <v>0</v>
      </c>
      <c r="CD135" s="173">
        <f>IF(char3WeapToggle, 20+(char3Refine-1)*5, 0)%</f>
        <v>0.4</v>
      </c>
      <c r="CE135" s="71">
        <f>IF(char3WeapStacks=0, 0, IF(char3WeapStacks=1, 10+(char3Refine-1)*2.5, IF(char3WeapStacks=2, 20+(char3Refine-1)*5, IF(char3WeapStacks=3, 30+(char3Refine-1)*7.5, IF(char3WeapStacks=4, 48+(char3Refine-1)*12,0)))))%</f>
        <v>0</v>
      </c>
      <c r="CF135" s="174">
        <v>0</v>
      </c>
      <c r="CG135" s="175">
        <v>0.496</v>
      </c>
      <c r="CH135" s="175">
        <v>0.41299999999999998</v>
      </c>
      <c r="CI135" s="174">
        <v>0</v>
      </c>
      <c r="CJ135" s="174">
        <f>char3WeapStacks*(4+(char3Refine-1))%</f>
        <v>0</v>
      </c>
      <c r="CK135" s="174">
        <f>char3WeapStacks*(12+(char3Refine-1)*3)%</f>
        <v>0</v>
      </c>
      <c r="CL135" s="174">
        <f>41.3%+IF(char3WeapToggle, 36+(char3Refine-1)*9)%</f>
        <v>1.133</v>
      </c>
      <c r="CM135" s="174">
        <v>0</v>
      </c>
      <c r="CN135" s="174">
        <f>IF(char3WeapToggle, 16+(char3Refine-1)*4,0)%</f>
        <v>0.32</v>
      </c>
      <c r="CO135" s="174">
        <v>0.27600000000000002</v>
      </c>
      <c r="CP135" s="174">
        <v>0</v>
      </c>
      <c r="CQ135" s="174">
        <v>0.55100000000000005</v>
      </c>
      <c r="CR135" s="174">
        <v>0</v>
      </c>
      <c r="CS135" s="175">
        <v>0.41299999999999998</v>
      </c>
      <c r="CT135" s="174">
        <v>0</v>
      </c>
      <c r="CU135" s="174">
        <v>0</v>
      </c>
      <c r="CV135" s="174">
        <f>(20+(char3Refine-1)*5)%</f>
        <v>0.4</v>
      </c>
    </row>
    <row r="136" spans="1:100" x14ac:dyDescent="0.25">
      <c r="A136" t="s">
        <v>66</v>
      </c>
      <c r="B136" s="166">
        <v>0</v>
      </c>
      <c r="C136" s="167">
        <v>0</v>
      </c>
      <c r="D136" s="53">
        <f>(28+(char3Refine-1)*7)%</f>
        <v>0.56000000000000005</v>
      </c>
      <c r="E136" s="167">
        <v>0</v>
      </c>
      <c r="F136" s="167">
        <v>0</v>
      </c>
      <c r="G136" s="168">
        <v>0</v>
      </c>
      <c r="H136" s="168">
        <v>0</v>
      </c>
      <c r="I136" s="168">
        <v>0</v>
      </c>
      <c r="J136" s="168">
        <f>51.7%+char3WeapStacks*(6+1.5*(char3Refine-1))%</f>
        <v>0.51700000000000002</v>
      </c>
      <c r="K136" s="167">
        <v>0</v>
      </c>
      <c r="L136" s="167">
        <v>0</v>
      </c>
      <c r="M136" s="167">
        <v>0</v>
      </c>
      <c r="N136" s="168">
        <v>0</v>
      </c>
      <c r="O136" s="167">
        <v>0</v>
      </c>
      <c r="P136" s="167">
        <v>0</v>
      </c>
      <c r="Q136" s="168">
        <v>0</v>
      </c>
      <c r="R136" s="168">
        <v>0</v>
      </c>
      <c r="S136" s="168">
        <v>0</v>
      </c>
      <c r="T136" s="168">
        <v>0</v>
      </c>
      <c r="U136" s="169">
        <v>0</v>
      </c>
      <c r="V136" s="169">
        <v>0</v>
      </c>
      <c r="W136" s="169">
        <v>0</v>
      </c>
      <c r="X136" s="169">
        <v>0</v>
      </c>
      <c r="Y136" s="169">
        <v>0</v>
      </c>
      <c r="Z136" s="65">
        <v>0</v>
      </c>
      <c r="AA136" s="169">
        <v>0</v>
      </c>
      <c r="AB136" s="169">
        <v>0</v>
      </c>
      <c r="AC136" s="169">
        <v>0</v>
      </c>
      <c r="AD136" s="169">
        <v>0</v>
      </c>
      <c r="AE136" s="169">
        <v>0</v>
      </c>
      <c r="AF136" s="169">
        <v>0</v>
      </c>
      <c r="AG136" s="169">
        <v>0</v>
      </c>
      <c r="AH136" s="65">
        <v>0</v>
      </c>
      <c r="AI136" s="169">
        <f>(16+(char3Refine-1)*4)%</f>
        <v>0.32</v>
      </c>
      <c r="AJ136" s="169">
        <v>0</v>
      </c>
      <c r="AK136" s="169">
        <v>0</v>
      </c>
      <c r="AL136" s="169">
        <v>0</v>
      </c>
      <c r="AM136" s="169">
        <v>0</v>
      </c>
      <c r="AN136" s="170">
        <v>0</v>
      </c>
      <c r="AO136" s="170">
        <v>0</v>
      </c>
      <c r="AP136" s="170">
        <v>0</v>
      </c>
      <c r="AQ136" s="170">
        <v>0</v>
      </c>
      <c r="AR136" s="170">
        <v>0</v>
      </c>
      <c r="AS136" s="170">
        <v>0</v>
      </c>
      <c r="AT136" s="170">
        <v>0</v>
      </c>
      <c r="AU136" s="170">
        <v>0</v>
      </c>
      <c r="AV136" s="170">
        <v>0</v>
      </c>
      <c r="AW136" s="170">
        <v>0</v>
      </c>
      <c r="AX136" s="170">
        <v>0</v>
      </c>
      <c r="AY136" s="170">
        <v>0</v>
      </c>
      <c r="AZ136" s="170">
        <f>char3WeapStacks*(4+(char3Refine-1))%</f>
        <v>0</v>
      </c>
      <c r="BA136" s="170">
        <v>0</v>
      </c>
      <c r="BB136" s="170">
        <v>0</v>
      </c>
      <c r="BC136" s="170">
        <v>0</v>
      </c>
      <c r="BD136" s="170">
        <v>0</v>
      </c>
      <c r="BE136" s="170">
        <v>0</v>
      </c>
      <c r="BF136" s="170">
        <v>0.69</v>
      </c>
      <c r="BG136" s="170">
        <v>0</v>
      </c>
      <c r="BH136" s="170">
        <v>0</v>
      </c>
      <c r="BI136" s="170">
        <v>0</v>
      </c>
      <c r="BJ136" s="172">
        <v>0</v>
      </c>
      <c r="BK136" s="67">
        <v>0</v>
      </c>
      <c r="BL136" s="172">
        <v>0</v>
      </c>
      <c r="BM136" s="172">
        <v>0</v>
      </c>
      <c r="BN136" s="172">
        <v>0</v>
      </c>
      <c r="BO136" s="172">
        <v>0</v>
      </c>
      <c r="BP136" s="172">
        <v>0</v>
      </c>
      <c r="BQ136" s="172">
        <v>0</v>
      </c>
      <c r="BR136" s="172">
        <v>0</v>
      </c>
      <c r="BS136" s="172">
        <v>0</v>
      </c>
      <c r="BT136" s="172">
        <v>0</v>
      </c>
      <c r="BU136" s="172">
        <v>0</v>
      </c>
      <c r="BV136" s="172">
        <v>0</v>
      </c>
      <c r="BW136" s="172">
        <v>0</v>
      </c>
      <c r="BX136" s="172">
        <v>0</v>
      </c>
      <c r="BY136" s="172">
        <v>0</v>
      </c>
      <c r="BZ136" s="172">
        <v>0</v>
      </c>
      <c r="CA136" s="172">
        <v>0</v>
      </c>
      <c r="CB136" s="172">
        <v>0</v>
      </c>
      <c r="CC136" s="172">
        <v>0</v>
      </c>
      <c r="CD136" s="174">
        <v>0</v>
      </c>
      <c r="CE136" s="70">
        <v>0</v>
      </c>
      <c r="CF136" s="174">
        <v>0</v>
      </c>
      <c r="CG136" s="174">
        <v>0</v>
      </c>
      <c r="CH136" s="174">
        <v>0</v>
      </c>
      <c r="CI136" s="174">
        <v>0</v>
      </c>
      <c r="CJ136" s="174">
        <v>0</v>
      </c>
      <c r="CK136" s="174">
        <v>0</v>
      </c>
      <c r="CL136" s="174">
        <v>0</v>
      </c>
      <c r="CM136" s="174">
        <v>0</v>
      </c>
      <c r="CN136" s="174">
        <v>0</v>
      </c>
      <c r="CO136" s="174">
        <v>0</v>
      </c>
      <c r="CP136" s="174">
        <v>0</v>
      </c>
      <c r="CQ136" s="174">
        <v>0</v>
      </c>
      <c r="CR136" s="174">
        <v>0</v>
      </c>
      <c r="CS136" s="174">
        <v>0</v>
      </c>
      <c r="CT136" s="174">
        <v>0</v>
      </c>
      <c r="CU136" s="174">
        <v>0</v>
      </c>
      <c r="CV136" s="174">
        <v>0</v>
      </c>
    </row>
    <row r="137" spans="1:100" x14ac:dyDescent="0.25">
      <c r="A137" s="44" t="s">
        <v>67</v>
      </c>
      <c r="B137" s="166">
        <v>0</v>
      </c>
      <c r="C137" s="167">
        <v>0</v>
      </c>
      <c r="D137" s="53">
        <v>0</v>
      </c>
      <c r="E137" s="167">
        <v>0</v>
      </c>
      <c r="F137" s="167">
        <v>0</v>
      </c>
      <c r="G137" s="168">
        <v>0</v>
      </c>
      <c r="H137" s="168">
        <v>0.41299999999999998</v>
      </c>
      <c r="I137" s="168">
        <v>0</v>
      </c>
      <c r="J137" s="167">
        <v>0</v>
      </c>
      <c r="K137" s="167">
        <v>0</v>
      </c>
      <c r="L137" s="167">
        <v>0</v>
      </c>
      <c r="M137" s="167">
        <v>0</v>
      </c>
      <c r="N137" s="168">
        <v>0</v>
      </c>
      <c r="O137" s="167">
        <v>0</v>
      </c>
      <c r="P137" s="167">
        <v>0</v>
      </c>
      <c r="Q137" s="168">
        <v>0</v>
      </c>
      <c r="R137" s="168">
        <v>0</v>
      </c>
      <c r="S137" s="168">
        <v>0</v>
      </c>
      <c r="T137" s="168">
        <v>0</v>
      </c>
      <c r="U137" s="169">
        <v>0</v>
      </c>
      <c r="V137" s="169">
        <v>0</v>
      </c>
      <c r="W137" s="169">
        <v>0</v>
      </c>
      <c r="X137" s="169">
        <v>0</v>
      </c>
      <c r="Y137" s="169">
        <f>(20+(char3Refine-1)*5)%</f>
        <v>0.4</v>
      </c>
      <c r="Z137" s="65">
        <v>0</v>
      </c>
      <c r="AA137" s="169">
        <v>0</v>
      </c>
      <c r="AB137" s="169">
        <v>0</v>
      </c>
      <c r="AC137" s="169">
        <v>0</v>
      </c>
      <c r="AD137" s="169">
        <v>0</v>
      </c>
      <c r="AE137" s="169">
        <v>0</v>
      </c>
      <c r="AF137" s="169">
        <v>0</v>
      </c>
      <c r="AG137" s="169">
        <v>0</v>
      </c>
      <c r="AH137" s="65">
        <v>0</v>
      </c>
      <c r="AI137" s="169">
        <v>0</v>
      </c>
      <c r="AJ137" s="169">
        <v>0</v>
      </c>
      <c r="AK137" s="169">
        <v>0</v>
      </c>
      <c r="AL137" s="169">
        <v>0</v>
      </c>
      <c r="AM137" s="169">
        <v>0.46899999999999997</v>
      </c>
      <c r="AN137" s="170">
        <f>0.2+(char3Refine-1)*0.05</f>
        <v>0.4</v>
      </c>
      <c r="AO137" s="170">
        <v>0</v>
      </c>
      <c r="AP137" s="170">
        <v>0</v>
      </c>
      <c r="AQ137" s="170">
        <v>0</v>
      </c>
      <c r="AR137" s="170">
        <v>0</v>
      </c>
      <c r="AS137" s="170">
        <v>0</v>
      </c>
      <c r="AT137" s="170">
        <v>0</v>
      </c>
      <c r="AU137" s="170">
        <v>0</v>
      </c>
      <c r="AV137" s="170">
        <v>0</v>
      </c>
      <c r="AW137" s="170">
        <v>0</v>
      </c>
      <c r="AX137" s="170">
        <v>0</v>
      </c>
      <c r="AY137" s="170">
        <v>0</v>
      </c>
      <c r="AZ137" s="170">
        <v>0</v>
      </c>
      <c r="BA137" s="170">
        <v>0</v>
      </c>
      <c r="BB137" s="170">
        <v>0</v>
      </c>
      <c r="BC137" s="170">
        <v>0</v>
      </c>
      <c r="BD137" s="170">
        <v>0</v>
      </c>
      <c r="BE137" s="170">
        <v>0</v>
      </c>
      <c r="BF137" s="170">
        <v>0</v>
      </c>
      <c r="BG137" s="170">
        <v>0</v>
      </c>
      <c r="BH137" s="170">
        <v>0</v>
      </c>
      <c r="BI137" s="170">
        <v>0</v>
      </c>
      <c r="BJ137" s="172">
        <v>0</v>
      </c>
      <c r="BK137" s="67">
        <v>0</v>
      </c>
      <c r="BL137" s="172">
        <v>0</v>
      </c>
      <c r="BM137" s="172">
        <v>0</v>
      </c>
      <c r="BN137" s="172">
        <v>0.496</v>
      </c>
      <c r="BO137" s="172">
        <v>0</v>
      </c>
      <c r="BP137" s="172">
        <v>0</v>
      </c>
      <c r="BQ137" s="172">
        <v>0</v>
      </c>
      <c r="BR137" s="172">
        <v>0</v>
      </c>
      <c r="BS137" s="172">
        <v>0</v>
      </c>
      <c r="BT137" s="172">
        <v>0</v>
      </c>
      <c r="BU137" s="172">
        <v>0</v>
      </c>
      <c r="BV137" s="172">
        <v>0.41299999999999998</v>
      </c>
      <c r="BW137" s="172">
        <v>0</v>
      </c>
      <c r="BX137" s="172">
        <v>0</v>
      </c>
      <c r="BY137" s="172">
        <v>0</v>
      </c>
      <c r="BZ137" s="172">
        <v>0</v>
      </c>
      <c r="CA137" s="172">
        <v>0</v>
      </c>
      <c r="CB137" s="172">
        <v>0</v>
      </c>
      <c r="CC137" s="172">
        <v>0.35199999999999998</v>
      </c>
      <c r="CD137" s="174">
        <v>0</v>
      </c>
      <c r="CE137" s="70">
        <v>0</v>
      </c>
      <c r="CF137" s="174">
        <v>0</v>
      </c>
      <c r="CG137" s="174">
        <v>0</v>
      </c>
      <c r="CH137" s="174">
        <v>0</v>
      </c>
      <c r="CI137" s="174">
        <v>0</v>
      </c>
      <c r="CJ137" s="174">
        <v>0</v>
      </c>
      <c r="CK137" s="174">
        <v>0</v>
      </c>
      <c r="CL137" s="174">
        <v>0</v>
      </c>
      <c r="CM137" s="174">
        <v>0</v>
      </c>
      <c r="CN137" s="174">
        <v>0</v>
      </c>
      <c r="CO137" s="174">
        <v>0</v>
      </c>
      <c r="CP137" s="174">
        <v>0</v>
      </c>
      <c r="CQ137" s="174">
        <v>0</v>
      </c>
      <c r="CR137" s="174">
        <v>0</v>
      </c>
      <c r="CS137" s="174">
        <v>0</v>
      </c>
      <c r="CT137" s="174">
        <v>0</v>
      </c>
      <c r="CU137" s="174">
        <v>0</v>
      </c>
      <c r="CV137" s="174">
        <v>0</v>
      </c>
    </row>
    <row r="138" spans="1:100" x14ac:dyDescent="0.25">
      <c r="A138" t="s">
        <v>408</v>
      </c>
      <c r="B138" s="166">
        <v>0</v>
      </c>
      <c r="C138" s="167">
        <v>0</v>
      </c>
      <c r="D138" s="53">
        <v>0</v>
      </c>
      <c r="E138" s="167">
        <v>0</v>
      </c>
      <c r="F138" s="167">
        <v>0</v>
      </c>
      <c r="G138" s="168">
        <v>0.27600000000000002</v>
      </c>
      <c r="H138" s="168">
        <v>0</v>
      </c>
      <c r="I138" s="168">
        <f>(char3WeapStacks*(8%+(char3Refine-1)*2%))</f>
        <v>0</v>
      </c>
      <c r="J138" s="167">
        <v>0</v>
      </c>
      <c r="K138" s="167">
        <v>0</v>
      </c>
      <c r="L138" s="167">
        <v>0</v>
      </c>
      <c r="M138" s="167">
        <v>0</v>
      </c>
      <c r="N138" s="168">
        <f>char3WeapStacks*(3+(char3Refine-1))%</f>
        <v>0</v>
      </c>
      <c r="O138" s="167">
        <v>0</v>
      </c>
      <c r="P138" s="167">
        <v>0</v>
      </c>
      <c r="Q138" s="168">
        <v>0</v>
      </c>
      <c r="R138" s="168">
        <v>0</v>
      </c>
      <c r="S138" s="168">
        <v>0</v>
      </c>
      <c r="T138" s="168">
        <v>0</v>
      </c>
      <c r="U138" s="169">
        <f>(8+(char3Refine-1)*2)%</f>
        <v>0.16</v>
      </c>
      <c r="V138" s="169">
        <v>0</v>
      </c>
      <c r="W138" s="169">
        <v>0.221</v>
      </c>
      <c r="X138" s="169">
        <v>0</v>
      </c>
      <c r="Y138" s="169">
        <v>0</v>
      </c>
      <c r="Z138" s="65">
        <v>0</v>
      </c>
      <c r="AA138" s="169">
        <v>0</v>
      </c>
      <c r="AB138" s="169">
        <v>0</v>
      </c>
      <c r="AC138" s="169">
        <v>0</v>
      </c>
      <c r="AD138" s="169">
        <v>0</v>
      </c>
      <c r="AE138" s="169">
        <v>0</v>
      </c>
      <c r="AF138" s="169">
        <f>(3+(char3Refine-1)*1)*char3WeapStacks%</f>
        <v>0</v>
      </c>
      <c r="AG138" s="169">
        <v>0</v>
      </c>
      <c r="AH138" s="65">
        <v>0</v>
      </c>
      <c r="AI138" s="169">
        <v>0.36799999999999999</v>
      </c>
      <c r="AJ138" s="169">
        <v>0</v>
      </c>
      <c r="AK138" s="169">
        <v>0</v>
      </c>
      <c r="AL138" s="169">
        <v>0.23400000000000001</v>
      </c>
      <c r="AM138" s="169">
        <v>0</v>
      </c>
      <c r="AN138" s="170">
        <v>0.441</v>
      </c>
      <c r="AO138" s="170">
        <v>0</v>
      </c>
      <c r="AP138" s="170">
        <v>0</v>
      </c>
      <c r="AQ138" s="170">
        <v>0</v>
      </c>
      <c r="AR138" s="170">
        <f>(4+(char3Refine-1))%</f>
        <v>0.08</v>
      </c>
      <c r="AS138" s="170">
        <v>0</v>
      </c>
      <c r="AT138" s="170">
        <v>0</v>
      </c>
      <c r="AU138" s="170">
        <v>0</v>
      </c>
      <c r="AV138" s="170">
        <v>0.27600000000000002</v>
      </c>
      <c r="AW138" s="170">
        <v>0</v>
      </c>
      <c r="AX138" s="170">
        <v>0</v>
      </c>
      <c r="AY138" s="170">
        <f>(char3WeapStacks*(8+(char3Refine-1)*2))%</f>
        <v>0</v>
      </c>
      <c r="AZ138" s="170">
        <v>0</v>
      </c>
      <c r="BA138" s="170">
        <v>0</v>
      </c>
      <c r="BB138" s="170">
        <v>0</v>
      </c>
      <c r="BC138" s="170">
        <v>0</v>
      </c>
      <c r="BD138" s="170">
        <v>0</v>
      </c>
      <c r="BE138" s="170">
        <v>0</v>
      </c>
      <c r="BF138" s="170">
        <v>0</v>
      </c>
      <c r="BG138" s="170">
        <v>0</v>
      </c>
      <c r="BH138" s="170">
        <v>0</v>
      </c>
      <c r="BI138" s="170">
        <f>IF(char3WeapToggle,14+(char3Refine-1)*3.5,0)%</f>
        <v>0.28000000000000003</v>
      </c>
      <c r="BJ138" s="172">
        <v>0</v>
      </c>
      <c r="BK138" s="67">
        <v>0</v>
      </c>
      <c r="BL138" s="172">
        <v>0</v>
      </c>
      <c r="BM138" s="172">
        <v>0.33100000000000002</v>
      </c>
      <c r="BN138" s="172">
        <v>0</v>
      </c>
      <c r="BO138" s="172">
        <v>0</v>
      </c>
      <c r="BP138" s="172">
        <v>0</v>
      </c>
      <c r="BQ138" s="172">
        <v>0</v>
      </c>
      <c r="BR138" s="172">
        <v>0</v>
      </c>
      <c r="BS138" s="172">
        <v>0.27600000000000002</v>
      </c>
      <c r="BT138" s="172">
        <v>0</v>
      </c>
      <c r="BU138" s="172">
        <f>char3WeapStacks*(8+(char3Refine-1)*2)%</f>
        <v>0</v>
      </c>
      <c r="BV138" s="172">
        <v>0</v>
      </c>
      <c r="BW138" s="172">
        <v>0</v>
      </c>
      <c r="BX138" s="172">
        <v>0</v>
      </c>
      <c r="BY138" s="172">
        <v>0</v>
      </c>
      <c r="BZ138" s="172">
        <v>0</v>
      </c>
      <c r="CA138" s="172">
        <v>0</v>
      </c>
      <c r="CB138" s="172">
        <v>0</v>
      </c>
      <c r="CC138" s="172">
        <v>0</v>
      </c>
      <c r="CD138" s="174">
        <v>0</v>
      </c>
      <c r="CE138" s="70">
        <v>0.33100000000000002</v>
      </c>
      <c r="CF138" s="175">
        <v>0.221</v>
      </c>
      <c r="CG138" s="174">
        <v>0</v>
      </c>
      <c r="CH138" s="174">
        <v>0</v>
      </c>
      <c r="CI138" s="174">
        <v>0.27600000000000002</v>
      </c>
      <c r="CJ138" s="174">
        <v>0</v>
      </c>
      <c r="CK138" s="174">
        <v>0</v>
      </c>
      <c r="CL138" s="174">
        <v>0</v>
      </c>
      <c r="CM138" s="174">
        <v>0</v>
      </c>
      <c r="CN138" s="174">
        <v>0</v>
      </c>
      <c r="CO138" s="174">
        <v>0</v>
      </c>
      <c r="CP138" s="174">
        <v>0</v>
      </c>
      <c r="CQ138" s="174">
        <v>0</v>
      </c>
      <c r="CR138" s="174">
        <v>0</v>
      </c>
      <c r="CS138" s="174">
        <f>char3WeapStacks*(8+(char3Refine-1)*2)%</f>
        <v>0</v>
      </c>
      <c r="CT138" s="174">
        <v>0</v>
      </c>
      <c r="CU138" s="174">
        <v>0.312</v>
      </c>
      <c r="CV138" s="174">
        <v>0</v>
      </c>
    </row>
    <row r="139" spans="1:100" x14ac:dyDescent="0.25">
      <c r="A139" t="s">
        <v>409</v>
      </c>
      <c r="B139" s="166">
        <v>0</v>
      </c>
      <c r="C139" s="167">
        <v>0</v>
      </c>
      <c r="D139" s="53">
        <v>0.88200000000000001</v>
      </c>
      <c r="E139" s="167">
        <v>0</v>
      </c>
      <c r="F139" s="167">
        <v>0</v>
      </c>
      <c r="G139" s="168">
        <v>0</v>
      </c>
      <c r="H139" s="168">
        <v>0</v>
      </c>
      <c r="I139" s="168">
        <v>0</v>
      </c>
      <c r="J139" s="167">
        <v>0</v>
      </c>
      <c r="K139" s="167">
        <v>0</v>
      </c>
      <c r="L139" s="167">
        <v>0</v>
      </c>
      <c r="M139" s="167">
        <v>0</v>
      </c>
      <c r="N139" s="168">
        <v>0</v>
      </c>
      <c r="O139" s="167">
        <v>0</v>
      </c>
      <c r="P139" s="167">
        <v>0</v>
      </c>
      <c r="Q139" s="168">
        <v>0</v>
      </c>
      <c r="R139" s="168">
        <v>0</v>
      </c>
      <c r="S139" s="168">
        <v>0</v>
      </c>
      <c r="T139" s="168">
        <v>0.55100000000000005</v>
      </c>
      <c r="U139" s="169">
        <v>0</v>
      </c>
      <c r="V139" s="169">
        <v>0</v>
      </c>
      <c r="W139" s="169">
        <v>0</v>
      </c>
      <c r="X139" s="169">
        <v>0</v>
      </c>
      <c r="Y139" s="169">
        <v>0.66200000000000003</v>
      </c>
      <c r="Z139" s="65">
        <v>0</v>
      </c>
      <c r="AA139" s="169">
        <v>0</v>
      </c>
      <c r="AB139" s="169">
        <v>0</v>
      </c>
      <c r="AC139" s="169">
        <v>0</v>
      </c>
      <c r="AD139" s="169">
        <v>0</v>
      </c>
      <c r="AE139" s="169">
        <v>0</v>
      </c>
      <c r="AF139" s="169">
        <v>0</v>
      </c>
      <c r="AG139" s="169">
        <v>0</v>
      </c>
      <c r="AH139" s="65">
        <v>0</v>
      </c>
      <c r="AI139" s="169">
        <v>0</v>
      </c>
      <c r="AJ139" s="169">
        <v>0</v>
      </c>
      <c r="AK139" s="169">
        <v>0.55100000000000005</v>
      </c>
      <c r="AL139" s="169">
        <v>0</v>
      </c>
      <c r="AM139" s="169">
        <v>0</v>
      </c>
      <c r="AN139" s="170">
        <v>0</v>
      </c>
      <c r="AO139" s="170">
        <v>0</v>
      </c>
      <c r="AP139" s="170">
        <v>0.441</v>
      </c>
      <c r="AQ139" s="170">
        <v>0</v>
      </c>
      <c r="AR139" s="170">
        <v>0</v>
      </c>
      <c r="AS139" s="170">
        <v>0</v>
      </c>
      <c r="AT139" s="170">
        <v>0</v>
      </c>
      <c r="AU139" s="170">
        <v>0</v>
      </c>
      <c r="AV139" s="170">
        <v>0</v>
      </c>
      <c r="AW139" s="170">
        <v>0</v>
      </c>
      <c r="AX139" s="170">
        <v>0</v>
      </c>
      <c r="AY139" s="170">
        <v>0</v>
      </c>
      <c r="AZ139" s="170">
        <v>0</v>
      </c>
      <c r="BA139" s="170">
        <v>0</v>
      </c>
      <c r="BB139" s="170">
        <v>0</v>
      </c>
      <c r="BC139" s="170">
        <v>0</v>
      </c>
      <c r="BD139" s="170">
        <v>0.36799999999999999</v>
      </c>
      <c r="BE139" s="170">
        <v>0</v>
      </c>
      <c r="BF139" s="170">
        <v>0</v>
      </c>
      <c r="BG139" s="170">
        <v>0</v>
      </c>
      <c r="BH139" s="170">
        <v>0</v>
      </c>
      <c r="BI139" s="170">
        <v>0.46899999999999997</v>
      </c>
      <c r="BJ139" s="172">
        <v>0</v>
      </c>
      <c r="BK139" s="67">
        <v>0.66200000000000003</v>
      </c>
      <c r="BL139" s="172">
        <v>0</v>
      </c>
      <c r="BM139" s="172">
        <v>0</v>
      </c>
      <c r="BN139" s="172">
        <v>0</v>
      </c>
      <c r="BO139" s="172">
        <v>0</v>
      </c>
      <c r="BP139" s="172">
        <v>0</v>
      </c>
      <c r="BQ139" s="172">
        <v>0</v>
      </c>
      <c r="BR139" s="172">
        <v>0.55100000000000005</v>
      </c>
      <c r="BS139" s="172">
        <v>0</v>
      </c>
      <c r="BT139" s="172">
        <v>0</v>
      </c>
      <c r="BU139" s="172">
        <v>0</v>
      </c>
      <c r="BV139" s="172">
        <v>0</v>
      </c>
      <c r="BW139" s="172">
        <v>0</v>
      </c>
      <c r="BX139" s="172">
        <v>0</v>
      </c>
      <c r="BY139" s="172">
        <v>0</v>
      </c>
      <c r="BZ139" s="172">
        <v>0</v>
      </c>
      <c r="CA139" s="172">
        <v>0.55100000000000005</v>
      </c>
      <c r="CB139" s="172">
        <v>0</v>
      </c>
      <c r="CC139" s="172">
        <v>0</v>
      </c>
      <c r="CD139" s="174">
        <v>0</v>
      </c>
      <c r="CE139" s="70">
        <v>0</v>
      </c>
      <c r="CF139" s="174">
        <f>(20+(char3Refine-1)*5)%</f>
        <v>0.4</v>
      </c>
      <c r="CG139" s="174">
        <v>0</v>
      </c>
      <c r="CH139" s="174">
        <v>0</v>
      </c>
      <c r="CI139" s="174">
        <v>0</v>
      </c>
      <c r="CJ139" s="174">
        <v>0</v>
      </c>
      <c r="CK139" s="174">
        <v>0.36799999999999999</v>
      </c>
      <c r="CL139" s="174">
        <v>0</v>
      </c>
      <c r="CM139" s="174">
        <v>0</v>
      </c>
      <c r="CN139" s="174">
        <v>0</v>
      </c>
      <c r="CO139" s="174">
        <v>0</v>
      </c>
      <c r="CP139" s="174">
        <v>0</v>
      </c>
      <c r="CQ139" s="174">
        <v>0</v>
      </c>
      <c r="CR139" s="174">
        <v>0</v>
      </c>
      <c r="CS139" s="174">
        <v>0</v>
      </c>
      <c r="CT139" s="174">
        <v>0</v>
      </c>
      <c r="CU139" s="174">
        <v>0</v>
      </c>
      <c r="CV139" s="174">
        <v>0.66200000000000003</v>
      </c>
    </row>
    <row r="140" spans="1:100" x14ac:dyDescent="0.25">
      <c r="A140" t="s">
        <v>68</v>
      </c>
      <c r="B140" s="166">
        <v>0.36799999999999999</v>
      </c>
      <c r="C140" s="167">
        <v>0</v>
      </c>
      <c r="D140" s="167">
        <v>0</v>
      </c>
      <c r="E140" s="167">
        <v>0</v>
      </c>
      <c r="F140" s="167">
        <v>0</v>
      </c>
      <c r="G140" s="168">
        <v>0</v>
      </c>
      <c r="H140" s="168">
        <v>0</v>
      </c>
      <c r="I140" s="168">
        <v>0</v>
      </c>
      <c r="J140" s="167">
        <v>0</v>
      </c>
      <c r="K140" s="168">
        <v>0.61299999999999999</v>
      </c>
      <c r="L140" s="168">
        <v>0</v>
      </c>
      <c r="M140" s="168">
        <v>0</v>
      </c>
      <c r="N140" s="168">
        <v>0</v>
      </c>
      <c r="O140" s="167">
        <v>0</v>
      </c>
      <c r="P140" s="167">
        <v>0</v>
      </c>
      <c r="Q140" s="167">
        <v>0.45900000000000002</v>
      </c>
      <c r="R140" s="167">
        <v>0.30599999999999999</v>
      </c>
      <c r="S140" s="168">
        <v>0</v>
      </c>
      <c r="T140" s="167">
        <v>0</v>
      </c>
      <c r="U140" s="169">
        <v>0.36799999999999999</v>
      </c>
      <c r="V140" s="169">
        <f>55.1%+IF(char3WeapToggle, 30+(char3Refine-1)*5,0)%</f>
        <v>1.0510000000000002</v>
      </c>
      <c r="W140" s="169">
        <v>0</v>
      </c>
      <c r="X140" s="169">
        <v>0</v>
      </c>
      <c r="Y140" s="169">
        <v>0</v>
      </c>
      <c r="Z140" s="65">
        <v>0</v>
      </c>
      <c r="AA140" s="169">
        <v>0.45900000000000002</v>
      </c>
      <c r="AB140" s="169">
        <v>0</v>
      </c>
      <c r="AC140" s="169">
        <v>0</v>
      </c>
      <c r="AD140" s="169">
        <v>0.30599999999999999</v>
      </c>
      <c r="AE140" s="169">
        <v>0.45900000000000002</v>
      </c>
      <c r="AF140" s="169">
        <v>0</v>
      </c>
      <c r="AG140" s="169">
        <v>0</v>
      </c>
      <c r="AH140" s="65">
        <v>0</v>
      </c>
      <c r="AI140" s="169">
        <v>0</v>
      </c>
      <c r="AJ140" s="169">
        <v>0</v>
      </c>
      <c r="AK140" s="169">
        <v>0</v>
      </c>
      <c r="AL140" s="169">
        <v>0</v>
      </c>
      <c r="AM140" s="169">
        <v>0</v>
      </c>
      <c r="AN140" s="170">
        <v>0</v>
      </c>
      <c r="AO140" s="170">
        <v>0</v>
      </c>
      <c r="AP140" s="170">
        <v>0</v>
      </c>
      <c r="AQ140" s="170">
        <v>0</v>
      </c>
      <c r="AR140" s="170">
        <v>0.55100000000000005</v>
      </c>
      <c r="AS140" s="170">
        <v>0</v>
      </c>
      <c r="AT140" s="170">
        <v>0.45900000000000002</v>
      </c>
      <c r="AU140" s="170">
        <v>0</v>
      </c>
      <c r="AV140" s="170">
        <v>0</v>
      </c>
      <c r="AW140" s="170">
        <v>0</v>
      </c>
      <c r="AX140" s="170">
        <v>0.61299999999999999</v>
      </c>
      <c r="AY140" s="170">
        <v>0</v>
      </c>
      <c r="AZ140" s="170">
        <v>0</v>
      </c>
      <c r="BA140" s="170">
        <v>0</v>
      </c>
      <c r="BB140" s="170">
        <v>0</v>
      </c>
      <c r="BC140" s="170">
        <v>0.61299999999999999</v>
      </c>
      <c r="BD140" s="170">
        <v>0</v>
      </c>
      <c r="BE140" s="170">
        <v>0</v>
      </c>
      <c r="BF140" s="170">
        <v>0</v>
      </c>
      <c r="BG140" s="170">
        <v>0.51700000000000002</v>
      </c>
      <c r="BH140" s="170">
        <v>0</v>
      </c>
      <c r="BI140" s="170">
        <v>0</v>
      </c>
      <c r="BJ140" s="172">
        <v>0</v>
      </c>
      <c r="BK140" s="67">
        <v>0</v>
      </c>
      <c r="BL140" s="172">
        <v>0</v>
      </c>
      <c r="BM140" s="172">
        <v>0</v>
      </c>
      <c r="BN140" s="172">
        <v>0</v>
      </c>
      <c r="BO140" s="172">
        <v>0</v>
      </c>
      <c r="BP140" s="172">
        <v>0</v>
      </c>
      <c r="BQ140" s="172">
        <v>0.30599999999999999</v>
      </c>
      <c r="BR140" s="172">
        <v>0</v>
      </c>
      <c r="BS140" s="172">
        <v>0</v>
      </c>
      <c r="BT140" s="172">
        <v>0</v>
      </c>
      <c r="BU140" s="172">
        <v>0</v>
      </c>
      <c r="BV140" s="172">
        <v>0</v>
      </c>
      <c r="BW140" s="172">
        <v>0</v>
      </c>
      <c r="BX140" s="172">
        <v>0.45900000000000002</v>
      </c>
      <c r="BY140" s="172">
        <v>0</v>
      </c>
      <c r="BZ140" s="172">
        <v>0</v>
      </c>
      <c r="CA140" s="172">
        <v>0</v>
      </c>
      <c r="CB140" s="172">
        <v>0.30599999999999999</v>
      </c>
      <c r="CC140" s="172">
        <v>0</v>
      </c>
      <c r="CD140" s="175">
        <v>0.55100000000000005</v>
      </c>
      <c r="CE140" s="72">
        <v>0</v>
      </c>
      <c r="CF140" s="174">
        <v>0</v>
      </c>
      <c r="CG140" s="174">
        <v>0</v>
      </c>
      <c r="CH140" s="174">
        <v>0</v>
      </c>
      <c r="CI140" s="174">
        <v>0</v>
      </c>
      <c r="CJ140" s="174">
        <v>0</v>
      </c>
      <c r="CK140" s="174">
        <v>0</v>
      </c>
      <c r="CL140" s="174">
        <v>0</v>
      </c>
      <c r="CM140" s="174">
        <v>0.61299999999999999</v>
      </c>
      <c r="CN140" s="174">
        <v>0</v>
      </c>
      <c r="CO140" s="174">
        <v>0</v>
      </c>
      <c r="CP140" s="174">
        <v>0.30599999999999999</v>
      </c>
      <c r="CQ140" s="174">
        <v>0</v>
      </c>
      <c r="CR140" s="174">
        <v>0</v>
      </c>
      <c r="CS140" s="174">
        <v>0</v>
      </c>
      <c r="CT140" s="174">
        <v>0</v>
      </c>
      <c r="CU140" s="174">
        <v>0</v>
      </c>
      <c r="CV140" s="174">
        <v>0</v>
      </c>
    </row>
    <row r="141" spans="1:100" x14ac:dyDescent="0.25">
      <c r="A141" t="s">
        <v>70</v>
      </c>
      <c r="B141" s="166">
        <v>0</v>
      </c>
      <c r="C141" s="167">
        <v>0</v>
      </c>
      <c r="D141" s="167">
        <v>0</v>
      </c>
      <c r="E141" s="167">
        <v>0</v>
      </c>
      <c r="F141" s="167">
        <v>0.20699999999999999</v>
      </c>
      <c r="G141" s="168">
        <v>0</v>
      </c>
      <c r="H141" s="168">
        <v>0</v>
      </c>
      <c r="I141" s="168">
        <v>0</v>
      </c>
      <c r="J141" s="167">
        <v>0</v>
      </c>
      <c r="K141" s="167">
        <v>0</v>
      </c>
      <c r="L141" s="167">
        <v>0.34499999999999997</v>
      </c>
      <c r="M141" s="167">
        <v>0</v>
      </c>
      <c r="N141" s="168">
        <v>0</v>
      </c>
      <c r="O141" s="167">
        <v>0</v>
      </c>
      <c r="P141" s="167">
        <v>0</v>
      </c>
      <c r="Q141" s="167">
        <v>0</v>
      </c>
      <c r="R141" s="167">
        <v>0</v>
      </c>
      <c r="S141" s="168">
        <v>0</v>
      </c>
      <c r="T141" s="167">
        <v>0</v>
      </c>
      <c r="U141" s="169">
        <v>0</v>
      </c>
      <c r="V141" s="169">
        <v>0</v>
      </c>
      <c r="W141" s="169">
        <v>0</v>
      </c>
      <c r="X141" s="169">
        <v>0</v>
      </c>
      <c r="Y141" s="169">
        <v>0</v>
      </c>
      <c r="Z141" s="65">
        <v>0</v>
      </c>
      <c r="AA141" s="169">
        <v>0</v>
      </c>
      <c r="AB141" s="169">
        <v>0</v>
      </c>
      <c r="AC141" s="169">
        <v>0.69</v>
      </c>
      <c r="AD141" s="169">
        <v>0</v>
      </c>
      <c r="AE141" s="169">
        <v>0</v>
      </c>
      <c r="AF141" s="169">
        <v>0</v>
      </c>
      <c r="AG141" s="169">
        <v>0</v>
      </c>
      <c r="AH141" s="65">
        <v>0</v>
      </c>
      <c r="AI141" s="169">
        <v>0</v>
      </c>
      <c r="AJ141" s="169">
        <v>0.34499999999999997</v>
      </c>
      <c r="AK141" s="169">
        <v>0</v>
      </c>
      <c r="AL141" s="169">
        <v>0</v>
      </c>
      <c r="AM141" s="169">
        <v>0</v>
      </c>
      <c r="AN141" s="170">
        <v>0</v>
      </c>
      <c r="AO141" s="170">
        <v>0</v>
      </c>
      <c r="AP141" s="170">
        <v>0</v>
      </c>
      <c r="AQ141" s="170">
        <v>0</v>
      </c>
      <c r="AR141" s="170">
        <v>0</v>
      </c>
      <c r="AS141" s="170">
        <v>0.41299999999999998</v>
      </c>
      <c r="AT141" s="170">
        <v>0</v>
      </c>
      <c r="AU141" s="170">
        <v>0</v>
      </c>
      <c r="AV141" s="170">
        <v>0</v>
      </c>
      <c r="AW141" s="170">
        <v>0</v>
      </c>
      <c r="AX141" s="170">
        <v>0</v>
      </c>
      <c r="AY141" s="170">
        <v>0</v>
      </c>
      <c r="AZ141" s="170">
        <v>0.34499999999999997</v>
      </c>
      <c r="BA141" s="170">
        <v>0</v>
      </c>
      <c r="BB141" s="170">
        <v>0</v>
      </c>
      <c r="BC141" s="170">
        <v>0</v>
      </c>
      <c r="BD141" s="170">
        <v>0</v>
      </c>
      <c r="BE141" s="170">
        <v>0</v>
      </c>
      <c r="BF141" s="170">
        <v>0</v>
      </c>
      <c r="BG141" s="170">
        <v>0</v>
      </c>
      <c r="BH141" s="170">
        <v>0</v>
      </c>
      <c r="BI141" s="170">
        <v>0</v>
      </c>
      <c r="BJ141" s="172">
        <v>0</v>
      </c>
      <c r="BK141" s="67">
        <v>0</v>
      </c>
      <c r="BL141" s="172">
        <v>0</v>
      </c>
      <c r="BM141" s="172">
        <v>0</v>
      </c>
      <c r="BN141" s="172">
        <v>0</v>
      </c>
      <c r="BO141" s="172">
        <v>0</v>
      </c>
      <c r="BP141" s="172">
        <v>0</v>
      </c>
      <c r="BQ141" s="172">
        <v>0</v>
      </c>
      <c r="BR141" s="172">
        <v>0</v>
      </c>
      <c r="BS141" s="172">
        <v>0</v>
      </c>
      <c r="BT141" s="172">
        <v>0</v>
      </c>
      <c r="BU141" s="172">
        <v>0</v>
      </c>
      <c r="BV141" s="172">
        <v>0</v>
      </c>
      <c r="BW141" s="172">
        <v>0</v>
      </c>
      <c r="BX141" s="172">
        <v>0</v>
      </c>
      <c r="BY141" s="172">
        <v>0</v>
      </c>
      <c r="BZ141" s="172">
        <v>0</v>
      </c>
      <c r="CA141" s="172">
        <v>0</v>
      </c>
      <c r="CB141" s="172">
        <v>0</v>
      </c>
      <c r="CC141" s="172">
        <v>0</v>
      </c>
      <c r="CD141" s="174">
        <v>0</v>
      </c>
      <c r="CE141" s="70">
        <v>0</v>
      </c>
      <c r="CF141" s="174">
        <v>0</v>
      </c>
      <c r="CG141" s="174">
        <v>0</v>
      </c>
      <c r="CH141" s="174">
        <v>0</v>
      </c>
      <c r="CI141" s="174">
        <v>0</v>
      </c>
      <c r="CJ141" s="174">
        <v>0.69</v>
      </c>
      <c r="CK141" s="174">
        <v>0</v>
      </c>
      <c r="CL141" s="174">
        <v>0</v>
      </c>
      <c r="CM141" s="174">
        <v>0</v>
      </c>
      <c r="CN141" s="174">
        <v>0</v>
      </c>
      <c r="CO141" s="174">
        <v>0</v>
      </c>
      <c r="CP141" s="174">
        <v>0</v>
      </c>
      <c r="CQ141" s="174">
        <v>0</v>
      </c>
      <c r="CR141" s="174">
        <v>0</v>
      </c>
      <c r="CS141" s="174">
        <v>0</v>
      </c>
      <c r="CT141" s="174">
        <v>0.51700000000000002</v>
      </c>
      <c r="CU141" s="174">
        <v>0</v>
      </c>
      <c r="CV141" s="174">
        <v>0</v>
      </c>
    </row>
    <row r="142" spans="1:100" x14ac:dyDescent="0.25">
      <c r="A142" s="44" t="s">
        <v>71</v>
      </c>
      <c r="B142" s="166">
        <v>0</v>
      </c>
      <c r="C142" s="167">
        <v>0</v>
      </c>
      <c r="D142" s="167">
        <v>0</v>
      </c>
      <c r="E142" s="167">
        <v>0</v>
      </c>
      <c r="F142" s="167">
        <v>0</v>
      </c>
      <c r="G142" s="168">
        <v>0</v>
      </c>
      <c r="H142" s="168">
        <v>0</v>
      </c>
      <c r="I142" s="168">
        <v>0</v>
      </c>
      <c r="J142" s="167">
        <v>0</v>
      </c>
      <c r="K142" s="167">
        <v>0</v>
      </c>
      <c r="L142" s="167">
        <v>0</v>
      </c>
      <c r="M142" s="167">
        <v>0</v>
      </c>
      <c r="N142" s="168">
        <v>0</v>
      </c>
      <c r="O142" s="167">
        <v>0</v>
      </c>
      <c r="P142" s="167">
        <v>0</v>
      </c>
      <c r="Q142" s="167">
        <v>0</v>
      </c>
      <c r="R142" s="167">
        <v>0</v>
      </c>
      <c r="S142" s="168">
        <v>0</v>
      </c>
      <c r="T142" s="167">
        <v>0</v>
      </c>
      <c r="U142" s="169">
        <v>0</v>
      </c>
      <c r="V142" s="169">
        <v>0</v>
      </c>
      <c r="W142" s="169">
        <v>0</v>
      </c>
      <c r="X142" s="169">
        <v>0</v>
      </c>
      <c r="Y142" s="169">
        <v>0</v>
      </c>
      <c r="Z142" s="65">
        <f t="shared" ref="Z142:Z147" si="10">12%+3%*(char3Refine-1)</f>
        <v>0.24</v>
      </c>
      <c r="AA142" s="169">
        <v>0</v>
      </c>
      <c r="AB142" s="169">
        <v>0</v>
      </c>
      <c r="AC142" s="169">
        <v>0</v>
      </c>
      <c r="AD142" s="169">
        <v>0</v>
      </c>
      <c r="AE142" s="169">
        <v>0</v>
      </c>
      <c r="AF142" s="169">
        <v>0</v>
      </c>
      <c r="AG142" s="169">
        <v>0</v>
      </c>
      <c r="AH142" s="65">
        <v>0</v>
      </c>
      <c r="AI142" s="169">
        <v>0</v>
      </c>
      <c r="AJ142" s="169">
        <v>0</v>
      </c>
      <c r="AK142" s="169">
        <v>0</v>
      </c>
      <c r="AL142" s="169">
        <v>0</v>
      </c>
      <c r="AM142" s="169">
        <v>0</v>
      </c>
      <c r="AN142" s="170">
        <v>0</v>
      </c>
      <c r="AO142" s="170">
        <v>0</v>
      </c>
      <c r="AP142" s="170">
        <f>(IF('Data Val'!$K$3 = weapons!A142,IF(char3WeapStacks=1, (8+(char3Refine-1)*2)%, IF(char3WeapStacks=2, (16+(char3Refine-1)*4)%, IF(char3WeapStacks=3, (28+(char3Refine-1)*7)%, 0)))))+(12+(char3Refine-1)*3)%</f>
        <v>0.24</v>
      </c>
      <c r="AQ142" s="170">
        <v>0</v>
      </c>
      <c r="AR142" s="170">
        <v>0</v>
      </c>
      <c r="AS142" s="170">
        <v>0</v>
      </c>
      <c r="AT142" s="170">
        <v>0</v>
      </c>
      <c r="AU142" s="170">
        <v>0</v>
      </c>
      <c r="AV142" s="170">
        <v>0</v>
      </c>
      <c r="AW142" s="170">
        <v>0</v>
      </c>
      <c r="AX142" s="170">
        <v>0</v>
      </c>
      <c r="AY142" s="170">
        <v>0</v>
      </c>
      <c r="AZ142" s="170">
        <v>0</v>
      </c>
      <c r="BA142" s="170">
        <v>0</v>
      </c>
      <c r="BB142" s="170">
        <v>0</v>
      </c>
      <c r="BC142" s="170">
        <v>0</v>
      </c>
      <c r="BD142" s="170">
        <v>0</v>
      </c>
      <c r="BE142" s="170">
        <v>0</v>
      </c>
      <c r="BF142" s="170">
        <v>0</v>
      </c>
      <c r="BG142" s="170">
        <v>0</v>
      </c>
      <c r="BH142" s="170">
        <v>0</v>
      </c>
      <c r="BI142" s="170">
        <v>0</v>
      </c>
      <c r="BJ142" s="172">
        <v>0</v>
      </c>
      <c r="BK142" s="67">
        <v>0</v>
      </c>
      <c r="BL142" s="172">
        <f t="shared" ref="BL142:BL147" si="11">(12+(char3Refine-1)*3)%</f>
        <v>0.24</v>
      </c>
      <c r="BM142" s="172">
        <f t="shared" ref="BM142:BM147" si="12">(char3WeapStacks*(8+(char3Refine-1)*2))%</f>
        <v>0</v>
      </c>
      <c r="BN142" s="172">
        <v>0</v>
      </c>
      <c r="BO142" s="172">
        <v>0</v>
      </c>
      <c r="BP142" s="172">
        <v>0</v>
      </c>
      <c r="BQ142" s="172">
        <v>0</v>
      </c>
      <c r="BR142" s="172">
        <f t="shared" ref="BR142:BR147" si="13">IF(char3WeapToggle, 16+(char3Refine-1)*4,0)%</f>
        <v>0.32</v>
      </c>
      <c r="BS142" s="172">
        <v>0</v>
      </c>
      <c r="BT142" s="172">
        <v>0</v>
      </c>
      <c r="BU142" s="172">
        <v>0</v>
      </c>
      <c r="BV142" s="172">
        <v>0</v>
      </c>
      <c r="BW142" s="172">
        <f t="shared" ref="BW142:BW147" si="14">char3WeapStacks*(8+(char3Refine-1)*2)%</f>
        <v>0</v>
      </c>
      <c r="BX142" s="172">
        <v>0</v>
      </c>
      <c r="BY142" s="172">
        <v>0</v>
      </c>
      <c r="BZ142" s="172">
        <v>0</v>
      </c>
      <c r="CA142" s="172">
        <v>0</v>
      </c>
      <c r="CB142" s="172">
        <v>0</v>
      </c>
      <c r="CC142" s="172">
        <v>0</v>
      </c>
      <c r="CD142" s="174">
        <v>0</v>
      </c>
      <c r="CE142" s="70">
        <v>0</v>
      </c>
      <c r="CF142" s="174">
        <v>0</v>
      </c>
      <c r="CG142" s="174">
        <v>0</v>
      </c>
      <c r="CH142" s="174">
        <v>0</v>
      </c>
      <c r="CI142" s="174">
        <v>0</v>
      </c>
      <c r="CJ142" s="174">
        <v>0</v>
      </c>
      <c r="CK142" s="174">
        <v>0</v>
      </c>
      <c r="CL142" s="174">
        <v>0</v>
      </c>
      <c r="CM142" s="174">
        <v>0</v>
      </c>
      <c r="CN142" s="174">
        <v>0</v>
      </c>
      <c r="CO142" s="174">
        <v>0</v>
      </c>
      <c r="CP142" s="174">
        <v>0</v>
      </c>
      <c r="CQ142" s="174">
        <v>0</v>
      </c>
      <c r="CR142" s="174">
        <v>0</v>
      </c>
      <c r="CS142" s="174">
        <v>0</v>
      </c>
      <c r="CT142" s="174">
        <v>0</v>
      </c>
      <c r="CU142" s="174">
        <v>0</v>
      </c>
      <c r="CV142" s="174">
        <v>0</v>
      </c>
    </row>
    <row r="143" spans="1:100" x14ac:dyDescent="0.25">
      <c r="A143" t="s">
        <v>72</v>
      </c>
      <c r="B143" s="166">
        <v>0</v>
      </c>
      <c r="C143" s="167">
        <v>0</v>
      </c>
      <c r="D143" s="167">
        <v>0</v>
      </c>
      <c r="E143" s="167">
        <v>0</v>
      </c>
      <c r="F143" s="167">
        <v>0</v>
      </c>
      <c r="G143" s="168">
        <v>0</v>
      </c>
      <c r="H143" s="168">
        <v>0</v>
      </c>
      <c r="I143" s="168">
        <v>0</v>
      </c>
      <c r="J143" s="167">
        <v>0</v>
      </c>
      <c r="K143" s="167">
        <v>0</v>
      </c>
      <c r="L143" s="167">
        <v>0</v>
      </c>
      <c r="M143" s="167">
        <v>0</v>
      </c>
      <c r="N143" s="168">
        <v>0</v>
      </c>
      <c r="O143" s="167">
        <v>0</v>
      </c>
      <c r="P143" s="167">
        <v>0</v>
      </c>
      <c r="Q143" s="167">
        <v>0</v>
      </c>
      <c r="R143" s="167">
        <v>0</v>
      </c>
      <c r="S143" s="168">
        <v>0</v>
      </c>
      <c r="T143" s="167">
        <v>0</v>
      </c>
      <c r="U143" s="169">
        <v>0</v>
      </c>
      <c r="V143" s="169">
        <v>0</v>
      </c>
      <c r="W143" s="169">
        <v>0</v>
      </c>
      <c r="X143" s="169">
        <v>0</v>
      </c>
      <c r="Y143" s="169">
        <v>0</v>
      </c>
      <c r="Z143" s="65">
        <f t="shared" si="10"/>
        <v>0.24</v>
      </c>
      <c r="AA143" s="169">
        <v>0</v>
      </c>
      <c r="AB143" s="169">
        <v>0</v>
      </c>
      <c r="AC143" s="169">
        <v>0</v>
      </c>
      <c r="AD143" s="169">
        <v>0</v>
      </c>
      <c r="AE143" s="169">
        <v>0</v>
      </c>
      <c r="AF143" s="169">
        <v>0</v>
      </c>
      <c r="AG143" s="169">
        <v>0</v>
      </c>
      <c r="AH143" s="65">
        <v>0</v>
      </c>
      <c r="AI143" s="169">
        <v>0</v>
      </c>
      <c r="AJ143" s="169">
        <v>0</v>
      </c>
      <c r="AK143" s="169">
        <v>0</v>
      </c>
      <c r="AL143" s="169">
        <v>0</v>
      </c>
      <c r="AM143" s="169">
        <v>0</v>
      </c>
      <c r="AN143" s="170">
        <v>0</v>
      </c>
      <c r="AO143" s="170">
        <v>0</v>
      </c>
      <c r="AP143" s="170">
        <f>(IF('Data Val'!$K$3 = weapons!A143,IF(char3WeapStacks=1, (8+(char3Refine-1)*2)%, IF(char3WeapStacks=2, (16+(char3Refine-1)*4)%, IF(char3WeapStacks=3, (28+(char3Refine-1)*7)%, 0)))))+(12+(char3Refine-1)*3)%</f>
        <v>0.24</v>
      </c>
      <c r="AQ143" s="170">
        <v>0</v>
      </c>
      <c r="AR143" s="170">
        <v>0</v>
      </c>
      <c r="AS143" s="170">
        <v>0</v>
      </c>
      <c r="AT143" s="170">
        <v>0</v>
      </c>
      <c r="AU143" s="170">
        <v>0</v>
      </c>
      <c r="AV143" s="170">
        <v>0</v>
      </c>
      <c r="AW143" s="170">
        <v>0</v>
      </c>
      <c r="AX143" s="170">
        <v>0</v>
      </c>
      <c r="AY143" s="170">
        <v>0</v>
      </c>
      <c r="AZ143" s="170">
        <v>0</v>
      </c>
      <c r="BA143" s="170">
        <v>0</v>
      </c>
      <c r="BB143" s="170">
        <v>0</v>
      </c>
      <c r="BC143" s="170">
        <v>0</v>
      </c>
      <c r="BD143" s="170">
        <v>0</v>
      </c>
      <c r="BE143" s="170">
        <v>0</v>
      </c>
      <c r="BF143" s="170">
        <v>0</v>
      </c>
      <c r="BG143" s="170">
        <v>0</v>
      </c>
      <c r="BH143" s="170">
        <v>0</v>
      </c>
      <c r="BI143" s="170">
        <v>0</v>
      </c>
      <c r="BJ143" s="172">
        <v>0</v>
      </c>
      <c r="BK143" s="67">
        <v>0</v>
      </c>
      <c r="BL143" s="172">
        <f t="shared" si="11"/>
        <v>0.24</v>
      </c>
      <c r="BM143" s="172">
        <f t="shared" si="12"/>
        <v>0</v>
      </c>
      <c r="BN143" s="172">
        <v>0</v>
      </c>
      <c r="BO143" s="172">
        <v>0</v>
      </c>
      <c r="BP143" s="172">
        <v>0</v>
      </c>
      <c r="BQ143" s="172">
        <v>0</v>
      </c>
      <c r="BR143" s="172">
        <f t="shared" si="13"/>
        <v>0.32</v>
      </c>
      <c r="BS143" s="172">
        <v>0</v>
      </c>
      <c r="BT143" s="172">
        <v>0</v>
      </c>
      <c r="BU143" s="172">
        <v>0</v>
      </c>
      <c r="BV143" s="172">
        <v>0</v>
      </c>
      <c r="BW143" s="172">
        <f t="shared" si="14"/>
        <v>0</v>
      </c>
      <c r="BX143" s="172">
        <v>0</v>
      </c>
      <c r="BY143" s="172">
        <v>0</v>
      </c>
      <c r="BZ143" s="172">
        <v>0</v>
      </c>
      <c r="CA143" s="172">
        <v>0</v>
      </c>
      <c r="CB143" s="172">
        <v>0</v>
      </c>
      <c r="CC143" s="172">
        <v>0</v>
      </c>
      <c r="CD143" s="174">
        <v>0</v>
      </c>
      <c r="CE143" s="70">
        <v>0</v>
      </c>
      <c r="CF143" s="174">
        <v>0</v>
      </c>
      <c r="CG143" s="174">
        <v>0</v>
      </c>
      <c r="CH143" s="174">
        <v>0</v>
      </c>
      <c r="CI143" s="174">
        <v>0</v>
      </c>
      <c r="CJ143" s="174">
        <v>0</v>
      </c>
      <c r="CK143" s="174">
        <v>0</v>
      </c>
      <c r="CL143" s="174">
        <v>0</v>
      </c>
      <c r="CM143" s="174">
        <v>0</v>
      </c>
      <c r="CN143" s="174">
        <v>0</v>
      </c>
      <c r="CO143" s="174">
        <v>0</v>
      </c>
      <c r="CP143" s="174">
        <v>0</v>
      </c>
      <c r="CQ143" s="174">
        <v>0</v>
      </c>
      <c r="CR143" s="174">
        <v>0</v>
      </c>
      <c r="CS143" s="174">
        <v>0</v>
      </c>
      <c r="CT143" s="174">
        <v>0</v>
      </c>
      <c r="CU143" s="174">
        <v>0</v>
      </c>
      <c r="CV143" s="174">
        <v>0</v>
      </c>
    </row>
    <row r="144" spans="1:100" x14ac:dyDescent="0.25">
      <c r="A144" s="44" t="s">
        <v>73</v>
      </c>
      <c r="B144" s="166">
        <v>0</v>
      </c>
      <c r="C144" s="167">
        <v>0</v>
      </c>
      <c r="D144" s="167">
        <v>0</v>
      </c>
      <c r="E144" s="167">
        <v>0</v>
      </c>
      <c r="F144" s="167">
        <v>0</v>
      </c>
      <c r="G144" s="168">
        <v>0</v>
      </c>
      <c r="H144" s="168">
        <v>0</v>
      </c>
      <c r="I144" s="168">
        <v>0</v>
      </c>
      <c r="J144" s="167">
        <v>0</v>
      </c>
      <c r="K144" s="167">
        <v>0</v>
      </c>
      <c r="L144" s="167">
        <v>0</v>
      </c>
      <c r="M144" s="167">
        <v>0</v>
      </c>
      <c r="N144" s="168">
        <v>0</v>
      </c>
      <c r="O144" s="167">
        <v>0</v>
      </c>
      <c r="P144" s="167">
        <v>0</v>
      </c>
      <c r="Q144" s="167">
        <v>0</v>
      </c>
      <c r="R144" s="167">
        <v>0</v>
      </c>
      <c r="S144" s="168">
        <v>0</v>
      </c>
      <c r="T144" s="167">
        <v>0</v>
      </c>
      <c r="U144" s="169">
        <v>0</v>
      </c>
      <c r="V144" s="169">
        <v>0</v>
      </c>
      <c r="W144" s="169">
        <v>0</v>
      </c>
      <c r="X144" s="169">
        <v>0</v>
      </c>
      <c r="Y144" s="169">
        <v>0</v>
      </c>
      <c r="Z144" s="65">
        <f t="shared" si="10"/>
        <v>0.24</v>
      </c>
      <c r="AA144" s="169">
        <v>0</v>
      </c>
      <c r="AB144" s="169">
        <v>0</v>
      </c>
      <c r="AC144" s="169">
        <v>0</v>
      </c>
      <c r="AD144" s="169">
        <v>0</v>
      </c>
      <c r="AE144" s="169">
        <v>0</v>
      </c>
      <c r="AF144" s="169">
        <v>0</v>
      </c>
      <c r="AG144" s="169">
        <v>0</v>
      </c>
      <c r="AH144" s="65">
        <v>0</v>
      </c>
      <c r="AI144" s="169">
        <v>0</v>
      </c>
      <c r="AJ144" s="169">
        <v>0</v>
      </c>
      <c r="AK144" s="169">
        <v>0</v>
      </c>
      <c r="AL144" s="169">
        <v>0</v>
      </c>
      <c r="AM144" s="169">
        <v>0</v>
      </c>
      <c r="AN144" s="170">
        <v>0</v>
      </c>
      <c r="AO144" s="170">
        <v>0</v>
      </c>
      <c r="AP144" s="170">
        <f>(IF('Data Val'!$K$3 = weapons!A144,IF(char3WeapStacks=1, (8+(char3Refine-1)*2)%, IF(char3WeapStacks=2, (16+(char3Refine-1)*4)%, IF(char3WeapStacks=3, (28+(char3Refine-1)*7)%, 0)))))+(12+(char3Refine-1)*3)%</f>
        <v>0.24</v>
      </c>
      <c r="AQ144" s="170">
        <v>0</v>
      </c>
      <c r="AR144" s="170">
        <v>0</v>
      </c>
      <c r="AS144" s="170">
        <v>0</v>
      </c>
      <c r="AT144" s="170">
        <v>0</v>
      </c>
      <c r="AU144" s="170">
        <v>0</v>
      </c>
      <c r="AV144" s="170">
        <v>0</v>
      </c>
      <c r="AW144" s="170">
        <v>0</v>
      </c>
      <c r="AX144" s="170">
        <v>0</v>
      </c>
      <c r="AY144" s="170">
        <v>0</v>
      </c>
      <c r="AZ144" s="170">
        <v>0</v>
      </c>
      <c r="BA144" s="170">
        <v>0</v>
      </c>
      <c r="BB144" s="170">
        <v>0</v>
      </c>
      <c r="BC144" s="170">
        <v>0</v>
      </c>
      <c r="BD144" s="170">
        <v>0</v>
      </c>
      <c r="BE144" s="170">
        <v>0</v>
      </c>
      <c r="BF144" s="170">
        <v>0</v>
      </c>
      <c r="BG144" s="170">
        <v>0</v>
      </c>
      <c r="BH144" s="170">
        <v>0</v>
      </c>
      <c r="BI144" s="170">
        <v>0</v>
      </c>
      <c r="BJ144" s="172">
        <v>0</v>
      </c>
      <c r="BK144" s="67">
        <v>0</v>
      </c>
      <c r="BL144" s="172">
        <f t="shared" si="11"/>
        <v>0.24</v>
      </c>
      <c r="BM144" s="172">
        <f t="shared" si="12"/>
        <v>0</v>
      </c>
      <c r="BN144" s="172">
        <v>0</v>
      </c>
      <c r="BO144" s="172">
        <v>0</v>
      </c>
      <c r="BP144" s="172">
        <v>0</v>
      </c>
      <c r="BQ144" s="172">
        <v>0</v>
      </c>
      <c r="BR144" s="172">
        <f t="shared" si="13"/>
        <v>0.32</v>
      </c>
      <c r="BS144" s="172">
        <v>0</v>
      </c>
      <c r="BT144" s="172">
        <v>0</v>
      </c>
      <c r="BU144" s="172">
        <v>0</v>
      </c>
      <c r="BV144" s="172">
        <v>0</v>
      </c>
      <c r="BW144" s="172">
        <f t="shared" si="14"/>
        <v>0</v>
      </c>
      <c r="BX144" s="172">
        <v>0</v>
      </c>
      <c r="BY144" s="172">
        <v>0</v>
      </c>
      <c r="BZ144" s="172">
        <v>0</v>
      </c>
      <c r="CA144" s="172">
        <v>0</v>
      </c>
      <c r="CB144" s="172">
        <v>0</v>
      </c>
      <c r="CC144" s="172">
        <v>0</v>
      </c>
      <c r="CD144" s="174">
        <v>0</v>
      </c>
      <c r="CE144" s="70">
        <v>0</v>
      </c>
      <c r="CF144" s="174">
        <v>0</v>
      </c>
      <c r="CG144" s="174">
        <v>0</v>
      </c>
      <c r="CH144" s="174">
        <v>0</v>
      </c>
      <c r="CI144" s="174">
        <v>0</v>
      </c>
      <c r="CJ144" s="174">
        <v>0</v>
      </c>
      <c r="CK144" s="174">
        <v>0</v>
      </c>
      <c r="CL144" s="174">
        <v>0</v>
      </c>
      <c r="CM144" s="174">
        <v>0</v>
      </c>
      <c r="CN144" s="174">
        <v>0</v>
      </c>
      <c r="CO144" s="174">
        <v>0</v>
      </c>
      <c r="CP144" s="174">
        <v>0</v>
      </c>
      <c r="CQ144" s="174">
        <v>0</v>
      </c>
      <c r="CR144" s="174">
        <v>0</v>
      </c>
      <c r="CS144" s="174">
        <v>0</v>
      </c>
      <c r="CT144" s="174">
        <v>0</v>
      </c>
      <c r="CU144" s="174">
        <v>0</v>
      </c>
      <c r="CV144" s="174">
        <v>0</v>
      </c>
    </row>
    <row r="145" spans="1:100" x14ac:dyDescent="0.25">
      <c r="A145" s="44" t="s">
        <v>74</v>
      </c>
      <c r="B145" s="166">
        <v>0</v>
      </c>
      <c r="C145" s="167">
        <v>0</v>
      </c>
      <c r="D145" s="167">
        <v>0</v>
      </c>
      <c r="E145" s="167">
        <v>0</v>
      </c>
      <c r="F145" s="167">
        <v>0</v>
      </c>
      <c r="G145" s="168">
        <v>0</v>
      </c>
      <c r="H145" s="168">
        <v>0</v>
      </c>
      <c r="I145" s="168">
        <v>0</v>
      </c>
      <c r="J145" s="167">
        <v>0</v>
      </c>
      <c r="K145" s="167">
        <v>0</v>
      </c>
      <c r="L145" s="167">
        <v>0</v>
      </c>
      <c r="M145" s="167">
        <v>0</v>
      </c>
      <c r="N145" s="168">
        <v>0</v>
      </c>
      <c r="O145" s="167">
        <v>0</v>
      </c>
      <c r="P145" s="167">
        <v>0</v>
      </c>
      <c r="Q145" s="167">
        <v>0</v>
      </c>
      <c r="R145" s="167">
        <v>0</v>
      </c>
      <c r="S145" s="168">
        <v>0</v>
      </c>
      <c r="T145" s="167">
        <v>0</v>
      </c>
      <c r="U145" s="169">
        <v>0</v>
      </c>
      <c r="V145" s="169">
        <v>0</v>
      </c>
      <c r="W145" s="169">
        <v>0</v>
      </c>
      <c r="X145" s="169">
        <v>0</v>
      </c>
      <c r="Y145" s="169">
        <v>0</v>
      </c>
      <c r="Z145" s="65">
        <f t="shared" si="10"/>
        <v>0.24</v>
      </c>
      <c r="AA145" s="169">
        <v>0</v>
      </c>
      <c r="AB145" s="169">
        <v>0</v>
      </c>
      <c r="AC145" s="169">
        <v>0</v>
      </c>
      <c r="AD145" s="169">
        <v>0</v>
      </c>
      <c r="AE145" s="169">
        <v>0</v>
      </c>
      <c r="AF145" s="169">
        <v>0</v>
      </c>
      <c r="AG145" s="169">
        <v>0</v>
      </c>
      <c r="AH145" s="65">
        <v>0</v>
      </c>
      <c r="AI145" s="169">
        <v>0</v>
      </c>
      <c r="AJ145" s="169">
        <v>0</v>
      </c>
      <c r="AK145" s="169">
        <v>0</v>
      </c>
      <c r="AL145" s="169">
        <v>0</v>
      </c>
      <c r="AM145" s="169">
        <v>0</v>
      </c>
      <c r="AN145" s="170">
        <v>0</v>
      </c>
      <c r="AO145" s="170">
        <v>0</v>
      </c>
      <c r="AP145" s="170">
        <f>(IF('Data Val'!$K$3 = weapons!A145,IF(char3WeapStacks=1, (8+(char3Refine-1)*2)%, IF(char3WeapStacks=2, (16+(char3Refine-1)*4)%, IF(char3WeapStacks=3, (28+(char3Refine-1)*7)%, 0)))))+(12+(char3Refine-1)*3)%</f>
        <v>0.24</v>
      </c>
      <c r="AQ145" s="170">
        <v>0</v>
      </c>
      <c r="AR145" s="170">
        <v>0</v>
      </c>
      <c r="AS145" s="170">
        <v>0</v>
      </c>
      <c r="AT145" s="170">
        <v>0</v>
      </c>
      <c r="AU145" s="170">
        <v>0</v>
      </c>
      <c r="AV145" s="170">
        <v>0</v>
      </c>
      <c r="AW145" s="170">
        <v>0</v>
      </c>
      <c r="AX145" s="170">
        <v>0</v>
      </c>
      <c r="AY145" s="170">
        <v>0</v>
      </c>
      <c r="AZ145" s="170">
        <v>0</v>
      </c>
      <c r="BA145" s="170">
        <v>0</v>
      </c>
      <c r="BB145" s="170">
        <v>0</v>
      </c>
      <c r="BC145" s="170">
        <v>0</v>
      </c>
      <c r="BD145" s="170">
        <v>0</v>
      </c>
      <c r="BE145" s="170">
        <v>0</v>
      </c>
      <c r="BF145" s="170">
        <v>0</v>
      </c>
      <c r="BG145" s="170">
        <v>0</v>
      </c>
      <c r="BH145" s="170">
        <v>0</v>
      </c>
      <c r="BI145" s="170">
        <v>0</v>
      </c>
      <c r="BJ145" s="172">
        <v>0</v>
      </c>
      <c r="BK145" s="67">
        <v>0</v>
      </c>
      <c r="BL145" s="172">
        <f t="shared" si="11"/>
        <v>0.24</v>
      </c>
      <c r="BM145" s="172">
        <f t="shared" si="12"/>
        <v>0</v>
      </c>
      <c r="BN145" s="172">
        <v>0</v>
      </c>
      <c r="BO145" s="172">
        <v>0</v>
      </c>
      <c r="BP145" s="172">
        <v>0</v>
      </c>
      <c r="BQ145" s="172">
        <v>0</v>
      </c>
      <c r="BR145" s="172">
        <f t="shared" si="13"/>
        <v>0.32</v>
      </c>
      <c r="BS145" s="172">
        <v>0</v>
      </c>
      <c r="BT145" s="172">
        <v>0</v>
      </c>
      <c r="BU145" s="172">
        <v>0</v>
      </c>
      <c r="BV145" s="172">
        <v>0</v>
      </c>
      <c r="BW145" s="172">
        <f t="shared" si="14"/>
        <v>0</v>
      </c>
      <c r="BX145" s="172">
        <v>0</v>
      </c>
      <c r="BY145" s="172">
        <v>0</v>
      </c>
      <c r="BZ145" s="172">
        <v>0</v>
      </c>
      <c r="CA145" s="172">
        <v>0</v>
      </c>
      <c r="CB145" s="172">
        <v>0</v>
      </c>
      <c r="CC145" s="172">
        <v>0</v>
      </c>
      <c r="CD145" s="174">
        <v>0</v>
      </c>
      <c r="CE145" s="70">
        <v>0</v>
      </c>
      <c r="CF145" s="174">
        <v>0</v>
      </c>
      <c r="CG145" s="174">
        <v>0</v>
      </c>
      <c r="CH145" s="174">
        <v>0</v>
      </c>
      <c r="CI145" s="174">
        <v>0</v>
      </c>
      <c r="CJ145" s="174">
        <v>0</v>
      </c>
      <c r="CK145" s="174">
        <v>0</v>
      </c>
      <c r="CL145" s="174">
        <v>0</v>
      </c>
      <c r="CM145" s="174">
        <v>0</v>
      </c>
      <c r="CN145" s="174">
        <v>0</v>
      </c>
      <c r="CO145" s="174">
        <v>0</v>
      </c>
      <c r="CP145" s="174">
        <v>0</v>
      </c>
      <c r="CQ145" s="174">
        <v>0</v>
      </c>
      <c r="CR145" s="174">
        <v>0</v>
      </c>
      <c r="CS145" s="174">
        <v>0</v>
      </c>
      <c r="CT145" s="174">
        <v>0</v>
      </c>
      <c r="CU145" s="174">
        <v>0</v>
      </c>
      <c r="CV145" s="174">
        <v>0</v>
      </c>
    </row>
    <row r="146" spans="1:100" x14ac:dyDescent="0.25">
      <c r="A146" s="44" t="s">
        <v>75</v>
      </c>
      <c r="B146" s="166">
        <v>0</v>
      </c>
      <c r="C146" s="167">
        <v>0</v>
      </c>
      <c r="D146" s="167">
        <v>0</v>
      </c>
      <c r="E146" s="167">
        <v>0</v>
      </c>
      <c r="F146" s="167">
        <v>0</v>
      </c>
      <c r="G146" s="168">
        <v>0</v>
      </c>
      <c r="H146" s="168">
        <v>0</v>
      </c>
      <c r="I146" s="168">
        <v>0</v>
      </c>
      <c r="J146" s="167">
        <v>0</v>
      </c>
      <c r="K146" s="167">
        <v>0</v>
      </c>
      <c r="L146" s="167">
        <v>0</v>
      </c>
      <c r="M146" s="167">
        <v>0</v>
      </c>
      <c r="N146" s="168">
        <v>0</v>
      </c>
      <c r="O146" s="167">
        <v>0</v>
      </c>
      <c r="P146" s="167">
        <v>0</v>
      </c>
      <c r="Q146" s="167">
        <v>0</v>
      </c>
      <c r="R146" s="167">
        <v>0</v>
      </c>
      <c r="S146" s="168">
        <v>0</v>
      </c>
      <c r="T146" s="167">
        <v>0</v>
      </c>
      <c r="U146" s="169">
        <v>0</v>
      </c>
      <c r="V146" s="169">
        <v>0</v>
      </c>
      <c r="W146" s="169">
        <v>0</v>
      </c>
      <c r="X146" s="169">
        <v>0</v>
      </c>
      <c r="Y146" s="169">
        <v>0</v>
      </c>
      <c r="Z146" s="65">
        <f t="shared" si="10"/>
        <v>0.24</v>
      </c>
      <c r="AA146" s="169">
        <v>0</v>
      </c>
      <c r="AB146" s="169">
        <v>0</v>
      </c>
      <c r="AC146" s="169">
        <v>0</v>
      </c>
      <c r="AD146" s="169">
        <v>0</v>
      </c>
      <c r="AE146" s="169">
        <v>0</v>
      </c>
      <c r="AF146" s="169">
        <v>0</v>
      </c>
      <c r="AG146" s="169">
        <v>0</v>
      </c>
      <c r="AH146" s="65">
        <v>0</v>
      </c>
      <c r="AI146" s="169">
        <v>0</v>
      </c>
      <c r="AJ146" s="169">
        <v>0</v>
      </c>
      <c r="AK146" s="169">
        <v>0</v>
      </c>
      <c r="AL146" s="169">
        <v>0</v>
      </c>
      <c r="AM146" s="169">
        <v>0</v>
      </c>
      <c r="AN146" s="170">
        <v>0</v>
      </c>
      <c r="AO146" s="170">
        <v>0</v>
      </c>
      <c r="AP146" s="170">
        <f>(IF('Data Val'!$K$3 = weapons!A146,IF(char3WeapStacks=1, (8+(char3Refine-1)*2)%, IF(char3WeapStacks=2, (16+(char3Refine-1)*4)%, IF(char3WeapStacks=3, (28+(char3Refine-1)*7)%, 0)))))+(12+(char3Refine-1)*3)%</f>
        <v>0.24</v>
      </c>
      <c r="AQ146" s="170">
        <v>0</v>
      </c>
      <c r="AR146" s="170">
        <v>0</v>
      </c>
      <c r="AS146" s="170">
        <v>0</v>
      </c>
      <c r="AT146" s="170">
        <v>0</v>
      </c>
      <c r="AU146" s="170">
        <v>0</v>
      </c>
      <c r="AV146" s="170">
        <v>0</v>
      </c>
      <c r="AW146" s="170">
        <v>0</v>
      </c>
      <c r="AX146" s="170">
        <v>0</v>
      </c>
      <c r="AY146" s="170">
        <v>0</v>
      </c>
      <c r="AZ146" s="170">
        <v>0</v>
      </c>
      <c r="BA146" s="170">
        <v>0</v>
      </c>
      <c r="BB146" s="170">
        <v>0</v>
      </c>
      <c r="BC146" s="170">
        <v>0</v>
      </c>
      <c r="BD146" s="170">
        <v>0</v>
      </c>
      <c r="BE146" s="170">
        <v>0</v>
      </c>
      <c r="BF146" s="170">
        <v>0</v>
      </c>
      <c r="BG146" s="170">
        <v>0</v>
      </c>
      <c r="BH146" s="170">
        <v>0</v>
      </c>
      <c r="BI146" s="170">
        <v>0</v>
      </c>
      <c r="BJ146" s="172">
        <v>0</v>
      </c>
      <c r="BK146" s="67">
        <v>0</v>
      </c>
      <c r="BL146" s="172">
        <f t="shared" si="11"/>
        <v>0.24</v>
      </c>
      <c r="BM146" s="172">
        <f t="shared" si="12"/>
        <v>0</v>
      </c>
      <c r="BN146" s="172">
        <v>0</v>
      </c>
      <c r="BO146" s="172">
        <v>0</v>
      </c>
      <c r="BP146" s="172">
        <v>0</v>
      </c>
      <c r="BQ146" s="172">
        <v>0</v>
      </c>
      <c r="BR146" s="172">
        <f t="shared" si="13"/>
        <v>0.32</v>
      </c>
      <c r="BS146" s="172">
        <v>0</v>
      </c>
      <c r="BT146" s="172">
        <v>0</v>
      </c>
      <c r="BU146" s="172">
        <v>0</v>
      </c>
      <c r="BV146" s="172">
        <v>0</v>
      </c>
      <c r="BW146" s="172">
        <f t="shared" si="14"/>
        <v>0</v>
      </c>
      <c r="BX146" s="172">
        <v>0</v>
      </c>
      <c r="BY146" s="172">
        <v>0</v>
      </c>
      <c r="BZ146" s="172">
        <v>0</v>
      </c>
      <c r="CA146" s="172">
        <v>0</v>
      </c>
      <c r="CB146" s="172">
        <v>0</v>
      </c>
      <c r="CC146" s="172">
        <v>0</v>
      </c>
      <c r="CD146" s="174">
        <v>0</v>
      </c>
      <c r="CE146" s="70">
        <v>0</v>
      </c>
      <c r="CF146" s="174">
        <v>0</v>
      </c>
      <c r="CG146" s="174">
        <v>0</v>
      </c>
      <c r="CH146" s="174">
        <v>0</v>
      </c>
      <c r="CI146" s="174">
        <v>0</v>
      </c>
      <c r="CJ146" s="174">
        <v>0</v>
      </c>
      <c r="CK146" s="174">
        <v>0</v>
      </c>
      <c r="CL146" s="174">
        <v>0</v>
      </c>
      <c r="CM146" s="174">
        <v>0</v>
      </c>
      <c r="CN146" s="174">
        <v>0</v>
      </c>
      <c r="CO146" s="174">
        <v>0</v>
      </c>
      <c r="CP146" s="174">
        <v>0</v>
      </c>
      <c r="CQ146" s="174">
        <v>0</v>
      </c>
      <c r="CR146" s="174">
        <v>0</v>
      </c>
      <c r="CS146" s="174">
        <v>0</v>
      </c>
      <c r="CT146" s="174">
        <v>0</v>
      </c>
      <c r="CU146" s="174">
        <v>0</v>
      </c>
      <c r="CV146" s="174">
        <v>0</v>
      </c>
    </row>
    <row r="147" spans="1:100" x14ac:dyDescent="0.25">
      <c r="A147" s="44" t="s">
        <v>76</v>
      </c>
      <c r="B147" s="166">
        <v>0</v>
      </c>
      <c r="C147" s="167">
        <v>0</v>
      </c>
      <c r="D147" s="167">
        <v>0</v>
      </c>
      <c r="E147" s="167">
        <v>0</v>
      </c>
      <c r="F147" s="167">
        <v>0</v>
      </c>
      <c r="G147" s="168">
        <v>0</v>
      </c>
      <c r="H147" s="168">
        <v>0</v>
      </c>
      <c r="I147" s="168">
        <v>0</v>
      </c>
      <c r="J147" s="167">
        <v>0</v>
      </c>
      <c r="K147" s="167">
        <v>0</v>
      </c>
      <c r="L147" s="167">
        <v>0</v>
      </c>
      <c r="M147" s="167">
        <v>0</v>
      </c>
      <c r="N147" s="168">
        <v>0</v>
      </c>
      <c r="O147" s="167">
        <v>0</v>
      </c>
      <c r="P147" s="167">
        <v>0</v>
      </c>
      <c r="Q147" s="167">
        <v>0</v>
      </c>
      <c r="R147" s="167">
        <v>0</v>
      </c>
      <c r="S147" s="168">
        <v>0</v>
      </c>
      <c r="T147" s="167">
        <v>0</v>
      </c>
      <c r="U147" s="169">
        <v>0</v>
      </c>
      <c r="V147" s="169">
        <v>0</v>
      </c>
      <c r="W147" s="169">
        <v>0</v>
      </c>
      <c r="X147" s="169">
        <v>0</v>
      </c>
      <c r="Y147" s="169">
        <v>0</v>
      </c>
      <c r="Z147" s="65">
        <f t="shared" si="10"/>
        <v>0.24</v>
      </c>
      <c r="AA147" s="169">
        <v>0</v>
      </c>
      <c r="AB147" s="169">
        <v>0</v>
      </c>
      <c r="AC147" s="169">
        <v>0</v>
      </c>
      <c r="AD147" s="169">
        <v>0</v>
      </c>
      <c r="AE147" s="169">
        <v>0</v>
      </c>
      <c r="AF147" s="169">
        <v>0</v>
      </c>
      <c r="AG147" s="169">
        <v>0</v>
      </c>
      <c r="AH147" s="65">
        <v>0</v>
      </c>
      <c r="AI147" s="169">
        <v>0</v>
      </c>
      <c r="AJ147" s="169">
        <v>0</v>
      </c>
      <c r="AK147" s="169">
        <v>0</v>
      </c>
      <c r="AL147" s="169">
        <v>0</v>
      </c>
      <c r="AM147" s="169">
        <v>0</v>
      </c>
      <c r="AN147" s="170">
        <v>0</v>
      </c>
      <c r="AO147" s="170">
        <v>0</v>
      </c>
      <c r="AP147" s="170">
        <f>(IF('Data Val'!$K$3 = weapons!A147,IF(char3WeapStacks=1, (8+(char3Refine-1)*2)%, IF(char3WeapStacks=2, (16+(char3Refine-1)*4)%, IF(char3WeapStacks=3, (28+(char3Refine-1)*7)%, 0)))))+(12+(char3Refine-1)*3)%</f>
        <v>0.24</v>
      </c>
      <c r="AQ147" s="170">
        <v>0</v>
      </c>
      <c r="AR147" s="170">
        <v>0</v>
      </c>
      <c r="AS147" s="170">
        <v>0</v>
      </c>
      <c r="AT147" s="170">
        <v>0</v>
      </c>
      <c r="AU147" s="170">
        <v>0</v>
      </c>
      <c r="AV147" s="170">
        <v>0</v>
      </c>
      <c r="AW147" s="170">
        <v>0</v>
      </c>
      <c r="AX147" s="170">
        <v>0</v>
      </c>
      <c r="AY147" s="170">
        <v>0</v>
      </c>
      <c r="AZ147" s="170">
        <v>0</v>
      </c>
      <c r="BA147" s="170">
        <v>0</v>
      </c>
      <c r="BB147" s="170">
        <v>0</v>
      </c>
      <c r="BC147" s="170">
        <v>0</v>
      </c>
      <c r="BD147" s="170">
        <v>0</v>
      </c>
      <c r="BE147" s="170">
        <v>0</v>
      </c>
      <c r="BF147" s="170">
        <v>0</v>
      </c>
      <c r="BG147" s="170">
        <v>0</v>
      </c>
      <c r="BH147" s="170">
        <v>0</v>
      </c>
      <c r="BI147" s="170">
        <v>0</v>
      </c>
      <c r="BJ147" s="172">
        <v>0</v>
      </c>
      <c r="BK147" s="67">
        <v>0</v>
      </c>
      <c r="BL147" s="172">
        <f t="shared" si="11"/>
        <v>0.24</v>
      </c>
      <c r="BM147" s="172">
        <f t="shared" si="12"/>
        <v>0</v>
      </c>
      <c r="BN147" s="172">
        <v>0</v>
      </c>
      <c r="BO147" s="172">
        <v>0</v>
      </c>
      <c r="BP147" s="172">
        <v>0</v>
      </c>
      <c r="BQ147" s="172">
        <v>0</v>
      </c>
      <c r="BR147" s="172">
        <f t="shared" si="13"/>
        <v>0.32</v>
      </c>
      <c r="BS147" s="172">
        <v>0</v>
      </c>
      <c r="BT147" s="172">
        <v>0</v>
      </c>
      <c r="BU147" s="172">
        <v>0</v>
      </c>
      <c r="BV147" s="172">
        <v>0</v>
      </c>
      <c r="BW147" s="172">
        <f t="shared" si="14"/>
        <v>0</v>
      </c>
      <c r="BX147" s="172">
        <v>0</v>
      </c>
      <c r="BY147" s="172">
        <v>0</v>
      </c>
      <c r="BZ147" s="172">
        <v>0</v>
      </c>
      <c r="CA147" s="172">
        <v>0</v>
      </c>
      <c r="CB147" s="172">
        <v>0</v>
      </c>
      <c r="CC147" s="172">
        <v>0</v>
      </c>
      <c r="CD147" s="174">
        <v>0</v>
      </c>
      <c r="CE147" s="70">
        <v>0</v>
      </c>
      <c r="CF147" s="174">
        <v>0</v>
      </c>
      <c r="CG147" s="174">
        <v>0</v>
      </c>
      <c r="CH147" s="174">
        <v>0</v>
      </c>
      <c r="CI147" s="174">
        <v>0</v>
      </c>
      <c r="CJ147" s="174">
        <v>0</v>
      </c>
      <c r="CK147" s="174">
        <v>0</v>
      </c>
      <c r="CL147" s="174">
        <v>0</v>
      </c>
      <c r="CM147" s="174">
        <v>0</v>
      </c>
      <c r="CN147" s="174">
        <v>0</v>
      </c>
      <c r="CO147" s="174">
        <v>0</v>
      </c>
      <c r="CP147" s="174">
        <v>0</v>
      </c>
      <c r="CQ147" s="174">
        <v>0</v>
      </c>
      <c r="CR147" s="174">
        <v>0</v>
      </c>
      <c r="CS147" s="174">
        <v>0</v>
      </c>
      <c r="CT147" s="174">
        <v>0</v>
      </c>
      <c r="CU147" s="174">
        <v>0</v>
      </c>
      <c r="CV147" s="174">
        <v>0</v>
      </c>
    </row>
    <row r="148" spans="1:100" x14ac:dyDescent="0.25">
      <c r="A148" s="44" t="s">
        <v>69</v>
      </c>
      <c r="B148" s="176">
        <v>0</v>
      </c>
      <c r="C148" s="177">
        <v>0</v>
      </c>
      <c r="D148" s="202">
        <v>0</v>
      </c>
      <c r="E148" s="177">
        <v>0</v>
      </c>
      <c r="F148" s="202">
        <v>0</v>
      </c>
      <c r="G148" s="177">
        <v>0</v>
      </c>
      <c r="H148" s="177">
        <v>0</v>
      </c>
      <c r="I148" s="177">
        <v>0</v>
      </c>
      <c r="J148" s="177">
        <v>0</v>
      </c>
      <c r="K148" s="177">
        <v>0</v>
      </c>
      <c r="L148" s="177">
        <v>0</v>
      </c>
      <c r="M148" s="177">
        <v>165</v>
      </c>
      <c r="N148" s="177">
        <v>0</v>
      </c>
      <c r="O148" s="177">
        <v>0</v>
      </c>
      <c r="P148" s="202">
        <v>0</v>
      </c>
      <c r="Q148" s="202">
        <v>0</v>
      </c>
      <c r="R148" s="202">
        <v>0</v>
      </c>
      <c r="S148" s="177">
        <v>0</v>
      </c>
      <c r="T148" s="177">
        <v>0</v>
      </c>
      <c r="U148" s="178">
        <v>0</v>
      </c>
      <c r="V148" s="178">
        <v>0</v>
      </c>
      <c r="W148" s="178">
        <v>0</v>
      </c>
      <c r="X148" s="178">
        <v>0</v>
      </c>
      <c r="Y148" s="178">
        <v>0</v>
      </c>
      <c r="Z148" s="65">
        <v>0</v>
      </c>
      <c r="AA148" s="178">
        <v>0</v>
      </c>
      <c r="AB148" s="178">
        <v>110</v>
      </c>
      <c r="AC148" s="178">
        <v>0</v>
      </c>
      <c r="AD148" s="178">
        <v>0</v>
      </c>
      <c r="AE148" s="178">
        <v>0</v>
      </c>
      <c r="AF148" s="178">
        <v>0</v>
      </c>
      <c r="AG148" s="178">
        <v>221</v>
      </c>
      <c r="AH148" s="74">
        <v>0</v>
      </c>
      <c r="AI148" s="178">
        <v>0</v>
      </c>
      <c r="AJ148" s="178">
        <v>0</v>
      </c>
      <c r="AK148" s="178">
        <v>0</v>
      </c>
      <c r="AL148" s="178">
        <v>0</v>
      </c>
      <c r="AM148" s="178">
        <v>0</v>
      </c>
      <c r="AN148" s="179">
        <v>0</v>
      </c>
      <c r="AO148" s="179">
        <v>198</v>
      </c>
      <c r="AP148" s="179">
        <v>0</v>
      </c>
      <c r="AQ148" s="179">
        <v>0</v>
      </c>
      <c r="AR148" s="179">
        <v>0</v>
      </c>
      <c r="AS148" s="179">
        <v>0</v>
      </c>
      <c r="AT148" s="179">
        <v>0</v>
      </c>
      <c r="AU148" s="179">
        <v>0</v>
      </c>
      <c r="AV148" s="179">
        <v>0</v>
      </c>
      <c r="AW148" s="179">
        <v>55</v>
      </c>
      <c r="AX148" s="179">
        <v>0</v>
      </c>
      <c r="AY148" s="179">
        <v>0</v>
      </c>
      <c r="AZ148" s="179">
        <v>0</v>
      </c>
      <c r="BA148" s="179">
        <v>0</v>
      </c>
      <c r="BB148" s="179">
        <v>165</v>
      </c>
      <c r="BC148" s="179">
        <v>0</v>
      </c>
      <c r="BD148" s="179">
        <v>0</v>
      </c>
      <c r="BE148" s="179">
        <v>0</v>
      </c>
      <c r="BF148" s="179">
        <v>0</v>
      </c>
      <c r="BG148" s="179">
        <v>0</v>
      </c>
      <c r="BH148" s="179">
        <v>141</v>
      </c>
      <c r="BI148" s="179">
        <v>0</v>
      </c>
      <c r="BJ148" s="164">
        <v>0</v>
      </c>
      <c r="BK148" s="67">
        <v>0</v>
      </c>
      <c r="BL148" s="164">
        <v>0</v>
      </c>
      <c r="BM148" s="164">
        <v>0</v>
      </c>
      <c r="BN148" s="164">
        <v>0</v>
      </c>
      <c r="BO148" s="164">
        <v>0</v>
      </c>
      <c r="BP148" s="164">
        <v>0</v>
      </c>
      <c r="BQ148" s="164">
        <v>0</v>
      </c>
      <c r="BR148" s="164">
        <f>IF(char3WeapToggle,80+(char3Refine-1)*20,0)</f>
        <v>160</v>
      </c>
      <c r="BS148" s="164">
        <v>0</v>
      </c>
      <c r="BT148" s="164">
        <v>221</v>
      </c>
      <c r="BU148" s="164">
        <v>0</v>
      </c>
      <c r="BV148" s="164">
        <v>0</v>
      </c>
      <c r="BW148" s="164">
        <v>110</v>
      </c>
      <c r="BX148" s="164">
        <v>0</v>
      </c>
      <c r="BY148" s="164">
        <v>0</v>
      </c>
      <c r="BZ148" s="164">
        <v>187</v>
      </c>
      <c r="CA148" s="164">
        <v>0</v>
      </c>
      <c r="CB148" s="164">
        <v>0</v>
      </c>
      <c r="CC148" s="164">
        <v>0</v>
      </c>
      <c r="CD148" s="180">
        <f>60+(char3Refine-1)*15+IF(char3WeapToggle, 100+(char3Refine-1)*25,0)</f>
        <v>320</v>
      </c>
      <c r="CE148" s="77">
        <v>0</v>
      </c>
      <c r="CF148" s="181">
        <v>0</v>
      </c>
      <c r="CG148" s="181">
        <v>0</v>
      </c>
      <c r="CH148" s="180">
        <v>0</v>
      </c>
      <c r="CI148" s="181">
        <v>0</v>
      </c>
      <c r="CJ148" s="181">
        <v>0</v>
      </c>
      <c r="CK148" s="181">
        <v>0</v>
      </c>
      <c r="CL148" s="181">
        <v>0</v>
      </c>
      <c r="CM148" s="181">
        <v>0</v>
      </c>
      <c r="CN148" s="180">
        <v>165</v>
      </c>
      <c r="CO148" s="181">
        <v>0</v>
      </c>
      <c r="CP148" s="181">
        <v>0</v>
      </c>
      <c r="CQ148" s="181">
        <v>0</v>
      </c>
      <c r="CR148" s="181">
        <v>165</v>
      </c>
      <c r="CS148" s="181">
        <v>0</v>
      </c>
      <c r="CT148" s="181">
        <v>0</v>
      </c>
      <c r="CU148" s="181">
        <v>0</v>
      </c>
      <c r="CV148" s="181">
        <v>0</v>
      </c>
    </row>
    <row r="149" spans="1:100" x14ac:dyDescent="0.25">
      <c r="A149" s="44" t="s">
        <v>452</v>
      </c>
      <c r="B149" s="166">
        <v>0</v>
      </c>
      <c r="C149" s="168">
        <v>0</v>
      </c>
      <c r="D149" s="167">
        <v>0</v>
      </c>
      <c r="E149" s="168">
        <v>0</v>
      </c>
      <c r="F149" s="167">
        <v>0</v>
      </c>
      <c r="G149" s="168">
        <v>0</v>
      </c>
      <c r="H149" s="168">
        <v>0</v>
      </c>
      <c r="I149" s="168">
        <v>0</v>
      </c>
      <c r="J149" s="168">
        <v>0</v>
      </c>
      <c r="K149" s="168">
        <v>0</v>
      </c>
      <c r="L149" s="168">
        <v>0</v>
      </c>
      <c r="M149" s="168">
        <v>0</v>
      </c>
      <c r="N149" s="168">
        <v>0</v>
      </c>
      <c r="O149" s="168">
        <v>0</v>
      </c>
      <c r="P149" s="167">
        <v>0</v>
      </c>
      <c r="Q149" s="167">
        <v>0</v>
      </c>
      <c r="R149" s="167">
        <v>0</v>
      </c>
      <c r="S149" s="168">
        <v>0</v>
      </c>
      <c r="T149" s="168">
        <v>0</v>
      </c>
      <c r="U149" s="169">
        <v>0</v>
      </c>
      <c r="V149" s="169">
        <v>0</v>
      </c>
      <c r="W149" s="169">
        <v>0</v>
      </c>
      <c r="X149" s="169">
        <v>0</v>
      </c>
      <c r="Y149" s="169">
        <v>0</v>
      </c>
      <c r="Z149" s="65">
        <v>0</v>
      </c>
      <c r="AA149" s="169">
        <v>0</v>
      </c>
      <c r="AB149" s="169">
        <v>0</v>
      </c>
      <c r="AC149" s="169">
        <v>0</v>
      </c>
      <c r="AD149" s="169">
        <v>0</v>
      </c>
      <c r="AE149" s="169">
        <v>0</v>
      </c>
      <c r="AF149" s="169">
        <v>0</v>
      </c>
      <c r="AG149" s="169">
        <v>0</v>
      </c>
      <c r="AH149" s="65">
        <v>0</v>
      </c>
      <c r="AI149" s="169">
        <v>0</v>
      </c>
      <c r="AJ149" s="169">
        <v>0</v>
      </c>
      <c r="AK149" s="169">
        <v>0</v>
      </c>
      <c r="AL149" s="169">
        <v>0</v>
      </c>
      <c r="AM149" s="169">
        <v>0</v>
      </c>
      <c r="AN149" s="170">
        <v>0</v>
      </c>
      <c r="AO149" s="170">
        <v>0</v>
      </c>
      <c r="AP149" s="170">
        <v>0</v>
      </c>
      <c r="AQ149" s="170">
        <v>0</v>
      </c>
      <c r="AR149" s="170">
        <v>0</v>
      </c>
      <c r="AS149" s="170">
        <v>0</v>
      </c>
      <c r="AT149" s="170">
        <v>0</v>
      </c>
      <c r="AU149" s="170">
        <v>0</v>
      </c>
      <c r="AV149" s="170">
        <v>0</v>
      </c>
      <c r="AW149" s="170">
        <v>0</v>
      </c>
      <c r="AX149" s="170">
        <v>0</v>
      </c>
      <c r="AY149" s="170">
        <v>0</v>
      </c>
      <c r="AZ149" s="170">
        <v>0</v>
      </c>
      <c r="BA149" s="170">
        <v>0</v>
      </c>
      <c r="BB149" s="170">
        <v>0</v>
      </c>
      <c r="BC149" s="170">
        <v>0</v>
      </c>
      <c r="BD149" s="170">
        <v>0</v>
      </c>
      <c r="BE149" s="170">
        <v>0</v>
      </c>
      <c r="BF149" s="170">
        <v>0</v>
      </c>
      <c r="BG149" s="170">
        <v>0</v>
      </c>
      <c r="BH149" s="170">
        <v>0</v>
      </c>
      <c r="BI149" s="170">
        <v>0</v>
      </c>
      <c r="BJ149" s="172">
        <v>0</v>
      </c>
      <c r="BK149" s="67">
        <v>0</v>
      </c>
      <c r="BL149" s="172">
        <v>0</v>
      </c>
      <c r="BM149" s="172">
        <v>0</v>
      </c>
      <c r="BN149" s="172">
        <v>0</v>
      </c>
      <c r="BO149" s="172">
        <v>0</v>
      </c>
      <c r="BP149" s="172">
        <v>0</v>
      </c>
      <c r="BQ149" s="172">
        <v>0</v>
      </c>
      <c r="BR149" s="172">
        <v>0</v>
      </c>
      <c r="BS149" s="172">
        <v>0</v>
      </c>
      <c r="BT149" s="172">
        <v>0</v>
      </c>
      <c r="BU149" s="172">
        <v>0</v>
      </c>
      <c r="BV149" s="172">
        <v>0</v>
      </c>
      <c r="BW149" s="172">
        <v>0</v>
      </c>
      <c r="BX149" s="172">
        <v>0</v>
      </c>
      <c r="BY149" s="172">
        <v>0</v>
      </c>
      <c r="BZ149" s="172">
        <v>0</v>
      </c>
      <c r="CA149" s="172">
        <v>0</v>
      </c>
      <c r="CB149" s="172">
        <v>0</v>
      </c>
      <c r="CC149" s="172">
        <v>0</v>
      </c>
      <c r="CD149" s="175">
        <v>0</v>
      </c>
      <c r="CE149" s="70">
        <v>0</v>
      </c>
      <c r="CF149" s="174">
        <v>0</v>
      </c>
      <c r="CG149" s="175">
        <v>0</v>
      </c>
      <c r="CH149" s="175">
        <v>0</v>
      </c>
      <c r="CI149" s="174">
        <v>0</v>
      </c>
      <c r="CJ149" s="175">
        <v>0</v>
      </c>
      <c r="CK149" s="174">
        <v>0</v>
      </c>
      <c r="CL149" s="175">
        <v>0</v>
      </c>
      <c r="CM149" s="175">
        <v>0</v>
      </c>
      <c r="CN149" s="175">
        <v>0</v>
      </c>
      <c r="CO149" s="174">
        <v>0</v>
      </c>
      <c r="CP149" s="174">
        <v>0</v>
      </c>
      <c r="CQ149" s="174">
        <v>0</v>
      </c>
      <c r="CR149" s="174">
        <v>0</v>
      </c>
      <c r="CS149" s="175">
        <v>0</v>
      </c>
      <c r="CT149" s="174">
        <v>0</v>
      </c>
      <c r="CU149" s="174">
        <v>0</v>
      </c>
      <c r="CV149" s="174">
        <v>0</v>
      </c>
    </row>
    <row r="150" spans="1:100" x14ac:dyDescent="0.25">
      <c r="A150" s="44" t="s">
        <v>422</v>
      </c>
      <c r="B150" s="166">
        <v>0</v>
      </c>
      <c r="C150" s="167">
        <v>0</v>
      </c>
      <c r="D150" s="167">
        <v>0</v>
      </c>
      <c r="E150" s="168">
        <v>0</v>
      </c>
      <c r="F150" s="167">
        <v>0</v>
      </c>
      <c r="G150" s="168">
        <v>0</v>
      </c>
      <c r="H150" s="168">
        <v>0</v>
      </c>
      <c r="I150" s="168">
        <v>0</v>
      </c>
      <c r="J150" s="168">
        <v>0</v>
      </c>
      <c r="K150" s="168">
        <v>0</v>
      </c>
      <c r="L150" s="168">
        <v>0</v>
      </c>
      <c r="M150" s="168">
        <v>0</v>
      </c>
      <c r="N150" s="168">
        <v>0</v>
      </c>
      <c r="O150" s="168">
        <v>0</v>
      </c>
      <c r="P150" s="167">
        <v>0</v>
      </c>
      <c r="Q150" s="167">
        <v>0</v>
      </c>
      <c r="R150" s="167">
        <v>0</v>
      </c>
      <c r="S150" s="168">
        <v>0</v>
      </c>
      <c r="T150" s="168">
        <v>0</v>
      </c>
      <c r="U150" s="169">
        <v>0</v>
      </c>
      <c r="V150" s="169">
        <v>0</v>
      </c>
      <c r="W150" s="169">
        <v>0</v>
      </c>
      <c r="X150" s="169">
        <v>0</v>
      </c>
      <c r="Y150" s="169">
        <v>0</v>
      </c>
      <c r="Z150" s="65">
        <v>0</v>
      </c>
      <c r="AA150" s="169">
        <v>0</v>
      </c>
      <c r="AB150" s="169">
        <v>0</v>
      </c>
      <c r="AC150" s="169">
        <v>0</v>
      </c>
      <c r="AD150" s="169">
        <v>0</v>
      </c>
      <c r="AE150" s="169">
        <v>0</v>
      </c>
      <c r="AF150" s="169">
        <v>0</v>
      </c>
      <c r="AG150" s="169">
        <v>0</v>
      </c>
      <c r="AH150" s="65">
        <v>0</v>
      </c>
      <c r="AI150" s="169">
        <v>0</v>
      </c>
      <c r="AJ150" s="169">
        <v>0</v>
      </c>
      <c r="AK150" s="169">
        <v>0</v>
      </c>
      <c r="AL150" s="169">
        <v>0</v>
      </c>
      <c r="AM150" s="169">
        <v>0</v>
      </c>
      <c r="AN150" s="170">
        <v>0</v>
      </c>
      <c r="AO150" s="170">
        <v>0</v>
      </c>
      <c r="AP150" s="170">
        <v>0</v>
      </c>
      <c r="AQ150" s="170">
        <v>0</v>
      </c>
      <c r="AR150" s="170">
        <v>0</v>
      </c>
      <c r="AS150" s="170">
        <v>0</v>
      </c>
      <c r="AT150" s="170">
        <v>0</v>
      </c>
      <c r="AU150" s="170">
        <v>0</v>
      </c>
      <c r="AV150" s="170">
        <v>0</v>
      </c>
      <c r="AW150" s="170">
        <v>0</v>
      </c>
      <c r="AX150" s="170">
        <v>0</v>
      </c>
      <c r="AY150" s="170">
        <v>0</v>
      </c>
      <c r="AZ150" s="170">
        <v>0</v>
      </c>
      <c r="BA150" s="170">
        <v>0</v>
      </c>
      <c r="BB150" s="170">
        <v>0</v>
      </c>
      <c r="BC150" s="170">
        <v>0</v>
      </c>
      <c r="BD150" s="170">
        <v>0</v>
      </c>
      <c r="BE150" s="170">
        <v>0</v>
      </c>
      <c r="BF150" s="170">
        <v>0</v>
      </c>
      <c r="BG150" s="170">
        <v>0</v>
      </c>
      <c r="BH150" s="170">
        <v>0</v>
      </c>
      <c r="BI150" s="170">
        <v>0</v>
      </c>
      <c r="BJ150" s="172">
        <v>0</v>
      </c>
      <c r="BK150" s="67">
        <v>0</v>
      </c>
      <c r="BL150" s="172">
        <v>0</v>
      </c>
      <c r="BM150" s="172">
        <v>0</v>
      </c>
      <c r="BN150" s="172">
        <f>(10+(char3Refine-1)*2.5)%</f>
        <v>0.2</v>
      </c>
      <c r="BO150" s="172">
        <v>0</v>
      </c>
      <c r="BP150" s="172">
        <v>0</v>
      </c>
      <c r="BQ150" s="172">
        <v>0</v>
      </c>
      <c r="BR150" s="172">
        <v>0</v>
      </c>
      <c r="BS150" s="172">
        <v>0</v>
      </c>
      <c r="BT150" s="172">
        <v>0</v>
      </c>
      <c r="BU150" s="172">
        <v>0</v>
      </c>
      <c r="BV150" s="172">
        <v>0</v>
      </c>
      <c r="BW150" s="172">
        <v>0</v>
      </c>
      <c r="BX150" s="172">
        <v>0</v>
      </c>
      <c r="BY150" s="172">
        <v>0</v>
      </c>
      <c r="BZ150" s="172">
        <v>0</v>
      </c>
      <c r="CA150" s="172">
        <v>0</v>
      </c>
      <c r="CB150" s="172">
        <v>0</v>
      </c>
      <c r="CC150" s="172">
        <v>0</v>
      </c>
      <c r="CD150" s="175">
        <v>0</v>
      </c>
      <c r="CE150" s="70">
        <v>0</v>
      </c>
      <c r="CF150" s="174">
        <v>0</v>
      </c>
      <c r="CG150" s="174">
        <v>0</v>
      </c>
      <c r="CH150" s="174">
        <v>0</v>
      </c>
      <c r="CI150" s="174">
        <v>0</v>
      </c>
      <c r="CJ150" s="175">
        <v>0</v>
      </c>
      <c r="CK150" s="174">
        <v>0</v>
      </c>
      <c r="CL150" s="175">
        <v>0</v>
      </c>
      <c r="CM150" s="175">
        <v>0</v>
      </c>
      <c r="CN150" s="175">
        <v>0</v>
      </c>
      <c r="CO150" s="174">
        <v>0</v>
      </c>
      <c r="CP150" s="174">
        <v>0</v>
      </c>
      <c r="CQ150" s="174">
        <v>0</v>
      </c>
      <c r="CR150" s="174">
        <v>0</v>
      </c>
      <c r="CS150" s="175">
        <v>0</v>
      </c>
      <c r="CT150" s="174">
        <v>0</v>
      </c>
      <c r="CU150" s="174">
        <v>0</v>
      </c>
      <c r="CV150" s="174">
        <v>0</v>
      </c>
    </row>
    <row r="151" spans="1:100" x14ac:dyDescent="0.25">
      <c r="A151" s="44" t="s">
        <v>77</v>
      </c>
      <c r="B151" s="166">
        <v>0</v>
      </c>
      <c r="C151" s="167">
        <v>0</v>
      </c>
      <c r="D151" s="167">
        <v>0</v>
      </c>
      <c r="E151" s="168">
        <v>0</v>
      </c>
      <c r="F151" s="167">
        <v>0</v>
      </c>
      <c r="G151" s="168">
        <v>0</v>
      </c>
      <c r="H151" s="168">
        <v>0</v>
      </c>
      <c r="I151" s="168">
        <v>0</v>
      </c>
      <c r="J151" s="168">
        <v>0</v>
      </c>
      <c r="K151" s="168">
        <v>0</v>
      </c>
      <c r="L151" s="168">
        <v>0</v>
      </c>
      <c r="M151" s="168">
        <v>0</v>
      </c>
      <c r="N151" s="168">
        <v>0</v>
      </c>
      <c r="O151" s="168">
        <v>0</v>
      </c>
      <c r="P151" s="167">
        <v>0</v>
      </c>
      <c r="Q151" s="167">
        <v>0</v>
      </c>
      <c r="R151" s="167">
        <v>0</v>
      </c>
      <c r="S151" s="168">
        <v>0</v>
      </c>
      <c r="T151" s="168">
        <v>0</v>
      </c>
      <c r="U151" s="169">
        <v>0</v>
      </c>
      <c r="V151" s="169">
        <v>0</v>
      </c>
      <c r="W151" s="169">
        <v>0</v>
      </c>
      <c r="X151" s="169">
        <v>0</v>
      </c>
      <c r="Y151" s="169">
        <v>0</v>
      </c>
      <c r="Z151" s="65">
        <v>0</v>
      </c>
      <c r="AA151" s="169">
        <v>0</v>
      </c>
      <c r="AB151" s="169">
        <v>0</v>
      </c>
      <c r="AC151" s="169">
        <v>0</v>
      </c>
      <c r="AD151" s="169">
        <v>0</v>
      </c>
      <c r="AE151" s="169">
        <f>((8+(char3Refine-1)*4)*char3WeapStacks)%</f>
        <v>0</v>
      </c>
      <c r="AF151" s="169">
        <v>0</v>
      </c>
      <c r="AG151" s="169">
        <v>0</v>
      </c>
      <c r="AH151" s="65">
        <v>0</v>
      </c>
      <c r="AI151" s="169">
        <v>0</v>
      </c>
      <c r="AJ151" s="169">
        <v>0</v>
      </c>
      <c r="AK151" s="169">
        <v>0</v>
      </c>
      <c r="AL151" s="169">
        <f>(24+(char3Refine-1)*6)%</f>
        <v>0.48</v>
      </c>
      <c r="AM151" s="169">
        <v>0</v>
      </c>
      <c r="AN151" s="170">
        <v>0</v>
      </c>
      <c r="AO151" s="170">
        <f>IF(char3WeapToggle, (16+(char3Refine-1)*4), 0)%</f>
        <v>0.32</v>
      </c>
      <c r="AP151" s="170">
        <v>0</v>
      </c>
      <c r="AQ151" s="170">
        <v>0</v>
      </c>
      <c r="AR151" s="170">
        <v>0</v>
      </c>
      <c r="AS151" s="170">
        <v>0</v>
      </c>
      <c r="AT151" s="170">
        <v>0</v>
      </c>
      <c r="AU151" s="170">
        <v>0</v>
      </c>
      <c r="AV151" s="170">
        <f>(20+(char3Refine-1)*5)%</f>
        <v>0.4</v>
      </c>
      <c r="AW151" s="170">
        <v>0</v>
      </c>
      <c r="AX151" s="170">
        <v>0</v>
      </c>
      <c r="AY151" s="170">
        <v>0</v>
      </c>
      <c r="AZ151" s="170">
        <v>0</v>
      </c>
      <c r="BA151" s="170">
        <v>0</v>
      </c>
      <c r="BB151" s="170">
        <v>0</v>
      </c>
      <c r="BC151" s="170">
        <v>0</v>
      </c>
      <c r="BD151" s="170">
        <v>0</v>
      </c>
      <c r="BE151" s="170">
        <v>0</v>
      </c>
      <c r="BF151" s="170">
        <v>0</v>
      </c>
      <c r="BG151" s="170">
        <v>0</v>
      </c>
      <c r="BH151" s="170">
        <v>0</v>
      </c>
      <c r="BI151" s="170">
        <v>0</v>
      </c>
      <c r="BJ151" s="172">
        <v>0</v>
      </c>
      <c r="BK151" s="67">
        <v>0</v>
      </c>
      <c r="BL151" s="172">
        <v>0</v>
      </c>
      <c r="BM151" s="172">
        <v>0</v>
      </c>
      <c r="BN151" s="172">
        <v>0</v>
      </c>
      <c r="BO151" s="172">
        <v>0</v>
      </c>
      <c r="BP151" s="172">
        <v>0</v>
      </c>
      <c r="BQ151" s="172">
        <v>0</v>
      </c>
      <c r="BR151" s="172">
        <v>0</v>
      </c>
      <c r="BS151" s="172">
        <f>IF(char3WeapToggle,20+(char3Refine-1)*5,0)%</f>
        <v>0.4</v>
      </c>
      <c r="BT151" s="172">
        <v>0</v>
      </c>
      <c r="BU151" s="172">
        <v>0</v>
      </c>
      <c r="BV151" s="172">
        <v>0</v>
      </c>
      <c r="BW151" s="172">
        <v>0</v>
      </c>
      <c r="BX151" s="172">
        <v>0</v>
      </c>
      <c r="BY151" s="172">
        <v>0</v>
      </c>
      <c r="BZ151" s="172">
        <v>0</v>
      </c>
      <c r="CA151" s="172">
        <v>0</v>
      </c>
      <c r="CB151" s="172">
        <v>0</v>
      </c>
      <c r="CC151" s="172">
        <v>0</v>
      </c>
      <c r="CD151" s="175">
        <v>0</v>
      </c>
      <c r="CE151" s="70">
        <v>0</v>
      </c>
      <c r="CF151" s="174">
        <v>0</v>
      </c>
      <c r="CG151" s="174">
        <f>(12+(char3Refine-1)*3)%+char3WeapStacks*(8+(char3Refine-1)*2)%</f>
        <v>0.24</v>
      </c>
      <c r="CH151" s="174">
        <f>(40+(char3Refine-1)*10)%</f>
        <v>0.8</v>
      </c>
      <c r="CI151" s="174">
        <v>0</v>
      </c>
      <c r="CJ151" s="175">
        <v>0</v>
      </c>
      <c r="CK151" s="174">
        <v>0</v>
      </c>
      <c r="CL151" s="175">
        <v>0</v>
      </c>
      <c r="CM151" s="175">
        <v>0</v>
      </c>
      <c r="CN151" s="175">
        <v>0</v>
      </c>
      <c r="CO151" s="174">
        <v>0</v>
      </c>
      <c r="CP151" s="174">
        <v>0</v>
      </c>
      <c r="CQ151" s="174">
        <f>IF(char3WeapToggle, 2*(16+(char3Refine-1)*4), 16+(char3Refine-1)*4)%</f>
        <v>0.64</v>
      </c>
      <c r="CR151" s="174">
        <v>0</v>
      </c>
      <c r="CS151" s="175">
        <v>0</v>
      </c>
      <c r="CT151" s="174">
        <f>IF(char3WeapToggle, 20+(char3Refine-1)*5, 0)%</f>
        <v>0.4</v>
      </c>
      <c r="CU151" s="174">
        <f>IF(char3WeapToggle, (36+(char3Refine-1)*6)%, -10%)</f>
        <v>0.6</v>
      </c>
      <c r="CV151" s="174">
        <f>IF(char3WeapStacks=1, (12+(char3Refine-1)*3)%, IF(char3WeapStacks=2, (24+(char3Refine-1)*6)%, IF(char3WeapStacks=3, (40+(char3Refine-1)*10)%, 0)))</f>
        <v>0</v>
      </c>
    </row>
    <row r="152" spans="1:100" x14ac:dyDescent="0.25">
      <c r="A152" s="44" t="s">
        <v>78</v>
      </c>
      <c r="B152" s="166">
        <v>0</v>
      </c>
      <c r="C152" s="167">
        <v>0</v>
      </c>
      <c r="D152" s="167">
        <v>0</v>
      </c>
      <c r="E152" s="168">
        <v>0</v>
      </c>
      <c r="F152" s="167">
        <v>0</v>
      </c>
      <c r="G152" s="168">
        <v>0</v>
      </c>
      <c r="H152" s="168">
        <v>0</v>
      </c>
      <c r="I152" s="168">
        <v>0</v>
      </c>
      <c r="J152" s="168">
        <v>0</v>
      </c>
      <c r="K152" s="168">
        <v>0</v>
      </c>
      <c r="L152" s="168">
        <v>0</v>
      </c>
      <c r="M152" s="168">
        <v>0</v>
      </c>
      <c r="N152" s="168">
        <v>0</v>
      </c>
      <c r="O152" s="168">
        <v>0</v>
      </c>
      <c r="P152" s="167">
        <v>0</v>
      </c>
      <c r="Q152" s="167">
        <v>0</v>
      </c>
      <c r="R152" s="167">
        <v>0</v>
      </c>
      <c r="S152" s="168">
        <v>0</v>
      </c>
      <c r="T152" s="168">
        <v>0</v>
      </c>
      <c r="U152" s="169">
        <v>0</v>
      </c>
      <c r="V152" s="169">
        <v>0</v>
      </c>
      <c r="W152" s="169">
        <v>0</v>
      </c>
      <c r="X152" s="169">
        <v>0</v>
      </c>
      <c r="Y152" s="169">
        <v>0</v>
      </c>
      <c r="Z152" s="65">
        <v>0</v>
      </c>
      <c r="AA152" s="169">
        <v>0</v>
      </c>
      <c r="AB152" s="169">
        <v>0</v>
      </c>
      <c r="AC152" s="169">
        <v>0</v>
      </c>
      <c r="AD152" s="169">
        <v>0</v>
      </c>
      <c r="AE152" s="169">
        <f>((8+(char3Refine-1)*4)*char3WeapStacks)%</f>
        <v>0</v>
      </c>
      <c r="AF152" s="169">
        <v>0</v>
      </c>
      <c r="AG152" s="169">
        <v>0</v>
      </c>
      <c r="AH152" s="65">
        <v>0</v>
      </c>
      <c r="AI152" s="169">
        <v>0</v>
      </c>
      <c r="AJ152" s="169">
        <v>0</v>
      </c>
      <c r="AK152" s="169">
        <v>0</v>
      </c>
      <c r="AL152" s="169">
        <v>0</v>
      </c>
      <c r="AM152" s="169">
        <v>0</v>
      </c>
      <c r="AN152" s="170">
        <v>0</v>
      </c>
      <c r="AO152" s="170">
        <f>IF(char3WeapToggle, (16+(char3Refine-1)*4), 0)%</f>
        <v>0.32</v>
      </c>
      <c r="AP152" s="170">
        <v>0</v>
      </c>
      <c r="AQ152" s="170">
        <v>0</v>
      </c>
      <c r="AR152" s="170">
        <v>0</v>
      </c>
      <c r="AS152" s="170">
        <v>0</v>
      </c>
      <c r="AT152" s="170">
        <v>0</v>
      </c>
      <c r="AU152" s="170">
        <v>0</v>
      </c>
      <c r="AV152" s="170">
        <f>(20+(char3Refine-1)*5)%</f>
        <v>0.4</v>
      </c>
      <c r="AW152" s="170">
        <v>0</v>
      </c>
      <c r="AX152" s="170">
        <v>0</v>
      </c>
      <c r="AY152" s="170">
        <v>0</v>
      </c>
      <c r="AZ152" s="170">
        <v>0</v>
      </c>
      <c r="BA152" s="170">
        <v>0</v>
      </c>
      <c r="BB152" s="170">
        <v>0</v>
      </c>
      <c r="BC152" s="170">
        <v>0</v>
      </c>
      <c r="BD152" s="170">
        <v>0</v>
      </c>
      <c r="BE152" s="170">
        <v>0</v>
      </c>
      <c r="BF152" s="170">
        <v>0</v>
      </c>
      <c r="BG152" s="170">
        <v>0</v>
      </c>
      <c r="BH152" s="170">
        <v>0</v>
      </c>
      <c r="BI152" s="170">
        <v>0</v>
      </c>
      <c r="BJ152" s="172">
        <v>0</v>
      </c>
      <c r="BK152" s="67">
        <v>0</v>
      </c>
      <c r="BL152" s="172">
        <v>0</v>
      </c>
      <c r="BM152" s="172">
        <v>0</v>
      </c>
      <c r="BN152" s="172">
        <v>0</v>
      </c>
      <c r="BO152" s="172">
        <v>0</v>
      </c>
      <c r="BP152" s="172">
        <v>0</v>
      </c>
      <c r="BQ152" s="172">
        <v>0</v>
      </c>
      <c r="BR152" s="172">
        <v>0</v>
      </c>
      <c r="BS152" s="172">
        <v>0</v>
      </c>
      <c r="BT152" s="172">
        <v>0</v>
      </c>
      <c r="BU152" s="172">
        <v>0</v>
      </c>
      <c r="BV152" s="172">
        <v>0</v>
      </c>
      <c r="BW152" s="172">
        <v>0</v>
      </c>
      <c r="BX152" s="172">
        <v>0</v>
      </c>
      <c r="BY152" s="172">
        <f>IF(char3WeapToggle,16+(char3Refine-1)*4,0)%</f>
        <v>0.32</v>
      </c>
      <c r="BZ152" s="172">
        <v>0</v>
      </c>
      <c r="CA152" s="172">
        <v>0</v>
      </c>
      <c r="CB152" s="172">
        <v>0</v>
      </c>
      <c r="CC152" s="172">
        <v>0</v>
      </c>
      <c r="CD152" s="175">
        <v>0</v>
      </c>
      <c r="CE152" s="70">
        <v>0</v>
      </c>
      <c r="CF152" s="174">
        <v>0</v>
      </c>
      <c r="CG152" s="174">
        <f>(12+(char3Refine-1)*3)%+char3WeapStacks*(8+(char3Refine-1)*2)%</f>
        <v>0.24</v>
      </c>
      <c r="CH152" s="174">
        <f>-10%</f>
        <v>-0.1</v>
      </c>
      <c r="CI152" s="174">
        <v>0</v>
      </c>
      <c r="CJ152" s="175">
        <v>0</v>
      </c>
      <c r="CK152" s="174">
        <v>0</v>
      </c>
      <c r="CL152" s="175">
        <v>0</v>
      </c>
      <c r="CM152" s="175">
        <v>0</v>
      </c>
      <c r="CN152" s="175">
        <v>0</v>
      </c>
      <c r="CO152" s="174">
        <v>0</v>
      </c>
      <c r="CP152" s="174">
        <v>0</v>
      </c>
      <c r="CQ152" s="174">
        <f>IF(char3WeapToggle, 2*(12+(char3Refine-1)*3), (12+(char3Refine-1)*3))%</f>
        <v>0.48</v>
      </c>
      <c r="CR152" s="174">
        <v>0</v>
      </c>
      <c r="CS152" s="175">
        <v>0</v>
      </c>
      <c r="CT152" s="174">
        <v>0</v>
      </c>
      <c r="CU152" s="174">
        <f>IF(char3WeapToggle, (36+(char3Refine-1)*6)%, -10%)</f>
        <v>0.6</v>
      </c>
      <c r="CV152" s="174">
        <v>0</v>
      </c>
    </row>
    <row r="153" spans="1:100" x14ac:dyDescent="0.25">
      <c r="A153" s="44" t="s">
        <v>79</v>
      </c>
      <c r="B153" s="166">
        <v>0</v>
      </c>
      <c r="C153" s="168">
        <v>0</v>
      </c>
      <c r="D153" s="167">
        <v>0</v>
      </c>
      <c r="E153" s="168">
        <v>0</v>
      </c>
      <c r="F153" s="167">
        <v>0</v>
      </c>
      <c r="G153" s="168">
        <v>0</v>
      </c>
      <c r="H153" s="168">
        <v>0</v>
      </c>
      <c r="I153" s="168">
        <v>0</v>
      </c>
      <c r="J153" s="168">
        <v>0</v>
      </c>
      <c r="K153" s="168">
        <v>0</v>
      </c>
      <c r="L153" s="168">
        <v>0</v>
      </c>
      <c r="M153" s="168">
        <v>0</v>
      </c>
      <c r="N153" s="168">
        <v>0</v>
      </c>
      <c r="O153" s="168">
        <v>0</v>
      </c>
      <c r="P153" s="167">
        <v>0</v>
      </c>
      <c r="Q153" s="167">
        <v>0</v>
      </c>
      <c r="R153" s="167">
        <v>0</v>
      </c>
      <c r="S153" s="168">
        <v>0</v>
      </c>
      <c r="T153" s="168">
        <v>0</v>
      </c>
      <c r="U153" s="169">
        <v>0</v>
      </c>
      <c r="V153" s="169">
        <v>0</v>
      </c>
      <c r="W153" s="169">
        <v>0</v>
      </c>
      <c r="X153" s="169">
        <v>0</v>
      </c>
      <c r="Y153" s="169">
        <v>0</v>
      </c>
      <c r="Z153" s="65">
        <v>0</v>
      </c>
      <c r="AA153" s="169">
        <v>0</v>
      </c>
      <c r="AB153" s="169">
        <v>0</v>
      </c>
      <c r="AC153" s="169">
        <v>0</v>
      </c>
      <c r="AD153" s="169">
        <v>0</v>
      </c>
      <c r="AE153" s="169">
        <v>0</v>
      </c>
      <c r="AF153" s="169">
        <v>0</v>
      </c>
      <c r="AG153" s="169">
        <v>0</v>
      </c>
      <c r="AH153" s="65">
        <v>0</v>
      </c>
      <c r="AI153" s="169">
        <v>0</v>
      </c>
      <c r="AJ153" s="169">
        <v>0</v>
      </c>
      <c r="AK153" s="169">
        <v>0</v>
      </c>
      <c r="AL153" s="169">
        <v>0</v>
      </c>
      <c r="AM153" s="169">
        <v>0</v>
      </c>
      <c r="AN153" s="170">
        <v>0</v>
      </c>
      <c r="AO153" s="170">
        <f>IF(char3WeapToggle, (16+(char3Refine-1)*4), 0)%</f>
        <v>0.32</v>
      </c>
      <c r="AP153" s="170">
        <v>0</v>
      </c>
      <c r="AQ153" s="170">
        <v>0</v>
      </c>
      <c r="AR153" s="170">
        <v>0</v>
      </c>
      <c r="AS153" s="170">
        <v>0</v>
      </c>
      <c r="AT153" s="170">
        <v>0</v>
      </c>
      <c r="AU153" s="170">
        <v>0</v>
      </c>
      <c r="AV153" s="170">
        <v>0</v>
      </c>
      <c r="AW153" s="170">
        <v>0</v>
      </c>
      <c r="AX153" s="170">
        <v>0</v>
      </c>
      <c r="AY153" s="170">
        <v>0</v>
      </c>
      <c r="AZ153" s="170">
        <v>0</v>
      </c>
      <c r="BA153" s="170">
        <v>0</v>
      </c>
      <c r="BB153" s="170">
        <v>0</v>
      </c>
      <c r="BC153" s="170">
        <v>0</v>
      </c>
      <c r="BD153" s="170">
        <v>0</v>
      </c>
      <c r="BE153" s="170">
        <v>0</v>
      </c>
      <c r="BF153" s="170">
        <v>0</v>
      </c>
      <c r="BG153" s="170">
        <v>0</v>
      </c>
      <c r="BH153" s="170">
        <v>0</v>
      </c>
      <c r="BI153" s="170">
        <v>0</v>
      </c>
      <c r="BJ153" s="172">
        <v>0</v>
      </c>
      <c r="BK153" s="67">
        <v>0</v>
      </c>
      <c r="BL153" s="172">
        <v>0</v>
      </c>
      <c r="BM153" s="172">
        <v>0</v>
      </c>
      <c r="BN153" s="172">
        <v>0</v>
      </c>
      <c r="BO153" s="172">
        <v>0</v>
      </c>
      <c r="BP153" s="172">
        <v>0</v>
      </c>
      <c r="BQ153" s="172">
        <v>0</v>
      </c>
      <c r="BR153" s="172">
        <v>0</v>
      </c>
      <c r="BS153" s="172">
        <v>0</v>
      </c>
      <c r="BT153" s="172">
        <v>0</v>
      </c>
      <c r="BU153" s="172">
        <v>0</v>
      </c>
      <c r="BV153" s="172">
        <v>0</v>
      </c>
      <c r="BW153" s="172">
        <v>0</v>
      </c>
      <c r="BX153" s="172">
        <v>0</v>
      </c>
      <c r="BY153" s="172">
        <v>0</v>
      </c>
      <c r="BZ153" s="172">
        <v>0</v>
      </c>
      <c r="CA153" s="172">
        <v>0</v>
      </c>
      <c r="CB153" s="172">
        <v>0</v>
      </c>
      <c r="CC153" s="172">
        <v>0</v>
      </c>
      <c r="CD153" s="175">
        <v>0</v>
      </c>
      <c r="CE153" s="70">
        <v>0</v>
      </c>
      <c r="CF153" s="174">
        <v>0</v>
      </c>
      <c r="CG153" s="174">
        <v>0</v>
      </c>
      <c r="CH153" s="174">
        <v>0</v>
      </c>
      <c r="CI153" s="174">
        <v>0</v>
      </c>
      <c r="CJ153" s="175">
        <v>0</v>
      </c>
      <c r="CK153" s="174">
        <v>0</v>
      </c>
      <c r="CL153" s="175">
        <v>0</v>
      </c>
      <c r="CM153" s="175">
        <v>0</v>
      </c>
      <c r="CN153" s="175">
        <v>0</v>
      </c>
      <c r="CO153" s="174">
        <v>0</v>
      </c>
      <c r="CP153" s="174">
        <v>0</v>
      </c>
      <c r="CQ153" s="174">
        <v>0</v>
      </c>
      <c r="CR153" s="174">
        <v>0</v>
      </c>
      <c r="CS153" s="175">
        <v>0</v>
      </c>
      <c r="CT153" s="174">
        <v>0</v>
      </c>
      <c r="CU153" s="174">
        <v>0</v>
      </c>
      <c r="CV153" s="174">
        <v>0</v>
      </c>
    </row>
    <row r="154" spans="1:100" x14ac:dyDescent="0.25">
      <c r="A154" s="44" t="s">
        <v>80</v>
      </c>
      <c r="B154" s="166">
        <v>0</v>
      </c>
      <c r="C154" s="167">
        <v>0</v>
      </c>
      <c r="D154" s="167">
        <v>0</v>
      </c>
      <c r="E154" s="168">
        <v>0</v>
      </c>
      <c r="F154" s="167">
        <v>0</v>
      </c>
      <c r="G154" s="168">
        <v>0</v>
      </c>
      <c r="H154" s="168">
        <v>0</v>
      </c>
      <c r="I154" s="168">
        <v>0</v>
      </c>
      <c r="J154" s="168">
        <v>0</v>
      </c>
      <c r="K154" s="168">
        <v>0</v>
      </c>
      <c r="L154" s="168">
        <v>0</v>
      </c>
      <c r="M154" s="168">
        <v>0</v>
      </c>
      <c r="N154" s="168">
        <v>0</v>
      </c>
      <c r="O154" s="168">
        <v>0</v>
      </c>
      <c r="P154" s="167">
        <v>0</v>
      </c>
      <c r="Q154" s="167">
        <v>0</v>
      </c>
      <c r="R154" s="167">
        <v>0</v>
      </c>
      <c r="S154" s="168">
        <v>0</v>
      </c>
      <c r="T154" s="168">
        <v>0</v>
      </c>
      <c r="U154" s="169">
        <v>0</v>
      </c>
      <c r="V154" s="169">
        <v>0</v>
      </c>
      <c r="W154" s="169">
        <v>0</v>
      </c>
      <c r="X154" s="169">
        <v>0</v>
      </c>
      <c r="Y154" s="169">
        <v>0</v>
      </c>
      <c r="Z154" s="65">
        <v>0</v>
      </c>
      <c r="AA154" s="169">
        <v>0</v>
      </c>
      <c r="AB154" s="169">
        <f>(6+(char3Refine-1)*1.5)%</f>
        <v>0.12</v>
      </c>
      <c r="AC154" s="169">
        <v>0</v>
      </c>
      <c r="AD154" s="169">
        <v>0</v>
      </c>
      <c r="AE154" s="169">
        <v>0</v>
      </c>
      <c r="AF154" s="169">
        <v>0</v>
      </c>
      <c r="AG154" s="169">
        <v>0</v>
      </c>
      <c r="AH154" s="65">
        <v>0</v>
      </c>
      <c r="AI154" s="169">
        <v>0</v>
      </c>
      <c r="AJ154" s="169">
        <v>0</v>
      </c>
      <c r="AK154" s="169">
        <v>0</v>
      </c>
      <c r="AL154" s="169">
        <v>0</v>
      </c>
      <c r="AM154" s="169">
        <v>0</v>
      </c>
      <c r="AN154" s="170">
        <v>0</v>
      </c>
      <c r="AO154" s="170">
        <v>0</v>
      </c>
      <c r="AP154" s="170">
        <v>0</v>
      </c>
      <c r="AQ154" s="170">
        <v>0</v>
      </c>
      <c r="AR154" s="170">
        <v>0</v>
      </c>
      <c r="AS154" s="170">
        <v>0</v>
      </c>
      <c r="AT154" s="170">
        <f>(16+(char3Refine-1)*4)%</f>
        <v>0.32</v>
      </c>
      <c r="AU154" s="170">
        <v>0</v>
      </c>
      <c r="AV154" s="170">
        <v>0</v>
      </c>
      <c r="AW154" s="170">
        <v>0</v>
      </c>
      <c r="AX154" s="170">
        <v>0</v>
      </c>
      <c r="AY154" s="170">
        <v>0</v>
      </c>
      <c r="AZ154" s="170">
        <v>0</v>
      </c>
      <c r="BA154" s="170">
        <v>0</v>
      </c>
      <c r="BB154" s="170">
        <v>0</v>
      </c>
      <c r="BC154" s="170">
        <v>0</v>
      </c>
      <c r="BD154" s="170">
        <v>0</v>
      </c>
      <c r="BE154" s="170">
        <v>0</v>
      </c>
      <c r="BF154" s="170">
        <v>0</v>
      </c>
      <c r="BG154" s="170">
        <v>0</v>
      </c>
      <c r="BH154" s="170">
        <v>0</v>
      </c>
      <c r="BI154" s="170">
        <v>0</v>
      </c>
      <c r="BJ154" s="172">
        <v>0</v>
      </c>
      <c r="BK154" s="67">
        <v>0</v>
      </c>
      <c r="BL154" s="172">
        <v>0</v>
      </c>
      <c r="BM154" s="172">
        <v>0</v>
      </c>
      <c r="BN154" s="172">
        <v>0</v>
      </c>
      <c r="BO154" s="172">
        <v>0</v>
      </c>
      <c r="BP154" s="172">
        <v>0</v>
      </c>
      <c r="BQ154" s="172">
        <v>0</v>
      </c>
      <c r="BR154" s="172">
        <v>0</v>
      </c>
      <c r="BS154" s="172">
        <f>IF(char3WeapToggle, 20+(char3Refine-1)*5,0)%</f>
        <v>0.4</v>
      </c>
      <c r="BT154" s="172">
        <v>0</v>
      </c>
      <c r="BU154" s="172">
        <v>0</v>
      </c>
      <c r="BV154" s="172">
        <v>0</v>
      </c>
      <c r="BW154" s="172">
        <v>0</v>
      </c>
      <c r="BX154" s="172">
        <v>0</v>
      </c>
      <c r="BY154" s="172">
        <v>0</v>
      </c>
      <c r="BZ154" s="172">
        <v>0</v>
      </c>
      <c r="CA154" s="172">
        <v>0</v>
      </c>
      <c r="CB154" s="172">
        <v>0</v>
      </c>
      <c r="CC154" s="172">
        <v>0</v>
      </c>
      <c r="CD154" s="175">
        <v>0</v>
      </c>
      <c r="CE154" s="70">
        <f>12%+(char3Refine-1)*3%</f>
        <v>0.24</v>
      </c>
      <c r="CF154" s="174">
        <v>0</v>
      </c>
      <c r="CG154" s="174">
        <v>0</v>
      </c>
      <c r="CH154" s="174">
        <v>0</v>
      </c>
      <c r="CI154" s="174">
        <v>0</v>
      </c>
      <c r="CJ154" s="175">
        <v>0</v>
      </c>
      <c r="CK154" s="174">
        <v>0</v>
      </c>
      <c r="CL154" s="175">
        <v>0</v>
      </c>
      <c r="CM154" s="175">
        <v>0</v>
      </c>
      <c r="CN154" s="175">
        <v>0</v>
      </c>
      <c r="CO154" s="174">
        <v>0</v>
      </c>
      <c r="CP154" s="174">
        <v>0</v>
      </c>
      <c r="CQ154" s="174">
        <v>0</v>
      </c>
      <c r="CR154" s="174">
        <f>(24+(char3Refine-1)*6)%</f>
        <v>0.48</v>
      </c>
      <c r="CS154" s="175">
        <v>0</v>
      </c>
      <c r="CT154" s="174">
        <f>IF(char3WeapToggle, 20+(char3Refine-1)*5, 0)%</f>
        <v>0.4</v>
      </c>
      <c r="CU154" s="174">
        <v>0</v>
      </c>
      <c r="CV154" s="174">
        <v>0</v>
      </c>
    </row>
    <row r="155" spans="1:100" x14ac:dyDescent="0.25">
      <c r="A155" s="44" t="s">
        <v>81</v>
      </c>
      <c r="B155" s="166">
        <v>0</v>
      </c>
      <c r="C155" s="167">
        <v>0</v>
      </c>
      <c r="D155" s="167">
        <v>0</v>
      </c>
      <c r="E155" s="168">
        <v>0</v>
      </c>
      <c r="F155" s="167">
        <v>0</v>
      </c>
      <c r="G155" s="168">
        <v>0</v>
      </c>
      <c r="H155" s="168">
        <v>0</v>
      </c>
      <c r="I155" s="168">
        <v>0</v>
      </c>
      <c r="J155" s="168">
        <v>0</v>
      </c>
      <c r="K155" s="168">
        <v>0</v>
      </c>
      <c r="L155" s="168">
        <v>0</v>
      </c>
      <c r="M155" s="168">
        <v>0</v>
      </c>
      <c r="N155" s="168">
        <v>0</v>
      </c>
      <c r="O155" s="168">
        <v>0</v>
      </c>
      <c r="P155" s="167">
        <f>(12+(char3Refine-1)*3)%</f>
        <v>0.24</v>
      </c>
      <c r="Q155" s="167">
        <v>0</v>
      </c>
      <c r="R155" s="167">
        <v>0</v>
      </c>
      <c r="S155" s="168">
        <f>MIN((40+(char3Refine-1)*10)%, char3WeapStacks*(0.12%+(char3Refine-1)*0.03%))</f>
        <v>0</v>
      </c>
      <c r="T155" s="168">
        <v>0</v>
      </c>
      <c r="U155" s="169">
        <v>0</v>
      </c>
      <c r="V155" s="169">
        <v>0</v>
      </c>
      <c r="W155" s="169">
        <v>0</v>
      </c>
      <c r="X155" s="169">
        <v>0</v>
      </c>
      <c r="Y155" s="169">
        <v>0</v>
      </c>
      <c r="Z155" s="65">
        <v>0</v>
      </c>
      <c r="AA155" s="169">
        <f>(16+(char3Refine-1)*4)%</f>
        <v>0.32</v>
      </c>
      <c r="AB155" s="169">
        <v>0</v>
      </c>
      <c r="AC155" s="169">
        <v>0</v>
      </c>
      <c r="AD155" s="169">
        <v>0</v>
      </c>
      <c r="AE155" s="169">
        <v>0</v>
      </c>
      <c r="AF155" s="169">
        <v>0</v>
      </c>
      <c r="AG155" s="169">
        <v>0</v>
      </c>
      <c r="AH155" s="65">
        <f>MIN((40+(char3Refine-1)*10)%, (0.12+(char3Refine-1)*0.03)*char3WeapStacks%)</f>
        <v>0</v>
      </c>
      <c r="AI155" s="169">
        <v>0</v>
      </c>
      <c r="AJ155" s="169">
        <v>0</v>
      </c>
      <c r="AK155" s="169">
        <v>0</v>
      </c>
      <c r="AL155" s="169">
        <v>0</v>
      </c>
      <c r="AM155" s="169">
        <v>0</v>
      </c>
      <c r="AN155" s="170">
        <v>0</v>
      </c>
      <c r="AO155" s="170">
        <v>0</v>
      </c>
      <c r="AP155" s="170">
        <v>0</v>
      </c>
      <c r="AQ155" s="170">
        <v>0</v>
      </c>
      <c r="AR155" s="170">
        <v>0</v>
      </c>
      <c r="AS155" s="170">
        <v>0</v>
      </c>
      <c r="AT155" s="170">
        <v>0</v>
      </c>
      <c r="AU155" s="170">
        <v>0</v>
      </c>
      <c r="AV155" s="170">
        <v>0</v>
      </c>
      <c r="AW155" s="170">
        <v>0</v>
      </c>
      <c r="AX155" s="170">
        <v>0</v>
      </c>
      <c r="AY155" s="170">
        <v>0</v>
      </c>
      <c r="AZ155" s="170">
        <v>0</v>
      </c>
      <c r="BA155" s="170">
        <v>0</v>
      </c>
      <c r="BB155" s="170">
        <v>0</v>
      </c>
      <c r="BC155" s="170">
        <v>0</v>
      </c>
      <c r="BD155" s="170">
        <v>0</v>
      </c>
      <c r="BE155" s="170">
        <v>0</v>
      </c>
      <c r="BF155" s="170">
        <v>0</v>
      </c>
      <c r="BG155" s="170">
        <v>0</v>
      </c>
      <c r="BH155" s="170">
        <v>0</v>
      </c>
      <c r="BI155" s="170">
        <v>0</v>
      </c>
      <c r="BJ155" s="172">
        <v>0</v>
      </c>
      <c r="BK155" s="67">
        <v>0</v>
      </c>
      <c r="BL155" s="172">
        <v>0</v>
      </c>
      <c r="BM155" s="172">
        <v>0</v>
      </c>
      <c r="BN155" s="172">
        <v>0</v>
      </c>
      <c r="BO155" s="172">
        <v>0</v>
      </c>
      <c r="BP155" s="172">
        <v>0</v>
      </c>
      <c r="BQ155" s="172">
        <v>0</v>
      </c>
      <c r="BR155" s="172">
        <v>0</v>
      </c>
      <c r="BS155" s="172">
        <f>IF(char3WeapToggle, 20+(char3Refine-1)*5,0)%</f>
        <v>0.4</v>
      </c>
      <c r="BT155" s="172">
        <v>0</v>
      </c>
      <c r="BU155" s="172">
        <v>0</v>
      </c>
      <c r="BV155" s="172">
        <v>0</v>
      </c>
      <c r="BW155" s="172">
        <v>0</v>
      </c>
      <c r="BX155" s="172">
        <v>0</v>
      </c>
      <c r="BY155" s="172">
        <v>0</v>
      </c>
      <c r="BZ155" s="172">
        <v>0</v>
      </c>
      <c r="CA155" s="172">
        <v>0</v>
      </c>
      <c r="CB155" s="172">
        <v>0</v>
      </c>
      <c r="CC155" s="172">
        <v>0</v>
      </c>
      <c r="CD155" s="175">
        <v>0</v>
      </c>
      <c r="CE155" s="70">
        <f>12%+(char3Refine-1)*3%</f>
        <v>0.24</v>
      </c>
      <c r="CF155" s="174">
        <v>0</v>
      </c>
      <c r="CG155" s="174">
        <v>0</v>
      </c>
      <c r="CH155" s="174">
        <v>0</v>
      </c>
      <c r="CI155" s="174">
        <v>0</v>
      </c>
      <c r="CJ155" s="175">
        <v>0</v>
      </c>
      <c r="CK155" s="174">
        <v>0</v>
      </c>
      <c r="CL155" s="175">
        <v>0</v>
      </c>
      <c r="CM155" s="175">
        <v>0</v>
      </c>
      <c r="CN155" s="175">
        <v>0</v>
      </c>
      <c r="CO155" s="174">
        <v>0</v>
      </c>
      <c r="CP155" s="174">
        <v>0</v>
      </c>
      <c r="CQ155" s="174">
        <v>0</v>
      </c>
      <c r="CR155" s="174">
        <f>(24+(char3Refine-1)*6)%</f>
        <v>0.48</v>
      </c>
      <c r="CS155" s="175">
        <v>0</v>
      </c>
      <c r="CT155" s="174">
        <v>0</v>
      </c>
      <c r="CU155" s="174">
        <v>0</v>
      </c>
      <c r="CV155" s="174">
        <v>0</v>
      </c>
    </row>
    <row r="156" spans="1:100" x14ac:dyDescent="0.25">
      <c r="A156" t="s">
        <v>82</v>
      </c>
      <c r="B156" s="166">
        <f>(8+(char3Refine-1)*2)%</f>
        <v>0.16</v>
      </c>
      <c r="C156" s="167">
        <v>0</v>
      </c>
      <c r="D156" s="167">
        <v>0</v>
      </c>
      <c r="E156" s="168">
        <v>0</v>
      </c>
      <c r="F156" s="167">
        <v>0</v>
      </c>
      <c r="G156" s="168">
        <f>char3WeapStacks*(6+(char3Refine-1))%</f>
        <v>0</v>
      </c>
      <c r="H156" s="168">
        <f>IF(char3WeapToggle, 12+(char3Refine-1)*3)%</f>
        <v>0.24</v>
      </c>
      <c r="I156" s="168">
        <v>0</v>
      </c>
      <c r="J156" s="168">
        <v>0</v>
      </c>
      <c r="K156" s="168">
        <v>0</v>
      </c>
      <c r="L156" s="168">
        <v>0</v>
      </c>
      <c r="M156" s="168">
        <f>IF(char3WeapToggle, 20+(char3Refine-1)*4, 0)%</f>
        <v>0.36</v>
      </c>
      <c r="N156" s="168">
        <v>0</v>
      </c>
      <c r="O156" s="168">
        <v>0</v>
      </c>
      <c r="P156" s="167">
        <v>0</v>
      </c>
      <c r="Q156" s="167">
        <v>0</v>
      </c>
      <c r="R156" s="167">
        <v>0</v>
      </c>
      <c r="S156" s="168">
        <v>0</v>
      </c>
      <c r="T156" s="168">
        <v>0</v>
      </c>
      <c r="U156" s="169">
        <v>0</v>
      </c>
      <c r="V156" s="169">
        <v>0</v>
      </c>
      <c r="W156" s="169">
        <f>IF(char3WeapStacks&gt;=7,(12+(char3Refine-1)*3),0)%</f>
        <v>0</v>
      </c>
      <c r="X156" s="169">
        <v>0</v>
      </c>
      <c r="Y156" s="169">
        <v>0</v>
      </c>
      <c r="Z156" s="65">
        <v>0</v>
      </c>
      <c r="AA156" s="169">
        <v>0</v>
      </c>
      <c r="AB156" s="169">
        <v>0</v>
      </c>
      <c r="AC156" s="169">
        <v>0</v>
      </c>
      <c r="AD156" s="169">
        <v>0</v>
      </c>
      <c r="AE156" s="169">
        <v>0</v>
      </c>
      <c r="AF156" s="169">
        <v>0</v>
      </c>
      <c r="AG156" s="169">
        <f>IF(char3WeapToggle,(20+(char3Refine-1)*4),0)%</f>
        <v>0.36</v>
      </c>
      <c r="AH156" s="65">
        <v>0</v>
      </c>
      <c r="AI156" s="169">
        <v>0</v>
      </c>
      <c r="AJ156" s="169">
        <v>0</v>
      </c>
      <c r="AK156" s="169">
        <v>0</v>
      </c>
      <c r="AL156" s="169">
        <v>0</v>
      </c>
      <c r="AM156" s="169">
        <f>IF(char3WeapToggle,(40+(char3Refine-1)*10),0)%</f>
        <v>0.8</v>
      </c>
      <c r="AN156" s="170">
        <v>0</v>
      </c>
      <c r="AO156" s="170">
        <f>(10+(char3Refine-1)*2.5)%</f>
        <v>0.2</v>
      </c>
      <c r="AP156" s="170">
        <v>0</v>
      </c>
      <c r="AQ156" s="170">
        <v>0</v>
      </c>
      <c r="AR156" s="170">
        <v>0</v>
      </c>
      <c r="AS156" s="170">
        <v>0</v>
      </c>
      <c r="AT156" s="170">
        <v>0</v>
      </c>
      <c r="AU156" s="170">
        <v>0</v>
      </c>
      <c r="AV156" s="170">
        <v>0</v>
      </c>
      <c r="AW156" s="170">
        <f>IF(char3WeapToggle,(12+(char3Refine-1)*3),0)%</f>
        <v>0.24</v>
      </c>
      <c r="AX156" s="170">
        <v>0</v>
      </c>
      <c r="AY156" s="170">
        <v>0</v>
      </c>
      <c r="AZ156" s="170">
        <v>0</v>
      </c>
      <c r="BA156" s="170">
        <f>IF(char3WeapToggle,(20+(char3Refine-1)*4),0)%</f>
        <v>0.36</v>
      </c>
      <c r="BB156" s="170">
        <f>(char3WeapStacks*(6+(char3Refine-1)*1.5))%</f>
        <v>0</v>
      </c>
      <c r="BC156" s="170">
        <v>0</v>
      </c>
      <c r="BD156" s="170">
        <v>0</v>
      </c>
      <c r="BE156" s="170">
        <v>0</v>
      </c>
      <c r="BF156" s="170">
        <v>0</v>
      </c>
      <c r="BG156" s="170">
        <v>0</v>
      </c>
      <c r="BH156" s="170">
        <v>0</v>
      </c>
      <c r="BI156" s="170">
        <v>0</v>
      </c>
      <c r="BJ156" s="172">
        <v>0</v>
      </c>
      <c r="BK156" s="67">
        <f>IF(char3WeapStacks=3, (3)*(12%+(char3Refine-1)*3%)+(12%+(char3Refine-1)*3%),(char3WeapStacks)*(12%+(char3Refine-1)*3%))</f>
        <v>0</v>
      </c>
      <c r="BL156" s="172">
        <v>0</v>
      </c>
      <c r="BM156" s="172">
        <v>0</v>
      </c>
      <c r="BN156" s="172">
        <v>0</v>
      </c>
      <c r="BO156" s="172">
        <v>0</v>
      </c>
      <c r="BP156" s="172">
        <v>0</v>
      </c>
      <c r="BQ156" s="172">
        <v>0</v>
      </c>
      <c r="BR156" s="172">
        <v>0</v>
      </c>
      <c r="BS156" s="172">
        <v>0</v>
      </c>
      <c r="BT156" s="172">
        <v>0</v>
      </c>
      <c r="BU156" s="172">
        <v>0</v>
      </c>
      <c r="BV156" s="172">
        <v>0</v>
      </c>
      <c r="BW156" s="172">
        <v>0</v>
      </c>
      <c r="BX156" s="172">
        <v>0</v>
      </c>
      <c r="BY156" s="172">
        <v>0</v>
      </c>
      <c r="BZ156" s="172">
        <f>IF(char3WeapToggle, 12+(char3Refine-1)*3, 0)%</f>
        <v>0.24</v>
      </c>
      <c r="CA156" s="172">
        <v>0</v>
      </c>
      <c r="CB156" s="172">
        <f>IF(char3WeapToggle, 10+(char3Refine-1)*2.5,0)%</f>
        <v>0.2</v>
      </c>
      <c r="CC156" s="172">
        <v>0</v>
      </c>
      <c r="CD156" s="175">
        <v>0</v>
      </c>
      <c r="CE156" s="70">
        <v>0</v>
      </c>
      <c r="CF156" s="174">
        <v>0</v>
      </c>
      <c r="CG156" s="174">
        <v>0</v>
      </c>
      <c r="CH156" s="174">
        <v>0</v>
      </c>
      <c r="CI156" s="174">
        <v>0</v>
      </c>
      <c r="CJ156" s="175">
        <v>0</v>
      </c>
      <c r="CK156" s="174">
        <v>0</v>
      </c>
      <c r="CL156" s="175">
        <v>0</v>
      </c>
      <c r="CM156" s="175">
        <v>0</v>
      </c>
      <c r="CN156" s="175">
        <v>0</v>
      </c>
      <c r="CO156" s="174">
        <f>IF(char3WeapToggle, 20%+(char3Refine-1)*4%, 0%)</f>
        <v>0.36</v>
      </c>
      <c r="CP156" s="174">
        <v>0</v>
      </c>
      <c r="CQ156" s="174">
        <v>0</v>
      </c>
      <c r="CR156" s="174">
        <v>0</v>
      </c>
      <c r="CS156" s="175">
        <v>0</v>
      </c>
      <c r="CT156" s="174">
        <v>0</v>
      </c>
      <c r="CU156" s="174">
        <v>0</v>
      </c>
      <c r="CV156" s="174">
        <v>0</v>
      </c>
    </row>
    <row r="157" spans="1:100" x14ac:dyDescent="0.25">
      <c r="A157" t="s">
        <v>453</v>
      </c>
      <c r="B157" s="166">
        <v>0</v>
      </c>
      <c r="C157" s="168">
        <f>(20+(char3Refine-1)*5)%</f>
        <v>0.4</v>
      </c>
      <c r="D157" s="167">
        <v>0</v>
      </c>
      <c r="E157" s="168">
        <v>0</v>
      </c>
      <c r="F157" s="167">
        <v>0</v>
      </c>
      <c r="G157" s="168">
        <v>0</v>
      </c>
      <c r="H157" s="168">
        <v>0</v>
      </c>
      <c r="I157" s="168">
        <v>0</v>
      </c>
      <c r="J157" s="168">
        <v>0</v>
      </c>
      <c r="K157" s="168">
        <v>0</v>
      </c>
      <c r="L157" s="168">
        <v>0</v>
      </c>
      <c r="M157" s="168">
        <v>0</v>
      </c>
      <c r="N157" s="168">
        <v>0</v>
      </c>
      <c r="O157" s="168">
        <v>0</v>
      </c>
      <c r="P157" s="167">
        <v>0</v>
      </c>
      <c r="Q157" s="167">
        <v>0</v>
      </c>
      <c r="R157" s="167">
        <v>0</v>
      </c>
      <c r="S157" s="168">
        <v>0</v>
      </c>
      <c r="T157" s="168">
        <v>0</v>
      </c>
      <c r="U157" s="169">
        <v>0</v>
      </c>
      <c r="V157" s="169">
        <v>0</v>
      </c>
      <c r="W157" s="169">
        <v>0</v>
      </c>
      <c r="X157" s="169">
        <f>(20+5*(char3Refine-1))%</f>
        <v>0.4</v>
      </c>
      <c r="Y157" s="169">
        <v>0</v>
      </c>
      <c r="Z157" s="65">
        <v>0</v>
      </c>
      <c r="AA157" s="169">
        <v>0</v>
      </c>
      <c r="AB157" s="169">
        <v>0</v>
      </c>
      <c r="AC157" s="169">
        <v>0</v>
      </c>
      <c r="AD157" s="169">
        <v>0</v>
      </c>
      <c r="AE157" s="169">
        <v>0</v>
      </c>
      <c r="AF157" s="169">
        <v>0</v>
      </c>
      <c r="AG157" s="169">
        <v>0</v>
      </c>
      <c r="AH157" s="65">
        <v>0</v>
      </c>
      <c r="AI157" s="169">
        <v>0</v>
      </c>
      <c r="AJ157" s="169">
        <v>0</v>
      </c>
      <c r="AK157" s="169">
        <v>0</v>
      </c>
      <c r="AL157" s="169">
        <v>0</v>
      </c>
      <c r="AM157" s="169">
        <v>0</v>
      </c>
      <c r="AN157" s="170">
        <v>0</v>
      </c>
      <c r="AO157" s="170">
        <v>0</v>
      </c>
      <c r="AP157" s="170">
        <v>0</v>
      </c>
      <c r="AQ157" s="170">
        <f>(20+5*(char3Refine-1))%</f>
        <v>0.4</v>
      </c>
      <c r="AR157" s="170">
        <v>0</v>
      </c>
      <c r="AS157" s="170">
        <v>0</v>
      </c>
      <c r="AT157" s="170">
        <v>0</v>
      </c>
      <c r="AU157" s="170">
        <v>0</v>
      </c>
      <c r="AV157" s="170">
        <v>0</v>
      </c>
      <c r="AW157" s="170">
        <v>0</v>
      </c>
      <c r="AX157" s="170">
        <v>0</v>
      </c>
      <c r="AY157" s="170">
        <v>0</v>
      </c>
      <c r="AZ157" s="170">
        <v>0</v>
      </c>
      <c r="BA157" s="170">
        <v>0</v>
      </c>
      <c r="BB157" s="170">
        <v>0</v>
      </c>
      <c r="BC157" s="170">
        <v>0</v>
      </c>
      <c r="BD157" s="170">
        <v>0</v>
      </c>
      <c r="BE157" s="170">
        <v>0</v>
      </c>
      <c r="BF157" s="170">
        <v>0</v>
      </c>
      <c r="BG157" s="170">
        <v>0</v>
      </c>
      <c r="BH157" s="170">
        <v>0</v>
      </c>
      <c r="BI157" s="170">
        <v>0</v>
      </c>
      <c r="BJ157" s="172">
        <f>(20+5*(char3Refine-1))%</f>
        <v>0.4</v>
      </c>
      <c r="BK157" s="67">
        <v>0</v>
      </c>
      <c r="BL157" s="172">
        <v>0</v>
      </c>
      <c r="BM157" s="172">
        <v>0</v>
      </c>
      <c r="BN157" s="172">
        <v>0</v>
      </c>
      <c r="BO157" s="172">
        <v>0</v>
      </c>
      <c r="BP157" s="172">
        <v>0</v>
      </c>
      <c r="BQ157" s="172">
        <v>0</v>
      </c>
      <c r="BR157" s="172">
        <v>0</v>
      </c>
      <c r="BS157" s="172">
        <v>0</v>
      </c>
      <c r="BT157" s="172">
        <v>0</v>
      </c>
      <c r="BU157" s="172">
        <v>0</v>
      </c>
      <c r="BV157" s="172">
        <v>0</v>
      </c>
      <c r="BW157" s="172">
        <v>0</v>
      </c>
      <c r="BX157" s="172">
        <v>0</v>
      </c>
      <c r="BY157" s="172">
        <v>0</v>
      </c>
      <c r="BZ157" s="172">
        <v>0</v>
      </c>
      <c r="CA157" s="172">
        <v>0</v>
      </c>
      <c r="CB157" s="172">
        <v>0</v>
      </c>
      <c r="CC157" s="172">
        <v>0</v>
      </c>
      <c r="CD157" s="175">
        <v>0</v>
      </c>
      <c r="CE157" s="70">
        <v>0</v>
      </c>
      <c r="CF157" s="174">
        <v>0</v>
      </c>
      <c r="CG157" s="174">
        <v>0</v>
      </c>
      <c r="CH157" s="174">
        <v>0</v>
      </c>
      <c r="CI157" s="174">
        <v>0</v>
      </c>
      <c r="CJ157" s="175">
        <v>0</v>
      </c>
      <c r="CK157" s="174">
        <v>0</v>
      </c>
      <c r="CL157" s="175">
        <v>0</v>
      </c>
      <c r="CM157" s="175">
        <v>0</v>
      </c>
      <c r="CN157" s="175">
        <v>0</v>
      </c>
      <c r="CO157" s="174">
        <v>0</v>
      </c>
      <c r="CP157" s="174">
        <v>0</v>
      </c>
      <c r="CQ157" s="174">
        <v>0</v>
      </c>
      <c r="CR157" s="174">
        <v>0</v>
      </c>
      <c r="CS157" s="175">
        <v>0</v>
      </c>
      <c r="CT157" s="174">
        <v>0</v>
      </c>
      <c r="CU157" s="174">
        <v>0</v>
      </c>
      <c r="CV157" s="174">
        <v>0</v>
      </c>
    </row>
    <row r="158" spans="1:100" x14ac:dyDescent="0.25">
      <c r="A158" t="s">
        <v>83</v>
      </c>
      <c r="B158" s="166">
        <v>0</v>
      </c>
      <c r="C158" s="168">
        <v>0</v>
      </c>
      <c r="D158" s="167">
        <v>0</v>
      </c>
      <c r="E158" s="168">
        <v>0</v>
      </c>
      <c r="F158" s="167">
        <v>0</v>
      </c>
      <c r="G158" s="168">
        <v>0</v>
      </c>
      <c r="H158" s="168">
        <v>0</v>
      </c>
      <c r="I158" s="168">
        <v>0</v>
      </c>
      <c r="J158" s="168">
        <v>0</v>
      </c>
      <c r="K158" s="168">
        <v>0</v>
      </c>
      <c r="L158" s="168">
        <v>0</v>
      </c>
      <c r="M158" s="168">
        <v>0</v>
      </c>
      <c r="N158" s="168">
        <v>0</v>
      </c>
      <c r="O158" s="168">
        <v>0</v>
      </c>
      <c r="P158" s="167">
        <v>0</v>
      </c>
      <c r="Q158" s="167">
        <v>0</v>
      </c>
      <c r="R158" s="167">
        <v>0</v>
      </c>
      <c r="S158" s="168">
        <v>0</v>
      </c>
      <c r="T158" s="168">
        <v>0</v>
      </c>
      <c r="U158" s="169">
        <v>0</v>
      </c>
      <c r="V158" s="169">
        <v>0</v>
      </c>
      <c r="W158" s="169">
        <v>0</v>
      </c>
      <c r="X158" s="169">
        <v>0</v>
      </c>
      <c r="Y158" s="169">
        <v>0</v>
      </c>
      <c r="Z158" s="65">
        <v>0</v>
      </c>
      <c r="AA158" s="169">
        <v>0</v>
      </c>
      <c r="AB158" s="169">
        <v>0</v>
      </c>
      <c r="AC158" s="169">
        <v>0</v>
      </c>
      <c r="AD158" s="169">
        <v>0</v>
      </c>
      <c r="AE158" s="169">
        <v>0</v>
      </c>
      <c r="AF158" s="169">
        <v>0</v>
      </c>
      <c r="AG158" s="169">
        <v>0</v>
      </c>
      <c r="AH158" s="65">
        <v>0</v>
      </c>
      <c r="AI158" s="169">
        <v>0</v>
      </c>
      <c r="AJ158" s="169">
        <v>0</v>
      </c>
      <c r="AK158" s="169">
        <v>0</v>
      </c>
      <c r="AL158" s="169">
        <v>0</v>
      </c>
      <c r="AM158" s="169">
        <v>0</v>
      </c>
      <c r="AN158" s="170">
        <v>0</v>
      </c>
      <c r="AO158" s="170">
        <v>0</v>
      </c>
      <c r="AP158" s="170">
        <v>0</v>
      </c>
      <c r="AQ158" s="170">
        <v>0</v>
      </c>
      <c r="AR158" s="170">
        <v>0</v>
      </c>
      <c r="AS158" s="170">
        <v>0</v>
      </c>
      <c r="AT158" s="170">
        <v>0</v>
      </c>
      <c r="AU158" s="170">
        <v>0</v>
      </c>
      <c r="AV158" s="170">
        <v>0</v>
      </c>
      <c r="AW158" s="170">
        <v>0</v>
      </c>
      <c r="AX158" s="170">
        <v>0</v>
      </c>
      <c r="AY158" s="170">
        <v>0</v>
      </c>
      <c r="AZ158" s="170">
        <v>0</v>
      </c>
      <c r="BA158" s="170">
        <v>0</v>
      </c>
      <c r="BB158" s="170">
        <v>0</v>
      </c>
      <c r="BC158" s="170">
        <v>0</v>
      </c>
      <c r="BD158" s="170">
        <v>0</v>
      </c>
      <c r="BE158" s="170">
        <v>0</v>
      </c>
      <c r="BF158" s="170">
        <v>0</v>
      </c>
      <c r="BG158" s="170">
        <v>0</v>
      </c>
      <c r="BH158" s="170">
        <v>0</v>
      </c>
      <c r="BI158" s="170">
        <v>0</v>
      </c>
      <c r="BJ158" s="172">
        <v>0</v>
      </c>
      <c r="BK158" s="67">
        <v>0</v>
      </c>
      <c r="BL158" s="172">
        <v>0</v>
      </c>
      <c r="BM158" s="172">
        <v>0</v>
      </c>
      <c r="BN158" s="172">
        <v>0</v>
      </c>
      <c r="BO158" s="172">
        <v>0</v>
      </c>
      <c r="BP158" s="172">
        <v>0</v>
      </c>
      <c r="BQ158" s="172">
        <v>0</v>
      </c>
      <c r="BR158" s="172">
        <v>0</v>
      </c>
      <c r="BS158" s="172">
        <v>0</v>
      </c>
      <c r="BT158" s="172">
        <v>0</v>
      </c>
      <c r="BU158" s="172">
        <v>0</v>
      </c>
      <c r="BV158" s="172">
        <v>0</v>
      </c>
      <c r="BW158" s="172">
        <v>0</v>
      </c>
      <c r="BX158" s="172">
        <v>0</v>
      </c>
      <c r="BY158" s="172">
        <v>0</v>
      </c>
      <c r="BZ158" s="172">
        <v>0</v>
      </c>
      <c r="CA158" s="172">
        <v>0</v>
      </c>
      <c r="CB158" s="172">
        <v>0</v>
      </c>
      <c r="CC158" s="172">
        <v>0</v>
      </c>
      <c r="CD158" s="175">
        <v>0</v>
      </c>
      <c r="CE158" s="70">
        <v>0</v>
      </c>
      <c r="CF158" s="174">
        <v>0</v>
      </c>
      <c r="CG158" s="174">
        <v>0</v>
      </c>
      <c r="CH158" s="174">
        <v>0</v>
      </c>
      <c r="CI158" s="174">
        <v>0</v>
      </c>
      <c r="CJ158" s="175">
        <v>0</v>
      </c>
      <c r="CK158" s="174">
        <v>0</v>
      </c>
      <c r="CL158" s="175">
        <v>0</v>
      </c>
      <c r="CM158" s="175">
        <v>0</v>
      </c>
      <c r="CN158" s="175">
        <v>0</v>
      </c>
      <c r="CO158" s="174">
        <v>0</v>
      </c>
      <c r="CP158" s="174">
        <v>0</v>
      </c>
      <c r="CQ158" s="174">
        <v>0</v>
      </c>
      <c r="CR158" s="174">
        <v>0</v>
      </c>
      <c r="CS158" s="175">
        <v>0</v>
      </c>
      <c r="CT158" s="174">
        <v>0</v>
      </c>
      <c r="CU158" s="174">
        <v>0</v>
      </c>
      <c r="CV158" s="174">
        <v>0</v>
      </c>
    </row>
    <row r="159" spans="1:100" x14ac:dyDescent="0.25">
      <c r="A159" t="s">
        <v>84</v>
      </c>
      <c r="B159" s="166">
        <v>0</v>
      </c>
      <c r="C159" s="168">
        <v>0</v>
      </c>
      <c r="D159" s="167">
        <v>0</v>
      </c>
      <c r="E159" s="168">
        <v>0</v>
      </c>
      <c r="F159" s="167">
        <v>0</v>
      </c>
      <c r="G159" s="168">
        <v>0</v>
      </c>
      <c r="H159" s="168">
        <v>0</v>
      </c>
      <c r="I159" s="168">
        <v>0</v>
      </c>
      <c r="J159" s="168">
        <v>0</v>
      </c>
      <c r="K159" s="168">
        <v>0</v>
      </c>
      <c r="L159" s="168">
        <v>0</v>
      </c>
      <c r="M159" s="168">
        <v>0</v>
      </c>
      <c r="N159" s="168">
        <v>0</v>
      </c>
      <c r="O159" s="168">
        <v>0</v>
      </c>
      <c r="P159" s="167">
        <v>0</v>
      </c>
      <c r="Q159" s="167">
        <v>0</v>
      </c>
      <c r="R159" s="167">
        <v>0</v>
      </c>
      <c r="S159" s="168">
        <v>0</v>
      </c>
      <c r="T159" s="168">
        <v>0</v>
      </c>
      <c r="U159" s="169">
        <v>0</v>
      </c>
      <c r="V159" s="169">
        <v>0</v>
      </c>
      <c r="W159" s="169">
        <v>0</v>
      </c>
      <c r="X159" s="169">
        <v>0</v>
      </c>
      <c r="Y159" s="169">
        <v>0</v>
      </c>
      <c r="Z159" s="65">
        <v>0</v>
      </c>
      <c r="AA159" s="169">
        <v>0</v>
      </c>
      <c r="AB159" s="169">
        <v>0</v>
      </c>
      <c r="AC159" s="169">
        <v>0</v>
      </c>
      <c r="AD159" s="169">
        <v>0</v>
      </c>
      <c r="AE159" s="169">
        <v>0</v>
      </c>
      <c r="AF159" s="169">
        <v>0</v>
      </c>
      <c r="AG159" s="169">
        <v>0</v>
      </c>
      <c r="AH159" s="65">
        <v>0</v>
      </c>
      <c r="AI159" s="169">
        <v>0</v>
      </c>
      <c r="AJ159" s="169">
        <v>0</v>
      </c>
      <c r="AK159" s="169">
        <v>0</v>
      </c>
      <c r="AL159" s="169">
        <v>0</v>
      </c>
      <c r="AM159" s="169">
        <v>0</v>
      </c>
      <c r="AN159" s="170">
        <v>0</v>
      </c>
      <c r="AO159" s="170">
        <v>0</v>
      </c>
      <c r="AP159" s="170">
        <v>0</v>
      </c>
      <c r="AQ159" s="170">
        <v>0</v>
      </c>
      <c r="AR159" s="170">
        <v>0</v>
      </c>
      <c r="AS159" s="170">
        <v>0</v>
      </c>
      <c r="AT159" s="170">
        <v>0</v>
      </c>
      <c r="AU159" s="170">
        <v>0</v>
      </c>
      <c r="AV159" s="170">
        <v>0</v>
      </c>
      <c r="AW159" s="170">
        <v>0</v>
      </c>
      <c r="AX159" s="170">
        <v>0</v>
      </c>
      <c r="AY159" s="170">
        <v>0</v>
      </c>
      <c r="AZ159" s="170">
        <v>0</v>
      </c>
      <c r="BA159" s="170">
        <v>0</v>
      </c>
      <c r="BB159" s="170">
        <v>0</v>
      </c>
      <c r="BC159" s="170">
        <v>0</v>
      </c>
      <c r="BD159" s="170">
        <v>0</v>
      </c>
      <c r="BE159" s="170">
        <v>0</v>
      </c>
      <c r="BF159" s="170">
        <v>0</v>
      </c>
      <c r="BG159" s="170">
        <v>0</v>
      </c>
      <c r="BH159" s="170">
        <v>0</v>
      </c>
      <c r="BI159" s="170">
        <v>0</v>
      </c>
      <c r="BJ159" s="172">
        <v>0</v>
      </c>
      <c r="BK159" s="67">
        <v>0</v>
      </c>
      <c r="BL159" s="172">
        <v>0</v>
      </c>
      <c r="BM159" s="172">
        <v>0</v>
      </c>
      <c r="BN159" s="172">
        <v>0</v>
      </c>
      <c r="BO159" s="172">
        <v>0</v>
      </c>
      <c r="BP159" s="172">
        <v>0</v>
      </c>
      <c r="BQ159" s="172">
        <v>0</v>
      </c>
      <c r="BR159" s="172">
        <v>0</v>
      </c>
      <c r="BS159" s="172">
        <v>0</v>
      </c>
      <c r="BT159" s="172">
        <v>0</v>
      </c>
      <c r="BU159" s="172">
        <v>0</v>
      </c>
      <c r="BV159" s="172">
        <v>0</v>
      </c>
      <c r="BW159" s="172">
        <v>0</v>
      </c>
      <c r="BX159" s="172">
        <v>0</v>
      </c>
      <c r="BY159" s="172">
        <v>0</v>
      </c>
      <c r="BZ159" s="172">
        <v>0</v>
      </c>
      <c r="CA159" s="172">
        <v>0</v>
      </c>
      <c r="CB159" s="172">
        <v>0</v>
      </c>
      <c r="CC159" s="172">
        <v>0</v>
      </c>
      <c r="CD159" s="175">
        <v>0</v>
      </c>
      <c r="CE159" s="70">
        <v>0</v>
      </c>
      <c r="CF159" s="174">
        <v>0</v>
      </c>
      <c r="CG159" s="174">
        <v>0</v>
      </c>
      <c r="CH159" s="174">
        <v>0</v>
      </c>
      <c r="CI159" s="174">
        <v>0</v>
      </c>
      <c r="CJ159" s="175">
        <v>0</v>
      </c>
      <c r="CK159" s="174">
        <v>0</v>
      </c>
      <c r="CL159" s="175">
        <v>0</v>
      </c>
      <c r="CM159" s="175">
        <v>0</v>
      </c>
      <c r="CN159" s="175">
        <v>0</v>
      </c>
      <c r="CO159" s="174">
        <v>0</v>
      </c>
      <c r="CP159" s="174">
        <v>0</v>
      </c>
      <c r="CQ159" s="174">
        <v>0</v>
      </c>
      <c r="CR159" s="174">
        <v>0</v>
      </c>
      <c r="CS159" s="175">
        <v>0</v>
      </c>
      <c r="CT159" s="174">
        <v>0</v>
      </c>
      <c r="CU159" s="174">
        <v>0</v>
      </c>
      <c r="CV159" s="174">
        <v>0</v>
      </c>
    </row>
    <row r="160" spans="1:100" x14ac:dyDescent="0.25">
      <c r="A160" t="s">
        <v>85</v>
      </c>
      <c r="B160" s="166">
        <v>0</v>
      </c>
      <c r="C160" s="168">
        <v>0</v>
      </c>
      <c r="D160" s="167">
        <v>0</v>
      </c>
      <c r="E160" s="168">
        <v>0</v>
      </c>
      <c r="F160" s="167">
        <v>0</v>
      </c>
      <c r="G160" s="168">
        <v>0</v>
      </c>
      <c r="H160" s="168">
        <v>0</v>
      </c>
      <c r="I160" s="168">
        <v>0</v>
      </c>
      <c r="J160" s="168">
        <v>0</v>
      </c>
      <c r="K160" s="168">
        <v>0</v>
      </c>
      <c r="L160" s="168">
        <v>0</v>
      </c>
      <c r="M160" s="168">
        <v>0</v>
      </c>
      <c r="N160" s="168">
        <v>0</v>
      </c>
      <c r="O160" s="168">
        <v>0</v>
      </c>
      <c r="P160" s="167">
        <v>0</v>
      </c>
      <c r="Q160" s="167">
        <v>0</v>
      </c>
      <c r="R160" s="167">
        <v>0</v>
      </c>
      <c r="S160" s="168">
        <v>0</v>
      </c>
      <c r="T160" s="168">
        <v>0</v>
      </c>
      <c r="U160" s="169">
        <v>0</v>
      </c>
      <c r="V160" s="169">
        <v>0</v>
      </c>
      <c r="W160" s="169">
        <v>0</v>
      </c>
      <c r="X160" s="169">
        <v>0</v>
      </c>
      <c r="Y160" s="169">
        <v>0</v>
      </c>
      <c r="Z160" s="65">
        <v>0</v>
      </c>
      <c r="AA160" s="169">
        <v>0</v>
      </c>
      <c r="AB160" s="169">
        <v>0</v>
      </c>
      <c r="AC160" s="169">
        <v>0</v>
      </c>
      <c r="AD160" s="169">
        <v>0</v>
      </c>
      <c r="AE160" s="169">
        <v>0</v>
      </c>
      <c r="AF160" s="169">
        <v>0</v>
      </c>
      <c r="AG160" s="169">
        <v>0</v>
      </c>
      <c r="AH160" s="65">
        <v>0</v>
      </c>
      <c r="AI160" s="169">
        <v>0</v>
      </c>
      <c r="AJ160" s="169">
        <v>0</v>
      </c>
      <c r="AK160" s="169">
        <v>0</v>
      </c>
      <c r="AL160" s="169">
        <v>0</v>
      </c>
      <c r="AM160" s="169">
        <v>0</v>
      </c>
      <c r="AN160" s="170">
        <v>0</v>
      </c>
      <c r="AO160" s="170">
        <v>0</v>
      </c>
      <c r="AP160" s="170">
        <v>0</v>
      </c>
      <c r="AQ160" s="170">
        <v>0</v>
      </c>
      <c r="AR160" s="170">
        <v>0</v>
      </c>
      <c r="AS160" s="170">
        <v>0</v>
      </c>
      <c r="AT160" s="170">
        <v>0</v>
      </c>
      <c r="AU160" s="170">
        <v>0</v>
      </c>
      <c r="AV160" s="170">
        <v>0</v>
      </c>
      <c r="AW160" s="170">
        <v>0</v>
      </c>
      <c r="AX160" s="170">
        <v>0</v>
      </c>
      <c r="AY160" s="170">
        <v>0</v>
      </c>
      <c r="AZ160" s="170">
        <v>0</v>
      </c>
      <c r="BA160" s="170">
        <v>0</v>
      </c>
      <c r="BB160" s="170">
        <v>0</v>
      </c>
      <c r="BC160" s="170">
        <v>0</v>
      </c>
      <c r="BD160" s="170">
        <v>0</v>
      </c>
      <c r="BE160" s="170">
        <v>0</v>
      </c>
      <c r="BF160" s="170">
        <v>0</v>
      </c>
      <c r="BG160" s="170">
        <v>0</v>
      </c>
      <c r="BH160" s="170">
        <v>0</v>
      </c>
      <c r="BI160" s="170">
        <v>0</v>
      </c>
      <c r="BJ160" s="172">
        <v>0</v>
      </c>
      <c r="BK160" s="67">
        <v>0</v>
      </c>
      <c r="BL160" s="172">
        <v>0</v>
      </c>
      <c r="BM160" s="172">
        <v>0</v>
      </c>
      <c r="BN160" s="172">
        <v>0</v>
      </c>
      <c r="BO160" s="172">
        <v>0</v>
      </c>
      <c r="BP160" s="172">
        <v>0</v>
      </c>
      <c r="BQ160" s="172">
        <v>0</v>
      </c>
      <c r="BR160" s="172">
        <v>0</v>
      </c>
      <c r="BS160" s="172">
        <v>0</v>
      </c>
      <c r="BT160" s="172">
        <v>0</v>
      </c>
      <c r="BU160" s="172">
        <v>0</v>
      </c>
      <c r="BV160" s="172">
        <v>0</v>
      </c>
      <c r="BW160" s="172">
        <v>0</v>
      </c>
      <c r="BX160" s="172">
        <v>0</v>
      </c>
      <c r="BY160" s="172">
        <v>0</v>
      </c>
      <c r="BZ160" s="172">
        <v>0</v>
      </c>
      <c r="CA160" s="172">
        <v>0</v>
      </c>
      <c r="CB160" s="172">
        <v>0</v>
      </c>
      <c r="CC160" s="172">
        <v>0</v>
      </c>
      <c r="CD160" s="175">
        <v>0</v>
      </c>
      <c r="CE160" s="70">
        <v>0</v>
      </c>
      <c r="CF160" s="174">
        <v>0</v>
      </c>
      <c r="CG160" s="174">
        <v>0</v>
      </c>
      <c r="CH160" s="174">
        <v>0</v>
      </c>
      <c r="CI160" s="174">
        <v>0</v>
      </c>
      <c r="CJ160" s="175">
        <v>0</v>
      </c>
      <c r="CK160" s="174">
        <v>0</v>
      </c>
      <c r="CL160" s="175">
        <v>0</v>
      </c>
      <c r="CM160" s="175">
        <v>0</v>
      </c>
      <c r="CN160" s="175">
        <v>0</v>
      </c>
      <c r="CO160" s="174">
        <v>0</v>
      </c>
      <c r="CP160" s="174">
        <v>0</v>
      </c>
      <c r="CQ160" s="174">
        <v>0</v>
      </c>
      <c r="CR160" s="174">
        <v>0</v>
      </c>
      <c r="CS160" s="175">
        <v>0</v>
      </c>
      <c r="CT160" s="174">
        <v>0</v>
      </c>
      <c r="CU160" s="174">
        <v>0</v>
      </c>
      <c r="CV160" s="174">
        <v>0</v>
      </c>
    </row>
    <row r="161" spans="1:100" x14ac:dyDescent="0.25">
      <c r="A161" t="s">
        <v>87</v>
      </c>
      <c r="B161" s="166">
        <v>0</v>
      </c>
      <c r="C161" s="168">
        <v>0</v>
      </c>
      <c r="D161" s="167">
        <v>0</v>
      </c>
      <c r="E161" s="168">
        <v>0</v>
      </c>
      <c r="F161" s="167">
        <v>0</v>
      </c>
      <c r="G161" s="168">
        <v>0</v>
      </c>
      <c r="H161" s="168">
        <v>0</v>
      </c>
      <c r="I161" s="168">
        <v>0</v>
      </c>
      <c r="J161" s="168">
        <v>0</v>
      </c>
      <c r="K161" s="168">
        <v>0</v>
      </c>
      <c r="L161" s="168">
        <v>0</v>
      </c>
      <c r="M161" s="168">
        <v>0</v>
      </c>
      <c r="N161" s="168">
        <v>0</v>
      </c>
      <c r="O161" s="168">
        <v>0</v>
      </c>
      <c r="P161" s="167">
        <v>0</v>
      </c>
      <c r="Q161" s="167">
        <v>0</v>
      </c>
      <c r="R161" s="167">
        <v>0</v>
      </c>
      <c r="S161" s="168">
        <v>0</v>
      </c>
      <c r="T161" s="168">
        <v>0</v>
      </c>
      <c r="U161" s="169">
        <v>0</v>
      </c>
      <c r="V161" s="169">
        <v>0</v>
      </c>
      <c r="W161" s="169">
        <v>0</v>
      </c>
      <c r="X161" s="169">
        <v>0</v>
      </c>
      <c r="Y161" s="169">
        <v>0</v>
      </c>
      <c r="Z161" s="65">
        <v>0</v>
      </c>
      <c r="AA161" s="169">
        <v>0</v>
      </c>
      <c r="AB161" s="169">
        <v>0</v>
      </c>
      <c r="AC161" s="169">
        <v>0</v>
      </c>
      <c r="AD161" s="169">
        <v>0</v>
      </c>
      <c r="AE161" s="169">
        <v>0</v>
      </c>
      <c r="AF161" s="169">
        <v>0</v>
      </c>
      <c r="AG161" s="169">
        <v>0</v>
      </c>
      <c r="AH161" s="65">
        <v>0</v>
      </c>
      <c r="AI161" s="169">
        <v>0</v>
      </c>
      <c r="AJ161" s="169">
        <v>0</v>
      </c>
      <c r="AK161" s="169">
        <v>0</v>
      </c>
      <c r="AL161" s="169">
        <v>0</v>
      </c>
      <c r="AM161" s="169">
        <v>0</v>
      </c>
      <c r="AN161" s="170">
        <v>0</v>
      </c>
      <c r="AO161" s="170">
        <v>0</v>
      </c>
      <c r="AP161" s="170">
        <v>0</v>
      </c>
      <c r="AQ161" s="170">
        <v>0</v>
      </c>
      <c r="AR161" s="170">
        <v>0</v>
      </c>
      <c r="AS161" s="170">
        <v>0</v>
      </c>
      <c r="AT161" s="170">
        <v>0</v>
      </c>
      <c r="AU161" s="170">
        <v>0</v>
      </c>
      <c r="AV161" s="170">
        <v>0</v>
      </c>
      <c r="AW161" s="170">
        <v>0</v>
      </c>
      <c r="AX161" s="170">
        <v>0</v>
      </c>
      <c r="AY161" s="170">
        <v>0</v>
      </c>
      <c r="AZ161" s="170">
        <v>0</v>
      </c>
      <c r="BA161" s="170">
        <v>0</v>
      </c>
      <c r="BB161" s="170">
        <v>0</v>
      </c>
      <c r="BC161" s="170">
        <v>0</v>
      </c>
      <c r="BD161" s="170">
        <v>0</v>
      </c>
      <c r="BE161" s="170">
        <v>0</v>
      </c>
      <c r="BF161" s="170">
        <v>0</v>
      </c>
      <c r="BG161" s="170">
        <v>0</v>
      </c>
      <c r="BH161" s="170">
        <v>0</v>
      </c>
      <c r="BI161" s="170">
        <v>0</v>
      </c>
      <c r="BJ161" s="172">
        <v>0</v>
      </c>
      <c r="BK161" s="67">
        <v>0</v>
      </c>
      <c r="BL161" s="172">
        <v>0</v>
      </c>
      <c r="BM161" s="172">
        <v>0</v>
      </c>
      <c r="BN161" s="172">
        <v>0</v>
      </c>
      <c r="BO161" s="172">
        <v>0</v>
      </c>
      <c r="BP161" s="172">
        <v>0</v>
      </c>
      <c r="BQ161" s="172">
        <v>0</v>
      </c>
      <c r="BR161" s="172">
        <v>0</v>
      </c>
      <c r="BS161" s="172">
        <v>0</v>
      </c>
      <c r="BT161" s="172">
        <v>0</v>
      </c>
      <c r="BU161" s="172">
        <v>0</v>
      </c>
      <c r="BV161" s="172">
        <v>0</v>
      </c>
      <c r="BW161" s="172">
        <v>0</v>
      </c>
      <c r="BX161" s="172">
        <v>0</v>
      </c>
      <c r="BY161" s="172">
        <v>0</v>
      </c>
      <c r="BZ161" s="172">
        <v>0</v>
      </c>
      <c r="CA161" s="172">
        <v>0</v>
      </c>
      <c r="CB161" s="172">
        <v>0</v>
      </c>
      <c r="CC161" s="172">
        <v>0</v>
      </c>
      <c r="CD161" s="175">
        <v>0</v>
      </c>
      <c r="CE161" s="70">
        <v>0</v>
      </c>
      <c r="CF161" s="174">
        <v>0</v>
      </c>
      <c r="CG161" s="174">
        <v>0</v>
      </c>
      <c r="CH161" s="174">
        <v>0</v>
      </c>
      <c r="CI161" s="174">
        <v>0</v>
      </c>
      <c r="CJ161" s="175">
        <v>0</v>
      </c>
      <c r="CK161" s="174">
        <v>0</v>
      </c>
      <c r="CL161" s="175">
        <v>0</v>
      </c>
      <c r="CM161" s="175">
        <v>0</v>
      </c>
      <c r="CN161" s="175">
        <v>0</v>
      </c>
      <c r="CO161" s="174">
        <v>0</v>
      </c>
      <c r="CP161" s="174">
        <v>0</v>
      </c>
      <c r="CQ161" s="174">
        <v>0</v>
      </c>
      <c r="CR161" s="174">
        <v>0</v>
      </c>
      <c r="CS161" s="175">
        <v>0</v>
      </c>
      <c r="CT161" s="174">
        <v>0</v>
      </c>
      <c r="CU161" s="174">
        <v>0</v>
      </c>
      <c r="CV161" s="174">
        <v>0</v>
      </c>
    </row>
    <row r="162" spans="1:100" x14ac:dyDescent="0.25">
      <c r="A162" t="s">
        <v>86</v>
      </c>
      <c r="B162" s="166">
        <v>0</v>
      </c>
      <c r="C162" s="168">
        <v>0</v>
      </c>
      <c r="D162" s="167">
        <v>0</v>
      </c>
      <c r="E162" s="168">
        <v>0</v>
      </c>
      <c r="F162" s="167">
        <v>0</v>
      </c>
      <c r="G162" s="168">
        <v>0</v>
      </c>
      <c r="H162" s="168">
        <v>0</v>
      </c>
      <c r="I162" s="168">
        <v>0</v>
      </c>
      <c r="J162" s="168">
        <v>0</v>
      </c>
      <c r="K162" s="168">
        <v>0</v>
      </c>
      <c r="L162" s="168">
        <v>0</v>
      </c>
      <c r="M162" s="168">
        <v>0</v>
      </c>
      <c r="N162" s="168">
        <v>0</v>
      </c>
      <c r="O162" s="168">
        <v>0</v>
      </c>
      <c r="P162" s="167">
        <v>0</v>
      </c>
      <c r="Q162" s="167">
        <v>0</v>
      </c>
      <c r="R162" s="167">
        <v>0</v>
      </c>
      <c r="S162" s="168">
        <v>0</v>
      </c>
      <c r="T162" s="168">
        <v>0</v>
      </c>
      <c r="U162" s="169">
        <v>0</v>
      </c>
      <c r="V162" s="169">
        <v>0</v>
      </c>
      <c r="W162" s="169">
        <v>0</v>
      </c>
      <c r="X162" s="169">
        <v>0</v>
      </c>
      <c r="Y162" s="169">
        <v>0</v>
      </c>
      <c r="Z162" s="65">
        <v>0</v>
      </c>
      <c r="AA162" s="169">
        <v>0</v>
      </c>
      <c r="AB162" s="169">
        <v>0</v>
      </c>
      <c r="AC162" s="169">
        <v>0</v>
      </c>
      <c r="AD162" s="169">
        <v>0</v>
      </c>
      <c r="AE162" s="169">
        <v>0</v>
      </c>
      <c r="AF162" s="169">
        <v>0</v>
      </c>
      <c r="AG162" s="169">
        <v>0</v>
      </c>
      <c r="AH162" s="65">
        <v>0</v>
      </c>
      <c r="AI162" s="169">
        <v>0</v>
      </c>
      <c r="AJ162" s="169">
        <v>0</v>
      </c>
      <c r="AK162" s="169">
        <v>0</v>
      </c>
      <c r="AL162" s="169">
        <v>0</v>
      </c>
      <c r="AM162" s="169">
        <v>0</v>
      </c>
      <c r="AN162" s="170">
        <v>0</v>
      </c>
      <c r="AO162" s="170">
        <v>0</v>
      </c>
      <c r="AP162" s="170">
        <v>0</v>
      </c>
      <c r="AQ162" s="170">
        <v>0</v>
      </c>
      <c r="AR162" s="170">
        <v>0</v>
      </c>
      <c r="AS162" s="170">
        <v>0</v>
      </c>
      <c r="AT162" s="170">
        <v>0</v>
      </c>
      <c r="AU162" s="170">
        <v>0</v>
      </c>
      <c r="AV162" s="170">
        <v>0</v>
      </c>
      <c r="AW162" s="170">
        <v>0</v>
      </c>
      <c r="AX162" s="170">
        <v>0</v>
      </c>
      <c r="AY162" s="170">
        <v>0</v>
      </c>
      <c r="AZ162" s="170">
        <v>0</v>
      </c>
      <c r="BA162" s="170">
        <v>0</v>
      </c>
      <c r="BB162" s="170">
        <v>0</v>
      </c>
      <c r="BC162" s="170">
        <v>0</v>
      </c>
      <c r="BD162" s="170">
        <v>0</v>
      </c>
      <c r="BE162" s="170">
        <v>0</v>
      </c>
      <c r="BF162" s="170">
        <v>0</v>
      </c>
      <c r="BG162" s="170">
        <v>0</v>
      </c>
      <c r="BH162" s="170">
        <v>0</v>
      </c>
      <c r="BI162" s="170">
        <v>0</v>
      </c>
      <c r="BJ162" s="172">
        <v>0</v>
      </c>
      <c r="BK162" s="67">
        <v>0</v>
      </c>
      <c r="BL162" s="172">
        <v>0</v>
      </c>
      <c r="BM162" s="172">
        <v>0</v>
      </c>
      <c r="BN162" s="172">
        <v>0</v>
      </c>
      <c r="BO162" s="172">
        <v>0</v>
      </c>
      <c r="BP162" s="172">
        <v>0</v>
      </c>
      <c r="BQ162" s="172">
        <v>0</v>
      </c>
      <c r="BR162" s="172">
        <v>0</v>
      </c>
      <c r="BS162" s="172">
        <v>0</v>
      </c>
      <c r="BT162" s="172">
        <v>0</v>
      </c>
      <c r="BU162" s="172">
        <v>0</v>
      </c>
      <c r="BV162" s="172">
        <v>0</v>
      </c>
      <c r="BW162" s="172">
        <v>0</v>
      </c>
      <c r="BX162" s="172">
        <v>0</v>
      </c>
      <c r="BY162" s="172">
        <v>0</v>
      </c>
      <c r="BZ162" s="172">
        <v>0</v>
      </c>
      <c r="CA162" s="172">
        <v>0</v>
      </c>
      <c r="CB162" s="172">
        <v>0</v>
      </c>
      <c r="CC162" s="172">
        <v>0</v>
      </c>
      <c r="CD162" s="175">
        <v>0</v>
      </c>
      <c r="CE162" s="70">
        <v>0</v>
      </c>
      <c r="CF162" s="174">
        <v>0</v>
      </c>
      <c r="CG162" s="174">
        <v>0</v>
      </c>
      <c r="CH162" s="174">
        <v>0</v>
      </c>
      <c r="CI162" s="174">
        <v>0</v>
      </c>
      <c r="CJ162" s="175">
        <v>0</v>
      </c>
      <c r="CK162" s="174">
        <v>0</v>
      </c>
      <c r="CL162" s="175">
        <v>0</v>
      </c>
      <c r="CM162" s="175">
        <v>0</v>
      </c>
      <c r="CN162" s="175">
        <v>0</v>
      </c>
      <c r="CO162" s="174">
        <v>0</v>
      </c>
      <c r="CP162" s="174">
        <v>0</v>
      </c>
      <c r="CQ162" s="174">
        <v>0</v>
      </c>
      <c r="CR162" s="174">
        <v>0</v>
      </c>
      <c r="CS162" s="175">
        <v>0</v>
      </c>
      <c r="CT162" s="174">
        <v>0</v>
      </c>
      <c r="CU162" s="174">
        <v>0</v>
      </c>
      <c r="CV162" s="174">
        <v>0</v>
      </c>
    </row>
    <row r="163" spans="1:100" x14ac:dyDescent="0.25">
      <c r="A163" t="s">
        <v>88</v>
      </c>
      <c r="B163" s="166">
        <v>0</v>
      </c>
      <c r="C163" s="168">
        <v>0</v>
      </c>
      <c r="D163" s="167">
        <v>0</v>
      </c>
      <c r="E163" s="168">
        <v>0</v>
      </c>
      <c r="F163" s="167">
        <v>0</v>
      </c>
      <c r="G163" s="168">
        <v>0</v>
      </c>
      <c r="H163" s="168">
        <v>0</v>
      </c>
      <c r="I163" s="168">
        <v>0</v>
      </c>
      <c r="J163" s="168">
        <v>0</v>
      </c>
      <c r="K163" s="168">
        <v>0</v>
      </c>
      <c r="L163" s="168">
        <v>0</v>
      </c>
      <c r="M163" s="168">
        <v>0</v>
      </c>
      <c r="N163" s="168">
        <v>0</v>
      </c>
      <c r="O163" s="168">
        <v>0</v>
      </c>
      <c r="P163" s="167">
        <v>0</v>
      </c>
      <c r="Q163" s="167">
        <v>0</v>
      </c>
      <c r="R163" s="167">
        <v>0</v>
      </c>
      <c r="S163" s="168">
        <v>0</v>
      </c>
      <c r="T163" s="168">
        <v>0</v>
      </c>
      <c r="U163" s="169">
        <v>0</v>
      </c>
      <c r="V163" s="169">
        <v>0</v>
      </c>
      <c r="W163" s="169">
        <v>0</v>
      </c>
      <c r="X163" s="169">
        <v>0</v>
      </c>
      <c r="Y163" s="169">
        <v>0</v>
      </c>
      <c r="Z163" s="65">
        <v>0</v>
      </c>
      <c r="AA163" s="169">
        <v>0</v>
      </c>
      <c r="AB163" s="169">
        <v>0</v>
      </c>
      <c r="AC163" s="169">
        <v>0</v>
      </c>
      <c r="AD163" s="169">
        <v>0</v>
      </c>
      <c r="AE163" s="169">
        <v>0</v>
      </c>
      <c r="AF163" s="169">
        <v>0</v>
      </c>
      <c r="AG163" s="169">
        <v>0</v>
      </c>
      <c r="AH163" s="65">
        <v>0</v>
      </c>
      <c r="AI163" s="169">
        <v>0</v>
      </c>
      <c r="AJ163" s="169">
        <v>0</v>
      </c>
      <c r="AK163" s="169">
        <v>0</v>
      </c>
      <c r="AL163" s="169">
        <v>0</v>
      </c>
      <c r="AM163" s="169">
        <v>0</v>
      </c>
      <c r="AN163" s="170">
        <v>0</v>
      </c>
      <c r="AO163" s="170">
        <v>0</v>
      </c>
      <c r="AP163" s="170">
        <v>0</v>
      </c>
      <c r="AQ163" s="170">
        <v>0</v>
      </c>
      <c r="AR163" s="170">
        <v>0</v>
      </c>
      <c r="AS163" s="170">
        <v>0</v>
      </c>
      <c r="AT163" s="170">
        <v>0</v>
      </c>
      <c r="AU163" s="170">
        <v>0</v>
      </c>
      <c r="AV163" s="170">
        <v>0</v>
      </c>
      <c r="AW163" s="170">
        <v>0</v>
      </c>
      <c r="AX163" s="170">
        <v>0</v>
      </c>
      <c r="AY163" s="170">
        <v>0</v>
      </c>
      <c r="AZ163" s="170">
        <v>0</v>
      </c>
      <c r="BA163" s="170">
        <v>0</v>
      </c>
      <c r="BB163" s="170">
        <v>0</v>
      </c>
      <c r="BC163" s="170">
        <v>0</v>
      </c>
      <c r="BD163" s="170">
        <v>0</v>
      </c>
      <c r="BE163" s="170">
        <v>0</v>
      </c>
      <c r="BF163" s="170">
        <v>0</v>
      </c>
      <c r="BG163" s="170">
        <v>0</v>
      </c>
      <c r="BH163" s="170">
        <v>0</v>
      </c>
      <c r="BI163" s="170">
        <v>0</v>
      </c>
      <c r="BJ163" s="172">
        <v>0</v>
      </c>
      <c r="BK163" s="67">
        <v>0</v>
      </c>
      <c r="BL163" s="172">
        <v>0</v>
      </c>
      <c r="BM163" s="172">
        <v>0</v>
      </c>
      <c r="BN163" s="172">
        <v>0</v>
      </c>
      <c r="BO163" s="172">
        <v>0</v>
      </c>
      <c r="BP163" s="172">
        <v>0</v>
      </c>
      <c r="BQ163" s="172">
        <v>0</v>
      </c>
      <c r="BR163" s="172">
        <v>0</v>
      </c>
      <c r="BS163" s="172">
        <v>0</v>
      </c>
      <c r="BT163" s="172">
        <v>0</v>
      </c>
      <c r="BU163" s="172">
        <v>0</v>
      </c>
      <c r="BV163" s="172">
        <v>0</v>
      </c>
      <c r="BW163" s="172">
        <v>0</v>
      </c>
      <c r="BX163" s="172">
        <v>0</v>
      </c>
      <c r="BY163" s="172">
        <v>0</v>
      </c>
      <c r="BZ163" s="172">
        <v>0</v>
      </c>
      <c r="CA163" s="172">
        <v>0</v>
      </c>
      <c r="CB163" s="172">
        <v>0</v>
      </c>
      <c r="CC163" s="172">
        <v>0</v>
      </c>
      <c r="CD163" s="175">
        <v>0</v>
      </c>
      <c r="CE163" s="70">
        <v>0</v>
      </c>
      <c r="CF163" s="174">
        <v>0</v>
      </c>
      <c r="CG163" s="174">
        <v>0</v>
      </c>
      <c r="CH163" s="174">
        <v>0</v>
      </c>
      <c r="CI163" s="174">
        <v>0</v>
      </c>
      <c r="CJ163" s="175">
        <v>0</v>
      </c>
      <c r="CK163" s="174">
        <v>0</v>
      </c>
      <c r="CL163" s="175">
        <v>0</v>
      </c>
      <c r="CM163" s="175">
        <v>0</v>
      </c>
      <c r="CN163" s="175">
        <v>0</v>
      </c>
      <c r="CO163" s="174">
        <v>0</v>
      </c>
      <c r="CP163" s="174">
        <v>0</v>
      </c>
      <c r="CQ163" s="174">
        <v>0</v>
      </c>
      <c r="CR163" s="174">
        <v>0</v>
      </c>
      <c r="CS163" s="175">
        <v>0</v>
      </c>
      <c r="CT163" s="174">
        <v>0</v>
      </c>
      <c r="CU163" s="174">
        <v>0</v>
      </c>
      <c r="CV163" s="174">
        <v>0</v>
      </c>
    </row>
    <row r="164" spans="1:100" x14ac:dyDescent="0.25">
      <c r="A164" t="s">
        <v>89</v>
      </c>
      <c r="B164" s="166">
        <v>0</v>
      </c>
      <c r="C164" s="168">
        <v>0</v>
      </c>
      <c r="D164" s="167">
        <v>0</v>
      </c>
      <c r="E164" s="168">
        <v>0</v>
      </c>
      <c r="F164" s="167">
        <v>0</v>
      </c>
      <c r="G164" s="168">
        <v>0</v>
      </c>
      <c r="H164" s="168">
        <v>0</v>
      </c>
      <c r="I164" s="168">
        <v>0</v>
      </c>
      <c r="J164" s="168">
        <v>0</v>
      </c>
      <c r="K164" s="168">
        <v>0</v>
      </c>
      <c r="L164" s="168">
        <v>0</v>
      </c>
      <c r="M164" s="168">
        <v>0</v>
      </c>
      <c r="N164" s="168">
        <v>0</v>
      </c>
      <c r="O164" s="168">
        <v>0</v>
      </c>
      <c r="P164" s="167">
        <v>0</v>
      </c>
      <c r="Q164" s="167">
        <v>0</v>
      </c>
      <c r="R164" s="167">
        <v>0</v>
      </c>
      <c r="S164" s="168">
        <v>0</v>
      </c>
      <c r="T164" s="168">
        <v>0</v>
      </c>
      <c r="U164" s="169">
        <v>0</v>
      </c>
      <c r="V164" s="169">
        <v>0</v>
      </c>
      <c r="W164" s="169">
        <v>0</v>
      </c>
      <c r="X164" s="169">
        <v>0</v>
      </c>
      <c r="Y164" s="169">
        <v>0</v>
      </c>
      <c r="Z164" s="65">
        <v>0</v>
      </c>
      <c r="AA164" s="169">
        <v>0</v>
      </c>
      <c r="AB164" s="169">
        <v>0</v>
      </c>
      <c r="AC164" s="169">
        <v>0</v>
      </c>
      <c r="AD164" s="169">
        <v>0</v>
      </c>
      <c r="AE164" s="169">
        <v>0</v>
      </c>
      <c r="AF164" s="169">
        <v>0</v>
      </c>
      <c r="AG164" s="169">
        <v>0</v>
      </c>
      <c r="AH164" s="65">
        <v>0</v>
      </c>
      <c r="AI164" s="169">
        <v>0</v>
      </c>
      <c r="AJ164" s="169">
        <v>0</v>
      </c>
      <c r="AK164" s="169">
        <v>0</v>
      </c>
      <c r="AL164" s="169">
        <v>0</v>
      </c>
      <c r="AM164" s="169">
        <v>0</v>
      </c>
      <c r="AN164" s="170">
        <v>0</v>
      </c>
      <c r="AO164" s="170">
        <v>0</v>
      </c>
      <c r="AP164" s="170">
        <v>0</v>
      </c>
      <c r="AQ164" s="170">
        <v>0</v>
      </c>
      <c r="AR164" s="170">
        <v>0</v>
      </c>
      <c r="AS164" s="170">
        <v>0</v>
      </c>
      <c r="AT164" s="170">
        <v>0</v>
      </c>
      <c r="AU164" s="170">
        <v>0</v>
      </c>
      <c r="AV164" s="170">
        <v>0</v>
      </c>
      <c r="AW164" s="170">
        <v>0</v>
      </c>
      <c r="AX164" s="170">
        <v>0</v>
      </c>
      <c r="AY164" s="170">
        <v>0</v>
      </c>
      <c r="AZ164" s="170">
        <v>0</v>
      </c>
      <c r="BA164" s="170">
        <v>0</v>
      </c>
      <c r="BB164" s="170">
        <v>0</v>
      </c>
      <c r="BC164" s="170">
        <v>0</v>
      </c>
      <c r="BD164" s="170">
        <v>0</v>
      </c>
      <c r="BE164" s="170">
        <v>0</v>
      </c>
      <c r="BF164" s="170">
        <v>0</v>
      </c>
      <c r="BG164" s="170">
        <v>0</v>
      </c>
      <c r="BH164" s="170">
        <v>0</v>
      </c>
      <c r="BI164" s="170">
        <v>0</v>
      </c>
      <c r="BJ164" s="172">
        <v>0</v>
      </c>
      <c r="BK164" s="67">
        <v>0</v>
      </c>
      <c r="BL164" s="172">
        <v>0</v>
      </c>
      <c r="BM164" s="172">
        <v>0</v>
      </c>
      <c r="BN164" s="172">
        <v>0</v>
      </c>
      <c r="BO164" s="172">
        <v>0</v>
      </c>
      <c r="BP164" s="172">
        <v>0</v>
      </c>
      <c r="BQ164" s="172">
        <v>0</v>
      </c>
      <c r="BR164" s="172">
        <v>0</v>
      </c>
      <c r="BS164" s="172">
        <v>0</v>
      </c>
      <c r="BT164" s="172">
        <v>0</v>
      </c>
      <c r="BU164" s="172">
        <v>0</v>
      </c>
      <c r="BV164" s="172">
        <v>0</v>
      </c>
      <c r="BW164" s="172">
        <v>0</v>
      </c>
      <c r="BX164" s="172">
        <v>0</v>
      </c>
      <c r="BY164" s="172">
        <v>0</v>
      </c>
      <c r="BZ164" s="172">
        <v>0</v>
      </c>
      <c r="CA164" s="172">
        <v>0</v>
      </c>
      <c r="CB164" s="172">
        <v>0</v>
      </c>
      <c r="CC164" s="172">
        <v>0</v>
      </c>
      <c r="CD164" s="175">
        <v>0</v>
      </c>
      <c r="CE164" s="70">
        <v>0</v>
      </c>
      <c r="CF164" s="174">
        <v>0</v>
      </c>
      <c r="CG164" s="174">
        <v>0</v>
      </c>
      <c r="CH164" s="174">
        <v>0</v>
      </c>
      <c r="CI164" s="174">
        <v>0</v>
      </c>
      <c r="CJ164" s="175">
        <v>0</v>
      </c>
      <c r="CK164" s="174">
        <v>0</v>
      </c>
      <c r="CL164" s="175">
        <v>0</v>
      </c>
      <c r="CM164" s="175">
        <v>0</v>
      </c>
      <c r="CN164" s="175">
        <v>0</v>
      </c>
      <c r="CO164" s="174">
        <v>0</v>
      </c>
      <c r="CP164" s="174">
        <v>0</v>
      </c>
      <c r="CQ164" s="174">
        <v>0</v>
      </c>
      <c r="CR164" s="174">
        <v>0</v>
      </c>
      <c r="CS164" s="175">
        <v>0</v>
      </c>
      <c r="CT164" s="174">
        <v>0</v>
      </c>
      <c r="CU164" s="174">
        <v>0</v>
      </c>
      <c r="CV164" s="174">
        <v>0</v>
      </c>
    </row>
    <row r="165" spans="1:100" x14ac:dyDescent="0.25">
      <c r="A165" t="s">
        <v>90</v>
      </c>
      <c r="B165" s="166">
        <v>0</v>
      </c>
      <c r="C165" s="168">
        <v>0</v>
      </c>
      <c r="D165" s="167">
        <v>0</v>
      </c>
      <c r="E165" s="168">
        <v>0</v>
      </c>
      <c r="F165" s="167">
        <v>0</v>
      </c>
      <c r="G165" s="168">
        <v>0</v>
      </c>
      <c r="H165" s="168">
        <v>0</v>
      </c>
      <c r="I165" s="168">
        <v>0</v>
      </c>
      <c r="J165" s="168">
        <v>0</v>
      </c>
      <c r="K165" s="168">
        <v>0</v>
      </c>
      <c r="L165" s="168">
        <v>0</v>
      </c>
      <c r="M165" s="168">
        <v>0</v>
      </c>
      <c r="N165" s="168">
        <v>0</v>
      </c>
      <c r="O165" s="168">
        <v>0</v>
      </c>
      <c r="P165" s="167">
        <v>0</v>
      </c>
      <c r="Q165" s="167">
        <v>0</v>
      </c>
      <c r="R165" s="167">
        <v>0</v>
      </c>
      <c r="S165" s="168">
        <v>0</v>
      </c>
      <c r="T165" s="168">
        <v>0</v>
      </c>
      <c r="U165" s="169">
        <v>0</v>
      </c>
      <c r="V165" s="169">
        <v>0</v>
      </c>
      <c r="W165" s="169">
        <v>0</v>
      </c>
      <c r="X165" s="169">
        <v>0</v>
      </c>
      <c r="Y165" s="169">
        <v>0</v>
      </c>
      <c r="Z165" s="65">
        <v>0</v>
      </c>
      <c r="AA165" s="169">
        <v>0</v>
      </c>
      <c r="AB165" s="169">
        <v>0</v>
      </c>
      <c r="AC165" s="169">
        <v>0</v>
      </c>
      <c r="AD165" s="169">
        <v>0</v>
      </c>
      <c r="AE165" s="169">
        <v>0</v>
      </c>
      <c r="AF165" s="169">
        <v>0</v>
      </c>
      <c r="AG165" s="169">
        <v>0</v>
      </c>
      <c r="AH165" s="65">
        <v>0</v>
      </c>
      <c r="AI165" s="169">
        <v>0</v>
      </c>
      <c r="AJ165" s="169">
        <v>0</v>
      </c>
      <c r="AK165" s="169">
        <v>0</v>
      </c>
      <c r="AL165" s="169">
        <v>0</v>
      </c>
      <c r="AM165" s="169">
        <v>0</v>
      </c>
      <c r="AN165" s="170">
        <v>0</v>
      </c>
      <c r="AO165" s="170">
        <v>0</v>
      </c>
      <c r="AP165" s="170">
        <v>0</v>
      </c>
      <c r="AQ165" s="170">
        <v>0</v>
      </c>
      <c r="AR165" s="170">
        <v>0</v>
      </c>
      <c r="AS165" s="170">
        <v>0</v>
      </c>
      <c r="AT165" s="170">
        <v>0</v>
      </c>
      <c r="AU165" s="170">
        <v>0</v>
      </c>
      <c r="AV165" s="170">
        <v>0</v>
      </c>
      <c r="AW165" s="170">
        <v>0</v>
      </c>
      <c r="AX165" s="170">
        <v>0</v>
      </c>
      <c r="AY165" s="170">
        <v>0</v>
      </c>
      <c r="AZ165" s="170">
        <v>0</v>
      </c>
      <c r="BA165" s="170">
        <v>0</v>
      </c>
      <c r="BB165" s="170">
        <v>0</v>
      </c>
      <c r="BC165" s="170">
        <v>0</v>
      </c>
      <c r="BD165" s="170">
        <v>0</v>
      </c>
      <c r="BE165" s="170">
        <v>0</v>
      </c>
      <c r="BF165" s="170">
        <v>0</v>
      </c>
      <c r="BG165" s="170">
        <v>0</v>
      </c>
      <c r="BH165" s="170">
        <v>0</v>
      </c>
      <c r="BI165" s="170">
        <v>0</v>
      </c>
      <c r="BJ165" s="172">
        <v>0</v>
      </c>
      <c r="BK165" s="67">
        <v>0</v>
      </c>
      <c r="BL165" s="172">
        <v>0</v>
      </c>
      <c r="BM165" s="172">
        <v>0</v>
      </c>
      <c r="BN165" s="172">
        <v>0</v>
      </c>
      <c r="BO165" s="172">
        <v>0</v>
      </c>
      <c r="BP165" s="172">
        <v>0</v>
      </c>
      <c r="BQ165" s="172">
        <v>0</v>
      </c>
      <c r="BR165" s="172">
        <v>0</v>
      </c>
      <c r="BS165" s="172">
        <v>0</v>
      </c>
      <c r="BT165" s="172">
        <v>0</v>
      </c>
      <c r="BU165" s="172">
        <v>0</v>
      </c>
      <c r="BV165" s="172">
        <v>0</v>
      </c>
      <c r="BW165" s="172">
        <v>0</v>
      </c>
      <c r="BX165" s="172">
        <v>0</v>
      </c>
      <c r="BY165" s="172">
        <v>0</v>
      </c>
      <c r="BZ165" s="172">
        <v>0</v>
      </c>
      <c r="CA165" s="172">
        <v>0</v>
      </c>
      <c r="CB165" s="172">
        <v>0</v>
      </c>
      <c r="CC165" s="172">
        <v>0</v>
      </c>
      <c r="CD165" s="175">
        <v>0</v>
      </c>
      <c r="CE165" s="70">
        <v>0</v>
      </c>
      <c r="CF165" s="174">
        <v>0</v>
      </c>
      <c r="CG165" s="174">
        <v>0</v>
      </c>
      <c r="CH165" s="174">
        <v>0</v>
      </c>
      <c r="CI165" s="174">
        <v>0</v>
      </c>
      <c r="CJ165" s="175">
        <v>0</v>
      </c>
      <c r="CK165" s="174">
        <v>0</v>
      </c>
      <c r="CL165" s="175">
        <v>0</v>
      </c>
      <c r="CM165" s="175">
        <v>0</v>
      </c>
      <c r="CN165" s="175">
        <v>0</v>
      </c>
      <c r="CO165" s="174">
        <v>0</v>
      </c>
      <c r="CP165" s="174">
        <v>0</v>
      </c>
      <c r="CQ165" s="174">
        <v>0</v>
      </c>
      <c r="CR165" s="174">
        <v>0</v>
      </c>
      <c r="CS165" s="175">
        <v>0</v>
      </c>
      <c r="CT165" s="174">
        <v>0</v>
      </c>
      <c r="CU165" s="174">
        <v>0</v>
      </c>
      <c r="CV165" s="174">
        <v>0</v>
      </c>
    </row>
    <row r="166" spans="1:100" x14ac:dyDescent="0.25">
      <c r="A166" t="s">
        <v>454</v>
      </c>
      <c r="B166" s="166">
        <v>0</v>
      </c>
      <c r="C166" s="168">
        <v>0</v>
      </c>
      <c r="D166" s="167">
        <v>0</v>
      </c>
      <c r="E166" s="168">
        <v>0</v>
      </c>
      <c r="F166" s="167">
        <v>0</v>
      </c>
      <c r="G166" s="168">
        <v>0</v>
      </c>
      <c r="H166" s="168">
        <v>0</v>
      </c>
      <c r="I166" s="168">
        <v>0</v>
      </c>
      <c r="J166" s="168">
        <v>0</v>
      </c>
      <c r="K166" s="168">
        <v>0</v>
      </c>
      <c r="L166" s="168">
        <v>0</v>
      </c>
      <c r="M166" s="168">
        <v>0</v>
      </c>
      <c r="N166" s="168">
        <v>0</v>
      </c>
      <c r="O166" s="168">
        <v>0</v>
      </c>
      <c r="P166" s="167">
        <v>0</v>
      </c>
      <c r="Q166" s="167">
        <v>0</v>
      </c>
      <c r="R166" s="167">
        <v>0</v>
      </c>
      <c r="S166" s="168">
        <v>0</v>
      </c>
      <c r="T166" s="168">
        <v>0</v>
      </c>
      <c r="U166" s="169">
        <v>0</v>
      </c>
      <c r="V166" s="169">
        <v>0</v>
      </c>
      <c r="W166" s="169">
        <v>0</v>
      </c>
      <c r="X166" s="169">
        <v>0</v>
      </c>
      <c r="Y166" s="169">
        <v>0</v>
      </c>
      <c r="Z166" s="65">
        <v>0</v>
      </c>
      <c r="AA166" s="169">
        <v>0</v>
      </c>
      <c r="AB166" s="169">
        <v>0</v>
      </c>
      <c r="AC166" s="169">
        <v>0</v>
      </c>
      <c r="AD166" s="169">
        <v>0</v>
      </c>
      <c r="AE166" s="169">
        <v>0</v>
      </c>
      <c r="AF166" s="169">
        <v>0</v>
      </c>
      <c r="AG166" s="169">
        <v>0</v>
      </c>
      <c r="AH166" s="65">
        <v>0</v>
      </c>
      <c r="AI166" s="169">
        <v>0</v>
      </c>
      <c r="AJ166" s="169">
        <v>0</v>
      </c>
      <c r="AK166" s="169">
        <v>0</v>
      </c>
      <c r="AL166" s="169">
        <v>0</v>
      </c>
      <c r="AM166" s="169">
        <v>0</v>
      </c>
      <c r="AN166" s="170">
        <v>0</v>
      </c>
      <c r="AO166" s="170">
        <v>0</v>
      </c>
      <c r="AP166" s="170">
        <v>0</v>
      </c>
      <c r="AQ166" s="170">
        <v>0</v>
      </c>
      <c r="AR166" s="170">
        <v>0</v>
      </c>
      <c r="AS166" s="170">
        <v>0</v>
      </c>
      <c r="AT166" s="170">
        <v>0</v>
      </c>
      <c r="AU166" s="170">
        <v>0</v>
      </c>
      <c r="AV166" s="170">
        <v>0</v>
      </c>
      <c r="AW166" s="170">
        <v>0</v>
      </c>
      <c r="AX166" s="170">
        <v>0</v>
      </c>
      <c r="AY166" s="170">
        <v>0</v>
      </c>
      <c r="AZ166" s="170">
        <v>0</v>
      </c>
      <c r="BA166" s="170">
        <v>0</v>
      </c>
      <c r="BB166" s="170">
        <v>0</v>
      </c>
      <c r="BC166" s="170">
        <v>0</v>
      </c>
      <c r="BD166" s="170">
        <v>0</v>
      </c>
      <c r="BE166" s="170">
        <v>0</v>
      </c>
      <c r="BF166" s="170">
        <v>0</v>
      </c>
      <c r="BG166" s="170">
        <v>0</v>
      </c>
      <c r="BH166" s="170">
        <v>0</v>
      </c>
      <c r="BI166" s="170">
        <v>0</v>
      </c>
      <c r="BJ166" s="172">
        <v>0</v>
      </c>
      <c r="BK166" s="67">
        <v>0</v>
      </c>
      <c r="BL166" s="172">
        <v>0</v>
      </c>
      <c r="BM166" s="172">
        <v>0</v>
      </c>
      <c r="BN166" s="172">
        <v>0</v>
      </c>
      <c r="BO166" s="172">
        <v>0</v>
      </c>
      <c r="BP166" s="172">
        <v>0</v>
      </c>
      <c r="BQ166" s="172">
        <v>0</v>
      </c>
      <c r="BR166" s="172">
        <v>0</v>
      </c>
      <c r="BS166" s="172">
        <v>0</v>
      </c>
      <c r="BT166" s="172">
        <v>0</v>
      </c>
      <c r="BU166" s="172">
        <v>0</v>
      </c>
      <c r="BV166" s="172">
        <v>0</v>
      </c>
      <c r="BW166" s="172">
        <v>0</v>
      </c>
      <c r="BX166" s="172">
        <v>0</v>
      </c>
      <c r="BY166" s="172">
        <v>0</v>
      </c>
      <c r="BZ166" s="172">
        <v>0</v>
      </c>
      <c r="CA166" s="172">
        <v>0</v>
      </c>
      <c r="CB166" s="172">
        <v>0</v>
      </c>
      <c r="CC166" s="172">
        <v>0</v>
      </c>
      <c r="CD166" s="175">
        <v>0</v>
      </c>
      <c r="CE166" s="70">
        <v>0</v>
      </c>
      <c r="CF166" s="174">
        <v>0</v>
      </c>
      <c r="CG166" s="174">
        <v>0</v>
      </c>
      <c r="CH166" s="174">
        <v>0</v>
      </c>
      <c r="CI166" s="174">
        <v>0</v>
      </c>
      <c r="CJ166" s="175">
        <v>0</v>
      </c>
      <c r="CK166" s="174">
        <v>0</v>
      </c>
      <c r="CL166" s="175">
        <v>0</v>
      </c>
      <c r="CM166" s="175">
        <v>0</v>
      </c>
      <c r="CN166" s="175">
        <v>0</v>
      </c>
      <c r="CO166" s="174">
        <v>0</v>
      </c>
      <c r="CP166" s="174">
        <v>0</v>
      </c>
      <c r="CQ166" s="174">
        <v>0</v>
      </c>
      <c r="CR166" s="174">
        <v>0</v>
      </c>
      <c r="CS166" s="175">
        <v>0</v>
      </c>
      <c r="CT166" s="174">
        <v>0</v>
      </c>
      <c r="CU166" s="174">
        <v>0</v>
      </c>
      <c r="CV166" s="174">
        <v>0</v>
      </c>
    </row>
    <row r="167" spans="1:100" x14ac:dyDescent="0.25">
      <c r="A167" t="s">
        <v>455</v>
      </c>
      <c r="B167" s="166">
        <v>0</v>
      </c>
      <c r="C167" s="168">
        <v>0</v>
      </c>
      <c r="D167" s="167">
        <v>0</v>
      </c>
      <c r="E167" s="168">
        <v>0</v>
      </c>
      <c r="F167" s="167">
        <v>0</v>
      </c>
      <c r="G167" s="168">
        <v>0</v>
      </c>
      <c r="H167" s="168">
        <v>0</v>
      </c>
      <c r="I167" s="168">
        <v>0</v>
      </c>
      <c r="J167" s="168">
        <v>0</v>
      </c>
      <c r="K167" s="168">
        <v>0</v>
      </c>
      <c r="L167" s="168">
        <v>0</v>
      </c>
      <c r="M167" s="168">
        <v>0</v>
      </c>
      <c r="N167" s="168">
        <v>0</v>
      </c>
      <c r="O167" s="168">
        <v>0</v>
      </c>
      <c r="P167" s="167">
        <v>0</v>
      </c>
      <c r="Q167" s="167">
        <v>0</v>
      </c>
      <c r="R167" s="167">
        <v>0</v>
      </c>
      <c r="S167" s="168">
        <v>0</v>
      </c>
      <c r="T167" s="168">
        <v>0</v>
      </c>
      <c r="U167" s="169">
        <v>0</v>
      </c>
      <c r="V167" s="169">
        <v>0</v>
      </c>
      <c r="W167" s="169">
        <v>0</v>
      </c>
      <c r="X167" s="169">
        <v>0</v>
      </c>
      <c r="Y167" s="169">
        <v>0</v>
      </c>
      <c r="Z167" s="65">
        <v>0</v>
      </c>
      <c r="AA167" s="169">
        <v>0</v>
      </c>
      <c r="AB167" s="169">
        <v>0</v>
      </c>
      <c r="AC167" s="169">
        <v>0</v>
      </c>
      <c r="AD167" s="169">
        <v>0</v>
      </c>
      <c r="AE167" s="169">
        <v>0</v>
      </c>
      <c r="AF167" s="169">
        <v>0</v>
      </c>
      <c r="AG167" s="169">
        <v>0</v>
      </c>
      <c r="AH167" s="65">
        <v>0</v>
      </c>
      <c r="AI167" s="169">
        <v>0</v>
      </c>
      <c r="AJ167" s="169">
        <v>0</v>
      </c>
      <c r="AK167" s="169">
        <v>0</v>
      </c>
      <c r="AL167" s="169">
        <v>0</v>
      </c>
      <c r="AM167" s="169">
        <v>0</v>
      </c>
      <c r="AN167" s="170">
        <v>0</v>
      </c>
      <c r="AO167" s="170">
        <v>0</v>
      </c>
      <c r="AP167" s="170">
        <v>0</v>
      </c>
      <c r="AQ167" s="170">
        <v>0</v>
      </c>
      <c r="AR167" s="170">
        <v>0</v>
      </c>
      <c r="AS167" s="170">
        <v>0</v>
      </c>
      <c r="AT167" s="170">
        <v>0</v>
      </c>
      <c r="AU167" s="170">
        <v>0</v>
      </c>
      <c r="AV167" s="170">
        <v>0</v>
      </c>
      <c r="AW167" s="170">
        <v>0</v>
      </c>
      <c r="AX167" s="170">
        <v>0</v>
      </c>
      <c r="AY167" s="170">
        <v>0</v>
      </c>
      <c r="AZ167" s="170">
        <v>0</v>
      </c>
      <c r="BA167" s="170">
        <v>0</v>
      </c>
      <c r="BB167" s="170">
        <v>0</v>
      </c>
      <c r="BC167" s="170">
        <v>0</v>
      </c>
      <c r="BD167" s="170">
        <v>0</v>
      </c>
      <c r="BE167" s="170">
        <v>0</v>
      </c>
      <c r="BF167" s="170">
        <v>0</v>
      </c>
      <c r="BG167" s="170">
        <v>0</v>
      </c>
      <c r="BH167" s="170">
        <v>0</v>
      </c>
      <c r="BI167" s="170">
        <v>0</v>
      </c>
      <c r="BJ167" s="172">
        <v>0</v>
      </c>
      <c r="BK167" s="67">
        <v>0</v>
      </c>
      <c r="BL167" s="172">
        <v>0</v>
      </c>
      <c r="BM167" s="172">
        <v>0</v>
      </c>
      <c r="BN167" s="172">
        <v>0</v>
      </c>
      <c r="BO167" s="172">
        <v>0</v>
      </c>
      <c r="BP167" s="172">
        <v>0</v>
      </c>
      <c r="BQ167" s="172">
        <v>0</v>
      </c>
      <c r="BR167" s="172">
        <v>0</v>
      </c>
      <c r="BS167" s="172">
        <v>0</v>
      </c>
      <c r="BT167" s="172">
        <v>0</v>
      </c>
      <c r="BU167" s="172">
        <v>0</v>
      </c>
      <c r="BV167" s="172">
        <v>0</v>
      </c>
      <c r="BW167" s="172">
        <v>0</v>
      </c>
      <c r="BX167" s="172">
        <v>0</v>
      </c>
      <c r="BY167" s="172">
        <v>0</v>
      </c>
      <c r="BZ167" s="172">
        <v>0</v>
      </c>
      <c r="CA167" s="172">
        <v>0</v>
      </c>
      <c r="CB167" s="172">
        <v>0</v>
      </c>
      <c r="CC167" s="172">
        <v>0</v>
      </c>
      <c r="CD167" s="175">
        <v>0</v>
      </c>
      <c r="CE167" s="70">
        <v>0</v>
      </c>
      <c r="CF167" s="174">
        <v>0</v>
      </c>
      <c r="CG167" s="174">
        <v>0</v>
      </c>
      <c r="CH167" s="174">
        <v>0</v>
      </c>
      <c r="CI167" s="174">
        <v>0</v>
      </c>
      <c r="CJ167" s="175">
        <v>0</v>
      </c>
      <c r="CK167" s="174">
        <v>0</v>
      </c>
      <c r="CL167" s="175">
        <v>0</v>
      </c>
      <c r="CM167" s="175">
        <v>0</v>
      </c>
      <c r="CN167" s="175">
        <v>0</v>
      </c>
      <c r="CO167" s="174">
        <v>0</v>
      </c>
      <c r="CP167" s="174">
        <v>0</v>
      </c>
      <c r="CQ167" s="174">
        <v>0</v>
      </c>
      <c r="CR167" s="174">
        <v>0</v>
      </c>
      <c r="CS167" s="175">
        <v>0</v>
      </c>
      <c r="CT167" s="174">
        <v>0</v>
      </c>
      <c r="CU167" s="174">
        <v>0</v>
      </c>
      <c r="CV167" s="174">
        <v>0</v>
      </c>
    </row>
    <row r="168" spans="1:100" x14ac:dyDescent="0.25">
      <c r="A168" t="s">
        <v>456</v>
      </c>
      <c r="B168" s="166">
        <v>0</v>
      </c>
      <c r="C168" s="168">
        <v>0</v>
      </c>
      <c r="D168" s="167">
        <v>0</v>
      </c>
      <c r="E168" s="168">
        <v>0</v>
      </c>
      <c r="F168" s="167">
        <v>0</v>
      </c>
      <c r="G168" s="168">
        <v>0</v>
      </c>
      <c r="H168" s="168">
        <v>0</v>
      </c>
      <c r="I168" s="168">
        <v>0</v>
      </c>
      <c r="J168" s="168">
        <v>0</v>
      </c>
      <c r="K168" s="168">
        <v>0</v>
      </c>
      <c r="L168" s="168">
        <v>0</v>
      </c>
      <c r="M168" s="168">
        <v>0</v>
      </c>
      <c r="N168" s="168">
        <v>0</v>
      </c>
      <c r="O168" s="168">
        <v>0</v>
      </c>
      <c r="P168" s="167">
        <v>0</v>
      </c>
      <c r="Q168" s="167">
        <v>0</v>
      </c>
      <c r="R168" s="167">
        <v>0</v>
      </c>
      <c r="S168" s="168">
        <v>0</v>
      </c>
      <c r="T168" s="168">
        <v>0</v>
      </c>
      <c r="U168" s="169">
        <v>0</v>
      </c>
      <c r="V168" s="169">
        <v>0</v>
      </c>
      <c r="W168" s="169">
        <v>0</v>
      </c>
      <c r="X168" s="169">
        <v>0</v>
      </c>
      <c r="Y168" s="169">
        <v>0</v>
      </c>
      <c r="Z168" s="65">
        <v>0</v>
      </c>
      <c r="AA168" s="169">
        <v>0</v>
      </c>
      <c r="AB168" s="169">
        <v>0</v>
      </c>
      <c r="AC168" s="169">
        <v>0</v>
      </c>
      <c r="AD168" s="169">
        <v>0</v>
      </c>
      <c r="AE168" s="169">
        <v>0</v>
      </c>
      <c r="AF168" s="169">
        <v>0</v>
      </c>
      <c r="AG168" s="169">
        <v>0</v>
      </c>
      <c r="AH168" s="65">
        <v>0</v>
      </c>
      <c r="AI168" s="169">
        <v>0</v>
      </c>
      <c r="AJ168" s="169">
        <v>0</v>
      </c>
      <c r="AK168" s="169">
        <v>0</v>
      </c>
      <c r="AL168" s="169">
        <v>0</v>
      </c>
      <c r="AM168" s="169">
        <v>0</v>
      </c>
      <c r="AN168" s="170">
        <v>0</v>
      </c>
      <c r="AO168" s="170">
        <v>0</v>
      </c>
      <c r="AP168" s="170">
        <v>0</v>
      </c>
      <c r="AQ168" s="170">
        <v>0</v>
      </c>
      <c r="AR168" s="170">
        <v>0</v>
      </c>
      <c r="AS168" s="170">
        <v>0</v>
      </c>
      <c r="AT168" s="170">
        <v>0</v>
      </c>
      <c r="AU168" s="170">
        <v>0</v>
      </c>
      <c r="AV168" s="170">
        <v>0</v>
      </c>
      <c r="AW168" s="170">
        <v>0</v>
      </c>
      <c r="AX168" s="170">
        <v>0</v>
      </c>
      <c r="AY168" s="170">
        <v>0</v>
      </c>
      <c r="AZ168" s="170">
        <v>0</v>
      </c>
      <c r="BA168" s="170">
        <v>0</v>
      </c>
      <c r="BB168" s="170">
        <v>0</v>
      </c>
      <c r="BC168" s="170">
        <v>0</v>
      </c>
      <c r="BD168" s="170">
        <v>0</v>
      </c>
      <c r="BE168" s="170">
        <v>0</v>
      </c>
      <c r="BF168" s="170">
        <v>0</v>
      </c>
      <c r="BG168" s="170">
        <v>0</v>
      </c>
      <c r="BH168" s="170">
        <v>0</v>
      </c>
      <c r="BI168" s="170">
        <v>0</v>
      </c>
      <c r="BJ168" s="172">
        <v>0</v>
      </c>
      <c r="BK168" s="67">
        <v>0</v>
      </c>
      <c r="BL168" s="172">
        <v>0</v>
      </c>
      <c r="BM168" s="172">
        <v>0</v>
      </c>
      <c r="BN168" s="172">
        <v>0</v>
      </c>
      <c r="BO168" s="172">
        <v>0</v>
      </c>
      <c r="BP168" s="172">
        <v>0</v>
      </c>
      <c r="BQ168" s="172">
        <v>0</v>
      </c>
      <c r="BR168" s="172">
        <v>0</v>
      </c>
      <c r="BS168" s="172">
        <v>0</v>
      </c>
      <c r="BT168" s="172">
        <v>0</v>
      </c>
      <c r="BU168" s="172">
        <v>0</v>
      </c>
      <c r="BV168" s="172">
        <v>0</v>
      </c>
      <c r="BW168" s="172">
        <v>0</v>
      </c>
      <c r="BX168" s="172">
        <v>0</v>
      </c>
      <c r="BY168" s="172">
        <v>0</v>
      </c>
      <c r="BZ168" s="172">
        <v>0</v>
      </c>
      <c r="CA168" s="172">
        <v>0</v>
      </c>
      <c r="CB168" s="172">
        <v>0</v>
      </c>
      <c r="CC168" s="172">
        <v>0</v>
      </c>
      <c r="CD168" s="175">
        <v>0</v>
      </c>
      <c r="CE168" s="70">
        <v>0</v>
      </c>
      <c r="CF168" s="174">
        <v>0</v>
      </c>
      <c r="CG168" s="174">
        <v>0</v>
      </c>
      <c r="CH168" s="174">
        <v>0</v>
      </c>
      <c r="CI168" s="174">
        <v>0</v>
      </c>
      <c r="CJ168" s="175">
        <v>0</v>
      </c>
      <c r="CK168" s="174">
        <v>0</v>
      </c>
      <c r="CL168" s="175">
        <v>0</v>
      </c>
      <c r="CM168" s="175">
        <v>0</v>
      </c>
      <c r="CN168" s="175">
        <v>0</v>
      </c>
      <c r="CO168" s="174">
        <v>0</v>
      </c>
      <c r="CP168" s="174">
        <v>0</v>
      </c>
      <c r="CQ168" s="174">
        <v>0</v>
      </c>
      <c r="CR168" s="174">
        <v>0</v>
      </c>
      <c r="CS168" s="175">
        <v>0</v>
      </c>
      <c r="CT168" s="174">
        <v>0</v>
      </c>
      <c r="CU168" s="174">
        <v>0</v>
      </c>
      <c r="CV168" s="174">
        <v>0</v>
      </c>
    </row>
    <row r="169" spans="1:100" x14ac:dyDescent="0.25">
      <c r="A169" t="s">
        <v>457</v>
      </c>
      <c r="B169" s="166">
        <v>0</v>
      </c>
      <c r="C169" s="168">
        <v>0</v>
      </c>
      <c r="D169" s="167">
        <v>0</v>
      </c>
      <c r="E169" s="168">
        <v>0</v>
      </c>
      <c r="F169" s="167">
        <v>0</v>
      </c>
      <c r="G169" s="168">
        <v>0</v>
      </c>
      <c r="H169" s="168">
        <v>0</v>
      </c>
      <c r="I169" s="168">
        <v>0</v>
      </c>
      <c r="J169" s="168">
        <v>0</v>
      </c>
      <c r="K169" s="168">
        <v>0</v>
      </c>
      <c r="L169" s="168">
        <v>0</v>
      </c>
      <c r="M169" s="168">
        <v>0</v>
      </c>
      <c r="N169" s="168">
        <v>0</v>
      </c>
      <c r="O169" s="168">
        <v>0</v>
      </c>
      <c r="P169" s="167">
        <v>0</v>
      </c>
      <c r="Q169" s="167">
        <v>0</v>
      </c>
      <c r="R169" s="167">
        <v>0</v>
      </c>
      <c r="S169" s="168">
        <v>0</v>
      </c>
      <c r="T169" s="168">
        <v>0</v>
      </c>
      <c r="U169" s="169">
        <v>0</v>
      </c>
      <c r="V169" s="169">
        <v>0</v>
      </c>
      <c r="W169" s="169">
        <v>0</v>
      </c>
      <c r="X169" s="169">
        <v>0</v>
      </c>
      <c r="Y169" s="169">
        <v>0</v>
      </c>
      <c r="Z169" s="65">
        <v>0</v>
      </c>
      <c r="AA169" s="169">
        <v>0</v>
      </c>
      <c r="AB169" s="169">
        <v>0</v>
      </c>
      <c r="AC169" s="169">
        <v>0</v>
      </c>
      <c r="AD169" s="169">
        <v>0</v>
      </c>
      <c r="AE169" s="169">
        <v>0</v>
      </c>
      <c r="AF169" s="169">
        <v>0</v>
      </c>
      <c r="AG169" s="169">
        <v>0</v>
      </c>
      <c r="AH169" s="65">
        <v>0</v>
      </c>
      <c r="AI169" s="169">
        <v>0</v>
      </c>
      <c r="AJ169" s="169">
        <v>0</v>
      </c>
      <c r="AK169" s="169">
        <v>0</v>
      </c>
      <c r="AL169" s="169">
        <v>0</v>
      </c>
      <c r="AM169" s="169">
        <v>0</v>
      </c>
      <c r="AN169" s="170">
        <v>0</v>
      </c>
      <c r="AO169" s="170">
        <v>0</v>
      </c>
      <c r="AP169" s="170">
        <v>0</v>
      </c>
      <c r="AQ169" s="170">
        <v>0</v>
      </c>
      <c r="AR169" s="170">
        <v>0</v>
      </c>
      <c r="AS169" s="170">
        <v>0</v>
      </c>
      <c r="AT169" s="170">
        <v>0</v>
      </c>
      <c r="AU169" s="170">
        <v>0</v>
      </c>
      <c r="AV169" s="170">
        <v>0</v>
      </c>
      <c r="AW169" s="170">
        <v>0</v>
      </c>
      <c r="AX169" s="170">
        <v>0</v>
      </c>
      <c r="AY169" s="170">
        <v>0</v>
      </c>
      <c r="AZ169" s="170">
        <v>0</v>
      </c>
      <c r="BA169" s="170">
        <v>0</v>
      </c>
      <c r="BB169" s="170">
        <v>0</v>
      </c>
      <c r="BC169" s="170">
        <v>0</v>
      </c>
      <c r="BD169" s="170">
        <v>0</v>
      </c>
      <c r="BE169" s="170">
        <v>0</v>
      </c>
      <c r="BF169" s="170">
        <v>0</v>
      </c>
      <c r="BG169" s="170">
        <v>0</v>
      </c>
      <c r="BH169" s="170">
        <v>0</v>
      </c>
      <c r="BI169" s="170">
        <v>0</v>
      </c>
      <c r="BJ169" s="172">
        <v>0</v>
      </c>
      <c r="BK169" s="67">
        <v>0</v>
      </c>
      <c r="BL169" s="172">
        <v>0</v>
      </c>
      <c r="BM169" s="172">
        <v>0</v>
      </c>
      <c r="BN169" s="172">
        <v>0</v>
      </c>
      <c r="BO169" s="172">
        <v>0</v>
      </c>
      <c r="BP169" s="172">
        <v>0</v>
      </c>
      <c r="BQ169" s="172">
        <v>0</v>
      </c>
      <c r="BR169" s="172">
        <v>0</v>
      </c>
      <c r="BS169" s="172">
        <v>0</v>
      </c>
      <c r="BT169" s="172">
        <v>0</v>
      </c>
      <c r="BU169" s="172">
        <v>0</v>
      </c>
      <c r="BV169" s="172">
        <v>0</v>
      </c>
      <c r="BW169" s="172">
        <v>0</v>
      </c>
      <c r="BX169" s="172">
        <v>0</v>
      </c>
      <c r="BY169" s="172">
        <v>0</v>
      </c>
      <c r="BZ169" s="172">
        <v>0</v>
      </c>
      <c r="CA169" s="172">
        <v>0</v>
      </c>
      <c r="CB169" s="172">
        <v>0</v>
      </c>
      <c r="CC169" s="172">
        <v>0</v>
      </c>
      <c r="CD169" s="175">
        <v>0</v>
      </c>
      <c r="CE169" s="70">
        <v>0</v>
      </c>
      <c r="CF169" s="174">
        <v>0</v>
      </c>
      <c r="CG169" s="174">
        <v>0</v>
      </c>
      <c r="CH169" s="174">
        <v>0</v>
      </c>
      <c r="CI169" s="174">
        <v>0</v>
      </c>
      <c r="CJ169" s="175">
        <v>0</v>
      </c>
      <c r="CK169" s="174">
        <v>0</v>
      </c>
      <c r="CL169" s="175">
        <v>0</v>
      </c>
      <c r="CM169" s="175">
        <v>0</v>
      </c>
      <c r="CN169" s="175">
        <v>0</v>
      </c>
      <c r="CO169" s="174">
        <v>0</v>
      </c>
      <c r="CP169" s="174">
        <v>0</v>
      </c>
      <c r="CQ169" s="174">
        <v>0</v>
      </c>
      <c r="CR169" s="174">
        <v>0</v>
      </c>
      <c r="CS169" s="175">
        <v>0</v>
      </c>
      <c r="CT169" s="174">
        <v>0</v>
      </c>
      <c r="CU169" s="174">
        <v>0</v>
      </c>
      <c r="CV169" s="174">
        <v>0</v>
      </c>
    </row>
    <row r="170" spans="1:100" x14ac:dyDescent="0.25">
      <c r="A170" t="s">
        <v>458</v>
      </c>
      <c r="B170" s="166">
        <v>0</v>
      </c>
      <c r="C170" s="168">
        <v>0</v>
      </c>
      <c r="D170" s="167">
        <v>0</v>
      </c>
      <c r="E170" s="168">
        <v>0</v>
      </c>
      <c r="F170" s="167">
        <v>0</v>
      </c>
      <c r="G170" s="168">
        <v>0</v>
      </c>
      <c r="H170" s="168">
        <v>0</v>
      </c>
      <c r="I170" s="168">
        <v>0</v>
      </c>
      <c r="J170" s="168">
        <v>0</v>
      </c>
      <c r="K170" s="168">
        <v>0</v>
      </c>
      <c r="L170" s="168">
        <v>0</v>
      </c>
      <c r="M170" s="168">
        <v>0</v>
      </c>
      <c r="N170" s="168">
        <v>0</v>
      </c>
      <c r="O170" s="168">
        <v>0</v>
      </c>
      <c r="P170" s="167">
        <v>0</v>
      </c>
      <c r="Q170" s="167">
        <v>0</v>
      </c>
      <c r="R170" s="167">
        <v>0</v>
      </c>
      <c r="S170" s="168">
        <v>0</v>
      </c>
      <c r="T170" s="168">
        <v>0</v>
      </c>
      <c r="U170" s="169">
        <v>0</v>
      </c>
      <c r="V170" s="169">
        <v>0</v>
      </c>
      <c r="W170" s="169">
        <v>0</v>
      </c>
      <c r="X170" s="169">
        <v>0</v>
      </c>
      <c r="Y170" s="169">
        <v>0</v>
      </c>
      <c r="Z170" s="65">
        <v>0</v>
      </c>
      <c r="AA170" s="169">
        <v>0</v>
      </c>
      <c r="AB170" s="169">
        <v>0</v>
      </c>
      <c r="AC170" s="169">
        <v>0</v>
      </c>
      <c r="AD170" s="169">
        <v>0</v>
      </c>
      <c r="AE170" s="169">
        <v>0</v>
      </c>
      <c r="AF170" s="169">
        <v>0</v>
      </c>
      <c r="AG170" s="169">
        <v>0</v>
      </c>
      <c r="AH170" s="65">
        <v>0</v>
      </c>
      <c r="AI170" s="169">
        <v>0</v>
      </c>
      <c r="AJ170" s="169">
        <v>0</v>
      </c>
      <c r="AK170" s="169">
        <v>0</v>
      </c>
      <c r="AL170" s="169">
        <v>0</v>
      </c>
      <c r="AM170" s="169">
        <v>0</v>
      </c>
      <c r="AN170" s="170">
        <v>0</v>
      </c>
      <c r="AO170" s="170">
        <v>0</v>
      </c>
      <c r="AP170" s="170">
        <v>0</v>
      </c>
      <c r="AQ170" s="170">
        <v>0</v>
      </c>
      <c r="AR170" s="170">
        <v>0</v>
      </c>
      <c r="AS170" s="170">
        <v>0</v>
      </c>
      <c r="AT170" s="170">
        <v>0</v>
      </c>
      <c r="AU170" s="170">
        <v>0</v>
      </c>
      <c r="AV170" s="170">
        <v>0</v>
      </c>
      <c r="AW170" s="170">
        <v>0</v>
      </c>
      <c r="AX170" s="170">
        <v>0</v>
      </c>
      <c r="AY170" s="170">
        <v>0</v>
      </c>
      <c r="AZ170" s="170">
        <v>0</v>
      </c>
      <c r="BA170" s="170">
        <v>0</v>
      </c>
      <c r="BB170" s="170">
        <v>0</v>
      </c>
      <c r="BC170" s="170">
        <v>0</v>
      </c>
      <c r="BD170" s="170">
        <v>0</v>
      </c>
      <c r="BE170" s="170">
        <v>0</v>
      </c>
      <c r="BF170" s="170">
        <v>0</v>
      </c>
      <c r="BG170" s="170">
        <v>0</v>
      </c>
      <c r="BH170" s="170">
        <v>0</v>
      </c>
      <c r="BI170" s="170">
        <v>0</v>
      </c>
      <c r="BJ170" s="172">
        <v>0</v>
      </c>
      <c r="BK170" s="67">
        <v>0</v>
      </c>
      <c r="BL170" s="172">
        <v>0</v>
      </c>
      <c r="BM170" s="172">
        <v>0</v>
      </c>
      <c r="BN170" s="172">
        <v>0</v>
      </c>
      <c r="BO170" s="172">
        <v>0</v>
      </c>
      <c r="BP170" s="172">
        <v>0</v>
      </c>
      <c r="BQ170" s="172">
        <v>0</v>
      </c>
      <c r="BR170" s="172">
        <v>0</v>
      </c>
      <c r="BS170" s="172">
        <v>0</v>
      </c>
      <c r="BT170" s="172">
        <v>0</v>
      </c>
      <c r="BU170" s="172">
        <v>0</v>
      </c>
      <c r="BV170" s="172">
        <v>0</v>
      </c>
      <c r="BW170" s="172">
        <v>0</v>
      </c>
      <c r="BX170" s="172">
        <v>0</v>
      </c>
      <c r="BY170" s="172">
        <v>0</v>
      </c>
      <c r="BZ170" s="172">
        <v>0</v>
      </c>
      <c r="CA170" s="172">
        <v>0</v>
      </c>
      <c r="CB170" s="172">
        <v>0</v>
      </c>
      <c r="CC170" s="172">
        <v>0</v>
      </c>
      <c r="CD170" s="175">
        <v>0</v>
      </c>
      <c r="CE170" s="70">
        <v>0</v>
      </c>
      <c r="CF170" s="174">
        <v>0</v>
      </c>
      <c r="CG170" s="174">
        <v>0</v>
      </c>
      <c r="CH170" s="174">
        <v>0</v>
      </c>
      <c r="CI170" s="174">
        <v>0</v>
      </c>
      <c r="CJ170" s="175">
        <v>0</v>
      </c>
      <c r="CK170" s="174">
        <v>0</v>
      </c>
      <c r="CL170" s="175">
        <v>0</v>
      </c>
      <c r="CM170" s="175">
        <v>0</v>
      </c>
      <c r="CN170" s="175">
        <v>0</v>
      </c>
      <c r="CO170" s="174">
        <v>0</v>
      </c>
      <c r="CP170" s="174">
        <v>0</v>
      </c>
      <c r="CQ170" s="174">
        <v>0</v>
      </c>
      <c r="CR170" s="174">
        <v>0</v>
      </c>
      <c r="CS170" s="175">
        <v>0</v>
      </c>
      <c r="CT170" s="174">
        <v>0</v>
      </c>
      <c r="CU170" s="174">
        <v>0</v>
      </c>
      <c r="CV170" s="174">
        <v>0</v>
      </c>
    </row>
    <row r="171" spans="1:100" x14ac:dyDescent="0.25">
      <c r="A171" t="s">
        <v>459</v>
      </c>
      <c r="B171" s="166">
        <v>0</v>
      </c>
      <c r="C171" s="168">
        <v>0</v>
      </c>
      <c r="D171" s="167">
        <v>0</v>
      </c>
      <c r="E171" s="168">
        <v>0</v>
      </c>
      <c r="F171" s="167">
        <v>0</v>
      </c>
      <c r="G171" s="168">
        <v>0</v>
      </c>
      <c r="H171" s="168">
        <v>0</v>
      </c>
      <c r="I171" s="168">
        <v>0</v>
      </c>
      <c r="J171" s="168">
        <v>0</v>
      </c>
      <c r="K171" s="168">
        <v>0</v>
      </c>
      <c r="L171" s="168">
        <v>0</v>
      </c>
      <c r="M171" s="168">
        <v>0</v>
      </c>
      <c r="N171" s="168">
        <v>0</v>
      </c>
      <c r="O171" s="168">
        <v>0</v>
      </c>
      <c r="P171" s="167">
        <v>0</v>
      </c>
      <c r="Q171" s="167">
        <v>0</v>
      </c>
      <c r="R171" s="167">
        <v>0</v>
      </c>
      <c r="S171" s="168">
        <v>0</v>
      </c>
      <c r="T171" s="168">
        <v>0</v>
      </c>
      <c r="U171" s="169">
        <v>0</v>
      </c>
      <c r="V171" s="169">
        <v>0</v>
      </c>
      <c r="W171" s="169">
        <v>0</v>
      </c>
      <c r="X171" s="169">
        <v>0</v>
      </c>
      <c r="Y171" s="169">
        <v>0</v>
      </c>
      <c r="Z171" s="65">
        <v>0</v>
      </c>
      <c r="AA171" s="169">
        <v>0</v>
      </c>
      <c r="AB171" s="169">
        <v>0</v>
      </c>
      <c r="AC171" s="169">
        <v>0</v>
      </c>
      <c r="AD171" s="169">
        <v>0</v>
      </c>
      <c r="AE171" s="169">
        <v>0</v>
      </c>
      <c r="AF171" s="169">
        <v>0</v>
      </c>
      <c r="AG171" s="169">
        <v>0</v>
      </c>
      <c r="AH171" s="65">
        <v>0</v>
      </c>
      <c r="AI171" s="169">
        <v>0</v>
      </c>
      <c r="AJ171" s="169">
        <v>0</v>
      </c>
      <c r="AK171" s="169">
        <v>0</v>
      </c>
      <c r="AL171" s="169">
        <v>0</v>
      </c>
      <c r="AM171" s="169">
        <v>0</v>
      </c>
      <c r="AN171" s="170">
        <v>0</v>
      </c>
      <c r="AO171" s="170">
        <v>0</v>
      </c>
      <c r="AP171" s="170">
        <v>0</v>
      </c>
      <c r="AQ171" s="170">
        <v>0</v>
      </c>
      <c r="AR171" s="170">
        <v>0</v>
      </c>
      <c r="AS171" s="170">
        <v>0</v>
      </c>
      <c r="AT171" s="170">
        <v>0</v>
      </c>
      <c r="AU171" s="170">
        <v>0</v>
      </c>
      <c r="AV171" s="170">
        <v>0</v>
      </c>
      <c r="AW171" s="170">
        <v>0</v>
      </c>
      <c r="AX171" s="170">
        <v>0</v>
      </c>
      <c r="AY171" s="170">
        <v>0</v>
      </c>
      <c r="AZ171" s="170">
        <v>0</v>
      </c>
      <c r="BA171" s="170">
        <v>0</v>
      </c>
      <c r="BB171" s="170">
        <v>0</v>
      </c>
      <c r="BC171" s="170">
        <v>0</v>
      </c>
      <c r="BD171" s="170">
        <v>0</v>
      </c>
      <c r="BE171" s="170">
        <v>0</v>
      </c>
      <c r="BF171" s="170">
        <v>0</v>
      </c>
      <c r="BG171" s="170">
        <v>0</v>
      </c>
      <c r="BH171" s="170">
        <v>0</v>
      </c>
      <c r="BI171" s="170">
        <v>0</v>
      </c>
      <c r="BJ171" s="172">
        <v>0</v>
      </c>
      <c r="BK171" s="67">
        <v>0</v>
      </c>
      <c r="BL171" s="172">
        <v>0</v>
      </c>
      <c r="BM171" s="172">
        <v>0</v>
      </c>
      <c r="BN171" s="172">
        <v>0</v>
      </c>
      <c r="BO171" s="172">
        <v>0</v>
      </c>
      <c r="BP171" s="172">
        <v>0</v>
      </c>
      <c r="BQ171" s="172">
        <v>0</v>
      </c>
      <c r="BR171" s="172">
        <v>0</v>
      </c>
      <c r="BS171" s="172">
        <v>0</v>
      </c>
      <c r="BT171" s="172">
        <v>0</v>
      </c>
      <c r="BU171" s="172">
        <v>0</v>
      </c>
      <c r="BV171" s="172">
        <v>0</v>
      </c>
      <c r="BW171" s="172">
        <v>0</v>
      </c>
      <c r="BX171" s="172">
        <v>0</v>
      </c>
      <c r="BY171" s="172">
        <v>0</v>
      </c>
      <c r="BZ171" s="172">
        <v>0</v>
      </c>
      <c r="CA171" s="172">
        <v>0</v>
      </c>
      <c r="CB171" s="172">
        <v>0</v>
      </c>
      <c r="CC171" s="172">
        <v>0</v>
      </c>
      <c r="CD171" s="175">
        <v>0</v>
      </c>
      <c r="CE171" s="70">
        <v>0</v>
      </c>
      <c r="CF171" s="174">
        <v>0</v>
      </c>
      <c r="CG171" s="174">
        <v>0</v>
      </c>
      <c r="CH171" s="174">
        <v>0</v>
      </c>
      <c r="CI171" s="174">
        <v>0</v>
      </c>
      <c r="CJ171" s="175">
        <v>0</v>
      </c>
      <c r="CK171" s="174">
        <v>0</v>
      </c>
      <c r="CL171" s="175">
        <v>0</v>
      </c>
      <c r="CM171" s="175">
        <v>0</v>
      </c>
      <c r="CN171" s="175">
        <v>0</v>
      </c>
      <c r="CO171" s="174">
        <v>0</v>
      </c>
      <c r="CP171" s="174">
        <v>0</v>
      </c>
      <c r="CQ171" s="174">
        <v>0</v>
      </c>
      <c r="CR171" s="174">
        <v>0</v>
      </c>
      <c r="CS171" s="175">
        <v>0</v>
      </c>
      <c r="CT171" s="174">
        <v>0</v>
      </c>
      <c r="CU171" s="174">
        <v>0</v>
      </c>
      <c r="CV171" s="174">
        <v>0</v>
      </c>
    </row>
    <row r="172" spans="1:100" x14ac:dyDescent="0.25">
      <c r="A172" t="s">
        <v>460</v>
      </c>
      <c r="B172" s="166">
        <v>0</v>
      </c>
      <c r="C172" s="168">
        <v>0</v>
      </c>
      <c r="D172" s="167">
        <v>0</v>
      </c>
      <c r="E172" s="168">
        <v>0</v>
      </c>
      <c r="F172" s="167">
        <v>0</v>
      </c>
      <c r="G172" s="168">
        <v>0</v>
      </c>
      <c r="H172" s="168">
        <v>0</v>
      </c>
      <c r="I172" s="168">
        <v>0</v>
      </c>
      <c r="J172" s="168">
        <v>0</v>
      </c>
      <c r="K172" s="168">
        <v>0</v>
      </c>
      <c r="L172" s="168">
        <v>0</v>
      </c>
      <c r="M172" s="168">
        <v>0</v>
      </c>
      <c r="N172" s="168">
        <v>0</v>
      </c>
      <c r="O172" s="168">
        <v>0</v>
      </c>
      <c r="P172" s="167">
        <v>0</v>
      </c>
      <c r="Q172" s="167">
        <v>0</v>
      </c>
      <c r="R172" s="167">
        <v>0</v>
      </c>
      <c r="S172" s="168">
        <v>0</v>
      </c>
      <c r="T172" s="168">
        <v>0</v>
      </c>
      <c r="U172" s="169">
        <v>0</v>
      </c>
      <c r="V172" s="169">
        <v>0</v>
      </c>
      <c r="W172" s="169">
        <v>0</v>
      </c>
      <c r="X172" s="169">
        <v>0</v>
      </c>
      <c r="Y172" s="169">
        <v>0</v>
      </c>
      <c r="Z172" s="65">
        <v>0</v>
      </c>
      <c r="AA172" s="169">
        <v>0</v>
      </c>
      <c r="AB172" s="169">
        <v>0</v>
      </c>
      <c r="AC172" s="169">
        <v>0</v>
      </c>
      <c r="AD172" s="169">
        <v>0</v>
      </c>
      <c r="AE172" s="169">
        <v>0</v>
      </c>
      <c r="AF172" s="169">
        <v>0</v>
      </c>
      <c r="AG172" s="169">
        <v>0</v>
      </c>
      <c r="AH172" s="65">
        <v>0</v>
      </c>
      <c r="AI172" s="169">
        <v>0</v>
      </c>
      <c r="AJ172" s="169">
        <v>0</v>
      </c>
      <c r="AK172" s="169">
        <v>0</v>
      </c>
      <c r="AL172" s="169">
        <v>0</v>
      </c>
      <c r="AM172" s="169">
        <v>0</v>
      </c>
      <c r="AN172" s="170">
        <v>0</v>
      </c>
      <c r="AO172" s="170">
        <v>0</v>
      </c>
      <c r="AP172" s="170">
        <v>0</v>
      </c>
      <c r="AQ172" s="170">
        <v>0</v>
      </c>
      <c r="AR172" s="170">
        <v>0</v>
      </c>
      <c r="AS172" s="170">
        <v>0</v>
      </c>
      <c r="AT172" s="170">
        <v>0</v>
      </c>
      <c r="AU172" s="170">
        <v>0</v>
      </c>
      <c r="AV172" s="170">
        <v>0</v>
      </c>
      <c r="AW172" s="170">
        <v>0</v>
      </c>
      <c r="AX172" s="170">
        <v>0</v>
      </c>
      <c r="AY172" s="170">
        <v>0</v>
      </c>
      <c r="AZ172" s="170">
        <v>0</v>
      </c>
      <c r="BA172" s="170">
        <v>0</v>
      </c>
      <c r="BB172" s="170">
        <v>0</v>
      </c>
      <c r="BC172" s="170">
        <v>0</v>
      </c>
      <c r="BD172" s="170">
        <v>0</v>
      </c>
      <c r="BE172" s="170">
        <v>0</v>
      </c>
      <c r="BF172" s="170">
        <v>0</v>
      </c>
      <c r="BG172" s="170">
        <v>0</v>
      </c>
      <c r="BH172" s="170">
        <v>0</v>
      </c>
      <c r="BI172" s="170">
        <v>0</v>
      </c>
      <c r="BJ172" s="172">
        <v>0</v>
      </c>
      <c r="BK172" s="67">
        <v>0</v>
      </c>
      <c r="BL172" s="172">
        <v>0</v>
      </c>
      <c r="BM172" s="172">
        <v>0</v>
      </c>
      <c r="BN172" s="172">
        <v>0</v>
      </c>
      <c r="BO172" s="172">
        <v>0</v>
      </c>
      <c r="BP172" s="172">
        <v>0</v>
      </c>
      <c r="BQ172" s="172">
        <v>0</v>
      </c>
      <c r="BR172" s="172">
        <v>0</v>
      </c>
      <c r="BS172" s="172">
        <v>0</v>
      </c>
      <c r="BT172" s="172">
        <v>0</v>
      </c>
      <c r="BU172" s="172">
        <v>0</v>
      </c>
      <c r="BV172" s="172">
        <v>0</v>
      </c>
      <c r="BW172" s="172">
        <v>0</v>
      </c>
      <c r="BX172" s="172">
        <v>0</v>
      </c>
      <c r="BY172" s="172">
        <v>0</v>
      </c>
      <c r="BZ172" s="172">
        <v>0</v>
      </c>
      <c r="CA172" s="172">
        <v>0</v>
      </c>
      <c r="CB172" s="172">
        <v>0</v>
      </c>
      <c r="CC172" s="172">
        <v>0</v>
      </c>
      <c r="CD172" s="175">
        <v>0</v>
      </c>
      <c r="CE172" s="70">
        <v>0</v>
      </c>
      <c r="CF172" s="174">
        <v>0</v>
      </c>
      <c r="CG172" s="174">
        <v>0</v>
      </c>
      <c r="CH172" s="174">
        <v>0</v>
      </c>
      <c r="CI172" s="174">
        <v>0</v>
      </c>
      <c r="CJ172" s="175">
        <v>0</v>
      </c>
      <c r="CK172" s="174">
        <v>0</v>
      </c>
      <c r="CL172" s="175">
        <v>0</v>
      </c>
      <c r="CM172" s="175">
        <v>0</v>
      </c>
      <c r="CN172" s="175">
        <v>0</v>
      </c>
      <c r="CO172" s="174">
        <v>0</v>
      </c>
      <c r="CP172" s="174">
        <v>0</v>
      </c>
      <c r="CQ172" s="174">
        <v>0</v>
      </c>
      <c r="CR172" s="174">
        <v>0</v>
      </c>
      <c r="CS172" s="175">
        <v>0</v>
      </c>
      <c r="CT172" s="174">
        <v>0</v>
      </c>
      <c r="CU172" s="174">
        <v>0</v>
      </c>
      <c r="CV172" s="174">
        <v>0</v>
      </c>
    </row>
    <row r="173" spans="1:100" x14ac:dyDescent="0.25">
      <c r="A173" t="s">
        <v>420</v>
      </c>
      <c r="B173" s="166">
        <v>0</v>
      </c>
      <c r="C173" s="166">
        <v>0</v>
      </c>
      <c r="D173" s="166">
        <v>0</v>
      </c>
      <c r="E173" s="166">
        <v>0</v>
      </c>
      <c r="F173" s="166">
        <v>0</v>
      </c>
      <c r="G173" s="166">
        <v>0</v>
      </c>
      <c r="H173" s="166">
        <v>0</v>
      </c>
      <c r="I173" s="166">
        <v>0</v>
      </c>
      <c r="J173" s="166">
        <v>0</v>
      </c>
      <c r="K173" s="166">
        <v>0</v>
      </c>
      <c r="L173" s="166">
        <v>0</v>
      </c>
      <c r="M173" s="166">
        <v>0</v>
      </c>
      <c r="N173" s="166">
        <v>0</v>
      </c>
      <c r="O173" s="166">
        <v>0</v>
      </c>
      <c r="P173" s="166">
        <v>0</v>
      </c>
      <c r="Q173" s="166">
        <v>0</v>
      </c>
      <c r="R173" s="166">
        <v>0</v>
      </c>
      <c r="S173" s="166">
        <v>0</v>
      </c>
      <c r="T173" s="166">
        <v>0</v>
      </c>
      <c r="U173" s="169">
        <v>0</v>
      </c>
      <c r="V173" s="169">
        <v>0</v>
      </c>
      <c r="W173" s="169">
        <v>0</v>
      </c>
      <c r="X173" s="169">
        <v>0</v>
      </c>
      <c r="Y173" s="169">
        <v>0</v>
      </c>
      <c r="Z173" s="65">
        <v>0</v>
      </c>
      <c r="AA173" s="169">
        <v>0</v>
      </c>
      <c r="AB173" s="169">
        <v>0</v>
      </c>
      <c r="AC173" s="169">
        <v>0</v>
      </c>
      <c r="AD173" s="169">
        <v>0</v>
      </c>
      <c r="AE173" s="169">
        <v>0</v>
      </c>
      <c r="AF173" s="169">
        <v>0</v>
      </c>
      <c r="AG173" s="169">
        <v>0</v>
      </c>
      <c r="AH173" s="65">
        <v>0</v>
      </c>
      <c r="AI173" s="169">
        <v>0</v>
      </c>
      <c r="AJ173" s="169">
        <v>0</v>
      </c>
      <c r="AK173" s="169">
        <v>0</v>
      </c>
      <c r="AL173" s="169">
        <v>0</v>
      </c>
      <c r="AM173" s="169">
        <v>0</v>
      </c>
      <c r="AN173" s="170">
        <v>0</v>
      </c>
      <c r="AO173" s="170">
        <v>0</v>
      </c>
      <c r="AP173" s="170">
        <v>0</v>
      </c>
      <c r="AQ173" s="170">
        <v>0</v>
      </c>
      <c r="AR173" s="170">
        <v>0</v>
      </c>
      <c r="AS173" s="170">
        <v>0</v>
      </c>
      <c r="AT173" s="170">
        <f>6%+(char3Refine-1)*2%</f>
        <v>0.14000000000000001</v>
      </c>
      <c r="AU173" s="170">
        <v>0</v>
      </c>
      <c r="AV173" s="170">
        <v>0</v>
      </c>
      <c r="AW173" s="170">
        <v>0</v>
      </c>
      <c r="AX173" s="170">
        <v>0</v>
      </c>
      <c r="AY173" s="170">
        <v>0</v>
      </c>
      <c r="AZ173" s="170">
        <v>0</v>
      </c>
      <c r="BA173" s="170">
        <v>0</v>
      </c>
      <c r="BB173" s="170">
        <v>0</v>
      </c>
      <c r="BC173" s="170">
        <v>0</v>
      </c>
      <c r="BD173" s="170">
        <v>0</v>
      </c>
      <c r="BE173" s="170">
        <v>0</v>
      </c>
      <c r="BF173" s="170">
        <v>0</v>
      </c>
      <c r="BG173" s="170">
        <v>0</v>
      </c>
      <c r="BH173" s="170">
        <v>0</v>
      </c>
      <c r="BI173" s="170">
        <v>0</v>
      </c>
      <c r="BJ173" s="172">
        <v>0</v>
      </c>
      <c r="BK173" s="67">
        <v>0</v>
      </c>
      <c r="BL173" s="172">
        <v>0</v>
      </c>
      <c r="BM173" s="172">
        <v>0</v>
      </c>
      <c r="BN173" s="172">
        <v>0</v>
      </c>
      <c r="BO173" s="172">
        <v>0</v>
      </c>
      <c r="BP173" s="172">
        <v>0</v>
      </c>
      <c r="BQ173" s="172">
        <v>0</v>
      </c>
      <c r="BR173" s="172">
        <v>0</v>
      </c>
      <c r="BS173" s="172">
        <v>0</v>
      </c>
      <c r="BT173" s="172">
        <v>0</v>
      </c>
      <c r="BU173" s="172">
        <v>0</v>
      </c>
      <c r="BV173" s="172">
        <v>0</v>
      </c>
      <c r="BW173" s="172">
        <v>0</v>
      </c>
      <c r="BX173" s="172">
        <v>0</v>
      </c>
      <c r="BY173" s="172">
        <v>0</v>
      </c>
      <c r="BZ173" s="172">
        <v>0</v>
      </c>
      <c r="CA173" s="172">
        <v>0</v>
      </c>
      <c r="CB173" s="172">
        <v>0</v>
      </c>
      <c r="CC173" s="172">
        <v>0</v>
      </c>
      <c r="CD173" s="175">
        <v>0</v>
      </c>
      <c r="CE173" s="72">
        <v>0</v>
      </c>
      <c r="CF173" s="175">
        <v>0</v>
      </c>
      <c r="CG173" s="175">
        <v>0</v>
      </c>
      <c r="CH173" s="175">
        <v>0</v>
      </c>
      <c r="CI173" s="175">
        <v>0</v>
      </c>
      <c r="CJ173" s="175">
        <v>0</v>
      </c>
      <c r="CK173" s="175">
        <v>0</v>
      </c>
      <c r="CL173" s="175">
        <v>0</v>
      </c>
      <c r="CM173" s="175">
        <v>0</v>
      </c>
      <c r="CN173" s="175">
        <v>0</v>
      </c>
      <c r="CO173" s="175">
        <v>0</v>
      </c>
      <c r="CP173" s="175">
        <v>0</v>
      </c>
      <c r="CQ173" s="175">
        <v>0</v>
      </c>
      <c r="CR173" s="175">
        <v>0</v>
      </c>
      <c r="CS173" s="175">
        <v>0</v>
      </c>
      <c r="CT173" s="175">
        <v>0</v>
      </c>
      <c r="CU173" s="175">
        <v>0</v>
      </c>
      <c r="CV173" s="175">
        <v>0</v>
      </c>
    </row>
    <row r="174" spans="1:100" x14ac:dyDescent="0.25">
      <c r="A174" t="s">
        <v>419</v>
      </c>
      <c r="B174" s="166">
        <v>0</v>
      </c>
      <c r="C174" s="166">
        <v>0</v>
      </c>
      <c r="D174" s="166">
        <v>0</v>
      </c>
      <c r="E174" s="166">
        <v>0</v>
      </c>
      <c r="F174" s="166">
        <v>0</v>
      </c>
      <c r="G174" s="166">
        <v>0</v>
      </c>
      <c r="H174" s="166">
        <v>0</v>
      </c>
      <c r="I174" s="166">
        <v>0</v>
      </c>
      <c r="J174" s="166">
        <v>0</v>
      </c>
      <c r="K174" s="166">
        <v>0</v>
      </c>
      <c r="L174" s="166">
        <v>0</v>
      </c>
      <c r="M174" s="166">
        <v>0</v>
      </c>
      <c r="N174" s="166">
        <v>0</v>
      </c>
      <c r="O174" s="166">
        <v>0</v>
      </c>
      <c r="P174" s="166">
        <v>0</v>
      </c>
      <c r="Q174" s="166">
        <v>0</v>
      </c>
      <c r="R174" s="166">
        <v>0</v>
      </c>
      <c r="S174" s="166">
        <v>0</v>
      </c>
      <c r="T174" s="166">
        <v>0</v>
      </c>
      <c r="U174" s="169">
        <v>0</v>
      </c>
      <c r="V174" s="169">
        <v>0</v>
      </c>
      <c r="W174" s="169">
        <v>0</v>
      </c>
      <c r="X174" s="169">
        <v>0</v>
      </c>
      <c r="Y174" s="169">
        <v>0</v>
      </c>
      <c r="Z174" s="65">
        <v>0</v>
      </c>
      <c r="AA174" s="169">
        <f>6%+(char3Refine-1)*1.5%</f>
        <v>0.12</v>
      </c>
      <c r="AB174" s="169">
        <v>0</v>
      </c>
      <c r="AC174" s="169">
        <v>0</v>
      </c>
      <c r="AD174" s="169">
        <v>0</v>
      </c>
      <c r="AE174" s="169">
        <v>0</v>
      </c>
      <c r="AF174" s="169">
        <v>0</v>
      </c>
      <c r="AG174" s="169">
        <v>0</v>
      </c>
      <c r="AH174" s="65">
        <v>0</v>
      </c>
      <c r="AI174" s="169">
        <v>0</v>
      </c>
      <c r="AJ174" s="169">
        <v>0</v>
      </c>
      <c r="AK174" s="169">
        <v>0</v>
      </c>
      <c r="AL174" s="169">
        <v>0</v>
      </c>
      <c r="AM174" s="169">
        <v>0</v>
      </c>
      <c r="AN174" s="170">
        <v>0</v>
      </c>
      <c r="AO174" s="170">
        <v>0</v>
      </c>
      <c r="AP174" s="170">
        <v>0</v>
      </c>
      <c r="AQ174" s="170">
        <v>0</v>
      </c>
      <c r="AR174" s="170">
        <v>0</v>
      </c>
      <c r="AS174" s="170">
        <v>0</v>
      </c>
      <c r="AT174" s="170">
        <v>0</v>
      </c>
      <c r="AU174" s="170">
        <v>0</v>
      </c>
      <c r="AV174" s="170">
        <v>0</v>
      </c>
      <c r="AW174" s="170">
        <v>0</v>
      </c>
      <c r="AX174" s="170">
        <v>0</v>
      </c>
      <c r="AY174" s="170">
        <v>0</v>
      </c>
      <c r="AZ174" s="170">
        <v>0</v>
      </c>
      <c r="BA174" s="170">
        <v>0</v>
      </c>
      <c r="BB174" s="170">
        <v>0</v>
      </c>
      <c r="BC174" s="170">
        <v>0</v>
      </c>
      <c r="BD174" s="170">
        <v>0</v>
      </c>
      <c r="BE174" s="170">
        <v>0</v>
      </c>
      <c r="BF174" s="170">
        <v>0</v>
      </c>
      <c r="BG174" s="170">
        <v>0</v>
      </c>
      <c r="BH174" s="170">
        <v>0</v>
      </c>
      <c r="BI174" s="170">
        <v>0</v>
      </c>
      <c r="BJ174" s="172">
        <v>0</v>
      </c>
      <c r="BK174" s="67">
        <v>0</v>
      </c>
      <c r="BL174" s="172">
        <v>0</v>
      </c>
      <c r="BM174" s="172">
        <v>0</v>
      </c>
      <c r="BN174" s="172">
        <v>0</v>
      </c>
      <c r="BO174" s="172">
        <v>0</v>
      </c>
      <c r="BP174" s="172">
        <v>0</v>
      </c>
      <c r="BQ174" s="172">
        <v>0</v>
      </c>
      <c r="BR174" s="172">
        <v>0</v>
      </c>
      <c r="BS174" s="172">
        <v>0</v>
      </c>
      <c r="BT174" s="172">
        <v>0</v>
      </c>
      <c r="BU174" s="172">
        <v>0</v>
      </c>
      <c r="BV174" s="172">
        <v>0</v>
      </c>
      <c r="BW174" s="172">
        <v>0</v>
      </c>
      <c r="BX174" s="172">
        <v>0</v>
      </c>
      <c r="BY174" s="172">
        <v>0</v>
      </c>
      <c r="BZ174" s="172">
        <v>0</v>
      </c>
      <c r="CA174" s="172">
        <v>0</v>
      </c>
      <c r="CB174" s="172">
        <v>0</v>
      </c>
      <c r="CC174" s="172">
        <v>0</v>
      </c>
      <c r="CD174" s="175">
        <v>0</v>
      </c>
      <c r="CE174" s="72">
        <v>0</v>
      </c>
      <c r="CF174" s="175">
        <v>0</v>
      </c>
      <c r="CG174" s="175">
        <v>0</v>
      </c>
      <c r="CH174" s="175">
        <v>0</v>
      </c>
      <c r="CI174" s="175">
        <v>0</v>
      </c>
      <c r="CJ174" s="175">
        <v>0</v>
      </c>
      <c r="CK174" s="175">
        <v>0</v>
      </c>
      <c r="CL174" s="175">
        <v>0</v>
      </c>
      <c r="CM174" s="175">
        <v>0</v>
      </c>
      <c r="CN174" s="175">
        <v>0</v>
      </c>
      <c r="CO174" s="175">
        <v>0</v>
      </c>
      <c r="CP174" s="175">
        <v>0</v>
      </c>
      <c r="CQ174" s="175">
        <v>0</v>
      </c>
      <c r="CR174" s="175">
        <v>0</v>
      </c>
      <c r="CS174" s="175">
        <v>0</v>
      </c>
      <c r="CT174" s="175">
        <v>0</v>
      </c>
      <c r="CU174" s="175">
        <v>0</v>
      </c>
      <c r="CV174" s="175">
        <v>0</v>
      </c>
    </row>
    <row r="175" spans="1:100" x14ac:dyDescent="0.25">
      <c r="A175" t="s">
        <v>421</v>
      </c>
      <c r="B175" s="166">
        <v>0</v>
      </c>
      <c r="C175" s="166">
        <v>0</v>
      </c>
      <c r="D175" s="166">
        <v>0</v>
      </c>
      <c r="E175" s="166">
        <v>0</v>
      </c>
      <c r="F175" s="166">
        <v>0</v>
      </c>
      <c r="G175" s="166">
        <v>0</v>
      </c>
      <c r="H175" s="166">
        <v>0</v>
      </c>
      <c r="I175" s="166">
        <v>0</v>
      </c>
      <c r="J175" s="166">
        <v>0</v>
      </c>
      <c r="K175" s="166">
        <v>0</v>
      </c>
      <c r="L175" s="166">
        <v>0</v>
      </c>
      <c r="M175" s="166">
        <v>0</v>
      </c>
      <c r="N175" s="166">
        <v>0</v>
      </c>
      <c r="O175" s="166">
        <v>0</v>
      </c>
      <c r="P175" s="166">
        <v>0</v>
      </c>
      <c r="Q175" s="166">
        <v>0</v>
      </c>
      <c r="R175" s="166">
        <v>0</v>
      </c>
      <c r="S175" s="166">
        <v>0</v>
      </c>
      <c r="T175" s="166">
        <v>0</v>
      </c>
      <c r="U175" s="169">
        <v>0</v>
      </c>
      <c r="V175" s="169">
        <v>0</v>
      </c>
      <c r="W175" s="169">
        <v>0</v>
      </c>
      <c r="X175" s="169">
        <v>0</v>
      </c>
      <c r="Y175" s="169">
        <v>0</v>
      </c>
      <c r="Z175" s="65">
        <v>0</v>
      </c>
      <c r="AA175" s="169">
        <v>0</v>
      </c>
      <c r="AB175" s="169">
        <v>0</v>
      </c>
      <c r="AC175" s="169">
        <v>0</v>
      </c>
      <c r="AD175" s="169">
        <v>0</v>
      </c>
      <c r="AE175" s="169">
        <v>0</v>
      </c>
      <c r="AF175" s="169">
        <v>0</v>
      </c>
      <c r="AG175" s="169">
        <v>0</v>
      </c>
      <c r="AH175" s="65">
        <v>0</v>
      </c>
      <c r="AI175" s="169">
        <v>0</v>
      </c>
      <c r="AJ175" s="169">
        <v>0</v>
      </c>
      <c r="AK175" s="169">
        <v>0</v>
      </c>
      <c r="AL175" s="169">
        <v>0</v>
      </c>
      <c r="AM175" s="169">
        <v>0</v>
      </c>
      <c r="AN175" s="170">
        <v>0</v>
      </c>
      <c r="AO175" s="170">
        <v>0</v>
      </c>
      <c r="AP175" s="170">
        <v>0</v>
      </c>
      <c r="AQ175" s="170">
        <v>0</v>
      </c>
      <c r="AR175" s="170">
        <v>0</v>
      </c>
      <c r="AS175" s="170">
        <v>0</v>
      </c>
      <c r="AT175" s="170">
        <v>0</v>
      </c>
      <c r="AU175" s="170">
        <v>0</v>
      </c>
      <c r="AV175" s="170">
        <v>0</v>
      </c>
      <c r="AW175" s="170">
        <v>0</v>
      </c>
      <c r="AX175" s="170">
        <v>0</v>
      </c>
      <c r="AY175" s="170">
        <v>0</v>
      </c>
      <c r="AZ175" s="170">
        <v>0</v>
      </c>
      <c r="BA175" s="170">
        <v>0</v>
      </c>
      <c r="BB175" s="170">
        <v>0</v>
      </c>
      <c r="BC175" s="170">
        <v>0</v>
      </c>
      <c r="BD175" s="170">
        <v>0</v>
      </c>
      <c r="BE175" s="170">
        <v>0</v>
      </c>
      <c r="BF175" s="170">
        <v>0</v>
      </c>
      <c r="BG175" s="170">
        <v>0</v>
      </c>
      <c r="BH175" s="170">
        <v>0</v>
      </c>
      <c r="BI175" s="170">
        <v>0</v>
      </c>
      <c r="BJ175" s="172">
        <v>0</v>
      </c>
      <c r="BK175" s="67">
        <v>0</v>
      </c>
      <c r="BL175" s="172">
        <v>0</v>
      </c>
      <c r="BM175" s="172">
        <v>0</v>
      </c>
      <c r="BN175" s="172">
        <v>0</v>
      </c>
      <c r="BO175" s="172">
        <v>0</v>
      </c>
      <c r="BP175" s="172">
        <v>0</v>
      </c>
      <c r="BQ175" s="172">
        <v>0</v>
      </c>
      <c r="BR175" s="172">
        <v>0</v>
      </c>
      <c r="BS175" s="172">
        <v>0</v>
      </c>
      <c r="BT175" s="172">
        <v>0</v>
      </c>
      <c r="BU175" s="172">
        <v>0</v>
      </c>
      <c r="BV175" s="172">
        <v>0</v>
      </c>
      <c r="BW175" s="172">
        <v>0</v>
      </c>
      <c r="BX175" s="172">
        <v>0</v>
      </c>
      <c r="BY175" s="172">
        <v>0</v>
      </c>
      <c r="BZ175" s="172">
        <v>0</v>
      </c>
      <c r="CA175" s="172">
        <v>0</v>
      </c>
      <c r="CB175" s="172">
        <v>0</v>
      </c>
      <c r="CC175" s="172">
        <v>0</v>
      </c>
      <c r="CD175" s="175">
        <v>0</v>
      </c>
      <c r="CE175" s="72">
        <v>0</v>
      </c>
      <c r="CF175" s="175">
        <v>0</v>
      </c>
      <c r="CG175" s="175">
        <v>0</v>
      </c>
      <c r="CH175" s="175">
        <v>0</v>
      </c>
      <c r="CI175" s="175">
        <v>0</v>
      </c>
      <c r="CJ175" s="175">
        <v>0</v>
      </c>
      <c r="CK175" s="175">
        <v>0</v>
      </c>
      <c r="CL175" s="175">
        <v>0</v>
      </c>
      <c r="CM175" s="175">
        <v>0</v>
      </c>
      <c r="CN175" s="175">
        <v>0</v>
      </c>
      <c r="CO175" s="175">
        <v>0</v>
      </c>
      <c r="CP175" s="175">
        <v>0</v>
      </c>
      <c r="CQ175" s="175">
        <v>0</v>
      </c>
      <c r="CR175" s="175">
        <v>0</v>
      </c>
      <c r="CS175" s="175">
        <v>0</v>
      </c>
      <c r="CT175" s="175">
        <v>0</v>
      </c>
      <c r="CU175" s="175">
        <v>0</v>
      </c>
      <c r="CV175" s="175">
        <v>0</v>
      </c>
    </row>
    <row r="176" spans="1:100" x14ac:dyDescent="0.25">
      <c r="A176" t="s">
        <v>433</v>
      </c>
      <c r="B176" s="166">
        <v>0</v>
      </c>
      <c r="C176" s="166">
        <v>0</v>
      </c>
      <c r="D176" s="166">
        <v>0</v>
      </c>
      <c r="E176" s="166">
        <v>0</v>
      </c>
      <c r="F176" s="166">
        <v>0</v>
      </c>
      <c r="G176" s="166">
        <v>0</v>
      </c>
      <c r="H176" s="166">
        <v>0</v>
      </c>
      <c r="I176" s="166">
        <v>0</v>
      </c>
      <c r="J176" s="166">
        <v>0</v>
      </c>
      <c r="K176" s="166">
        <v>0</v>
      </c>
      <c r="L176" s="166">
        <v>0</v>
      </c>
      <c r="M176" s="166">
        <v>0</v>
      </c>
      <c r="N176" s="166">
        <v>0</v>
      </c>
      <c r="O176" s="166">
        <v>0</v>
      </c>
      <c r="P176" s="166">
        <v>0</v>
      </c>
      <c r="Q176" s="166">
        <v>0</v>
      </c>
      <c r="R176" s="166">
        <v>0</v>
      </c>
      <c r="S176" s="166">
        <v>0</v>
      </c>
      <c r="T176" s="166">
        <v>0</v>
      </c>
      <c r="U176" s="169">
        <v>0</v>
      </c>
      <c r="V176" s="169">
        <v>0</v>
      </c>
      <c r="W176" s="169">
        <v>0</v>
      </c>
      <c r="X176" s="169">
        <v>0</v>
      </c>
      <c r="Y176" s="169">
        <v>0</v>
      </c>
      <c r="Z176" s="65">
        <v>0</v>
      </c>
      <c r="AA176" s="169">
        <v>0</v>
      </c>
      <c r="AB176" s="169">
        <v>0</v>
      </c>
      <c r="AC176" s="169">
        <v>0</v>
      </c>
      <c r="AD176" s="169">
        <v>0</v>
      </c>
      <c r="AE176" s="169">
        <v>0</v>
      </c>
      <c r="AF176" s="169">
        <v>0</v>
      </c>
      <c r="AG176" s="169">
        <v>0</v>
      </c>
      <c r="AH176" s="65">
        <v>0</v>
      </c>
      <c r="AI176" s="169">
        <v>0</v>
      </c>
      <c r="AJ176" s="169">
        <v>0</v>
      </c>
      <c r="AK176" s="169">
        <v>0</v>
      </c>
      <c r="AL176" s="169">
        <v>0</v>
      </c>
      <c r="AM176" s="169">
        <v>0</v>
      </c>
      <c r="AN176" s="170">
        <v>0</v>
      </c>
      <c r="AO176" s="170">
        <v>0</v>
      </c>
      <c r="AP176" s="170">
        <v>0</v>
      </c>
      <c r="AQ176" s="170">
        <v>0</v>
      </c>
      <c r="AR176" s="170">
        <v>0</v>
      </c>
      <c r="AS176" s="170">
        <v>0</v>
      </c>
      <c r="AT176" s="170">
        <v>0</v>
      </c>
      <c r="AU176" s="170">
        <v>0</v>
      </c>
      <c r="AV176" s="170">
        <v>0</v>
      </c>
      <c r="AW176" s="170">
        <v>0</v>
      </c>
      <c r="AX176" s="170">
        <v>0</v>
      </c>
      <c r="AY176" s="170">
        <v>0</v>
      </c>
      <c r="AZ176" s="170">
        <v>0</v>
      </c>
      <c r="BA176" s="170">
        <v>0</v>
      </c>
      <c r="BB176" s="170">
        <v>0</v>
      </c>
      <c r="BC176" s="170">
        <v>0</v>
      </c>
      <c r="BD176" s="170">
        <v>0</v>
      </c>
      <c r="BE176" s="170">
        <v>0</v>
      </c>
      <c r="BF176" s="170">
        <v>0</v>
      </c>
      <c r="BG176" s="170">
        <v>0</v>
      </c>
      <c r="BH176" s="170">
        <v>0</v>
      </c>
      <c r="BI176" s="170">
        <v>0</v>
      </c>
      <c r="BJ176" s="172">
        <v>0</v>
      </c>
      <c r="BK176" s="67">
        <v>0</v>
      </c>
      <c r="BL176" s="172">
        <v>0</v>
      </c>
      <c r="BM176" s="172">
        <v>0</v>
      </c>
      <c r="BN176" s="172">
        <v>0</v>
      </c>
      <c r="BO176" s="172">
        <v>0</v>
      </c>
      <c r="BP176" s="172">
        <v>0</v>
      </c>
      <c r="BQ176" s="172">
        <v>0</v>
      </c>
      <c r="BR176" s="172">
        <v>0</v>
      </c>
      <c r="BS176" s="172">
        <v>0</v>
      </c>
      <c r="BT176" s="172">
        <v>0</v>
      </c>
      <c r="BU176" s="172">
        <v>0</v>
      </c>
      <c r="BV176" s="172">
        <v>0</v>
      </c>
      <c r="BW176" s="172">
        <v>0</v>
      </c>
      <c r="BX176" s="172">
        <v>0</v>
      </c>
      <c r="BY176" s="172">
        <v>0</v>
      </c>
      <c r="BZ176" s="172">
        <v>0</v>
      </c>
      <c r="CA176" s="172">
        <v>0</v>
      </c>
      <c r="CB176" s="172">
        <v>0</v>
      </c>
      <c r="CC176" s="172">
        <v>0</v>
      </c>
      <c r="CD176" s="175">
        <v>0</v>
      </c>
      <c r="CE176" s="72">
        <v>0</v>
      </c>
      <c r="CF176" s="175">
        <v>0</v>
      </c>
      <c r="CG176" s="175">
        <v>0</v>
      </c>
      <c r="CH176" s="175">
        <v>0</v>
      </c>
      <c r="CI176" s="175">
        <v>0</v>
      </c>
      <c r="CJ176" s="175">
        <v>0</v>
      </c>
      <c r="CK176" s="175">
        <v>0</v>
      </c>
      <c r="CL176" s="175">
        <v>0</v>
      </c>
      <c r="CM176" s="175">
        <v>0</v>
      </c>
      <c r="CN176" s="175">
        <v>0</v>
      </c>
      <c r="CO176" s="175">
        <v>0</v>
      </c>
      <c r="CP176" s="175">
        <v>0</v>
      </c>
      <c r="CQ176" s="175">
        <v>0</v>
      </c>
      <c r="CR176" s="175">
        <v>0</v>
      </c>
      <c r="CS176" s="175">
        <v>0</v>
      </c>
      <c r="CT176" s="175">
        <v>0</v>
      </c>
      <c r="CU176" s="175">
        <v>0</v>
      </c>
      <c r="CV176" s="175">
        <v>0</v>
      </c>
    </row>
    <row r="177" spans="1:100" x14ac:dyDescent="0.25">
      <c r="A177" s="44" t="s">
        <v>62</v>
      </c>
      <c r="B177" s="176">
        <v>0</v>
      </c>
      <c r="C177" s="177">
        <v>0</v>
      </c>
      <c r="D177" s="202">
        <v>0</v>
      </c>
      <c r="E177" s="177">
        <v>0</v>
      </c>
      <c r="F177" s="202">
        <v>0</v>
      </c>
      <c r="G177" s="177">
        <v>0</v>
      </c>
      <c r="H177" s="177">
        <v>0</v>
      </c>
      <c r="I177" s="177">
        <v>0</v>
      </c>
      <c r="J177" s="177">
        <v>0</v>
      </c>
      <c r="K177" s="177">
        <v>0</v>
      </c>
      <c r="L177" s="177">
        <v>0</v>
      </c>
      <c r="M177" s="177">
        <v>0</v>
      </c>
      <c r="N177" s="177">
        <v>0</v>
      </c>
      <c r="O177" s="177">
        <v>0</v>
      </c>
      <c r="P177" s="202">
        <v>0</v>
      </c>
      <c r="Q177" s="202">
        <v>0</v>
      </c>
      <c r="R177" s="202">
        <v>0</v>
      </c>
      <c r="S177" s="177">
        <v>0</v>
      </c>
      <c r="T177" s="177">
        <v>0</v>
      </c>
      <c r="U177" s="178">
        <v>0</v>
      </c>
      <c r="V177" s="178">
        <v>0</v>
      </c>
      <c r="W177" s="178">
        <v>0</v>
      </c>
      <c r="X177" s="178">
        <v>0</v>
      </c>
      <c r="Y177" s="178">
        <f>IF(char3WeapToggle,(char3FinalHP*(0.008+(char3Refine-1)*0.002))+(char3FinalHP*(0.01+(char3Refine-1)*0.002)),(char3FinalHP*(0.008+(char3Refine-1)*0.002)))</f>
        <v>785.74577320000003</v>
      </c>
      <c r="Z177" s="65">
        <v>0</v>
      </c>
      <c r="AA177" s="178">
        <v>0</v>
      </c>
      <c r="AB177" s="178">
        <v>0</v>
      </c>
      <c r="AC177" s="178">
        <v>0</v>
      </c>
      <c r="AD177" s="178">
        <v>0</v>
      </c>
      <c r="AE177" s="178">
        <v>0</v>
      </c>
      <c r="AF177" s="178">
        <v>0</v>
      </c>
      <c r="AG177" s="178">
        <v>0</v>
      </c>
      <c r="AH177" s="74">
        <v>0</v>
      </c>
      <c r="AI177" s="178">
        <v>0</v>
      </c>
      <c r="AJ177" s="178">
        <v>0</v>
      </c>
      <c r="AK177" s="178">
        <v>0</v>
      </c>
      <c r="AL177" s="178">
        <v>0</v>
      </c>
      <c r="AM177" s="178">
        <v>0</v>
      </c>
      <c r="AN177" s="179">
        <f>((1.2+(char3Refine-1)*0.3)/100)*char3FinalHP</f>
        <v>554.64407519999997</v>
      </c>
      <c r="AO177" s="179">
        <v>0</v>
      </c>
      <c r="AP177" s="179">
        <v>0</v>
      </c>
      <c r="AQ177" s="179">
        <v>0</v>
      </c>
      <c r="AR177" s="179">
        <v>0</v>
      </c>
      <c r="AS177" s="179">
        <v>0</v>
      </c>
      <c r="AT177" s="179">
        <v>0</v>
      </c>
      <c r="AU177" s="179">
        <v>0</v>
      </c>
      <c r="AV177" s="179">
        <v>0</v>
      </c>
      <c r="AW177" s="179">
        <v>0</v>
      </c>
      <c r="AX177" s="179">
        <v>0</v>
      </c>
      <c r="AY177" s="179">
        <v>0</v>
      </c>
      <c r="AZ177" s="179">
        <v>0</v>
      </c>
      <c r="BA177" s="179">
        <v>0</v>
      </c>
      <c r="BB177" s="179">
        <v>0</v>
      </c>
      <c r="BC177" s="179">
        <v>0</v>
      </c>
      <c r="BD177" s="179">
        <v>0</v>
      </c>
      <c r="BE177" s="179">
        <v>0</v>
      </c>
      <c r="BF177" s="179">
        <v>0</v>
      </c>
      <c r="BG177" s="179">
        <v>0</v>
      </c>
      <c r="BH177" s="179">
        <v>0</v>
      </c>
      <c r="BI177" s="179">
        <v>0</v>
      </c>
      <c r="BJ177" s="164">
        <v>0</v>
      </c>
      <c r="BK177" s="67">
        <v>0</v>
      </c>
      <c r="BL177" s="164">
        <v>0</v>
      </c>
      <c r="BM177" s="164">
        <v>0</v>
      </c>
      <c r="BN177" s="164">
        <v>0</v>
      </c>
      <c r="BO177" s="164">
        <v>0</v>
      </c>
      <c r="BP177" s="164">
        <v>0</v>
      </c>
      <c r="BQ177" s="164">
        <v>0</v>
      </c>
      <c r="BR177" s="164">
        <v>0</v>
      </c>
      <c r="BS177" s="164">
        <v>0</v>
      </c>
      <c r="BT177" s="164">
        <v>0</v>
      </c>
      <c r="BU177" s="164">
        <v>0</v>
      </c>
      <c r="BV177" s="164">
        <v>0</v>
      </c>
      <c r="BW177" s="164">
        <v>0</v>
      </c>
      <c r="BX177" s="164">
        <v>0</v>
      </c>
      <c r="BY177" s="164">
        <v>0</v>
      </c>
      <c r="BZ177" s="164">
        <v>0</v>
      </c>
      <c r="CA177" s="164">
        <v>0</v>
      </c>
      <c r="CB177" s="164">
        <v>0</v>
      </c>
      <c r="CC177" s="164">
        <v>0</v>
      </c>
      <c r="CD177" s="180">
        <v>0</v>
      </c>
      <c r="CE177" s="77">
        <v>0</v>
      </c>
      <c r="CF177" s="180">
        <v>0</v>
      </c>
      <c r="CG177" s="180">
        <v>0</v>
      </c>
      <c r="CH177" s="180">
        <v>0</v>
      </c>
      <c r="CI177" s="180">
        <v>0</v>
      </c>
      <c r="CJ177" s="180">
        <v>0</v>
      </c>
      <c r="CK177" s="181">
        <v>0</v>
      </c>
      <c r="CL177" s="180">
        <v>0</v>
      </c>
      <c r="CM177" s="180">
        <v>0</v>
      </c>
      <c r="CN177" s="180">
        <v>0</v>
      </c>
      <c r="CO177" s="180">
        <v>0</v>
      </c>
      <c r="CP177" s="180">
        <v>0</v>
      </c>
      <c r="CQ177" s="181">
        <v>0</v>
      </c>
      <c r="CR177" s="180">
        <v>0</v>
      </c>
      <c r="CS177" s="180">
        <v>0</v>
      </c>
      <c r="CT177" s="180">
        <v>0</v>
      </c>
      <c r="CU177" s="180">
        <v>0</v>
      </c>
      <c r="CV177" s="181">
        <v>0</v>
      </c>
    </row>
    <row r="178" spans="1:100" x14ac:dyDescent="0.25">
      <c r="A178" s="44" t="s">
        <v>64</v>
      </c>
      <c r="B178" s="176">
        <v>0</v>
      </c>
      <c r="C178" s="177">
        <v>0</v>
      </c>
      <c r="D178" s="202">
        <v>0</v>
      </c>
      <c r="E178" s="177">
        <v>0</v>
      </c>
      <c r="F178" s="202">
        <v>0</v>
      </c>
      <c r="G178" s="177">
        <v>0</v>
      </c>
      <c r="H178" s="177">
        <v>0</v>
      </c>
      <c r="I178" s="177">
        <v>0</v>
      </c>
      <c r="J178" s="177">
        <v>0</v>
      </c>
      <c r="K178" s="177">
        <v>0</v>
      </c>
      <c r="L178" s="177">
        <v>0</v>
      </c>
      <c r="M178" s="177">
        <v>0</v>
      </c>
      <c r="N178" s="177">
        <v>0</v>
      </c>
      <c r="O178" s="177">
        <v>0</v>
      </c>
      <c r="P178" s="202">
        <v>0</v>
      </c>
      <c r="Q178" s="202">
        <v>0</v>
      </c>
      <c r="R178" s="202">
        <v>0</v>
      </c>
      <c r="S178" s="177">
        <v>0</v>
      </c>
      <c r="T178" s="177">
        <v>0</v>
      </c>
      <c r="U178" s="178">
        <v>0</v>
      </c>
      <c r="V178" s="178">
        <v>0</v>
      </c>
      <c r="W178" s="178">
        <v>0</v>
      </c>
      <c r="X178" s="178">
        <v>0</v>
      </c>
      <c r="Y178" s="178">
        <v>0</v>
      </c>
      <c r="Z178" s="65">
        <v>0</v>
      </c>
      <c r="AA178" s="178">
        <v>0</v>
      </c>
      <c r="AB178" s="178">
        <v>0</v>
      </c>
      <c r="AC178" s="178">
        <v>0</v>
      </c>
      <c r="AD178" s="178">
        <v>0</v>
      </c>
      <c r="AE178" s="178">
        <v>0</v>
      </c>
      <c r="AF178" s="178">
        <v>0</v>
      </c>
      <c r="AG178" s="178">
        <v>0</v>
      </c>
      <c r="AH178" s="74">
        <v>0</v>
      </c>
      <c r="AI178" s="178">
        <v>0</v>
      </c>
      <c r="AJ178" s="178">
        <v>0</v>
      </c>
      <c r="AK178" s="178">
        <v>0</v>
      </c>
      <c r="AL178" s="178">
        <v>0</v>
      </c>
      <c r="AM178" s="178">
        <v>0</v>
      </c>
      <c r="AN178" s="179">
        <v>0</v>
      </c>
      <c r="AO178" s="179">
        <v>0</v>
      </c>
      <c r="AP178" s="179">
        <v>0</v>
      </c>
      <c r="AQ178" s="179">
        <v>0</v>
      </c>
      <c r="AR178" s="179">
        <v>0</v>
      </c>
      <c r="AS178" s="179">
        <v>0</v>
      </c>
      <c r="AT178" s="179">
        <v>0</v>
      </c>
      <c r="AU178" s="179">
        <v>0</v>
      </c>
      <c r="AV178" s="179">
        <v>0</v>
      </c>
      <c r="AW178" s="179">
        <v>0</v>
      </c>
      <c r="AX178" s="179">
        <v>0</v>
      </c>
      <c r="AY178" s="179">
        <v>0</v>
      </c>
      <c r="AZ178" s="179">
        <v>0</v>
      </c>
      <c r="BA178" s="179">
        <v>0</v>
      </c>
      <c r="BB178" s="179">
        <v>0</v>
      </c>
      <c r="BC178" s="179">
        <v>0</v>
      </c>
      <c r="BD178" s="179">
        <v>0</v>
      </c>
      <c r="BE178" s="179">
        <v>0</v>
      </c>
      <c r="BF178" s="179">
        <v>0</v>
      </c>
      <c r="BG178" s="179">
        <v>0</v>
      </c>
      <c r="BH178" s="179">
        <v>0</v>
      </c>
      <c r="BI178" s="179">
        <v>0</v>
      </c>
      <c r="BJ178" s="164">
        <v>0</v>
      </c>
      <c r="BK178" s="67">
        <v>0</v>
      </c>
      <c r="BL178" s="164">
        <v>0</v>
      </c>
      <c r="BM178" s="164">
        <v>0</v>
      </c>
      <c r="BN178" s="164">
        <v>0</v>
      </c>
      <c r="BO178" s="164">
        <v>0</v>
      </c>
      <c r="BP178" s="164">
        <v>0</v>
      </c>
      <c r="BQ178" s="164">
        <v>0</v>
      </c>
      <c r="BR178" s="164">
        <v>0</v>
      </c>
      <c r="BS178" s="164">
        <v>0</v>
      </c>
      <c r="BT178" s="164">
        <v>0</v>
      </c>
      <c r="BU178" s="164">
        <v>0</v>
      </c>
      <c r="BV178" s="164">
        <v>0</v>
      </c>
      <c r="BW178" s="164">
        <v>0</v>
      </c>
      <c r="BX178" s="164">
        <v>0</v>
      </c>
      <c r="BY178" s="164">
        <v>0</v>
      </c>
      <c r="BZ178" s="164">
        <v>0</v>
      </c>
      <c r="CA178" s="164">
        <v>0</v>
      </c>
      <c r="CB178" s="164">
        <v>0</v>
      </c>
      <c r="CC178" s="164">
        <v>0</v>
      </c>
      <c r="CD178" s="180">
        <v>0</v>
      </c>
      <c r="CE178" s="77">
        <v>0</v>
      </c>
      <c r="CF178" s="180">
        <v>0</v>
      </c>
      <c r="CG178" s="180">
        <v>0</v>
      </c>
      <c r="CH178" s="180">
        <v>0</v>
      </c>
      <c r="CI178" s="180">
        <v>0</v>
      </c>
      <c r="CJ178" s="180">
        <v>0</v>
      </c>
      <c r="CK178" s="181">
        <v>0</v>
      </c>
      <c r="CL178" s="180">
        <v>0</v>
      </c>
      <c r="CM178" s="180">
        <v>0</v>
      </c>
      <c r="CN178" s="180">
        <v>0</v>
      </c>
      <c r="CO178" s="180">
        <v>0</v>
      </c>
      <c r="CP178" s="180">
        <v>0</v>
      </c>
      <c r="CQ178" s="181">
        <v>0</v>
      </c>
      <c r="CR178" s="180">
        <v>0</v>
      </c>
      <c r="CS178" s="180">
        <v>0</v>
      </c>
      <c r="CT178" s="180">
        <v>0</v>
      </c>
      <c r="CU178" s="180">
        <v>0</v>
      </c>
      <c r="CV178" s="181">
        <v>0</v>
      </c>
    </row>
    <row r="179" spans="1:100" x14ac:dyDescent="0.25">
      <c r="A179" s="44" t="s">
        <v>63</v>
      </c>
      <c r="B179" s="176">
        <v>0</v>
      </c>
      <c r="C179" s="177">
        <v>0</v>
      </c>
      <c r="D179" s="202">
        <v>0</v>
      </c>
      <c r="E179" s="177">
        <v>0</v>
      </c>
      <c r="F179" s="202">
        <v>0</v>
      </c>
      <c r="G179" s="177">
        <v>0</v>
      </c>
      <c r="H179" s="177">
        <v>0</v>
      </c>
      <c r="I179" s="177">
        <v>0</v>
      </c>
      <c r="J179" s="177">
        <v>0</v>
      </c>
      <c r="K179" s="177">
        <v>0</v>
      </c>
      <c r="L179" s="177">
        <v>0</v>
      </c>
      <c r="M179" s="177">
        <v>0</v>
      </c>
      <c r="N179" s="177">
        <v>0</v>
      </c>
      <c r="O179" s="177">
        <v>0</v>
      </c>
      <c r="P179" s="202">
        <v>0</v>
      </c>
      <c r="Q179" s="202">
        <v>0</v>
      </c>
      <c r="R179" s="202">
        <v>0</v>
      </c>
      <c r="S179" s="177">
        <v>0</v>
      </c>
      <c r="T179" s="177">
        <v>0</v>
      </c>
      <c r="U179" s="178">
        <v>0</v>
      </c>
      <c r="V179" s="178">
        <v>0</v>
      </c>
      <c r="W179" s="178">
        <v>0</v>
      </c>
      <c r="X179" s="178">
        <v>0</v>
      </c>
      <c r="Y179" s="178">
        <v>0</v>
      </c>
      <c r="Z179" s="65">
        <v>0</v>
      </c>
      <c r="AA179" s="178">
        <v>0</v>
      </c>
      <c r="AB179" s="178">
        <v>0</v>
      </c>
      <c r="AC179" s="178">
        <v>0</v>
      </c>
      <c r="AD179" s="178">
        <v>0</v>
      </c>
      <c r="AE179" s="178">
        <v>0</v>
      </c>
      <c r="AF179" s="178">
        <v>0</v>
      </c>
      <c r="AG179" s="178">
        <v>0</v>
      </c>
      <c r="AH179" s="74">
        <v>0</v>
      </c>
      <c r="AI179" s="178">
        <v>0</v>
      </c>
      <c r="AJ179" s="178">
        <v>0</v>
      </c>
      <c r="AK179" s="178">
        <v>0</v>
      </c>
      <c r="AL179" s="178">
        <v>0</v>
      </c>
      <c r="AM179" s="178">
        <v>0</v>
      </c>
      <c r="AN179" s="179">
        <v>0</v>
      </c>
      <c r="AO179" s="179">
        <v>0</v>
      </c>
      <c r="AP179" s="179">
        <v>0</v>
      </c>
      <c r="AQ179" s="179">
        <v>0</v>
      </c>
      <c r="AR179" s="179">
        <v>0</v>
      </c>
      <c r="AS179" s="179">
        <v>0</v>
      </c>
      <c r="AT179" s="179">
        <v>0</v>
      </c>
      <c r="AU179" s="179">
        <v>0</v>
      </c>
      <c r="AV179" s="179">
        <v>0</v>
      </c>
      <c r="AW179" s="179">
        <v>0</v>
      </c>
      <c r="AX179" s="179">
        <v>0</v>
      </c>
      <c r="AY179" s="179">
        <v>0</v>
      </c>
      <c r="AZ179" s="179">
        <v>0</v>
      </c>
      <c r="BA179" s="179">
        <v>0</v>
      </c>
      <c r="BB179" s="179">
        <v>0</v>
      </c>
      <c r="BC179" s="179">
        <v>0</v>
      </c>
      <c r="BD179" s="179">
        <v>0</v>
      </c>
      <c r="BE179" s="179">
        <v>0</v>
      </c>
      <c r="BF179" s="179">
        <v>0</v>
      </c>
      <c r="BG179" s="179">
        <v>0</v>
      </c>
      <c r="BH179" s="179">
        <v>0</v>
      </c>
      <c r="BI179" s="179">
        <v>0</v>
      </c>
      <c r="BJ179" s="164">
        <v>0</v>
      </c>
      <c r="BK179" s="67">
        <v>0</v>
      </c>
      <c r="BL179" s="164">
        <v>0</v>
      </c>
      <c r="BM179" s="164">
        <v>0</v>
      </c>
      <c r="BN179" s="164">
        <v>0</v>
      </c>
      <c r="BO179" s="164">
        <v>0</v>
      </c>
      <c r="BP179" s="164">
        <v>0</v>
      </c>
      <c r="BQ179" s="164">
        <v>0</v>
      </c>
      <c r="BR179" s="164">
        <v>0</v>
      </c>
      <c r="BS179" s="164">
        <v>0</v>
      </c>
      <c r="BT179" s="164">
        <v>0</v>
      </c>
      <c r="BU179" s="164">
        <v>0</v>
      </c>
      <c r="BV179" s="164">
        <v>0</v>
      </c>
      <c r="BW179" s="164">
        <v>0</v>
      </c>
      <c r="BX179" s="164">
        <v>0</v>
      </c>
      <c r="BY179" s="164">
        <v>0</v>
      </c>
      <c r="BZ179" s="164">
        <v>0</v>
      </c>
      <c r="CA179" s="164">
        <v>0</v>
      </c>
      <c r="CB179" s="164">
        <v>0</v>
      </c>
      <c r="CC179" s="164">
        <v>0</v>
      </c>
      <c r="CD179" s="180">
        <v>0</v>
      </c>
      <c r="CE179" s="77">
        <v>0</v>
      </c>
      <c r="CF179" s="180">
        <v>0</v>
      </c>
      <c r="CG179" s="180">
        <v>0</v>
      </c>
      <c r="CH179" s="180">
        <v>0</v>
      </c>
      <c r="CI179" s="180">
        <v>0</v>
      </c>
      <c r="CJ179" s="180">
        <v>0</v>
      </c>
      <c r="CK179" s="181">
        <v>0</v>
      </c>
      <c r="CL179" s="180">
        <v>0</v>
      </c>
      <c r="CM179" s="180">
        <v>0</v>
      </c>
      <c r="CN179" s="180">
        <v>0</v>
      </c>
      <c r="CO179" s="180">
        <v>0</v>
      </c>
      <c r="CP179" s="180">
        <v>0</v>
      </c>
      <c r="CQ179" s="181">
        <v>0</v>
      </c>
      <c r="CR179" s="180">
        <v>0</v>
      </c>
      <c r="CS179" s="180">
        <v>0</v>
      </c>
      <c r="CT179" s="180">
        <v>0</v>
      </c>
      <c r="CU179" s="180">
        <v>0</v>
      </c>
      <c r="CV179" s="181">
        <v>0</v>
      </c>
    </row>
    <row r="180" spans="1:100" x14ac:dyDescent="0.25">
      <c r="A180" s="44" t="s">
        <v>719</v>
      </c>
      <c r="B180" s="176" t="b">
        <v>1</v>
      </c>
      <c r="C180" s="177" t="b">
        <v>0</v>
      </c>
      <c r="D180" s="177" t="b">
        <v>1</v>
      </c>
      <c r="E180" s="177" t="b">
        <v>0</v>
      </c>
      <c r="F180" s="177" t="b">
        <v>0</v>
      </c>
      <c r="G180" s="177" t="b">
        <v>0</v>
      </c>
      <c r="H180" s="177" t="b">
        <v>0</v>
      </c>
      <c r="I180" s="177" t="b">
        <v>0</v>
      </c>
      <c r="J180" s="177" t="b">
        <v>0</v>
      </c>
      <c r="K180" s="177" t="b">
        <v>0</v>
      </c>
      <c r="L180" s="177" t="b">
        <v>1</v>
      </c>
      <c r="M180" s="177" t="b">
        <v>0</v>
      </c>
      <c r="N180" s="177" t="b">
        <v>0</v>
      </c>
      <c r="O180" s="177" t="b">
        <v>1</v>
      </c>
      <c r="P180" s="177" t="b">
        <v>1</v>
      </c>
      <c r="Q180" s="177" t="b">
        <v>0</v>
      </c>
      <c r="R180" s="177" t="b">
        <v>0</v>
      </c>
      <c r="S180" s="177" t="b">
        <v>0</v>
      </c>
      <c r="T180" s="177" t="b">
        <v>0</v>
      </c>
      <c r="U180" s="178" t="b">
        <v>1</v>
      </c>
      <c r="V180" s="178" t="b">
        <v>0</v>
      </c>
      <c r="W180" s="178" t="b">
        <v>0</v>
      </c>
      <c r="X180" s="178" t="b">
        <v>0</v>
      </c>
      <c r="Y180" s="178" t="b">
        <v>0</v>
      </c>
      <c r="Z180" s="137" t="b">
        <v>0</v>
      </c>
      <c r="AA180" s="178" t="b">
        <v>0</v>
      </c>
      <c r="AB180" s="178" t="b">
        <v>0</v>
      </c>
      <c r="AC180" s="178" t="b">
        <v>1</v>
      </c>
      <c r="AD180" s="178" t="b">
        <v>0</v>
      </c>
      <c r="AE180" s="178" t="b">
        <v>0</v>
      </c>
      <c r="AF180" s="178" t="b">
        <v>0</v>
      </c>
      <c r="AG180" s="178" t="b">
        <v>0</v>
      </c>
      <c r="AH180" s="137" t="b">
        <v>0</v>
      </c>
      <c r="AI180" s="178" t="b">
        <v>0</v>
      </c>
      <c r="AJ180" s="178" t="b">
        <v>1</v>
      </c>
      <c r="AK180" s="178" t="b">
        <v>0</v>
      </c>
      <c r="AL180" s="178" t="b">
        <v>0</v>
      </c>
      <c r="AM180" s="178" t="b">
        <v>0</v>
      </c>
      <c r="AN180" s="179" t="b">
        <v>0</v>
      </c>
      <c r="AO180" s="179" t="b">
        <v>0</v>
      </c>
      <c r="AP180" s="179" t="b">
        <v>0</v>
      </c>
      <c r="AQ180" s="179" t="b">
        <v>0</v>
      </c>
      <c r="AR180" s="179" t="b">
        <v>1</v>
      </c>
      <c r="AS180" s="179" t="b">
        <v>1</v>
      </c>
      <c r="AT180" s="179" t="b">
        <v>0</v>
      </c>
      <c r="AU180" s="179" t="b">
        <v>1</v>
      </c>
      <c r="AV180" s="179" t="b">
        <v>0</v>
      </c>
      <c r="AW180" s="179" t="b">
        <v>0</v>
      </c>
      <c r="AX180" s="179" t="b">
        <v>0</v>
      </c>
      <c r="AY180" s="179" t="b">
        <v>0</v>
      </c>
      <c r="AZ180" s="179" t="b">
        <v>0</v>
      </c>
      <c r="BA180" s="179" t="b">
        <v>0</v>
      </c>
      <c r="BB180" s="179" t="b">
        <v>0</v>
      </c>
      <c r="BC180" s="179" t="b">
        <v>0</v>
      </c>
      <c r="BD180" s="179" t="b">
        <v>0</v>
      </c>
      <c r="BE180" s="179" t="b">
        <v>0</v>
      </c>
      <c r="BF180" s="179" t="b">
        <v>1</v>
      </c>
      <c r="BG180" s="179" t="b">
        <v>0</v>
      </c>
      <c r="BH180" s="179" t="b">
        <v>0</v>
      </c>
      <c r="BI180" s="179" t="b">
        <v>0</v>
      </c>
      <c r="BJ180" s="164" t="b">
        <v>0</v>
      </c>
      <c r="BK180" s="140" t="b">
        <v>0</v>
      </c>
      <c r="BL180" s="164" t="b">
        <v>1</v>
      </c>
      <c r="BM180" s="164" t="b">
        <v>0</v>
      </c>
      <c r="BN180" s="164" t="b">
        <v>1</v>
      </c>
      <c r="BO180" s="164" t="b">
        <v>1</v>
      </c>
      <c r="BP180" s="164" t="b">
        <v>1</v>
      </c>
      <c r="BQ180" s="164" t="b">
        <v>0</v>
      </c>
      <c r="BR180" s="164" t="b">
        <v>0</v>
      </c>
      <c r="BS180" s="164" t="b">
        <v>0</v>
      </c>
      <c r="BT180" s="164" t="b">
        <v>0</v>
      </c>
      <c r="BU180" s="164" t="b">
        <v>0</v>
      </c>
      <c r="BV180" s="140" t="b">
        <v>1</v>
      </c>
      <c r="BW180" s="164" t="b">
        <v>0</v>
      </c>
      <c r="BX180" s="164" t="b">
        <v>0</v>
      </c>
      <c r="BY180" s="164" t="b">
        <v>0</v>
      </c>
      <c r="BZ180" s="164" t="b">
        <v>0</v>
      </c>
      <c r="CA180" s="164" t="b">
        <v>0</v>
      </c>
      <c r="CB180" s="164" t="b">
        <v>0</v>
      </c>
      <c r="CC180" s="164" t="b">
        <v>0</v>
      </c>
      <c r="CD180" s="180" t="b">
        <v>0</v>
      </c>
      <c r="CE180" s="76" t="b">
        <v>0</v>
      </c>
      <c r="CF180" s="180" t="b">
        <v>1</v>
      </c>
      <c r="CG180" s="180" t="b">
        <v>0</v>
      </c>
      <c r="CH180" s="180" t="b">
        <v>0</v>
      </c>
      <c r="CI180" s="180" t="b">
        <v>1</v>
      </c>
      <c r="CJ180" s="180" t="b">
        <v>0</v>
      </c>
      <c r="CK180" s="180" t="b">
        <v>0</v>
      </c>
      <c r="CL180" s="180" t="b">
        <v>0</v>
      </c>
      <c r="CM180" s="180" t="b">
        <v>0</v>
      </c>
      <c r="CN180" s="180" t="b">
        <v>0</v>
      </c>
      <c r="CO180" s="180" t="b">
        <v>0</v>
      </c>
      <c r="CP180" s="180" t="b">
        <v>0</v>
      </c>
      <c r="CQ180" s="180" t="b">
        <v>0</v>
      </c>
      <c r="CR180" s="180" t="b">
        <v>0</v>
      </c>
      <c r="CS180" s="180" t="b">
        <v>0</v>
      </c>
      <c r="CT180" s="180" t="b">
        <v>0</v>
      </c>
      <c r="CU180" s="180" t="b">
        <v>0</v>
      </c>
      <c r="CV180" s="180" t="b">
        <v>0</v>
      </c>
    </row>
    <row r="181" spans="1:100" x14ac:dyDescent="0.25">
      <c r="A181" s="44" t="s">
        <v>720</v>
      </c>
      <c r="B181" s="176" t="b">
        <v>0</v>
      </c>
      <c r="C181" s="177" t="b">
        <v>0</v>
      </c>
      <c r="D181" s="177" t="b">
        <v>1</v>
      </c>
      <c r="E181" s="177" t="b">
        <v>0</v>
      </c>
      <c r="F181" s="177" t="b">
        <v>0</v>
      </c>
      <c r="G181" s="177" t="b">
        <v>0</v>
      </c>
      <c r="H181" s="177" t="b">
        <v>0</v>
      </c>
      <c r="I181" s="177" t="b">
        <v>0</v>
      </c>
      <c r="J181" s="177" t="b">
        <v>0</v>
      </c>
      <c r="K181" s="177" t="b">
        <v>0</v>
      </c>
      <c r="L181" s="177" t="b">
        <v>1</v>
      </c>
      <c r="M181" s="177" t="b">
        <v>0</v>
      </c>
      <c r="N181" s="177" t="b">
        <v>0</v>
      </c>
      <c r="O181" s="177" t="b">
        <v>0</v>
      </c>
      <c r="P181" s="177" t="b">
        <v>0</v>
      </c>
      <c r="Q181" s="177" t="b">
        <v>0</v>
      </c>
      <c r="R181" s="177" t="b">
        <v>0</v>
      </c>
      <c r="S181" s="177" t="b">
        <v>0</v>
      </c>
      <c r="T181" s="177" t="b">
        <v>0</v>
      </c>
      <c r="U181" s="178" t="b">
        <v>0</v>
      </c>
      <c r="V181" s="178" t="b">
        <v>0</v>
      </c>
      <c r="W181" s="178" t="b">
        <v>0</v>
      </c>
      <c r="X181" s="178" t="b">
        <v>0</v>
      </c>
      <c r="Y181" s="178" t="b">
        <v>0</v>
      </c>
      <c r="Z181" s="137" t="b">
        <v>0</v>
      </c>
      <c r="AA181" s="178" t="b">
        <v>0</v>
      </c>
      <c r="AB181" s="178" t="b">
        <v>0</v>
      </c>
      <c r="AC181" s="178" t="b">
        <v>1</v>
      </c>
      <c r="AD181" s="178" t="b">
        <v>0</v>
      </c>
      <c r="AE181" s="178" t="b">
        <v>0</v>
      </c>
      <c r="AF181" s="178" t="b">
        <v>0</v>
      </c>
      <c r="AG181" s="178" t="b">
        <v>0</v>
      </c>
      <c r="AH181" s="137" t="b">
        <v>0</v>
      </c>
      <c r="AI181" s="178" t="b">
        <v>0</v>
      </c>
      <c r="AJ181" s="178" t="b">
        <v>0</v>
      </c>
      <c r="AK181" s="178" t="b">
        <v>0</v>
      </c>
      <c r="AL181" s="178" t="b">
        <v>0</v>
      </c>
      <c r="AM181" s="178" t="b">
        <v>0</v>
      </c>
      <c r="AN181" s="179" t="b">
        <v>0</v>
      </c>
      <c r="AO181" s="179" t="b">
        <v>0</v>
      </c>
      <c r="AP181" s="179" t="b">
        <v>0</v>
      </c>
      <c r="AQ181" s="179" t="b">
        <v>0</v>
      </c>
      <c r="AR181" s="179" t="b">
        <v>0</v>
      </c>
      <c r="AS181" s="179" t="b">
        <v>0</v>
      </c>
      <c r="AT181" s="179" t="b">
        <v>0</v>
      </c>
      <c r="AU181" s="179" t="b">
        <v>0</v>
      </c>
      <c r="AV181" s="179" t="b">
        <v>0</v>
      </c>
      <c r="AW181" s="179" t="b">
        <v>0</v>
      </c>
      <c r="AX181" s="179" t="b">
        <v>0</v>
      </c>
      <c r="AY181" s="179" t="b">
        <v>0</v>
      </c>
      <c r="AZ181" s="179" t="b">
        <v>0</v>
      </c>
      <c r="BA181" s="179" t="b">
        <v>0</v>
      </c>
      <c r="BB181" s="179" t="b">
        <v>0</v>
      </c>
      <c r="BC181" s="179" t="b">
        <v>0</v>
      </c>
      <c r="BD181" s="179" t="b">
        <v>0</v>
      </c>
      <c r="BE181" s="179" t="b">
        <v>0</v>
      </c>
      <c r="BF181" s="179" t="b">
        <v>0</v>
      </c>
      <c r="BG181" s="179" t="b">
        <v>0</v>
      </c>
      <c r="BH181" s="179" t="b">
        <v>0</v>
      </c>
      <c r="BI181" s="179" t="b">
        <v>0</v>
      </c>
      <c r="BJ181" s="164" t="b">
        <v>0</v>
      </c>
      <c r="BK181" s="140" t="b">
        <v>0</v>
      </c>
      <c r="BL181" s="164" t="b">
        <v>0</v>
      </c>
      <c r="BM181" s="164" t="b">
        <v>0</v>
      </c>
      <c r="BN181" s="164" t="b">
        <v>0</v>
      </c>
      <c r="BO181" s="164" t="b">
        <v>1</v>
      </c>
      <c r="BP181" s="164" t="b">
        <v>0</v>
      </c>
      <c r="BQ181" s="164" t="b">
        <v>0</v>
      </c>
      <c r="BR181" s="164" t="b">
        <v>0</v>
      </c>
      <c r="BS181" s="164" t="b">
        <v>0</v>
      </c>
      <c r="BT181" s="164" t="b">
        <v>0</v>
      </c>
      <c r="BU181" s="164" t="b">
        <v>0</v>
      </c>
      <c r="BV181" s="140" t="b">
        <v>0</v>
      </c>
      <c r="BW181" s="164" t="b">
        <v>0</v>
      </c>
      <c r="BX181" s="164" t="b">
        <v>0</v>
      </c>
      <c r="BY181" s="164" t="b">
        <v>0</v>
      </c>
      <c r="BZ181" s="164" t="b">
        <v>0</v>
      </c>
      <c r="CA181" s="164" t="b">
        <v>0</v>
      </c>
      <c r="CB181" s="164" t="b">
        <v>0</v>
      </c>
      <c r="CC181" s="164" t="b">
        <v>0</v>
      </c>
      <c r="CD181" s="180" t="b">
        <v>0</v>
      </c>
      <c r="CE181" s="76" t="b">
        <v>0</v>
      </c>
      <c r="CF181" s="180" t="b">
        <v>0</v>
      </c>
      <c r="CG181" s="180" t="b">
        <v>0</v>
      </c>
      <c r="CH181" s="180" t="b">
        <v>0</v>
      </c>
      <c r="CI181" s="180" t="b">
        <v>0</v>
      </c>
      <c r="CJ181" s="180" t="b">
        <v>0</v>
      </c>
      <c r="CK181" s="180" t="b">
        <v>0</v>
      </c>
      <c r="CL181" s="180" t="b">
        <v>0</v>
      </c>
      <c r="CM181" s="180" t="b">
        <v>0</v>
      </c>
      <c r="CN181" s="180" t="b">
        <v>0</v>
      </c>
      <c r="CO181" s="180" t="b">
        <v>0</v>
      </c>
      <c r="CP181" s="180" t="b">
        <v>0</v>
      </c>
      <c r="CQ181" s="180" t="b">
        <v>0</v>
      </c>
      <c r="CR181" s="180" t="b">
        <v>0</v>
      </c>
      <c r="CS181" s="180" t="b">
        <v>0</v>
      </c>
      <c r="CT181" s="180" t="b">
        <v>0</v>
      </c>
      <c r="CU181" s="180" t="b">
        <v>0</v>
      </c>
      <c r="CV181" s="180" t="b">
        <v>0</v>
      </c>
    </row>
    <row r="182" spans="1:100" x14ac:dyDescent="0.25">
      <c r="A182" s="44" t="s">
        <v>721</v>
      </c>
      <c r="B182" s="176" t="b">
        <v>0</v>
      </c>
      <c r="C182" s="177" t="b">
        <v>0</v>
      </c>
      <c r="D182" s="177" t="b">
        <v>0</v>
      </c>
      <c r="E182" s="177" t="b">
        <v>0</v>
      </c>
      <c r="F182" s="177" t="b">
        <v>0</v>
      </c>
      <c r="G182" s="177" t="b">
        <v>0</v>
      </c>
      <c r="H182" s="177" t="b">
        <v>0</v>
      </c>
      <c r="I182" s="177" t="b">
        <v>0</v>
      </c>
      <c r="J182" s="177" t="b">
        <v>0</v>
      </c>
      <c r="K182" s="177" t="b">
        <v>0</v>
      </c>
      <c r="L182" s="177" t="b">
        <v>0</v>
      </c>
      <c r="M182" s="177" t="b">
        <v>0</v>
      </c>
      <c r="N182" s="177" t="b">
        <v>0</v>
      </c>
      <c r="O182" s="177" t="b">
        <v>0</v>
      </c>
      <c r="P182" s="177" t="b">
        <v>0</v>
      </c>
      <c r="Q182" s="177" t="b">
        <v>0</v>
      </c>
      <c r="R182" s="177" t="b">
        <v>0</v>
      </c>
      <c r="S182" s="177" t="b">
        <v>0</v>
      </c>
      <c r="T182" s="177" t="b">
        <v>0</v>
      </c>
      <c r="U182" s="178" t="b">
        <v>0</v>
      </c>
      <c r="V182" s="178" t="b">
        <v>0</v>
      </c>
      <c r="W182" s="178" t="b">
        <v>0</v>
      </c>
      <c r="X182" s="178" t="b">
        <v>0</v>
      </c>
      <c r="Y182" s="178" t="b">
        <v>0</v>
      </c>
      <c r="Z182" s="137" t="b">
        <v>0</v>
      </c>
      <c r="AA182" s="178" t="b">
        <v>0</v>
      </c>
      <c r="AB182" s="178" t="b">
        <v>0</v>
      </c>
      <c r="AC182" s="178" t="b">
        <v>0</v>
      </c>
      <c r="AD182" s="178" t="b">
        <v>0</v>
      </c>
      <c r="AE182" s="178" t="b">
        <v>0</v>
      </c>
      <c r="AF182" s="178" t="b">
        <v>0</v>
      </c>
      <c r="AG182" s="178" t="b">
        <v>0</v>
      </c>
      <c r="AH182" s="137" t="b">
        <v>0</v>
      </c>
      <c r="AI182" s="178" t="b">
        <v>0</v>
      </c>
      <c r="AJ182" s="178" t="b">
        <v>0</v>
      </c>
      <c r="AK182" s="178" t="b">
        <v>0</v>
      </c>
      <c r="AL182" s="178" t="b">
        <v>0</v>
      </c>
      <c r="AM182" s="178" t="b">
        <v>0</v>
      </c>
      <c r="AN182" s="179" t="b">
        <v>0</v>
      </c>
      <c r="AO182" s="179" t="b">
        <v>0</v>
      </c>
      <c r="AP182" s="179" t="b">
        <v>0</v>
      </c>
      <c r="AQ182" s="179" t="b">
        <v>0</v>
      </c>
      <c r="AR182" s="179" t="b">
        <v>0</v>
      </c>
      <c r="AS182" s="179" t="b">
        <v>0</v>
      </c>
      <c r="AT182" s="179" t="b">
        <v>0</v>
      </c>
      <c r="AU182" s="179" t="b">
        <v>0</v>
      </c>
      <c r="AV182" s="179" t="b">
        <v>0</v>
      </c>
      <c r="AW182" s="179" t="b">
        <v>0</v>
      </c>
      <c r="AX182" s="179" t="b">
        <v>0</v>
      </c>
      <c r="AY182" s="179" t="b">
        <v>0</v>
      </c>
      <c r="AZ182" s="179" t="b">
        <v>0</v>
      </c>
      <c r="BA182" s="179" t="b">
        <v>0</v>
      </c>
      <c r="BB182" s="179" t="b">
        <v>0</v>
      </c>
      <c r="BC182" s="179" t="b">
        <v>0</v>
      </c>
      <c r="BD182" s="179" t="b">
        <v>0</v>
      </c>
      <c r="BE182" s="179" t="b">
        <v>0</v>
      </c>
      <c r="BF182" s="179" t="b">
        <v>0</v>
      </c>
      <c r="BG182" s="179" t="b">
        <v>0</v>
      </c>
      <c r="BH182" s="179" t="b">
        <v>0</v>
      </c>
      <c r="BI182" s="179" t="b">
        <v>0</v>
      </c>
      <c r="BJ182" s="164" t="b">
        <v>0</v>
      </c>
      <c r="BK182" s="140" t="b">
        <v>0</v>
      </c>
      <c r="BL182" s="164" t="b">
        <v>0</v>
      </c>
      <c r="BM182" s="164" t="b">
        <v>0</v>
      </c>
      <c r="BN182" s="164" t="b">
        <v>0</v>
      </c>
      <c r="BO182" s="164" t="b">
        <v>0</v>
      </c>
      <c r="BP182" s="164" t="b">
        <v>0</v>
      </c>
      <c r="BQ182" s="164" t="b">
        <v>0</v>
      </c>
      <c r="BR182" s="164" t="b">
        <v>0</v>
      </c>
      <c r="BS182" s="164" t="b">
        <v>0</v>
      </c>
      <c r="BT182" s="164" t="b">
        <v>0</v>
      </c>
      <c r="BU182" s="164" t="b">
        <v>0</v>
      </c>
      <c r="BV182" s="140" t="b">
        <v>0</v>
      </c>
      <c r="BW182" s="164" t="b">
        <v>0</v>
      </c>
      <c r="BX182" s="164" t="b">
        <v>0</v>
      </c>
      <c r="BY182" s="164" t="b">
        <v>0</v>
      </c>
      <c r="BZ182" s="164" t="b">
        <v>0</v>
      </c>
      <c r="CA182" s="164" t="b">
        <v>0</v>
      </c>
      <c r="CB182" s="164" t="b">
        <v>0</v>
      </c>
      <c r="CC182" s="164" t="b">
        <v>0</v>
      </c>
      <c r="CD182" s="180" t="b">
        <v>0</v>
      </c>
      <c r="CE182" s="76" t="b">
        <v>0</v>
      </c>
      <c r="CF182" s="180" t="b">
        <v>0</v>
      </c>
      <c r="CG182" s="180" t="b">
        <v>0</v>
      </c>
      <c r="CH182" s="180" t="b">
        <v>0</v>
      </c>
      <c r="CI182" s="180" t="b">
        <v>0</v>
      </c>
      <c r="CJ182" s="180" t="b">
        <v>0</v>
      </c>
      <c r="CK182" s="180" t="b">
        <v>0</v>
      </c>
      <c r="CL182" s="180" t="b">
        <v>0</v>
      </c>
      <c r="CM182" s="180" t="b">
        <v>0</v>
      </c>
      <c r="CN182" s="180" t="b">
        <v>0</v>
      </c>
      <c r="CO182" s="180" t="b">
        <v>0</v>
      </c>
      <c r="CP182" s="180" t="b">
        <v>0</v>
      </c>
      <c r="CQ182" s="180" t="b">
        <v>0</v>
      </c>
      <c r="CR182" s="180" t="b">
        <v>0</v>
      </c>
      <c r="CS182" s="180" t="b">
        <v>0</v>
      </c>
      <c r="CT182" s="180" t="b">
        <v>0</v>
      </c>
      <c r="CU182" s="180" t="b">
        <v>0</v>
      </c>
      <c r="CV182" s="180" t="b">
        <v>0</v>
      </c>
    </row>
    <row r="183" spans="1:100" x14ac:dyDescent="0.25">
      <c r="A183" s="44" t="s">
        <v>722</v>
      </c>
      <c r="B183" s="176" t="s">
        <v>697</v>
      </c>
      <c r="C183" s="177"/>
      <c r="D183" s="177" t="s">
        <v>698</v>
      </c>
      <c r="E183" s="177"/>
      <c r="F183" s="182"/>
      <c r="G183" s="177"/>
      <c r="H183" s="177"/>
      <c r="I183" s="168"/>
      <c r="J183" s="177"/>
      <c r="K183" s="160"/>
      <c r="L183" s="177" t="s">
        <v>699</v>
      </c>
      <c r="M183" s="177"/>
      <c r="N183" s="160"/>
      <c r="O183" s="160" t="s">
        <v>700</v>
      </c>
      <c r="P183" s="177" t="s">
        <v>701</v>
      </c>
      <c r="Q183" s="182"/>
      <c r="R183" s="182"/>
      <c r="S183" s="182"/>
      <c r="T183" s="160"/>
      <c r="U183" s="169" t="s">
        <v>702</v>
      </c>
      <c r="V183" s="178"/>
      <c r="W183" s="169"/>
      <c r="X183" s="169"/>
      <c r="Y183" s="169"/>
      <c r="Z183" s="169"/>
      <c r="AA183" s="178"/>
      <c r="AB183" s="178"/>
      <c r="AC183" s="169" t="s">
        <v>703</v>
      </c>
      <c r="AD183" s="169"/>
      <c r="AE183" s="169"/>
      <c r="AF183" s="169"/>
      <c r="AG183" s="169"/>
      <c r="AH183" s="136"/>
      <c r="AI183" s="169"/>
      <c r="AJ183" s="169" t="s">
        <v>704</v>
      </c>
      <c r="AK183" s="169"/>
      <c r="AL183" s="169"/>
      <c r="AM183" s="169"/>
      <c r="AN183" s="170"/>
      <c r="AO183" s="179"/>
      <c r="AP183" s="179"/>
      <c r="AQ183" s="170"/>
      <c r="AR183" s="170" t="s">
        <v>705</v>
      </c>
      <c r="AS183" s="170" t="s">
        <v>706</v>
      </c>
      <c r="AT183" s="170"/>
      <c r="AU183" s="170" t="s">
        <v>707</v>
      </c>
      <c r="AV183" s="170"/>
      <c r="AW183" s="170"/>
      <c r="AX183" s="170"/>
      <c r="AY183" s="170"/>
      <c r="AZ183" s="170"/>
      <c r="BA183" s="170"/>
      <c r="BB183" s="170"/>
      <c r="BC183" s="170"/>
      <c r="BD183" s="170"/>
      <c r="BE183" s="179"/>
      <c r="BF183" s="170" t="s">
        <v>708</v>
      </c>
      <c r="BG183" s="170"/>
      <c r="BH183" s="179"/>
      <c r="BI183" s="170"/>
      <c r="BJ183" s="172"/>
      <c r="BK183" s="172"/>
      <c r="BL183" s="172" t="s">
        <v>709</v>
      </c>
      <c r="BM183" s="172"/>
      <c r="BN183" s="164" t="s">
        <v>710</v>
      </c>
      <c r="BO183" s="172" t="s">
        <v>711</v>
      </c>
      <c r="BP183" s="172" t="s">
        <v>712</v>
      </c>
      <c r="BQ183" s="172"/>
      <c r="BR183" s="172"/>
      <c r="BS183" s="172"/>
      <c r="BT183" s="172"/>
      <c r="BU183" s="172"/>
      <c r="BV183" s="139" t="s">
        <v>1022</v>
      </c>
      <c r="BW183" s="172"/>
      <c r="BX183" s="172"/>
      <c r="BY183" s="172"/>
      <c r="BZ183" s="164"/>
      <c r="CA183" s="164"/>
      <c r="CB183" s="164"/>
      <c r="CC183" s="172"/>
      <c r="CD183" s="165"/>
      <c r="CE183" s="76"/>
      <c r="CF183" s="165" t="s">
        <v>713</v>
      </c>
      <c r="CG183" s="165"/>
      <c r="CH183" s="165"/>
      <c r="CI183" s="165" t="s">
        <v>714</v>
      </c>
      <c r="CJ183" s="165"/>
      <c r="CK183" s="165"/>
      <c r="CL183" s="165"/>
      <c r="CM183" s="165"/>
      <c r="CN183" s="165"/>
      <c r="CO183" s="165"/>
      <c r="CP183" s="165"/>
      <c r="CQ183" s="165"/>
      <c r="CR183" s="165"/>
      <c r="CS183" s="165"/>
      <c r="CT183" s="165"/>
      <c r="CU183" s="165"/>
      <c r="CV183" s="165"/>
    </row>
    <row r="184" spans="1:100" x14ac:dyDescent="0.25">
      <c r="A184" s="44" t="s">
        <v>723</v>
      </c>
      <c r="B184" s="176" t="s">
        <v>246</v>
      </c>
      <c r="C184" s="177"/>
      <c r="D184" s="177" t="s">
        <v>6</v>
      </c>
      <c r="E184" s="177"/>
      <c r="F184" s="182"/>
      <c r="G184" s="177"/>
      <c r="H184" s="177"/>
      <c r="I184" s="168"/>
      <c r="J184" s="177"/>
      <c r="K184" s="160"/>
      <c r="L184" s="177" t="s">
        <v>246</v>
      </c>
      <c r="M184" s="177"/>
      <c r="N184" s="160"/>
      <c r="O184" s="160" t="s">
        <v>246</v>
      </c>
      <c r="P184" s="177" t="s">
        <v>246</v>
      </c>
      <c r="Q184" s="182"/>
      <c r="R184" s="182"/>
      <c r="S184" s="182"/>
      <c r="T184" s="160"/>
      <c r="U184" s="169" t="s">
        <v>246</v>
      </c>
      <c r="V184" s="178"/>
      <c r="W184" s="169"/>
      <c r="X184" s="169"/>
      <c r="Y184" s="169"/>
      <c r="Z184" s="169"/>
      <c r="AA184" s="178"/>
      <c r="AB184" s="178"/>
      <c r="AC184" s="169" t="s">
        <v>246</v>
      </c>
      <c r="AD184" s="169"/>
      <c r="AE184" s="169"/>
      <c r="AF184" s="169"/>
      <c r="AG184" s="169"/>
      <c r="AH184" s="136"/>
      <c r="AI184" s="169"/>
      <c r="AJ184" s="169" t="s">
        <v>246</v>
      </c>
      <c r="AK184" s="169"/>
      <c r="AL184" s="169"/>
      <c r="AM184" s="169"/>
      <c r="AN184" s="170"/>
      <c r="AO184" s="179"/>
      <c r="AP184" s="179"/>
      <c r="AQ184" s="170"/>
      <c r="AR184" s="170" t="s">
        <v>246</v>
      </c>
      <c r="AS184" s="170" t="s">
        <v>246</v>
      </c>
      <c r="AT184" s="170"/>
      <c r="AU184" s="170" t="s">
        <v>246</v>
      </c>
      <c r="AV184" s="170"/>
      <c r="AW184" s="170"/>
      <c r="AX184" s="170"/>
      <c r="AY184" s="170"/>
      <c r="AZ184" s="170"/>
      <c r="BA184" s="170"/>
      <c r="BB184" s="170"/>
      <c r="BC184" s="170"/>
      <c r="BD184" s="170"/>
      <c r="BE184" s="179"/>
      <c r="BF184" s="170" t="s">
        <v>19</v>
      </c>
      <c r="BG184" s="170"/>
      <c r="BH184" s="179"/>
      <c r="BI184" s="170"/>
      <c r="BJ184" s="172"/>
      <c r="BK184" s="172"/>
      <c r="BL184" s="172" t="s">
        <v>246</v>
      </c>
      <c r="BM184" s="172"/>
      <c r="BN184" s="164" t="s">
        <v>6</v>
      </c>
      <c r="BO184" s="172" t="s">
        <v>246</v>
      </c>
      <c r="BP184" s="172" t="s">
        <v>246</v>
      </c>
      <c r="BQ184" s="172"/>
      <c r="BR184" s="172"/>
      <c r="BS184" s="172"/>
      <c r="BT184" s="172"/>
      <c r="BU184" s="172"/>
      <c r="BV184" s="139" t="s">
        <v>947</v>
      </c>
      <c r="BW184" s="172"/>
      <c r="BX184" s="172"/>
      <c r="BY184" s="172"/>
      <c r="BZ184" s="164"/>
      <c r="CA184" s="164"/>
      <c r="CB184" s="164"/>
      <c r="CC184" s="172"/>
      <c r="CD184" s="165"/>
      <c r="CE184" s="76"/>
      <c r="CF184" s="165" t="s">
        <v>246</v>
      </c>
      <c r="CG184" s="165"/>
      <c r="CH184" s="165"/>
      <c r="CI184" s="165" t="s">
        <v>246</v>
      </c>
      <c r="CJ184" s="165"/>
      <c r="CK184" s="165"/>
      <c r="CL184" s="165"/>
      <c r="CM184" s="165"/>
      <c r="CN184" s="165"/>
      <c r="CO184" s="165"/>
      <c r="CP184" s="165"/>
      <c r="CQ184" s="165"/>
      <c r="CR184" s="165"/>
      <c r="CS184" s="165"/>
      <c r="CT184" s="165"/>
      <c r="CU184" s="165"/>
      <c r="CV184" s="165"/>
    </row>
    <row r="185" spans="1:100" x14ac:dyDescent="0.25">
      <c r="A185" s="44" t="s">
        <v>724</v>
      </c>
      <c r="B185" s="176" t="s">
        <v>125</v>
      </c>
      <c r="C185" s="177"/>
      <c r="D185" s="177" t="s">
        <v>128</v>
      </c>
      <c r="E185" s="177"/>
      <c r="F185" s="182"/>
      <c r="G185" s="177"/>
      <c r="H185" s="177"/>
      <c r="I185" s="168"/>
      <c r="J185" s="177"/>
      <c r="K185" s="160"/>
      <c r="L185" s="177" t="s">
        <v>125</v>
      </c>
      <c r="M185" s="177"/>
      <c r="N185" s="160"/>
      <c r="O185" s="160" t="s">
        <v>125</v>
      </c>
      <c r="P185" s="177" t="s">
        <v>125</v>
      </c>
      <c r="Q185" s="182"/>
      <c r="R185" s="182"/>
      <c r="S185" s="182"/>
      <c r="T185" s="160"/>
      <c r="U185" s="169" t="s">
        <v>125</v>
      </c>
      <c r="V185" s="178"/>
      <c r="W185" s="169"/>
      <c r="X185" s="169"/>
      <c r="Y185" s="169"/>
      <c r="Z185" s="169"/>
      <c r="AA185" s="178"/>
      <c r="AB185" s="178"/>
      <c r="AC185" s="169" t="s">
        <v>125</v>
      </c>
      <c r="AD185" s="169"/>
      <c r="AE185" s="169"/>
      <c r="AF185" s="169"/>
      <c r="AG185" s="169"/>
      <c r="AH185" s="136"/>
      <c r="AI185" s="169"/>
      <c r="AJ185" s="169" t="s">
        <v>125</v>
      </c>
      <c r="AK185" s="169"/>
      <c r="AL185" s="169"/>
      <c r="AM185" s="169"/>
      <c r="AN185" s="170"/>
      <c r="AO185" s="179"/>
      <c r="AP185" s="179"/>
      <c r="AQ185" s="170"/>
      <c r="AR185" s="170" t="s">
        <v>125</v>
      </c>
      <c r="AS185" s="170" t="s">
        <v>125</v>
      </c>
      <c r="AT185" s="170"/>
      <c r="AU185" s="170" t="s">
        <v>125</v>
      </c>
      <c r="AV185" s="170"/>
      <c r="AW185" s="170"/>
      <c r="AX185" s="170"/>
      <c r="AY185" s="170"/>
      <c r="AZ185" s="170"/>
      <c r="BA185" s="170"/>
      <c r="BB185" s="170"/>
      <c r="BC185" s="170"/>
      <c r="BD185" s="170"/>
      <c r="BE185" s="179"/>
      <c r="BF185" s="170" t="s">
        <v>128</v>
      </c>
      <c r="BG185" s="170"/>
      <c r="BH185" s="179"/>
      <c r="BI185" s="170"/>
      <c r="BJ185" s="172"/>
      <c r="BK185" s="172"/>
      <c r="BL185" s="172" t="s">
        <v>125</v>
      </c>
      <c r="BM185" s="172"/>
      <c r="BN185" s="164" t="s">
        <v>223</v>
      </c>
      <c r="BO185" s="172" t="s">
        <v>125</v>
      </c>
      <c r="BP185" s="172" t="s">
        <v>125</v>
      </c>
      <c r="BQ185" s="172"/>
      <c r="BR185" s="172"/>
      <c r="BS185" s="172"/>
      <c r="BT185" s="172"/>
      <c r="BU185" s="172"/>
      <c r="BV185" s="139" t="s">
        <v>223</v>
      </c>
      <c r="BW185" s="172"/>
      <c r="BX185" s="172"/>
      <c r="BY185" s="172"/>
      <c r="BZ185" s="164"/>
      <c r="CA185" s="164"/>
      <c r="CB185" s="164"/>
      <c r="CC185" s="172"/>
      <c r="CD185" s="165"/>
      <c r="CE185" s="76"/>
      <c r="CF185" s="165" t="s">
        <v>125</v>
      </c>
      <c r="CG185" s="165"/>
      <c r="CH185" s="165"/>
      <c r="CI185" s="165" t="s">
        <v>125</v>
      </c>
      <c r="CJ185" s="165"/>
      <c r="CK185" s="165"/>
      <c r="CL185" s="165"/>
      <c r="CM185" s="165"/>
      <c r="CN185" s="165"/>
      <c r="CO185" s="165"/>
      <c r="CP185" s="165"/>
      <c r="CQ185" s="165"/>
      <c r="CR185" s="165"/>
      <c r="CS185" s="165"/>
      <c r="CT185" s="165"/>
      <c r="CU185" s="165"/>
      <c r="CV185" s="165"/>
    </row>
    <row r="186" spans="1:100" x14ac:dyDescent="0.25">
      <c r="A186" s="44" t="s">
        <v>725</v>
      </c>
      <c r="B186" s="166">
        <f>80%+(char3Refine-1)*20%</f>
        <v>1.6</v>
      </c>
      <c r="C186" s="177"/>
      <c r="D186" s="183">
        <f>40%+(char3Refine-1)*10%</f>
        <v>0.8</v>
      </c>
      <c r="E186" s="177"/>
      <c r="F186" s="182"/>
      <c r="G186" s="177"/>
      <c r="H186" s="177"/>
      <c r="I186" s="168"/>
      <c r="J186" s="177"/>
      <c r="K186" s="160"/>
      <c r="L186" s="183">
        <f>80%+(char3Refine-1)*15%</f>
        <v>1.4</v>
      </c>
      <c r="M186" s="177"/>
      <c r="N186" s="160"/>
      <c r="O186" s="183">
        <f>240%+(char3Refine-1)*60%</f>
        <v>4.8</v>
      </c>
      <c r="P186" s="168">
        <f>100%+(char3Refine-1)*25%</f>
        <v>2</v>
      </c>
      <c r="Q186" s="182"/>
      <c r="R186" s="182"/>
      <c r="S186" s="182"/>
      <c r="T186" s="160"/>
      <c r="U186" s="169">
        <f>40%+(char3Refine-1)*15%</f>
        <v>1</v>
      </c>
      <c r="V186" s="178"/>
      <c r="W186" s="169"/>
      <c r="X186" s="169"/>
      <c r="Y186" s="169"/>
      <c r="Z186" s="169"/>
      <c r="AA186" s="178"/>
      <c r="AB186" s="178"/>
      <c r="AC186" s="169">
        <f>60%+(char3Refine-1)*15%</f>
        <v>1.2</v>
      </c>
      <c r="AD186" s="169"/>
      <c r="AE186" s="169"/>
      <c r="AF186" s="169"/>
      <c r="AG186" s="169"/>
      <c r="AH186" s="136"/>
      <c r="AI186" s="169"/>
      <c r="AJ186" s="169">
        <f>20%+(char3Refine-1)*5%</f>
        <v>0.4</v>
      </c>
      <c r="AK186" s="169"/>
      <c r="AL186" s="169"/>
      <c r="AM186" s="169"/>
      <c r="AN186" s="170"/>
      <c r="AO186" s="179"/>
      <c r="AP186" s="179"/>
      <c r="AQ186" s="170"/>
      <c r="AR186" s="170">
        <f>20%+(char3Refine-1)*5%</f>
        <v>0.4</v>
      </c>
      <c r="AS186" s="170">
        <f>200%+(char3Refine-1)*30%</f>
        <v>3.2</v>
      </c>
      <c r="AT186" s="170"/>
      <c r="AU186" s="170">
        <f>100%+(char3Refine-1)*25%</f>
        <v>2</v>
      </c>
      <c r="AV186" s="170"/>
      <c r="AW186" s="170"/>
      <c r="AX186" s="170"/>
      <c r="AY186" s="170"/>
      <c r="AZ186" s="170"/>
      <c r="BA186" s="170"/>
      <c r="BB186" s="170"/>
      <c r="BC186" s="170"/>
      <c r="BD186" s="170"/>
      <c r="BE186" s="179"/>
      <c r="BF186" s="170">
        <f>40%+(char3Refine-1)*10%</f>
        <v>0.8</v>
      </c>
      <c r="BG186" s="170"/>
      <c r="BH186" s="179"/>
      <c r="BI186" s="170"/>
      <c r="BJ186" s="172"/>
      <c r="BK186" s="172"/>
      <c r="BL186" s="172">
        <f>160%+(char3Refine-1)*40%</f>
        <v>3.2</v>
      </c>
      <c r="BM186" s="172"/>
      <c r="BN186" s="172">
        <f>1%+(char3Refine-1)*0.5%</f>
        <v>0.03</v>
      </c>
      <c r="BO186" s="172">
        <f>60%+(char3Refine-1)*15%</f>
        <v>1.2</v>
      </c>
      <c r="BP186" s="172">
        <f>240%+(char3Refine-1)*30%</f>
        <v>3.5999999999999996</v>
      </c>
      <c r="BQ186" s="172"/>
      <c r="BR186" s="172"/>
      <c r="BS186" s="172"/>
      <c r="BT186" s="172"/>
      <c r="BU186" s="172"/>
      <c r="BV186" s="139">
        <f>4%+0.5%*(char3Refine-1)</f>
        <v>0.06</v>
      </c>
      <c r="BW186" s="172"/>
      <c r="BX186" s="172"/>
      <c r="BY186" s="172"/>
      <c r="BZ186" s="164"/>
      <c r="CA186" s="164"/>
      <c r="CB186" s="164"/>
      <c r="CC186" s="172"/>
      <c r="CD186" s="165"/>
      <c r="CE186" s="76"/>
      <c r="CF186" s="175">
        <v>1.25</v>
      </c>
      <c r="CG186" s="165"/>
      <c r="CH186" s="165"/>
      <c r="CI186" s="184">
        <f>40%+(char3Refine-1)*10%</f>
        <v>0.8</v>
      </c>
      <c r="CJ186" s="165"/>
      <c r="CK186" s="165"/>
      <c r="CL186" s="165"/>
      <c r="CM186" s="165"/>
      <c r="CN186" s="165"/>
      <c r="CO186" s="165"/>
      <c r="CP186" s="165"/>
      <c r="CQ186" s="165"/>
      <c r="CR186" s="165"/>
      <c r="CS186" s="165"/>
      <c r="CT186" s="165"/>
      <c r="CU186" s="165"/>
      <c r="CV186" s="165"/>
    </row>
    <row r="187" spans="1:100" x14ac:dyDescent="0.25">
      <c r="A187" s="44" t="s">
        <v>726</v>
      </c>
      <c r="B187" s="176" t="s">
        <v>715</v>
      </c>
      <c r="C187" s="177"/>
      <c r="D187" s="177" t="str">
        <f>char3NAElement</f>
        <v>Hydro</v>
      </c>
      <c r="E187" s="177"/>
      <c r="F187" s="182"/>
      <c r="G187" s="177"/>
      <c r="H187" s="177"/>
      <c r="I187" s="168"/>
      <c r="J187" s="177"/>
      <c r="K187" s="160"/>
      <c r="L187" s="177" t="s">
        <v>715</v>
      </c>
      <c r="M187" s="177"/>
      <c r="N187" s="160"/>
      <c r="O187" s="160" t="s">
        <v>715</v>
      </c>
      <c r="P187" s="177" t="s">
        <v>715</v>
      </c>
      <c r="Q187" s="182"/>
      <c r="R187" s="182"/>
      <c r="S187" s="182"/>
      <c r="T187" s="160"/>
      <c r="U187" s="169" t="s">
        <v>715</v>
      </c>
      <c r="V187" s="178"/>
      <c r="W187" s="169"/>
      <c r="X187" s="169"/>
      <c r="Y187" s="169"/>
      <c r="Z187" s="169"/>
      <c r="AA187" s="178"/>
      <c r="AB187" s="178"/>
      <c r="AC187" s="169" t="s">
        <v>715</v>
      </c>
      <c r="AD187" s="169"/>
      <c r="AE187" s="169"/>
      <c r="AF187" s="169"/>
      <c r="AG187" s="169"/>
      <c r="AH187" s="136"/>
      <c r="AI187" s="169"/>
      <c r="AJ187" s="169"/>
      <c r="AK187" s="169"/>
      <c r="AL187" s="169"/>
      <c r="AM187" s="169"/>
      <c r="AN187" s="170"/>
      <c r="AO187" s="179"/>
      <c r="AP187" s="179"/>
      <c r="AQ187" s="170"/>
      <c r="AR187" s="170" t="s">
        <v>715</v>
      </c>
      <c r="AS187" s="170" t="s">
        <v>715</v>
      </c>
      <c r="AT187" s="170"/>
      <c r="AU187" s="170" t="s">
        <v>715</v>
      </c>
      <c r="AV187" s="170"/>
      <c r="AW187" s="170"/>
      <c r="AX187" s="170"/>
      <c r="AY187" s="170"/>
      <c r="AZ187" s="170"/>
      <c r="BA187" s="170"/>
      <c r="BB187" s="170"/>
      <c r="BC187" s="170"/>
      <c r="BD187" s="170"/>
      <c r="BE187" s="179"/>
      <c r="BF187" s="170" t="str">
        <f>char3SkillElement</f>
        <v>Hydro</v>
      </c>
      <c r="BG187" s="170"/>
      <c r="BH187" s="179"/>
      <c r="BI187" s="170"/>
      <c r="BJ187" s="172"/>
      <c r="BK187" s="172"/>
      <c r="BL187" s="172" t="s">
        <v>715</v>
      </c>
      <c r="BM187" s="172"/>
      <c r="BN187" s="164" t="str">
        <f>char3NAElement</f>
        <v>Hydro</v>
      </c>
      <c r="BO187" s="172" t="s">
        <v>715</v>
      </c>
      <c r="BP187" s="172" t="s">
        <v>715</v>
      </c>
      <c r="BQ187" s="172"/>
      <c r="BR187" s="172"/>
      <c r="BS187" s="172"/>
      <c r="BT187" s="172"/>
      <c r="BU187" s="172"/>
      <c r="BV187" s="139" t="s">
        <v>246</v>
      </c>
      <c r="BW187" s="172"/>
      <c r="BX187" s="172"/>
      <c r="BY187" s="172"/>
      <c r="BZ187" s="164"/>
      <c r="CA187" s="164"/>
      <c r="CB187" s="164"/>
      <c r="CC187" s="172"/>
      <c r="CD187" s="165"/>
      <c r="CE187" s="76"/>
      <c r="CF187" s="165" t="s">
        <v>715</v>
      </c>
      <c r="CG187" s="165"/>
      <c r="CH187" s="165"/>
      <c r="CI187" s="165" t="s">
        <v>715</v>
      </c>
      <c r="CJ187" s="165"/>
      <c r="CK187" s="165"/>
      <c r="CL187" s="165"/>
      <c r="CM187" s="165"/>
      <c r="CN187" s="165"/>
      <c r="CO187" s="165"/>
      <c r="CP187" s="165"/>
      <c r="CQ187" s="165"/>
      <c r="CR187" s="165"/>
      <c r="CS187" s="165"/>
      <c r="CT187" s="165"/>
      <c r="CU187" s="165"/>
      <c r="CV187" s="165"/>
    </row>
    <row r="188" spans="1:100" x14ac:dyDescent="0.25">
      <c r="A188" s="44" t="s">
        <v>727</v>
      </c>
      <c r="B188" s="176"/>
      <c r="C188" s="177"/>
      <c r="D188" s="177" t="s">
        <v>716</v>
      </c>
      <c r="E188" s="177"/>
      <c r="F188" s="182"/>
      <c r="G188" s="177"/>
      <c r="H188" s="177"/>
      <c r="I188" s="168"/>
      <c r="J188" s="177"/>
      <c r="K188" s="160"/>
      <c r="L188" s="177" t="s">
        <v>717</v>
      </c>
      <c r="M188" s="177"/>
      <c r="N188" s="160"/>
      <c r="O188" s="160"/>
      <c r="P188" s="177"/>
      <c r="Q188" s="182"/>
      <c r="R188" s="182"/>
      <c r="S188" s="182"/>
      <c r="T188" s="160"/>
      <c r="U188" s="169"/>
      <c r="V188" s="178"/>
      <c r="W188" s="169"/>
      <c r="X188" s="169"/>
      <c r="Y188" s="169"/>
      <c r="Z188" s="169"/>
      <c r="AA188" s="178"/>
      <c r="AB188" s="178"/>
      <c r="AC188" s="169" t="s">
        <v>718</v>
      </c>
      <c r="AD188" s="169"/>
      <c r="AE188" s="169"/>
      <c r="AF188" s="169"/>
      <c r="AG188" s="169"/>
      <c r="AH188" s="136"/>
      <c r="AI188" s="169"/>
      <c r="AJ188" s="169"/>
      <c r="AK188" s="169"/>
      <c r="AL188" s="169"/>
      <c r="AM188" s="169"/>
      <c r="AN188" s="170"/>
      <c r="AO188" s="179"/>
      <c r="AP188" s="179"/>
      <c r="AQ188" s="170"/>
      <c r="AR188" s="170"/>
      <c r="AS188" s="170"/>
      <c r="AT188" s="170"/>
      <c r="AU188" s="170"/>
      <c r="AV188" s="170"/>
      <c r="AW188" s="170"/>
      <c r="AX188" s="170"/>
      <c r="AY188" s="170"/>
      <c r="AZ188" s="170"/>
      <c r="BA188" s="170"/>
      <c r="BB188" s="170"/>
      <c r="BC188" s="170"/>
      <c r="BD188" s="170"/>
      <c r="BE188" s="179"/>
      <c r="BF188" s="170"/>
      <c r="BG188" s="170"/>
      <c r="BH188" s="179"/>
      <c r="BI188" s="170"/>
      <c r="BJ188" s="172"/>
      <c r="BK188" s="172"/>
      <c r="BL188" s="172"/>
      <c r="BM188" s="172"/>
      <c r="BN188" s="164"/>
      <c r="BO188" s="172" t="s">
        <v>718</v>
      </c>
      <c r="BP188" s="172"/>
      <c r="BQ188" s="172"/>
      <c r="BR188" s="172"/>
      <c r="BS188" s="172"/>
      <c r="BT188" s="172"/>
      <c r="BU188" s="172"/>
      <c r="BV188" s="172"/>
      <c r="BW188" s="172"/>
      <c r="BX188" s="172"/>
      <c r="BY188" s="172"/>
      <c r="BZ188" s="164"/>
      <c r="CA188" s="164"/>
      <c r="CB188" s="164"/>
      <c r="CC188" s="172"/>
      <c r="CD188" s="165"/>
      <c r="CE188" s="76"/>
      <c r="CF188" s="165"/>
      <c r="CG188" s="165"/>
      <c r="CH188" s="165"/>
      <c r="CI188" s="165"/>
      <c r="CJ188" s="165"/>
      <c r="CK188" s="165"/>
      <c r="CL188" s="165"/>
      <c r="CM188" s="165"/>
      <c r="CN188" s="165"/>
      <c r="CO188" s="165"/>
      <c r="CP188" s="165"/>
      <c r="CQ188" s="165"/>
      <c r="CR188" s="165"/>
      <c r="CS188" s="165"/>
      <c r="CT188" s="165"/>
      <c r="CU188" s="165"/>
      <c r="CV188" s="165"/>
    </row>
    <row r="189" spans="1:100" x14ac:dyDescent="0.25">
      <c r="A189" s="44" t="s">
        <v>728</v>
      </c>
      <c r="B189" s="176"/>
      <c r="C189" s="177"/>
      <c r="D189" s="177" t="s">
        <v>5</v>
      </c>
      <c r="E189" s="177"/>
      <c r="F189" s="182"/>
      <c r="G189" s="177"/>
      <c r="H189" s="177"/>
      <c r="I189" s="168"/>
      <c r="J189" s="177"/>
      <c r="K189" s="160"/>
      <c r="L189" s="177" t="s">
        <v>246</v>
      </c>
      <c r="M189" s="177"/>
      <c r="N189" s="160"/>
      <c r="O189" s="160"/>
      <c r="P189" s="177"/>
      <c r="Q189" s="182"/>
      <c r="R189" s="182"/>
      <c r="S189" s="182"/>
      <c r="T189" s="160"/>
      <c r="U189" s="169"/>
      <c r="V189" s="178"/>
      <c r="W189" s="169"/>
      <c r="X189" s="169"/>
      <c r="Y189" s="169"/>
      <c r="Z189" s="169"/>
      <c r="AA189" s="178"/>
      <c r="AB189" s="178"/>
      <c r="AC189" s="169" t="s">
        <v>246</v>
      </c>
      <c r="AD189" s="169"/>
      <c r="AE189" s="169"/>
      <c r="AF189" s="169"/>
      <c r="AG189" s="169"/>
      <c r="AH189" s="136"/>
      <c r="AI189" s="169"/>
      <c r="AJ189" s="169"/>
      <c r="AK189" s="169"/>
      <c r="AL189" s="169"/>
      <c r="AM189" s="169"/>
      <c r="AN189" s="170"/>
      <c r="AO189" s="179"/>
      <c r="AP189" s="179"/>
      <c r="AQ189" s="170"/>
      <c r="AR189" s="170"/>
      <c r="AS189" s="170"/>
      <c r="AT189" s="170"/>
      <c r="AU189" s="170"/>
      <c r="AV189" s="170"/>
      <c r="AW189" s="170"/>
      <c r="AX189" s="170"/>
      <c r="AY189" s="170"/>
      <c r="AZ189" s="170"/>
      <c r="BA189" s="170"/>
      <c r="BB189" s="170"/>
      <c r="BC189" s="170"/>
      <c r="BD189" s="170"/>
      <c r="BE189" s="179"/>
      <c r="BF189" s="170"/>
      <c r="BG189" s="170"/>
      <c r="BH189" s="179"/>
      <c r="BI189" s="170"/>
      <c r="BJ189" s="172"/>
      <c r="BK189" s="172"/>
      <c r="BL189" s="172"/>
      <c r="BM189" s="172"/>
      <c r="BN189" s="164"/>
      <c r="BO189" s="172" t="s">
        <v>246</v>
      </c>
      <c r="BP189" s="172"/>
      <c r="BQ189" s="172"/>
      <c r="BR189" s="172"/>
      <c r="BS189" s="172"/>
      <c r="BT189" s="172"/>
      <c r="BU189" s="172"/>
      <c r="BV189" s="172"/>
      <c r="BW189" s="172"/>
      <c r="BX189" s="172"/>
      <c r="BY189" s="172"/>
      <c r="BZ189" s="164"/>
      <c r="CA189" s="164"/>
      <c r="CB189" s="164"/>
      <c r="CC189" s="172"/>
      <c r="CD189" s="165"/>
      <c r="CE189" s="76"/>
      <c r="CF189" s="165"/>
      <c r="CG189" s="165"/>
      <c r="CH189" s="165"/>
      <c r="CI189" s="165"/>
      <c r="CJ189" s="165"/>
      <c r="CK189" s="165"/>
      <c r="CL189" s="165"/>
      <c r="CM189" s="165"/>
      <c r="CN189" s="165"/>
      <c r="CO189" s="165"/>
      <c r="CP189" s="165"/>
      <c r="CQ189" s="165"/>
      <c r="CR189" s="165"/>
      <c r="CS189" s="165"/>
      <c r="CT189" s="165"/>
      <c r="CU189" s="165"/>
      <c r="CV189" s="165"/>
    </row>
    <row r="190" spans="1:100" x14ac:dyDescent="0.25">
      <c r="A190" s="44" t="s">
        <v>729</v>
      </c>
      <c r="B190" s="176"/>
      <c r="C190" s="177"/>
      <c r="D190" s="177" t="s">
        <v>128</v>
      </c>
      <c r="E190" s="177"/>
      <c r="F190" s="182"/>
      <c r="G190" s="177"/>
      <c r="H190" s="177"/>
      <c r="I190" s="168"/>
      <c r="J190" s="177"/>
      <c r="K190" s="160"/>
      <c r="L190" s="177" t="s">
        <v>125</v>
      </c>
      <c r="M190" s="177"/>
      <c r="N190" s="160"/>
      <c r="O190" s="160"/>
      <c r="P190" s="177"/>
      <c r="Q190" s="182"/>
      <c r="R190" s="182"/>
      <c r="S190" s="182"/>
      <c r="T190" s="160"/>
      <c r="U190" s="169"/>
      <c r="V190" s="178"/>
      <c r="W190" s="169"/>
      <c r="X190" s="169"/>
      <c r="Y190" s="169"/>
      <c r="Z190" s="169"/>
      <c r="AA190" s="178"/>
      <c r="AB190" s="178"/>
      <c r="AC190" s="169" t="s">
        <v>125</v>
      </c>
      <c r="AD190" s="169"/>
      <c r="AE190" s="169"/>
      <c r="AF190" s="169"/>
      <c r="AG190" s="169"/>
      <c r="AH190" s="136"/>
      <c r="AI190" s="169"/>
      <c r="AJ190" s="169"/>
      <c r="AK190" s="169"/>
      <c r="AL190" s="169"/>
      <c r="AM190" s="169"/>
      <c r="AN190" s="170"/>
      <c r="AO190" s="179"/>
      <c r="AP190" s="179"/>
      <c r="AQ190" s="170"/>
      <c r="AR190" s="170"/>
      <c r="AS190" s="170"/>
      <c r="AT190" s="170"/>
      <c r="AU190" s="170"/>
      <c r="AV190" s="170"/>
      <c r="AW190" s="170"/>
      <c r="AX190" s="170"/>
      <c r="AY190" s="170"/>
      <c r="AZ190" s="170"/>
      <c r="BA190" s="170"/>
      <c r="BB190" s="170"/>
      <c r="BC190" s="170"/>
      <c r="BD190" s="170"/>
      <c r="BE190" s="179"/>
      <c r="BF190" s="170"/>
      <c r="BG190" s="170"/>
      <c r="BH190" s="179"/>
      <c r="BI190" s="170"/>
      <c r="BJ190" s="172"/>
      <c r="BK190" s="172"/>
      <c r="BL190" s="172"/>
      <c r="BM190" s="172"/>
      <c r="BN190" s="164"/>
      <c r="BO190" s="172" t="s">
        <v>125</v>
      </c>
      <c r="BP190" s="172"/>
      <c r="BQ190" s="172"/>
      <c r="BR190" s="172"/>
      <c r="BS190" s="172"/>
      <c r="BT190" s="172"/>
      <c r="BU190" s="172"/>
      <c r="BV190" s="172"/>
      <c r="BW190" s="172"/>
      <c r="BX190" s="172"/>
      <c r="BY190" s="172"/>
      <c r="BZ190" s="164"/>
      <c r="CA190" s="164"/>
      <c r="CB190" s="164"/>
      <c r="CC190" s="172"/>
      <c r="CD190" s="165"/>
      <c r="CE190" s="76"/>
      <c r="CF190" s="165"/>
      <c r="CG190" s="165"/>
      <c r="CH190" s="165"/>
      <c r="CI190" s="165"/>
      <c r="CJ190" s="165"/>
      <c r="CK190" s="165"/>
      <c r="CL190" s="165"/>
      <c r="CM190" s="165"/>
      <c r="CN190" s="165"/>
      <c r="CO190" s="165"/>
      <c r="CP190" s="165"/>
      <c r="CQ190" s="165"/>
      <c r="CR190" s="165"/>
      <c r="CS190" s="165"/>
      <c r="CT190" s="165"/>
      <c r="CU190" s="165"/>
      <c r="CV190" s="165"/>
    </row>
    <row r="191" spans="1:100" x14ac:dyDescent="0.25">
      <c r="A191" s="44" t="s">
        <v>730</v>
      </c>
      <c r="B191" s="176"/>
      <c r="C191" s="177"/>
      <c r="D191" s="167">
        <f>0.4+(char3Refine-1)*0.1</f>
        <v>0.8</v>
      </c>
      <c r="E191" s="177"/>
      <c r="F191" s="182"/>
      <c r="G191" s="177"/>
      <c r="H191" s="177"/>
      <c r="I191" s="168"/>
      <c r="J191" s="177"/>
      <c r="K191" s="160"/>
      <c r="L191" s="183">
        <f>200%+(char3Refine-1)*40%</f>
        <v>3.6</v>
      </c>
      <c r="M191" s="177"/>
      <c r="N191" s="160"/>
      <c r="O191" s="160"/>
      <c r="P191" s="177"/>
      <c r="Q191" s="182"/>
      <c r="R191" s="182"/>
      <c r="S191" s="182"/>
      <c r="T191" s="160"/>
      <c r="U191" s="169"/>
      <c r="V191" s="178"/>
      <c r="W191" s="169"/>
      <c r="X191" s="169"/>
      <c r="Y191" s="169"/>
      <c r="Z191" s="169"/>
      <c r="AA191" s="178"/>
      <c r="AB191" s="178"/>
      <c r="AC191" s="169">
        <f>200%+(char3Refine-1)*40%</f>
        <v>3.6</v>
      </c>
      <c r="AD191" s="169"/>
      <c r="AE191" s="169"/>
      <c r="AF191" s="169"/>
      <c r="AG191" s="169"/>
      <c r="AH191" s="136"/>
      <c r="AI191" s="169"/>
      <c r="AJ191" s="169"/>
      <c r="AK191" s="169"/>
      <c r="AL191" s="169"/>
      <c r="AM191" s="169"/>
      <c r="AN191" s="170"/>
      <c r="AO191" s="179"/>
      <c r="AP191" s="179"/>
      <c r="AQ191" s="170"/>
      <c r="AR191" s="170"/>
      <c r="AS191" s="170"/>
      <c r="AT191" s="170"/>
      <c r="AU191" s="170"/>
      <c r="AV191" s="170"/>
      <c r="AW191" s="170"/>
      <c r="AX191" s="170"/>
      <c r="AY191" s="170"/>
      <c r="AZ191" s="170"/>
      <c r="BA191" s="170"/>
      <c r="BB191" s="170"/>
      <c r="BC191" s="170"/>
      <c r="BD191" s="170"/>
      <c r="BE191" s="179"/>
      <c r="BF191" s="170"/>
      <c r="BG191" s="170"/>
      <c r="BH191" s="179"/>
      <c r="BI191" s="170"/>
      <c r="BJ191" s="172"/>
      <c r="BK191" s="172"/>
      <c r="BL191" s="172"/>
      <c r="BM191" s="172"/>
      <c r="BN191" s="164"/>
      <c r="BO191" s="172">
        <f>200%+(char3Refine-1)*40%</f>
        <v>3.6</v>
      </c>
      <c r="BP191" s="172"/>
      <c r="BQ191" s="172"/>
      <c r="BR191" s="172"/>
      <c r="BS191" s="172"/>
      <c r="BT191" s="172"/>
      <c r="BU191" s="172"/>
      <c r="BV191" s="172"/>
      <c r="BW191" s="172"/>
      <c r="BX191" s="172"/>
      <c r="BY191" s="172"/>
      <c r="BZ191" s="164"/>
      <c r="CA191" s="164"/>
      <c r="CB191" s="164"/>
      <c r="CC191" s="172"/>
      <c r="CD191" s="165"/>
      <c r="CE191" s="76"/>
      <c r="CF191" s="165"/>
      <c r="CG191" s="165"/>
      <c r="CH191" s="165"/>
      <c r="CI191" s="165"/>
      <c r="CJ191" s="165"/>
      <c r="CK191" s="165"/>
      <c r="CL191" s="165"/>
      <c r="CM191" s="165"/>
      <c r="CN191" s="165"/>
      <c r="CO191" s="165"/>
      <c r="CP191" s="165"/>
      <c r="CQ191" s="165"/>
      <c r="CR191" s="165"/>
      <c r="CS191" s="165"/>
      <c r="CT191" s="165"/>
      <c r="CU191" s="165"/>
      <c r="CV191" s="165"/>
    </row>
    <row r="192" spans="1:100" x14ac:dyDescent="0.25">
      <c r="A192" s="44" t="s">
        <v>731</v>
      </c>
      <c r="B192" s="176"/>
      <c r="C192" s="177"/>
      <c r="D192" s="167" t="str">
        <f>char3CAElement</f>
        <v>Hydro</v>
      </c>
      <c r="E192" s="177"/>
      <c r="F192" s="182"/>
      <c r="G192" s="177"/>
      <c r="H192" s="177"/>
      <c r="I192" s="168"/>
      <c r="J192" s="177"/>
      <c r="K192" s="160"/>
      <c r="L192" s="177" t="s">
        <v>715</v>
      </c>
      <c r="M192" s="177"/>
      <c r="N192" s="160"/>
      <c r="O192" s="160"/>
      <c r="P192" s="177"/>
      <c r="Q192" s="182"/>
      <c r="R192" s="182"/>
      <c r="S192" s="182"/>
      <c r="T192" s="160"/>
      <c r="U192" s="169"/>
      <c r="V192" s="178"/>
      <c r="W192" s="169"/>
      <c r="X192" s="169"/>
      <c r="Y192" s="169"/>
      <c r="Z192" s="169"/>
      <c r="AA192" s="178"/>
      <c r="AB192" s="178"/>
      <c r="AC192" s="169" t="s">
        <v>715</v>
      </c>
      <c r="AD192" s="169"/>
      <c r="AE192" s="169"/>
      <c r="AF192" s="169"/>
      <c r="AG192" s="169"/>
      <c r="AH192" s="136"/>
      <c r="AI192" s="169"/>
      <c r="AJ192" s="169"/>
      <c r="AK192" s="169"/>
      <c r="AL192" s="169"/>
      <c r="AM192" s="169"/>
      <c r="AN192" s="170"/>
      <c r="AO192" s="179"/>
      <c r="AP192" s="179"/>
      <c r="AQ192" s="170"/>
      <c r="AR192" s="170"/>
      <c r="AS192" s="170"/>
      <c r="AT192" s="170"/>
      <c r="AU192" s="170"/>
      <c r="AV192" s="170"/>
      <c r="AW192" s="170"/>
      <c r="AX192" s="170"/>
      <c r="AY192" s="170"/>
      <c r="AZ192" s="170"/>
      <c r="BA192" s="170"/>
      <c r="BB192" s="170"/>
      <c r="BC192" s="170"/>
      <c r="BD192" s="170"/>
      <c r="BE192" s="179"/>
      <c r="BF192" s="170"/>
      <c r="BG192" s="170"/>
      <c r="BH192" s="179"/>
      <c r="BI192" s="170"/>
      <c r="BJ192" s="172"/>
      <c r="BK192" s="172"/>
      <c r="BL192" s="172"/>
      <c r="BM192" s="172"/>
      <c r="BN192" s="164"/>
      <c r="BO192" s="172" t="s">
        <v>715</v>
      </c>
      <c r="BP192" s="172"/>
      <c r="BQ192" s="172"/>
      <c r="BR192" s="172"/>
      <c r="BS192" s="172"/>
      <c r="BT192" s="172"/>
      <c r="BU192" s="172"/>
      <c r="BV192" s="172"/>
      <c r="BW192" s="172"/>
      <c r="BX192" s="172"/>
      <c r="BY192" s="172"/>
      <c r="BZ192" s="164"/>
      <c r="CA192" s="164"/>
      <c r="CB192" s="164"/>
      <c r="CC192" s="172"/>
      <c r="CD192" s="165"/>
      <c r="CE192" s="76"/>
      <c r="CF192" s="165"/>
      <c r="CG192" s="165"/>
      <c r="CH192" s="165"/>
      <c r="CI192" s="165"/>
      <c r="CJ192" s="165"/>
      <c r="CK192" s="165"/>
      <c r="CL192" s="165"/>
      <c r="CM192" s="165"/>
      <c r="CN192" s="165"/>
      <c r="CO192" s="165"/>
      <c r="CP192" s="165"/>
      <c r="CQ192" s="165"/>
      <c r="CR192" s="165"/>
      <c r="CS192" s="165"/>
      <c r="CT192" s="165"/>
      <c r="CU192" s="165"/>
      <c r="CV192" s="165"/>
    </row>
    <row r="193" spans="1:100" x14ac:dyDescent="0.25">
      <c r="A193" s="44" t="s">
        <v>732</v>
      </c>
      <c r="B193" s="176"/>
      <c r="C193" s="177"/>
      <c r="D193" s="177"/>
      <c r="E193" s="177"/>
      <c r="F193" s="182"/>
      <c r="G193" s="177"/>
      <c r="H193" s="177"/>
      <c r="I193" s="168"/>
      <c r="J193" s="177"/>
      <c r="K193" s="160"/>
      <c r="L193" s="177"/>
      <c r="M193" s="177"/>
      <c r="N193" s="160"/>
      <c r="O193" s="160"/>
      <c r="P193" s="177"/>
      <c r="Q193" s="182"/>
      <c r="R193" s="182"/>
      <c r="S193" s="182"/>
      <c r="T193" s="160"/>
      <c r="U193" s="169"/>
      <c r="V193" s="178"/>
      <c r="W193" s="169"/>
      <c r="X193" s="169"/>
      <c r="Y193" s="169"/>
      <c r="Z193" s="169"/>
      <c r="AA193" s="178"/>
      <c r="AB193" s="178"/>
      <c r="AC193" s="169"/>
      <c r="AD193" s="169"/>
      <c r="AE193" s="169"/>
      <c r="AF193" s="169"/>
      <c r="AG193" s="169"/>
      <c r="AH193" s="136"/>
      <c r="AI193" s="169"/>
      <c r="AJ193" s="169"/>
      <c r="AK193" s="169"/>
      <c r="AL193" s="169"/>
      <c r="AM193" s="169"/>
      <c r="AN193" s="170"/>
      <c r="AO193" s="179"/>
      <c r="AP193" s="179"/>
      <c r="AQ193" s="170"/>
      <c r="AR193" s="170"/>
      <c r="AS193" s="170"/>
      <c r="AT193" s="170"/>
      <c r="AU193" s="170"/>
      <c r="AV193" s="170"/>
      <c r="AW193" s="170"/>
      <c r="AX193" s="170"/>
      <c r="AY193" s="170"/>
      <c r="AZ193" s="170"/>
      <c r="BA193" s="170"/>
      <c r="BB193" s="170"/>
      <c r="BC193" s="170"/>
      <c r="BD193" s="170"/>
      <c r="BE193" s="179"/>
      <c r="BF193" s="170"/>
      <c r="BG193" s="170"/>
      <c r="BH193" s="179"/>
      <c r="BI193" s="170"/>
      <c r="BJ193" s="172"/>
      <c r="BK193" s="172"/>
      <c r="BL193" s="172"/>
      <c r="BM193" s="172"/>
      <c r="BN193" s="164"/>
      <c r="BO193" s="172"/>
      <c r="BP193" s="172"/>
      <c r="BQ193" s="172"/>
      <c r="BR193" s="172"/>
      <c r="BS193" s="172"/>
      <c r="BT193" s="172"/>
      <c r="BU193" s="172"/>
      <c r="BV193" s="172"/>
      <c r="BW193" s="172"/>
      <c r="BX193" s="172"/>
      <c r="BY193" s="172"/>
      <c r="BZ193" s="164"/>
      <c r="CA193" s="164"/>
      <c r="CB193" s="164"/>
      <c r="CC193" s="172"/>
      <c r="CD193" s="165"/>
      <c r="CE193" s="76"/>
      <c r="CF193" s="165"/>
      <c r="CG193" s="165"/>
      <c r="CH193" s="165"/>
      <c r="CI193" s="165"/>
      <c r="CJ193" s="165"/>
      <c r="CK193" s="165"/>
      <c r="CL193" s="165"/>
      <c r="CM193" s="165"/>
      <c r="CN193" s="165"/>
      <c r="CO193" s="165"/>
      <c r="CP193" s="165"/>
      <c r="CQ193" s="165"/>
      <c r="CR193" s="165"/>
      <c r="CS193" s="165"/>
      <c r="CT193" s="165"/>
      <c r="CU193" s="165"/>
      <c r="CV193" s="165"/>
    </row>
    <row r="194" spans="1:100" x14ac:dyDescent="0.25">
      <c r="A194" s="44" t="s">
        <v>733</v>
      </c>
      <c r="B194" s="176"/>
      <c r="C194" s="177"/>
      <c r="D194" s="177"/>
      <c r="E194" s="177"/>
      <c r="F194" s="182"/>
      <c r="G194" s="177"/>
      <c r="H194" s="177"/>
      <c r="I194" s="168"/>
      <c r="J194" s="177"/>
      <c r="K194" s="160"/>
      <c r="L194" s="177"/>
      <c r="M194" s="177"/>
      <c r="N194" s="160"/>
      <c r="O194" s="160"/>
      <c r="P194" s="177"/>
      <c r="Q194" s="182"/>
      <c r="R194" s="182"/>
      <c r="S194" s="182"/>
      <c r="T194" s="160"/>
      <c r="U194" s="169"/>
      <c r="V194" s="178"/>
      <c r="W194" s="169"/>
      <c r="X194" s="169"/>
      <c r="Y194" s="169"/>
      <c r="Z194" s="169"/>
      <c r="AA194" s="178"/>
      <c r="AB194" s="178"/>
      <c r="AC194" s="169"/>
      <c r="AD194" s="169"/>
      <c r="AE194" s="169"/>
      <c r="AF194" s="169"/>
      <c r="AG194" s="169"/>
      <c r="AH194" s="136"/>
      <c r="AI194" s="169"/>
      <c r="AJ194" s="169"/>
      <c r="AK194" s="169"/>
      <c r="AL194" s="169"/>
      <c r="AM194" s="169"/>
      <c r="AN194" s="170"/>
      <c r="AO194" s="179"/>
      <c r="AP194" s="179"/>
      <c r="AQ194" s="170"/>
      <c r="AR194" s="170"/>
      <c r="AS194" s="170"/>
      <c r="AT194" s="170"/>
      <c r="AU194" s="170"/>
      <c r="AV194" s="170"/>
      <c r="AW194" s="170"/>
      <c r="AX194" s="170"/>
      <c r="AY194" s="170"/>
      <c r="AZ194" s="170"/>
      <c r="BA194" s="170"/>
      <c r="BB194" s="170"/>
      <c r="BC194" s="170"/>
      <c r="BD194" s="170"/>
      <c r="BE194" s="179"/>
      <c r="BF194" s="170"/>
      <c r="BG194" s="170"/>
      <c r="BH194" s="179"/>
      <c r="BI194" s="170"/>
      <c r="BJ194" s="172"/>
      <c r="BK194" s="172"/>
      <c r="BL194" s="172"/>
      <c r="BM194" s="172"/>
      <c r="BN194" s="164"/>
      <c r="BO194" s="172"/>
      <c r="BP194" s="172"/>
      <c r="BQ194" s="172"/>
      <c r="BR194" s="172"/>
      <c r="BS194" s="172"/>
      <c r="BT194" s="172"/>
      <c r="BU194" s="172"/>
      <c r="BV194" s="172"/>
      <c r="BW194" s="172"/>
      <c r="BX194" s="172"/>
      <c r="BY194" s="172"/>
      <c r="BZ194" s="164"/>
      <c r="CA194" s="164"/>
      <c r="CB194" s="164"/>
      <c r="CC194" s="172"/>
      <c r="CD194" s="165"/>
      <c r="CE194" s="76"/>
      <c r="CF194" s="165"/>
      <c r="CG194" s="165"/>
      <c r="CH194" s="165"/>
      <c r="CI194" s="165"/>
      <c r="CJ194" s="165"/>
      <c r="CK194" s="165"/>
      <c r="CL194" s="165"/>
      <c r="CM194" s="165"/>
      <c r="CN194" s="165"/>
      <c r="CO194" s="165"/>
      <c r="CP194" s="165"/>
      <c r="CQ194" s="165"/>
      <c r="CR194" s="165"/>
      <c r="CS194" s="165"/>
      <c r="CT194" s="165"/>
      <c r="CU194" s="165"/>
      <c r="CV194" s="165"/>
    </row>
    <row r="195" spans="1:100" x14ac:dyDescent="0.25">
      <c r="A195" s="44" t="s">
        <v>734</v>
      </c>
      <c r="B195" s="176"/>
      <c r="C195" s="177"/>
      <c r="D195" s="177"/>
      <c r="E195" s="177"/>
      <c r="F195" s="182"/>
      <c r="G195" s="177"/>
      <c r="H195" s="177"/>
      <c r="I195" s="168"/>
      <c r="J195" s="177"/>
      <c r="K195" s="160"/>
      <c r="L195" s="177"/>
      <c r="M195" s="177"/>
      <c r="N195" s="160"/>
      <c r="O195" s="160"/>
      <c r="P195" s="177"/>
      <c r="Q195" s="182"/>
      <c r="R195" s="182"/>
      <c r="S195" s="182"/>
      <c r="T195" s="160"/>
      <c r="U195" s="169"/>
      <c r="V195" s="178"/>
      <c r="W195" s="169"/>
      <c r="X195" s="169"/>
      <c r="Y195" s="169"/>
      <c r="Z195" s="169"/>
      <c r="AA195" s="178"/>
      <c r="AB195" s="178"/>
      <c r="AC195" s="169"/>
      <c r="AD195" s="169"/>
      <c r="AE195" s="169"/>
      <c r="AF195" s="169"/>
      <c r="AG195" s="169"/>
      <c r="AH195" s="136"/>
      <c r="AI195" s="169"/>
      <c r="AJ195" s="169"/>
      <c r="AK195" s="169"/>
      <c r="AL195" s="169"/>
      <c r="AM195" s="169"/>
      <c r="AN195" s="170"/>
      <c r="AO195" s="179"/>
      <c r="AP195" s="179"/>
      <c r="AQ195" s="170"/>
      <c r="AR195" s="170"/>
      <c r="AS195" s="170"/>
      <c r="AT195" s="170"/>
      <c r="AU195" s="170"/>
      <c r="AV195" s="170"/>
      <c r="AW195" s="170"/>
      <c r="AX195" s="170"/>
      <c r="AY195" s="170"/>
      <c r="AZ195" s="170"/>
      <c r="BA195" s="170"/>
      <c r="BB195" s="170"/>
      <c r="BC195" s="170"/>
      <c r="BD195" s="170"/>
      <c r="BE195" s="179"/>
      <c r="BF195" s="170"/>
      <c r="BG195" s="170"/>
      <c r="BH195" s="179"/>
      <c r="BI195" s="170"/>
      <c r="BJ195" s="172"/>
      <c r="BK195" s="172"/>
      <c r="BL195" s="172"/>
      <c r="BM195" s="172"/>
      <c r="BN195" s="164"/>
      <c r="BO195" s="172"/>
      <c r="BP195" s="172"/>
      <c r="BQ195" s="172"/>
      <c r="BR195" s="172"/>
      <c r="BS195" s="172"/>
      <c r="BT195" s="172"/>
      <c r="BU195" s="172"/>
      <c r="BV195" s="172"/>
      <c r="BW195" s="172"/>
      <c r="BX195" s="172"/>
      <c r="BY195" s="172"/>
      <c r="BZ195" s="164"/>
      <c r="CA195" s="164"/>
      <c r="CB195" s="164"/>
      <c r="CC195" s="172"/>
      <c r="CD195" s="165"/>
      <c r="CE195" s="76"/>
      <c r="CF195" s="165"/>
      <c r="CG195" s="165"/>
      <c r="CH195" s="165"/>
      <c r="CI195" s="165"/>
      <c r="CJ195" s="165"/>
      <c r="CK195" s="165"/>
      <c r="CL195" s="165"/>
      <c r="CM195" s="165"/>
      <c r="CN195" s="165"/>
      <c r="CO195" s="165"/>
      <c r="CP195" s="165"/>
      <c r="CQ195" s="165"/>
      <c r="CR195" s="165"/>
      <c r="CS195" s="165"/>
      <c r="CT195" s="165"/>
      <c r="CU195" s="165"/>
      <c r="CV195" s="165"/>
    </row>
    <row r="196" spans="1:100" x14ac:dyDescent="0.25">
      <c r="A196" s="44" t="s">
        <v>735</v>
      </c>
      <c r="B196" s="176"/>
      <c r="C196" s="177"/>
      <c r="D196" s="177"/>
      <c r="E196" s="177"/>
      <c r="F196" s="182"/>
      <c r="G196" s="177"/>
      <c r="H196" s="177"/>
      <c r="I196" s="168"/>
      <c r="J196" s="177"/>
      <c r="K196" s="160"/>
      <c r="L196" s="177"/>
      <c r="M196" s="177"/>
      <c r="N196" s="160"/>
      <c r="O196" s="160"/>
      <c r="P196" s="177"/>
      <c r="Q196" s="182"/>
      <c r="R196" s="182"/>
      <c r="S196" s="182"/>
      <c r="T196" s="160"/>
      <c r="U196" s="169"/>
      <c r="V196" s="178"/>
      <c r="W196" s="169"/>
      <c r="X196" s="169"/>
      <c r="Y196" s="169"/>
      <c r="Z196" s="169"/>
      <c r="AA196" s="178"/>
      <c r="AB196" s="178"/>
      <c r="AC196" s="169"/>
      <c r="AD196" s="169"/>
      <c r="AE196" s="169"/>
      <c r="AF196" s="169"/>
      <c r="AG196" s="169"/>
      <c r="AH196" s="136"/>
      <c r="AI196" s="169"/>
      <c r="AJ196" s="169"/>
      <c r="AK196" s="169"/>
      <c r="AL196" s="169"/>
      <c r="AM196" s="169"/>
      <c r="AN196" s="170"/>
      <c r="AO196" s="179"/>
      <c r="AP196" s="179"/>
      <c r="AQ196" s="170"/>
      <c r="AR196" s="170"/>
      <c r="AS196" s="170"/>
      <c r="AT196" s="170"/>
      <c r="AU196" s="170"/>
      <c r="AV196" s="170"/>
      <c r="AW196" s="170"/>
      <c r="AX196" s="170"/>
      <c r="AY196" s="170"/>
      <c r="AZ196" s="170"/>
      <c r="BA196" s="170"/>
      <c r="BB196" s="170"/>
      <c r="BC196" s="170"/>
      <c r="BD196" s="170"/>
      <c r="BE196" s="179"/>
      <c r="BF196" s="170"/>
      <c r="BG196" s="170"/>
      <c r="BH196" s="179"/>
      <c r="BI196" s="170"/>
      <c r="BJ196" s="172"/>
      <c r="BK196" s="172"/>
      <c r="BL196" s="172"/>
      <c r="BM196" s="172"/>
      <c r="BN196" s="164"/>
      <c r="BO196" s="172"/>
      <c r="BP196" s="172"/>
      <c r="BQ196" s="172"/>
      <c r="BR196" s="172"/>
      <c r="BS196" s="172"/>
      <c r="BT196" s="172"/>
      <c r="BU196" s="172"/>
      <c r="BV196" s="172"/>
      <c r="BW196" s="172"/>
      <c r="BX196" s="172"/>
      <c r="BY196" s="172"/>
      <c r="BZ196" s="164"/>
      <c r="CA196" s="164"/>
      <c r="CB196" s="164"/>
      <c r="CC196" s="172"/>
      <c r="CD196" s="165"/>
      <c r="CE196" s="76"/>
      <c r="CF196" s="165"/>
      <c r="CG196" s="165"/>
      <c r="CH196" s="165"/>
      <c r="CI196" s="165"/>
      <c r="CJ196" s="165"/>
      <c r="CK196" s="165"/>
      <c r="CL196" s="165"/>
      <c r="CM196" s="165"/>
      <c r="CN196" s="165"/>
      <c r="CO196" s="165"/>
      <c r="CP196" s="165"/>
      <c r="CQ196" s="165"/>
      <c r="CR196" s="165"/>
      <c r="CS196" s="165"/>
      <c r="CT196" s="165"/>
      <c r="CU196" s="165"/>
      <c r="CV196" s="165"/>
    </row>
    <row r="197" spans="1:100" x14ac:dyDescent="0.25">
      <c r="A197" s="44" t="s">
        <v>736</v>
      </c>
      <c r="B197" s="185"/>
      <c r="C197" s="186"/>
      <c r="D197" s="186"/>
      <c r="E197" s="186"/>
      <c r="F197" s="131"/>
      <c r="G197" s="186"/>
      <c r="H197" s="186"/>
      <c r="I197" s="187"/>
      <c r="J197" s="186"/>
      <c r="K197" s="188"/>
      <c r="L197" s="186"/>
      <c r="M197" s="186"/>
      <c r="N197" s="188"/>
      <c r="O197" s="188"/>
      <c r="P197" s="186"/>
      <c r="Q197" s="131"/>
      <c r="R197" s="131"/>
      <c r="S197" s="131"/>
      <c r="T197" s="188"/>
      <c r="U197" s="189"/>
      <c r="V197" s="190"/>
      <c r="W197" s="189"/>
      <c r="X197" s="189"/>
      <c r="Y197" s="189"/>
      <c r="Z197" s="189"/>
      <c r="AA197" s="190"/>
      <c r="AB197" s="190"/>
      <c r="AC197" s="189"/>
      <c r="AD197" s="189"/>
      <c r="AE197" s="189"/>
      <c r="AF197" s="189"/>
      <c r="AG197" s="189"/>
      <c r="AH197" s="136"/>
      <c r="AI197" s="189"/>
      <c r="AJ197" s="189"/>
      <c r="AK197" s="189"/>
      <c r="AL197" s="189"/>
      <c r="AM197" s="189"/>
      <c r="AN197" s="191"/>
      <c r="AO197" s="192"/>
      <c r="AP197" s="192"/>
      <c r="AQ197" s="191"/>
      <c r="AR197" s="191"/>
      <c r="AS197" s="191"/>
      <c r="AT197" s="191"/>
      <c r="AU197" s="191"/>
      <c r="AV197" s="191"/>
      <c r="AW197" s="191"/>
      <c r="AX197" s="191"/>
      <c r="AY197" s="191"/>
      <c r="AZ197" s="191"/>
      <c r="BA197" s="191"/>
      <c r="BB197" s="191"/>
      <c r="BC197" s="191"/>
      <c r="BD197" s="191"/>
      <c r="BE197" s="192"/>
      <c r="BF197" s="191"/>
      <c r="BG197" s="191"/>
      <c r="BH197" s="192"/>
      <c r="BI197" s="191"/>
      <c r="BJ197" s="193"/>
      <c r="BK197" s="193"/>
      <c r="BL197" s="193"/>
      <c r="BM197" s="193"/>
      <c r="BN197" s="194"/>
      <c r="BO197" s="193"/>
      <c r="BP197" s="193"/>
      <c r="BQ197" s="193"/>
      <c r="BR197" s="193"/>
      <c r="BS197" s="193"/>
      <c r="BT197" s="193"/>
      <c r="BU197" s="193"/>
      <c r="BV197" s="193"/>
      <c r="BW197" s="193"/>
      <c r="BX197" s="193"/>
      <c r="BY197" s="193"/>
      <c r="BZ197" s="194"/>
      <c r="CA197" s="194"/>
      <c r="CB197" s="194"/>
      <c r="CC197" s="193"/>
      <c r="CD197" s="195"/>
      <c r="CE197" s="76"/>
      <c r="CF197" s="195"/>
      <c r="CG197" s="195"/>
      <c r="CH197" s="195"/>
      <c r="CI197" s="195"/>
      <c r="CJ197" s="195"/>
      <c r="CK197" s="195"/>
      <c r="CL197" s="195"/>
      <c r="CM197" s="195"/>
      <c r="CN197" s="195"/>
      <c r="CO197" s="195"/>
      <c r="CP197" s="195"/>
      <c r="CQ197" s="195"/>
      <c r="CR197" s="195"/>
      <c r="CS197" s="195"/>
      <c r="CT197" s="195"/>
      <c r="CU197" s="195"/>
      <c r="CV197" s="195"/>
    </row>
    <row r="199" spans="1:100" x14ac:dyDescent="0.25">
      <c r="A199" s="79" t="s">
        <v>738</v>
      </c>
      <c r="B199" s="196" t="s">
        <v>461</v>
      </c>
      <c r="C199" s="196" t="s">
        <v>462</v>
      </c>
      <c r="D199" s="196" t="s">
        <v>463</v>
      </c>
      <c r="E199" s="196" t="s">
        <v>464</v>
      </c>
      <c r="F199" s="196" t="s">
        <v>465</v>
      </c>
      <c r="G199" s="196" t="s">
        <v>466</v>
      </c>
      <c r="H199" s="196" t="s">
        <v>467</v>
      </c>
      <c r="I199" s="196" t="s">
        <v>468</v>
      </c>
      <c r="J199" s="196" t="s">
        <v>469</v>
      </c>
      <c r="K199" s="196" t="s">
        <v>470</v>
      </c>
      <c r="L199" s="196" t="s">
        <v>471</v>
      </c>
      <c r="M199" s="196" t="s">
        <v>472</v>
      </c>
      <c r="N199" s="196" t="s">
        <v>473</v>
      </c>
      <c r="O199" s="196" t="s">
        <v>474</v>
      </c>
      <c r="P199" s="196" t="s">
        <v>475</v>
      </c>
      <c r="Q199" s="196" t="s">
        <v>476</v>
      </c>
      <c r="R199" s="196" t="s">
        <v>477</v>
      </c>
      <c r="S199" s="196" t="s">
        <v>478</v>
      </c>
      <c r="T199" s="196" t="s">
        <v>479</v>
      </c>
      <c r="U199" s="197" t="s">
        <v>480</v>
      </c>
      <c r="V199" s="197" t="s">
        <v>481</v>
      </c>
      <c r="W199" s="197" t="s">
        <v>482</v>
      </c>
      <c r="X199" s="197" t="s">
        <v>483</v>
      </c>
      <c r="Y199" s="197" t="s">
        <v>484</v>
      </c>
      <c r="Z199" s="56" t="s">
        <v>1078</v>
      </c>
      <c r="AA199" s="197" t="s">
        <v>485</v>
      </c>
      <c r="AB199" s="197" t="s">
        <v>486</v>
      </c>
      <c r="AC199" s="197" t="s">
        <v>487</v>
      </c>
      <c r="AD199" s="197" t="s">
        <v>488</v>
      </c>
      <c r="AE199" s="197" t="s">
        <v>489</v>
      </c>
      <c r="AF199" s="197" t="s">
        <v>490</v>
      </c>
      <c r="AG199" s="197" t="s">
        <v>491</v>
      </c>
      <c r="AH199" s="56" t="s">
        <v>975</v>
      </c>
      <c r="AI199" s="197" t="s">
        <v>492</v>
      </c>
      <c r="AJ199" s="197" t="s">
        <v>493</v>
      </c>
      <c r="AK199" s="197" t="s">
        <v>494</v>
      </c>
      <c r="AL199" s="197" t="s">
        <v>495</v>
      </c>
      <c r="AM199" s="197" t="s">
        <v>496</v>
      </c>
      <c r="AN199" s="198" t="s">
        <v>497</v>
      </c>
      <c r="AO199" s="198" t="s">
        <v>498</v>
      </c>
      <c r="AP199" s="198" t="s">
        <v>499</v>
      </c>
      <c r="AQ199" s="198" t="s">
        <v>500</v>
      </c>
      <c r="AR199" s="198" t="s">
        <v>501</v>
      </c>
      <c r="AS199" s="198" t="s">
        <v>502</v>
      </c>
      <c r="AT199" s="198" t="s">
        <v>503</v>
      </c>
      <c r="AU199" s="198" t="s">
        <v>504</v>
      </c>
      <c r="AV199" s="198" t="s">
        <v>505</v>
      </c>
      <c r="AW199" s="198" t="s">
        <v>506</v>
      </c>
      <c r="AX199" s="198" t="s">
        <v>507</v>
      </c>
      <c r="AY199" s="198" t="s">
        <v>508</v>
      </c>
      <c r="AZ199" s="198" t="s">
        <v>509</v>
      </c>
      <c r="BA199" s="198" t="s">
        <v>510</v>
      </c>
      <c r="BB199" s="198" t="s">
        <v>511</v>
      </c>
      <c r="BC199" s="198" t="s">
        <v>512</v>
      </c>
      <c r="BD199" s="198" t="s">
        <v>513</v>
      </c>
      <c r="BE199" s="57" t="s">
        <v>1136</v>
      </c>
      <c r="BF199" s="198" t="s">
        <v>514</v>
      </c>
      <c r="BG199" s="198" t="s">
        <v>515</v>
      </c>
      <c r="BH199" s="198" t="s">
        <v>516</v>
      </c>
      <c r="BI199" s="198" t="s">
        <v>517</v>
      </c>
      <c r="BJ199" s="199" t="s">
        <v>518</v>
      </c>
      <c r="BK199" s="58" t="s">
        <v>1148</v>
      </c>
      <c r="BL199" s="199" t="s">
        <v>519</v>
      </c>
      <c r="BM199" s="199" t="s">
        <v>520</v>
      </c>
      <c r="BN199" s="199" t="s">
        <v>521</v>
      </c>
      <c r="BO199" s="199" t="s">
        <v>522</v>
      </c>
      <c r="BP199" s="199" t="s">
        <v>523</v>
      </c>
      <c r="BQ199" s="199" t="s">
        <v>524</v>
      </c>
      <c r="BR199" s="199" t="s">
        <v>525</v>
      </c>
      <c r="BS199" s="199" t="s">
        <v>526</v>
      </c>
      <c r="BT199" s="199" t="s">
        <v>527</v>
      </c>
      <c r="BU199" s="199" t="s">
        <v>528</v>
      </c>
      <c r="BV199" s="199" t="s">
        <v>529</v>
      </c>
      <c r="BW199" s="199" t="s">
        <v>530</v>
      </c>
      <c r="BX199" s="199" t="s">
        <v>531</v>
      </c>
      <c r="BY199" s="199" t="s">
        <v>532</v>
      </c>
      <c r="BZ199" s="199" t="s">
        <v>533</v>
      </c>
      <c r="CA199" s="199" t="s">
        <v>534</v>
      </c>
      <c r="CB199" s="199" t="s">
        <v>535</v>
      </c>
      <c r="CC199" s="199" t="s">
        <v>536</v>
      </c>
      <c r="CD199" s="200" t="s">
        <v>537</v>
      </c>
      <c r="CE199" s="59" t="s">
        <v>538</v>
      </c>
      <c r="CF199" s="200" t="s">
        <v>539</v>
      </c>
      <c r="CG199" s="200" t="s">
        <v>540</v>
      </c>
      <c r="CH199" s="200" t="s">
        <v>541</v>
      </c>
      <c r="CI199" s="200" t="s">
        <v>542</v>
      </c>
      <c r="CJ199" s="200" t="s">
        <v>543</v>
      </c>
      <c r="CK199" s="200" t="s">
        <v>544</v>
      </c>
      <c r="CL199" s="200" t="s">
        <v>545</v>
      </c>
      <c r="CM199" s="200" t="s">
        <v>546</v>
      </c>
      <c r="CN199" s="200" t="s">
        <v>547</v>
      </c>
      <c r="CO199" s="200" t="s">
        <v>548</v>
      </c>
      <c r="CP199" s="200" t="s">
        <v>549</v>
      </c>
      <c r="CQ199" s="200" t="s">
        <v>1077</v>
      </c>
      <c r="CR199" s="200" t="s">
        <v>550</v>
      </c>
      <c r="CS199" s="200" t="s">
        <v>551</v>
      </c>
      <c r="CT199" s="200" t="s">
        <v>552</v>
      </c>
      <c r="CU199" s="200" t="s">
        <v>553</v>
      </c>
      <c r="CV199" s="200" t="s">
        <v>554</v>
      </c>
    </row>
    <row r="200" spans="1:100" x14ac:dyDescent="0.25">
      <c r="A200" t="s">
        <v>406</v>
      </c>
      <c r="B200" s="135">
        <v>674</v>
      </c>
      <c r="C200" s="135">
        <v>608</v>
      </c>
      <c r="D200" s="52">
        <v>542</v>
      </c>
      <c r="E200" s="135">
        <v>608</v>
      </c>
      <c r="F200" s="135">
        <v>741</v>
      </c>
      <c r="G200" s="135">
        <v>510</v>
      </c>
      <c r="H200" s="135">
        <v>510</v>
      </c>
      <c r="I200" s="135">
        <v>565</v>
      </c>
      <c r="J200" s="135">
        <v>510</v>
      </c>
      <c r="K200" s="135">
        <v>454</v>
      </c>
      <c r="L200" s="135">
        <v>565</v>
      </c>
      <c r="M200" s="135">
        <v>510</v>
      </c>
      <c r="N200" s="135">
        <v>510</v>
      </c>
      <c r="O200" s="135">
        <v>565</v>
      </c>
      <c r="P200" s="135">
        <v>454</v>
      </c>
      <c r="Q200" s="135">
        <v>510</v>
      </c>
      <c r="R200" s="135">
        <v>565</v>
      </c>
      <c r="S200" s="135">
        <v>510</v>
      </c>
      <c r="T200" s="135">
        <v>510</v>
      </c>
      <c r="U200" s="147">
        <v>674</v>
      </c>
      <c r="V200" s="147">
        <v>608</v>
      </c>
      <c r="W200" s="147">
        <v>674</v>
      </c>
      <c r="X200" s="147">
        <v>608</v>
      </c>
      <c r="Y200" s="147">
        <v>608</v>
      </c>
      <c r="Z200" s="60">
        <v>741</v>
      </c>
      <c r="AA200" s="147">
        <v>510</v>
      </c>
      <c r="AB200" s="147">
        <v>565</v>
      </c>
      <c r="AC200" s="147">
        <v>454</v>
      </c>
      <c r="AD200" s="147">
        <v>565</v>
      </c>
      <c r="AE200" s="147">
        <v>510</v>
      </c>
      <c r="AF200" s="147">
        <v>565</v>
      </c>
      <c r="AG200" s="147">
        <v>454</v>
      </c>
      <c r="AH200" s="60">
        <v>620</v>
      </c>
      <c r="AI200" s="147">
        <v>454</v>
      </c>
      <c r="AJ200" s="147">
        <v>565</v>
      </c>
      <c r="AK200" s="147">
        <v>510</v>
      </c>
      <c r="AL200" s="147">
        <v>401</v>
      </c>
      <c r="AM200" s="147">
        <v>354</v>
      </c>
      <c r="AN200" s="148">
        <v>542</v>
      </c>
      <c r="AO200" s="148">
        <v>608</v>
      </c>
      <c r="AP200" s="148">
        <v>674</v>
      </c>
      <c r="AQ200" s="148">
        <v>608</v>
      </c>
      <c r="AR200" s="148">
        <v>608</v>
      </c>
      <c r="AS200" s="148">
        <v>674</v>
      </c>
      <c r="AT200" s="148">
        <v>510</v>
      </c>
      <c r="AU200" s="148">
        <v>510</v>
      </c>
      <c r="AV200" s="148">
        <v>510</v>
      </c>
      <c r="AW200" s="148">
        <v>620</v>
      </c>
      <c r="AX200" s="148">
        <v>454</v>
      </c>
      <c r="AY200" s="148">
        <v>510</v>
      </c>
      <c r="AZ200" s="148">
        <v>565</v>
      </c>
      <c r="BA200" s="148">
        <v>510</v>
      </c>
      <c r="BB200" s="148">
        <v>510</v>
      </c>
      <c r="BC200" s="148">
        <v>454</v>
      </c>
      <c r="BD200" s="148">
        <v>565</v>
      </c>
      <c r="BE200" s="148">
        <v>454</v>
      </c>
      <c r="BF200" s="148">
        <v>454</v>
      </c>
      <c r="BG200" s="148">
        <v>354</v>
      </c>
      <c r="BH200" s="148">
        <v>401</v>
      </c>
      <c r="BI200" s="148">
        <v>401</v>
      </c>
      <c r="BJ200" s="149">
        <v>608</v>
      </c>
      <c r="BK200" s="62">
        <v>608</v>
      </c>
      <c r="BL200" s="149">
        <v>674</v>
      </c>
      <c r="BM200" s="149">
        <v>608</v>
      </c>
      <c r="BN200" s="149">
        <v>608</v>
      </c>
      <c r="BO200" s="149">
        <v>510</v>
      </c>
      <c r="BP200" s="149">
        <v>454</v>
      </c>
      <c r="BQ200" s="149">
        <v>565</v>
      </c>
      <c r="BR200" s="149">
        <v>510</v>
      </c>
      <c r="BS200" s="149">
        <v>510</v>
      </c>
      <c r="BT200" s="149">
        <v>454</v>
      </c>
      <c r="BU200" s="149">
        <v>565</v>
      </c>
      <c r="BV200" s="149">
        <v>510</v>
      </c>
      <c r="BW200" s="149">
        <v>565</v>
      </c>
      <c r="BX200" s="149">
        <v>510</v>
      </c>
      <c r="BY200" s="149">
        <v>454</v>
      </c>
      <c r="BZ200" s="149">
        <v>354</v>
      </c>
      <c r="CA200" s="149">
        <v>510</v>
      </c>
      <c r="CB200" s="149">
        <v>565</v>
      </c>
      <c r="CC200" s="140">
        <v>401</v>
      </c>
      <c r="CD200" s="141">
        <v>608</v>
      </c>
      <c r="CE200" s="64">
        <v>608</v>
      </c>
      <c r="CF200" s="141">
        <v>674</v>
      </c>
      <c r="CG200" s="141">
        <v>608</v>
      </c>
      <c r="CH200" s="141">
        <v>510</v>
      </c>
      <c r="CI200" s="141">
        <v>510</v>
      </c>
      <c r="CJ200" s="141">
        <v>454</v>
      </c>
      <c r="CK200" s="141">
        <v>565</v>
      </c>
      <c r="CL200" s="141">
        <v>510</v>
      </c>
      <c r="CM200" s="141">
        <v>454</v>
      </c>
      <c r="CN200" s="141">
        <v>510</v>
      </c>
      <c r="CO200" s="141">
        <v>565</v>
      </c>
      <c r="CP200" s="141">
        <v>565</v>
      </c>
      <c r="CQ200" s="141">
        <v>454</v>
      </c>
      <c r="CR200" s="141">
        <v>510</v>
      </c>
      <c r="CS200" s="141">
        <v>510</v>
      </c>
      <c r="CT200" s="141">
        <v>510</v>
      </c>
      <c r="CU200" s="141">
        <v>354</v>
      </c>
      <c r="CV200" s="141">
        <v>608</v>
      </c>
    </row>
    <row r="201" spans="1:100" x14ac:dyDescent="0.25">
      <c r="A201" t="s">
        <v>65</v>
      </c>
      <c r="B201" s="134">
        <v>0</v>
      </c>
      <c r="C201" s="146">
        <f>49.6%+IF(char4WeapToggle, 2*char4WeapStacks*(4+(char4Refine-1))%, char4WeapStacks*(4+(char4Refine-1))%)</f>
        <v>0.73599999999999999</v>
      </c>
      <c r="D201" s="53">
        <v>0</v>
      </c>
      <c r="E201" s="146">
        <f>49.6%+(20+(char4Refine-1)*5)%+IF(char4WeapToggle,(40+(char4Refine-1)*10),0)%</f>
        <v>1.3959999999999999</v>
      </c>
      <c r="F201" s="146">
        <f>IF(char4WeapToggle, (20+(char4Refine-1)*5)%, 0%) + (16+(char4Refine-1)*4)%</f>
        <v>0.54</v>
      </c>
      <c r="G201" s="134">
        <v>0</v>
      </c>
      <c r="H201" s="134">
        <v>0</v>
      </c>
      <c r="I201" s="134">
        <v>0.27600000000000002</v>
      </c>
      <c r="J201" s="146">
        <f>char4WeapStacks*(6+1.5*(char4Refine-1))%</f>
        <v>0.18</v>
      </c>
      <c r="K201" s="146">
        <v>0</v>
      </c>
      <c r="L201" s="146">
        <v>0</v>
      </c>
      <c r="M201" s="146">
        <v>0</v>
      </c>
      <c r="N201" s="134">
        <f>41.3%+char4WeapStacks*(7+(char4Refine-1))%</f>
        <v>0.59299999999999997</v>
      </c>
      <c r="O201" s="134">
        <v>0.27600000000000002</v>
      </c>
      <c r="P201" s="134">
        <v>0.55100000000000005</v>
      </c>
      <c r="Q201" s="134">
        <v>0</v>
      </c>
      <c r="R201" s="134">
        <v>0</v>
      </c>
      <c r="S201" s="134">
        <v>0.41299999999999998</v>
      </c>
      <c r="T201" s="146">
        <f>char4WeapStacks*(12+(char4Refine-1)*3)%</f>
        <v>0.36</v>
      </c>
      <c r="U201" s="136">
        <v>0</v>
      </c>
      <c r="V201" s="136">
        <f ca="1">MIN((28%+(char4Refine-1)*7%)*(char4FinalER-100%),(80+(char4Refine-1)*10)%)</f>
        <v>0.43814400000000009</v>
      </c>
      <c r="W201" s="136">
        <f>char4WeapStacks*(3.2+(char4Refine-1)*0.7)%</f>
        <v>9.1999999999999998E-2</v>
      </c>
      <c r="X201" s="136">
        <f>(49.6+(char4WeapStacks*IF(char4WeapToggle,2,1)*(4+(char4Refine-1)*1)))%</f>
        <v>0.73599999999999999</v>
      </c>
      <c r="Y201" s="136">
        <v>0</v>
      </c>
      <c r="Z201" s="65">
        <f>IF(char4WeapToggle = FALSE, (3.2%+0.8%*(char4Refine-1))*char4WeapStacks, (3.2%+0.8%*(char4Refine-1))*char4WeapStacks*2)</f>
        <v>0.192</v>
      </c>
      <c r="AA201" s="136">
        <v>0</v>
      </c>
      <c r="AB201" s="136">
        <v>0</v>
      </c>
      <c r="AC201" s="136">
        <v>0</v>
      </c>
      <c r="AD201" s="136">
        <v>0</v>
      </c>
      <c r="AE201" s="136">
        <v>0</v>
      </c>
      <c r="AF201" s="136">
        <f>(27.6+(7+(char4Refine-1)*1)*char4WeapStacks)%</f>
        <v>0.45600000000000002</v>
      </c>
      <c r="AG201" s="136">
        <v>0</v>
      </c>
      <c r="AH201" s="65">
        <v>0.13800000000000001</v>
      </c>
      <c r="AI201" s="136">
        <f>IF(char4WeapToggle,(24+(char4Refine-1)*6),(16+(char4Refine-1)*4))%</f>
        <v>0.36</v>
      </c>
      <c r="AJ201" s="136">
        <v>0</v>
      </c>
      <c r="AK201" s="136">
        <f>(12+(char4Refine-1)*3)*char4WeapStacks%</f>
        <v>0.36</v>
      </c>
      <c r="AL201" s="136">
        <v>0</v>
      </c>
      <c r="AM201" s="136">
        <v>0</v>
      </c>
      <c r="AN201" s="73">
        <v>0</v>
      </c>
      <c r="AO201" s="73">
        <f>IF(char4WeapToggle, (20+(char4Refine-1)*5), 0)%</f>
        <v>0.3</v>
      </c>
      <c r="AP201" s="73">
        <v>0</v>
      </c>
      <c r="AQ201" s="73">
        <f>(49.6+IF(char4WeapToggle,(4+(char4Refine-1))*char4WeapStacks*2,(4+(char4Refine-1))*char4WeapStacks))%</f>
        <v>0.73599999999999999</v>
      </c>
      <c r="AR201" s="73">
        <v>0</v>
      </c>
      <c r="AS201" s="73">
        <f>(20+(char4Refine-1)*5)%</f>
        <v>0.3</v>
      </c>
      <c r="AT201" s="73">
        <v>0</v>
      </c>
      <c r="AU201" s="73">
        <v>0.41299999999999998</v>
      </c>
      <c r="AV201" s="73">
        <v>0</v>
      </c>
      <c r="AW201" s="73">
        <v>0</v>
      </c>
      <c r="AX201" s="73">
        <v>0</v>
      </c>
      <c r="AY201" s="73">
        <v>0.41299999999999998</v>
      </c>
      <c r="AZ201" s="73">
        <f>char4WeapStacks*(4+(char4Refine-1))%</f>
        <v>0.12</v>
      </c>
      <c r="BA201" s="73">
        <v>0.41299999999999998</v>
      </c>
      <c r="BB201" s="73">
        <v>0</v>
      </c>
      <c r="BC201" s="73">
        <v>0</v>
      </c>
      <c r="BD201" s="73">
        <f>(char4WeapStacks*(12+(char4Refine-1)*3))%</f>
        <v>0.36</v>
      </c>
      <c r="BE201" s="73">
        <v>0.55100000000000005</v>
      </c>
      <c r="BF201" s="73">
        <v>0</v>
      </c>
      <c r="BG201" s="73">
        <f>IF(char4WeapToggle,12+(char4Refine-1)*3,0)%</f>
        <v>0.18</v>
      </c>
      <c r="BH201" s="73">
        <f>IF(char4WeapToggle, 20+(char4Refine-1)*5)%</f>
        <v>0.3</v>
      </c>
      <c r="BI201" s="73">
        <v>0</v>
      </c>
      <c r="BJ201" s="150">
        <f>(49.6+IF(char4WeapToggle,(4+(char4Refine-1))*char4WeapStacks*2,(4+(char4Refine-1))*char4WeapStacks))%</f>
        <v>0.73599999999999999</v>
      </c>
      <c r="BK201" s="67">
        <v>0</v>
      </c>
      <c r="BL201" s="139">
        <v>0.33100000000000002</v>
      </c>
      <c r="BM201" s="139">
        <v>0</v>
      </c>
      <c r="BN201" s="139">
        <v>0</v>
      </c>
      <c r="BO201" s="139">
        <v>0.41299999999999998</v>
      </c>
      <c r="BP201" s="139">
        <v>0.55100000000000005</v>
      </c>
      <c r="BQ201" s="139">
        <f>IF(char4WeapToggle, 20+(char4Refine-1)*5,0)%</f>
        <v>0.3</v>
      </c>
      <c r="BR201" s="139">
        <f>IF(char4WeapToggle, 20+(char4Refine-1)*5,0)%</f>
        <v>0.3</v>
      </c>
      <c r="BS201" s="139">
        <v>0</v>
      </c>
      <c r="BT201" s="139">
        <v>0</v>
      </c>
      <c r="BU201" s="139">
        <v>0.27600000000000002</v>
      </c>
      <c r="BV201" s="139">
        <v>0</v>
      </c>
      <c r="BW201" s="139">
        <v>0</v>
      </c>
      <c r="BX201" s="139">
        <v>0</v>
      </c>
      <c r="BY201" s="139">
        <f>(55.1+IF(char4WeapToggle,8+(char4Refine-1)*2))%</f>
        <v>0.67099999999999993</v>
      </c>
      <c r="BZ201" s="139">
        <v>0</v>
      </c>
      <c r="CA201" s="139">
        <f>char4WeapStacks*(12+(char4Refine-1)*3)%</f>
        <v>0.36</v>
      </c>
      <c r="CB201" s="139">
        <v>0</v>
      </c>
      <c r="CC201" s="139">
        <v>0</v>
      </c>
      <c r="CD201" s="151">
        <f>IF(char4WeapToggle, 20+(char4Refine-1)*5, 0)%</f>
        <v>0.3</v>
      </c>
      <c r="CE201" s="71">
        <f>IF(char4WeapStacks=0, 0, IF(char4WeapStacks=1, 10+(char4Refine-1)*2.5, IF(char4WeapStacks=2, 20+(char4Refine-1)*5, IF(char4WeapStacks=3, 30+(char4Refine-1)*7.5, IF(char4WeapStacks=4, 48+(char4Refine-1)*12,0)))))%</f>
        <v>0.3</v>
      </c>
      <c r="CF201" s="71">
        <v>0</v>
      </c>
      <c r="CG201" s="144">
        <v>0.496</v>
      </c>
      <c r="CH201" s="144">
        <v>0.41299999999999998</v>
      </c>
      <c r="CI201" s="71">
        <v>0</v>
      </c>
      <c r="CJ201" s="71">
        <f>char4WeapStacks*(4+(char4Refine-1))%</f>
        <v>0.12</v>
      </c>
      <c r="CK201" s="71">
        <f>char4WeapStacks*(12+(char4Refine-1)*3)%</f>
        <v>0.36</v>
      </c>
      <c r="CL201" s="71">
        <f>41.3%+IF(char4WeapToggle, 36+(char4Refine-1)*9)%</f>
        <v>0.95300000000000007</v>
      </c>
      <c r="CM201" s="71">
        <v>0</v>
      </c>
      <c r="CN201" s="71">
        <f>IF(char4WeapToggle, 16+(char4Refine-1)*4,0)%</f>
        <v>0.24</v>
      </c>
      <c r="CO201" s="71">
        <v>0.27600000000000002</v>
      </c>
      <c r="CP201" s="71">
        <v>0</v>
      </c>
      <c r="CQ201" s="71">
        <v>0.55100000000000005</v>
      </c>
      <c r="CR201" s="71">
        <v>0</v>
      </c>
      <c r="CS201" s="144">
        <v>0.41299999999999998</v>
      </c>
      <c r="CT201" s="71">
        <v>0</v>
      </c>
      <c r="CU201" s="71">
        <v>0</v>
      </c>
      <c r="CV201" s="71">
        <f>(20+(char4Refine-1)*5)%</f>
        <v>0.3</v>
      </c>
    </row>
    <row r="202" spans="1:100" x14ac:dyDescent="0.25">
      <c r="A202" t="s">
        <v>66</v>
      </c>
      <c r="B202" s="134">
        <v>0</v>
      </c>
      <c r="C202" s="146">
        <v>0</v>
      </c>
      <c r="D202" s="53">
        <f>(28+(char4Refine-1)*7)%</f>
        <v>0.42</v>
      </c>
      <c r="E202" s="146">
        <v>0</v>
      </c>
      <c r="F202" s="146">
        <v>0</v>
      </c>
      <c r="G202" s="134">
        <v>0</v>
      </c>
      <c r="H202" s="134">
        <v>0</v>
      </c>
      <c r="I202" s="134">
        <v>0</v>
      </c>
      <c r="J202" s="134">
        <f>51.7%+char4WeapStacks*(6+1.5*(char4Refine-1))%</f>
        <v>0.69700000000000006</v>
      </c>
      <c r="K202" s="146">
        <v>0</v>
      </c>
      <c r="L202" s="146">
        <v>0</v>
      </c>
      <c r="M202" s="146">
        <v>0</v>
      </c>
      <c r="N202" s="134">
        <v>0</v>
      </c>
      <c r="O202" s="146">
        <v>0</v>
      </c>
      <c r="P202" s="146">
        <v>0</v>
      </c>
      <c r="Q202" s="134">
        <v>0</v>
      </c>
      <c r="R202" s="134">
        <v>0</v>
      </c>
      <c r="S202" s="134">
        <v>0</v>
      </c>
      <c r="T202" s="134">
        <v>0</v>
      </c>
      <c r="U202" s="136">
        <v>0</v>
      </c>
      <c r="V202" s="136">
        <v>0</v>
      </c>
      <c r="W202" s="136">
        <v>0</v>
      </c>
      <c r="X202" s="136">
        <v>0</v>
      </c>
      <c r="Y202" s="136">
        <v>0</v>
      </c>
      <c r="Z202" s="65">
        <v>0</v>
      </c>
      <c r="AA202" s="136">
        <v>0</v>
      </c>
      <c r="AB202" s="136">
        <v>0</v>
      </c>
      <c r="AC202" s="136">
        <v>0</v>
      </c>
      <c r="AD202" s="136">
        <v>0</v>
      </c>
      <c r="AE202" s="136">
        <v>0</v>
      </c>
      <c r="AF202" s="136">
        <v>0</v>
      </c>
      <c r="AG202" s="136">
        <v>0</v>
      </c>
      <c r="AH202" s="65">
        <v>0</v>
      </c>
      <c r="AI202" s="136">
        <f>(16+(char4Refine-1)*4)%</f>
        <v>0.24</v>
      </c>
      <c r="AJ202" s="136">
        <v>0</v>
      </c>
      <c r="AK202" s="136">
        <v>0</v>
      </c>
      <c r="AL202" s="136">
        <v>0</v>
      </c>
      <c r="AM202" s="136">
        <v>0</v>
      </c>
      <c r="AN202" s="73">
        <v>0</v>
      </c>
      <c r="AO202" s="73">
        <v>0</v>
      </c>
      <c r="AP202" s="73">
        <v>0</v>
      </c>
      <c r="AQ202" s="73">
        <v>0</v>
      </c>
      <c r="AR202" s="73">
        <v>0</v>
      </c>
      <c r="AS202" s="73">
        <v>0</v>
      </c>
      <c r="AT202" s="73">
        <v>0</v>
      </c>
      <c r="AU202" s="73">
        <v>0</v>
      </c>
      <c r="AV202" s="73">
        <v>0</v>
      </c>
      <c r="AW202" s="73">
        <v>0</v>
      </c>
      <c r="AX202" s="73">
        <v>0</v>
      </c>
      <c r="AY202" s="73">
        <v>0</v>
      </c>
      <c r="AZ202" s="73">
        <f>char4WeapStacks*(4+(char4Refine-1))%</f>
        <v>0.12</v>
      </c>
      <c r="BA202" s="73">
        <v>0</v>
      </c>
      <c r="BB202" s="73">
        <v>0</v>
      </c>
      <c r="BC202" s="73">
        <v>0</v>
      </c>
      <c r="BD202" s="73">
        <v>0</v>
      </c>
      <c r="BE202" s="73">
        <v>0</v>
      </c>
      <c r="BF202" s="73">
        <v>0.69</v>
      </c>
      <c r="BG202" s="73">
        <v>0</v>
      </c>
      <c r="BH202" s="73">
        <v>0</v>
      </c>
      <c r="BI202" s="73">
        <v>0</v>
      </c>
      <c r="BJ202" s="139">
        <v>0</v>
      </c>
      <c r="BK202" s="67">
        <v>0</v>
      </c>
      <c r="BL202" s="139">
        <v>0</v>
      </c>
      <c r="BM202" s="139">
        <v>0</v>
      </c>
      <c r="BN202" s="139">
        <v>0</v>
      </c>
      <c r="BO202" s="139">
        <v>0</v>
      </c>
      <c r="BP202" s="139">
        <v>0</v>
      </c>
      <c r="BQ202" s="139">
        <v>0</v>
      </c>
      <c r="BR202" s="139">
        <v>0</v>
      </c>
      <c r="BS202" s="139">
        <v>0</v>
      </c>
      <c r="BT202" s="139">
        <v>0</v>
      </c>
      <c r="BU202" s="139">
        <v>0</v>
      </c>
      <c r="BV202" s="139">
        <v>0</v>
      </c>
      <c r="BW202" s="139">
        <v>0</v>
      </c>
      <c r="BX202" s="139">
        <v>0</v>
      </c>
      <c r="BY202" s="139">
        <v>0</v>
      </c>
      <c r="BZ202" s="139">
        <v>0</v>
      </c>
      <c r="CA202" s="139">
        <v>0</v>
      </c>
      <c r="CB202" s="139">
        <v>0</v>
      </c>
      <c r="CC202" s="139">
        <v>0</v>
      </c>
      <c r="CD202" s="71">
        <v>0</v>
      </c>
      <c r="CE202" s="71">
        <v>0</v>
      </c>
      <c r="CF202" s="71">
        <v>0</v>
      </c>
      <c r="CG202" s="71">
        <v>0</v>
      </c>
      <c r="CH202" s="71">
        <v>0</v>
      </c>
      <c r="CI202" s="71">
        <v>0</v>
      </c>
      <c r="CJ202" s="71">
        <v>0</v>
      </c>
      <c r="CK202" s="71">
        <v>0</v>
      </c>
      <c r="CL202" s="71">
        <v>0</v>
      </c>
      <c r="CM202" s="71">
        <v>0</v>
      </c>
      <c r="CN202" s="71">
        <v>0</v>
      </c>
      <c r="CO202" s="71">
        <v>0</v>
      </c>
      <c r="CP202" s="71">
        <v>0</v>
      </c>
      <c r="CQ202" s="71">
        <v>0</v>
      </c>
      <c r="CR202" s="71">
        <v>0</v>
      </c>
      <c r="CS202" s="71">
        <v>0</v>
      </c>
      <c r="CT202" s="71">
        <v>0</v>
      </c>
      <c r="CU202" s="71">
        <v>0</v>
      </c>
      <c r="CV202" s="71">
        <v>0</v>
      </c>
    </row>
    <row r="203" spans="1:100" x14ac:dyDescent="0.25">
      <c r="A203" s="44" t="s">
        <v>67</v>
      </c>
      <c r="B203" s="134">
        <v>0</v>
      </c>
      <c r="C203" s="146">
        <v>0</v>
      </c>
      <c r="D203" s="53">
        <v>0</v>
      </c>
      <c r="E203" s="146">
        <v>0</v>
      </c>
      <c r="F203" s="146">
        <v>0</v>
      </c>
      <c r="G203" s="134">
        <v>0</v>
      </c>
      <c r="H203" s="134">
        <v>0.41299999999999998</v>
      </c>
      <c r="I203" s="134">
        <v>0</v>
      </c>
      <c r="J203" s="146">
        <v>0</v>
      </c>
      <c r="K203" s="146">
        <v>0</v>
      </c>
      <c r="L203" s="146">
        <v>0</v>
      </c>
      <c r="M203" s="146">
        <v>0</v>
      </c>
      <c r="N203" s="134">
        <v>0</v>
      </c>
      <c r="O203" s="146">
        <v>0</v>
      </c>
      <c r="P203" s="146">
        <v>0</v>
      </c>
      <c r="Q203" s="134">
        <v>0</v>
      </c>
      <c r="R203" s="134">
        <v>0</v>
      </c>
      <c r="S203" s="134">
        <v>0</v>
      </c>
      <c r="T203" s="134">
        <v>0</v>
      </c>
      <c r="U203" s="136">
        <v>0</v>
      </c>
      <c r="V203" s="136">
        <v>0</v>
      </c>
      <c r="W203" s="136">
        <v>0</v>
      </c>
      <c r="X203" s="136">
        <v>0</v>
      </c>
      <c r="Y203" s="136">
        <f>(20+(char4Refine-1)*5)%</f>
        <v>0.3</v>
      </c>
      <c r="Z203" s="65">
        <v>0</v>
      </c>
      <c r="AA203" s="136">
        <v>0</v>
      </c>
      <c r="AB203" s="136">
        <v>0</v>
      </c>
      <c r="AC203" s="136">
        <v>0</v>
      </c>
      <c r="AD203" s="136">
        <v>0</v>
      </c>
      <c r="AE203" s="136">
        <v>0</v>
      </c>
      <c r="AF203" s="136">
        <v>0</v>
      </c>
      <c r="AG203" s="136">
        <v>0</v>
      </c>
      <c r="AH203" s="65">
        <v>0</v>
      </c>
      <c r="AI203" s="136">
        <v>0</v>
      </c>
      <c r="AJ203" s="136">
        <v>0</v>
      </c>
      <c r="AK203" s="136">
        <v>0</v>
      </c>
      <c r="AL203" s="136">
        <v>0</v>
      </c>
      <c r="AM203" s="136">
        <v>0.46899999999999997</v>
      </c>
      <c r="AN203" s="73">
        <f>0.2+(char4Refine-1)*0.05</f>
        <v>0.30000000000000004</v>
      </c>
      <c r="AO203" s="73">
        <v>0</v>
      </c>
      <c r="AP203" s="73">
        <v>0</v>
      </c>
      <c r="AQ203" s="73">
        <v>0</v>
      </c>
      <c r="AR203" s="73">
        <v>0</v>
      </c>
      <c r="AS203" s="73">
        <v>0</v>
      </c>
      <c r="AT203" s="73">
        <v>0</v>
      </c>
      <c r="AU203" s="73">
        <v>0</v>
      </c>
      <c r="AV203" s="73">
        <v>0</v>
      </c>
      <c r="AW203" s="73">
        <v>0</v>
      </c>
      <c r="AX203" s="73">
        <v>0</v>
      </c>
      <c r="AY203" s="73">
        <v>0</v>
      </c>
      <c r="AZ203" s="73">
        <v>0</v>
      </c>
      <c r="BA203" s="73">
        <v>0</v>
      </c>
      <c r="BB203" s="73">
        <v>0</v>
      </c>
      <c r="BC203" s="73">
        <v>0</v>
      </c>
      <c r="BD203" s="73">
        <v>0</v>
      </c>
      <c r="BE203" s="73">
        <v>0</v>
      </c>
      <c r="BF203" s="73">
        <v>0</v>
      </c>
      <c r="BG203" s="73">
        <v>0</v>
      </c>
      <c r="BH203" s="73">
        <v>0</v>
      </c>
      <c r="BI203" s="73">
        <v>0</v>
      </c>
      <c r="BJ203" s="139">
        <v>0</v>
      </c>
      <c r="BK203" s="67">
        <v>0</v>
      </c>
      <c r="BL203" s="139">
        <v>0</v>
      </c>
      <c r="BM203" s="139">
        <v>0</v>
      </c>
      <c r="BN203" s="139">
        <v>0.496</v>
      </c>
      <c r="BO203" s="139">
        <v>0</v>
      </c>
      <c r="BP203" s="139">
        <v>0</v>
      </c>
      <c r="BQ203" s="139">
        <v>0</v>
      </c>
      <c r="BR203" s="139">
        <v>0</v>
      </c>
      <c r="BS203" s="139">
        <v>0</v>
      </c>
      <c r="BT203" s="139">
        <v>0</v>
      </c>
      <c r="BU203" s="139">
        <v>0</v>
      </c>
      <c r="BV203" s="139">
        <v>0.41299999999999998</v>
      </c>
      <c r="BW203" s="139">
        <v>0</v>
      </c>
      <c r="BX203" s="139">
        <v>0</v>
      </c>
      <c r="BY203" s="139">
        <v>0</v>
      </c>
      <c r="BZ203" s="139">
        <v>0</v>
      </c>
      <c r="CA203" s="139">
        <v>0</v>
      </c>
      <c r="CB203" s="139">
        <v>0</v>
      </c>
      <c r="CC203" s="139">
        <v>0.35199999999999998</v>
      </c>
      <c r="CD203" s="71">
        <v>0</v>
      </c>
      <c r="CE203" s="70">
        <v>0</v>
      </c>
      <c r="CF203" s="71">
        <v>0</v>
      </c>
      <c r="CG203" s="71">
        <v>0</v>
      </c>
      <c r="CH203" s="71">
        <v>0</v>
      </c>
      <c r="CI203" s="71">
        <v>0</v>
      </c>
      <c r="CJ203" s="71">
        <v>0</v>
      </c>
      <c r="CK203" s="71">
        <v>0</v>
      </c>
      <c r="CL203" s="71">
        <v>0</v>
      </c>
      <c r="CM203" s="71">
        <v>0</v>
      </c>
      <c r="CN203" s="71">
        <v>0</v>
      </c>
      <c r="CO203" s="71">
        <v>0</v>
      </c>
      <c r="CP203" s="71">
        <v>0</v>
      </c>
      <c r="CQ203" s="71">
        <v>0</v>
      </c>
      <c r="CR203" s="71">
        <v>0</v>
      </c>
      <c r="CS203" s="71">
        <v>0</v>
      </c>
      <c r="CT203" s="71">
        <v>0</v>
      </c>
      <c r="CU203" s="71">
        <v>0</v>
      </c>
      <c r="CV203" s="71">
        <v>0</v>
      </c>
    </row>
    <row r="204" spans="1:100" x14ac:dyDescent="0.25">
      <c r="A204" t="s">
        <v>408</v>
      </c>
      <c r="B204" s="134">
        <v>0</v>
      </c>
      <c r="C204" s="146">
        <v>0</v>
      </c>
      <c r="D204" s="53">
        <v>0</v>
      </c>
      <c r="E204" s="146">
        <v>0</v>
      </c>
      <c r="F204" s="146">
        <v>0</v>
      </c>
      <c r="G204" s="134">
        <v>0.27600000000000002</v>
      </c>
      <c r="H204" s="134">
        <v>0</v>
      </c>
      <c r="I204" s="134">
        <f>(char4WeapStacks*(8%+(char4Refine-1)*2%))</f>
        <v>0.24</v>
      </c>
      <c r="J204" s="146">
        <v>0</v>
      </c>
      <c r="K204" s="146">
        <v>0</v>
      </c>
      <c r="L204" s="146">
        <v>0</v>
      </c>
      <c r="M204" s="146">
        <v>0</v>
      </c>
      <c r="N204" s="134">
        <f>char4WeapStacks*(3+(char4Refine-1))%</f>
        <v>0.1</v>
      </c>
      <c r="O204" s="146">
        <v>0</v>
      </c>
      <c r="P204" s="146">
        <v>0</v>
      </c>
      <c r="Q204" s="134">
        <v>0</v>
      </c>
      <c r="R204" s="134">
        <v>0</v>
      </c>
      <c r="S204" s="134">
        <v>0</v>
      </c>
      <c r="T204" s="134">
        <v>0</v>
      </c>
      <c r="U204" s="136">
        <f>(8+(char4Refine-1)*2)%</f>
        <v>0.12</v>
      </c>
      <c r="V204" s="136">
        <v>0</v>
      </c>
      <c r="W204" s="136">
        <v>0.221</v>
      </c>
      <c r="X204" s="136">
        <v>0</v>
      </c>
      <c r="Y204" s="136">
        <v>0</v>
      </c>
      <c r="Z204" s="65">
        <v>0</v>
      </c>
      <c r="AA204" s="136">
        <v>0</v>
      </c>
      <c r="AB204" s="136">
        <v>0</v>
      </c>
      <c r="AC204" s="136">
        <v>0</v>
      </c>
      <c r="AD204" s="136">
        <v>0</v>
      </c>
      <c r="AE204" s="136">
        <v>0</v>
      </c>
      <c r="AF204" s="136">
        <f>(3+(char4Refine-1)*1)*char4WeapStacks%</f>
        <v>0.1</v>
      </c>
      <c r="AG204" s="136">
        <v>0</v>
      </c>
      <c r="AH204" s="65">
        <v>0</v>
      </c>
      <c r="AI204" s="136">
        <v>0.36799999999999999</v>
      </c>
      <c r="AJ204" s="136">
        <v>0</v>
      </c>
      <c r="AK204" s="136">
        <v>0</v>
      </c>
      <c r="AL204" s="136">
        <v>0.23400000000000001</v>
      </c>
      <c r="AM204" s="136">
        <v>0</v>
      </c>
      <c r="AN204" s="73">
        <v>0.441</v>
      </c>
      <c r="AO204" s="73">
        <v>0</v>
      </c>
      <c r="AP204" s="73">
        <v>0</v>
      </c>
      <c r="AQ204" s="73">
        <v>0</v>
      </c>
      <c r="AR204" s="73">
        <f>(4+(char4Refine-1))%</f>
        <v>0.06</v>
      </c>
      <c r="AS204" s="73">
        <v>0</v>
      </c>
      <c r="AT204" s="73">
        <v>0</v>
      </c>
      <c r="AU204" s="73">
        <v>0</v>
      </c>
      <c r="AV204" s="73">
        <v>0.27600000000000002</v>
      </c>
      <c r="AW204" s="73">
        <v>0</v>
      </c>
      <c r="AX204" s="73">
        <v>0</v>
      </c>
      <c r="AY204" s="73">
        <f>(char4WeapStacks*(8+(char4Refine-1)*2))%</f>
        <v>0.24</v>
      </c>
      <c r="AZ204" s="73">
        <v>0</v>
      </c>
      <c r="BA204" s="73">
        <v>0</v>
      </c>
      <c r="BB204" s="73">
        <v>0</v>
      </c>
      <c r="BC204" s="73">
        <v>0</v>
      </c>
      <c r="BD204" s="73">
        <v>0</v>
      </c>
      <c r="BE204" s="73">
        <v>0</v>
      </c>
      <c r="BF204" s="73">
        <v>0</v>
      </c>
      <c r="BG204" s="73">
        <v>0</v>
      </c>
      <c r="BH204" s="73">
        <v>0</v>
      </c>
      <c r="BI204" s="73">
        <f>IF(char4WeapToggle,14+(char4Refine-1)*3.5,0)%</f>
        <v>0.21</v>
      </c>
      <c r="BJ204" s="139">
        <v>0</v>
      </c>
      <c r="BK204" s="67">
        <v>0</v>
      </c>
      <c r="BL204" s="139">
        <v>0</v>
      </c>
      <c r="BM204" s="139">
        <v>0.33100000000000002</v>
      </c>
      <c r="BN204" s="139">
        <v>0</v>
      </c>
      <c r="BO204" s="139">
        <v>0</v>
      </c>
      <c r="BP204" s="139">
        <v>0</v>
      </c>
      <c r="BQ204" s="139">
        <v>0</v>
      </c>
      <c r="BR204" s="139">
        <v>0</v>
      </c>
      <c r="BS204" s="139">
        <v>0.27600000000000002</v>
      </c>
      <c r="BT204" s="139">
        <v>0</v>
      </c>
      <c r="BU204" s="139">
        <f>char4WeapStacks*(8+(char4Refine-1)*2)%</f>
        <v>0.24</v>
      </c>
      <c r="BV204" s="139">
        <v>0</v>
      </c>
      <c r="BW204" s="139">
        <v>0</v>
      </c>
      <c r="BX204" s="139">
        <v>0</v>
      </c>
      <c r="BY204" s="139">
        <v>0</v>
      </c>
      <c r="BZ204" s="139">
        <v>0</v>
      </c>
      <c r="CA204" s="139">
        <v>0</v>
      </c>
      <c r="CB204" s="139">
        <v>0</v>
      </c>
      <c r="CC204" s="139">
        <v>0</v>
      </c>
      <c r="CD204" s="71">
        <v>0</v>
      </c>
      <c r="CE204" s="70">
        <v>0.33100000000000002</v>
      </c>
      <c r="CF204" s="144">
        <v>0.221</v>
      </c>
      <c r="CG204" s="71">
        <v>0</v>
      </c>
      <c r="CH204" s="71">
        <v>0</v>
      </c>
      <c r="CI204" s="71">
        <v>0.27600000000000002</v>
      </c>
      <c r="CJ204" s="71">
        <v>0</v>
      </c>
      <c r="CK204" s="71">
        <v>0</v>
      </c>
      <c r="CL204" s="71">
        <v>0</v>
      </c>
      <c r="CM204" s="71">
        <v>0</v>
      </c>
      <c r="CN204" s="71">
        <v>0</v>
      </c>
      <c r="CO204" s="71">
        <v>0</v>
      </c>
      <c r="CP204" s="71">
        <v>0</v>
      </c>
      <c r="CQ204" s="71">
        <v>0</v>
      </c>
      <c r="CR204" s="71">
        <v>0</v>
      </c>
      <c r="CS204" s="71">
        <f>char4WeapStacks*(8+(char4Refine-1)*2)%</f>
        <v>0.24</v>
      </c>
      <c r="CT204" s="71">
        <v>0</v>
      </c>
      <c r="CU204" s="71">
        <v>0.312</v>
      </c>
      <c r="CV204" s="71">
        <v>0</v>
      </c>
    </row>
    <row r="205" spans="1:100" x14ac:dyDescent="0.25">
      <c r="A205" t="s">
        <v>409</v>
      </c>
      <c r="B205" s="134">
        <v>0</v>
      </c>
      <c r="C205" s="146">
        <v>0</v>
      </c>
      <c r="D205" s="53">
        <v>0.88200000000000001</v>
      </c>
      <c r="E205" s="146">
        <v>0</v>
      </c>
      <c r="F205" s="146">
        <v>0</v>
      </c>
      <c r="G205" s="134">
        <v>0</v>
      </c>
      <c r="H205" s="134">
        <v>0</v>
      </c>
      <c r="I205" s="134">
        <v>0</v>
      </c>
      <c r="J205" s="146">
        <v>0</v>
      </c>
      <c r="K205" s="146">
        <v>0</v>
      </c>
      <c r="L205" s="146">
        <v>0</v>
      </c>
      <c r="M205" s="146">
        <v>0</v>
      </c>
      <c r="N205" s="134">
        <v>0</v>
      </c>
      <c r="O205" s="146">
        <v>0</v>
      </c>
      <c r="P205" s="146">
        <v>0</v>
      </c>
      <c r="Q205" s="134">
        <v>0</v>
      </c>
      <c r="R205" s="134">
        <v>0</v>
      </c>
      <c r="S205" s="134">
        <v>0</v>
      </c>
      <c r="T205" s="134">
        <v>0.55100000000000005</v>
      </c>
      <c r="U205" s="136">
        <v>0</v>
      </c>
      <c r="V205" s="136">
        <v>0</v>
      </c>
      <c r="W205" s="136">
        <v>0</v>
      </c>
      <c r="X205" s="136">
        <v>0</v>
      </c>
      <c r="Y205" s="136">
        <v>0.66200000000000003</v>
      </c>
      <c r="Z205" s="65">
        <v>0</v>
      </c>
      <c r="AA205" s="136">
        <v>0</v>
      </c>
      <c r="AB205" s="136">
        <v>0</v>
      </c>
      <c r="AC205" s="136">
        <v>0</v>
      </c>
      <c r="AD205" s="136">
        <v>0</v>
      </c>
      <c r="AE205" s="136">
        <v>0</v>
      </c>
      <c r="AF205" s="136">
        <v>0</v>
      </c>
      <c r="AG205" s="136">
        <v>0</v>
      </c>
      <c r="AH205" s="65">
        <v>0</v>
      </c>
      <c r="AI205" s="136">
        <v>0</v>
      </c>
      <c r="AJ205" s="136">
        <v>0</v>
      </c>
      <c r="AK205" s="136">
        <v>0.55100000000000005</v>
      </c>
      <c r="AL205" s="136">
        <v>0</v>
      </c>
      <c r="AM205" s="136">
        <v>0</v>
      </c>
      <c r="AN205" s="73">
        <v>0</v>
      </c>
      <c r="AO205" s="73">
        <v>0</v>
      </c>
      <c r="AP205" s="73">
        <v>0.441</v>
      </c>
      <c r="AQ205" s="73">
        <v>0</v>
      </c>
      <c r="AR205" s="73">
        <v>0</v>
      </c>
      <c r="AS205" s="73">
        <v>0</v>
      </c>
      <c r="AT205" s="73">
        <v>0</v>
      </c>
      <c r="AU205" s="73">
        <v>0</v>
      </c>
      <c r="AV205" s="73">
        <v>0</v>
      </c>
      <c r="AW205" s="73">
        <v>0</v>
      </c>
      <c r="AX205" s="73">
        <v>0</v>
      </c>
      <c r="AY205" s="73">
        <v>0</v>
      </c>
      <c r="AZ205" s="73">
        <v>0</v>
      </c>
      <c r="BA205" s="73">
        <v>0</v>
      </c>
      <c r="BB205" s="73">
        <v>0</v>
      </c>
      <c r="BC205" s="73">
        <v>0</v>
      </c>
      <c r="BD205" s="73">
        <v>0.36799999999999999</v>
      </c>
      <c r="BE205" s="73">
        <v>0</v>
      </c>
      <c r="BF205" s="73">
        <v>0</v>
      </c>
      <c r="BG205" s="73">
        <v>0</v>
      </c>
      <c r="BH205" s="73">
        <v>0</v>
      </c>
      <c r="BI205" s="73">
        <v>0.46899999999999997</v>
      </c>
      <c r="BJ205" s="139">
        <v>0</v>
      </c>
      <c r="BK205" s="67">
        <v>0.66200000000000003</v>
      </c>
      <c r="BL205" s="139">
        <v>0</v>
      </c>
      <c r="BM205" s="139">
        <v>0</v>
      </c>
      <c r="BN205" s="139">
        <v>0</v>
      </c>
      <c r="BO205" s="139">
        <v>0</v>
      </c>
      <c r="BP205" s="139">
        <v>0</v>
      </c>
      <c r="BQ205" s="139">
        <v>0</v>
      </c>
      <c r="BR205" s="139">
        <v>0.55100000000000005</v>
      </c>
      <c r="BS205" s="139">
        <v>0</v>
      </c>
      <c r="BT205" s="139">
        <v>0</v>
      </c>
      <c r="BU205" s="139">
        <v>0</v>
      </c>
      <c r="BV205" s="139">
        <v>0</v>
      </c>
      <c r="BW205" s="139">
        <v>0</v>
      </c>
      <c r="BX205" s="139">
        <v>0</v>
      </c>
      <c r="BY205" s="139">
        <v>0</v>
      </c>
      <c r="BZ205" s="139">
        <v>0</v>
      </c>
      <c r="CA205" s="139">
        <v>0.55100000000000005</v>
      </c>
      <c r="CB205" s="139">
        <v>0</v>
      </c>
      <c r="CC205" s="139">
        <v>0</v>
      </c>
      <c r="CD205" s="71">
        <v>0</v>
      </c>
      <c r="CE205" s="70">
        <v>0</v>
      </c>
      <c r="CF205" s="71">
        <f>(20+(char4Refine-1)*5)%</f>
        <v>0.3</v>
      </c>
      <c r="CG205" s="71">
        <v>0</v>
      </c>
      <c r="CH205" s="71">
        <v>0</v>
      </c>
      <c r="CI205" s="71">
        <v>0</v>
      </c>
      <c r="CJ205" s="71">
        <v>0</v>
      </c>
      <c r="CK205" s="71">
        <v>0.36799999999999999</v>
      </c>
      <c r="CL205" s="71">
        <v>0</v>
      </c>
      <c r="CM205" s="71">
        <v>0</v>
      </c>
      <c r="CN205" s="71">
        <v>0</v>
      </c>
      <c r="CO205" s="71">
        <v>0</v>
      </c>
      <c r="CP205" s="71">
        <v>0</v>
      </c>
      <c r="CQ205" s="71">
        <v>0</v>
      </c>
      <c r="CR205" s="71">
        <v>0</v>
      </c>
      <c r="CS205" s="71">
        <v>0</v>
      </c>
      <c r="CT205" s="71">
        <v>0</v>
      </c>
      <c r="CU205" s="71">
        <v>0</v>
      </c>
      <c r="CV205" s="71">
        <v>0.66200000000000003</v>
      </c>
    </row>
    <row r="206" spans="1:100" x14ac:dyDescent="0.25">
      <c r="A206" t="s">
        <v>68</v>
      </c>
      <c r="B206" s="134">
        <v>0.36799999999999999</v>
      </c>
      <c r="C206" s="146">
        <v>0</v>
      </c>
      <c r="D206" s="146">
        <v>0</v>
      </c>
      <c r="E206" s="146">
        <v>0</v>
      </c>
      <c r="F206" s="146">
        <v>0</v>
      </c>
      <c r="G206" s="134">
        <v>0</v>
      </c>
      <c r="H206" s="134">
        <v>0</v>
      </c>
      <c r="I206" s="134">
        <v>0</v>
      </c>
      <c r="J206" s="146">
        <v>0</v>
      </c>
      <c r="K206" s="134">
        <v>0.61299999999999999</v>
      </c>
      <c r="L206" s="134">
        <v>0</v>
      </c>
      <c r="M206" s="134">
        <v>0</v>
      </c>
      <c r="N206" s="134">
        <v>0</v>
      </c>
      <c r="O206" s="146">
        <v>0</v>
      </c>
      <c r="P206" s="146">
        <v>0</v>
      </c>
      <c r="Q206" s="146">
        <v>0.45900000000000002</v>
      </c>
      <c r="R206" s="146">
        <v>0.30599999999999999</v>
      </c>
      <c r="S206" s="134">
        <v>0</v>
      </c>
      <c r="T206" s="146">
        <v>0</v>
      </c>
      <c r="U206" s="136">
        <v>0.36799999999999999</v>
      </c>
      <c r="V206" s="136">
        <f>55.1%+IF(char4WeapToggle, 30+(char4Refine-1)*5,0)%</f>
        <v>0.95100000000000007</v>
      </c>
      <c r="W206" s="136">
        <v>0</v>
      </c>
      <c r="X206" s="136">
        <v>0</v>
      </c>
      <c r="Y206" s="136">
        <v>0</v>
      </c>
      <c r="Z206" s="65">
        <v>0</v>
      </c>
      <c r="AA206" s="136">
        <v>0.45900000000000002</v>
      </c>
      <c r="AB206" s="136">
        <v>0</v>
      </c>
      <c r="AC206" s="136">
        <v>0</v>
      </c>
      <c r="AD206" s="136">
        <v>0.30599999999999999</v>
      </c>
      <c r="AE206" s="136">
        <v>0.45900000000000002</v>
      </c>
      <c r="AF206" s="136">
        <v>0</v>
      </c>
      <c r="AG206" s="136">
        <v>0</v>
      </c>
      <c r="AH206" s="65">
        <v>0</v>
      </c>
      <c r="AI206" s="136">
        <v>0</v>
      </c>
      <c r="AJ206" s="136">
        <v>0</v>
      </c>
      <c r="AK206" s="136">
        <v>0</v>
      </c>
      <c r="AL206" s="136">
        <v>0</v>
      </c>
      <c r="AM206" s="136">
        <v>0</v>
      </c>
      <c r="AN206" s="73">
        <v>0</v>
      </c>
      <c r="AO206" s="73">
        <v>0</v>
      </c>
      <c r="AP206" s="73">
        <v>0</v>
      </c>
      <c r="AQ206" s="73">
        <v>0</v>
      </c>
      <c r="AR206" s="73">
        <v>0.55100000000000005</v>
      </c>
      <c r="AS206" s="73">
        <v>0</v>
      </c>
      <c r="AT206" s="73">
        <v>0.45900000000000002</v>
      </c>
      <c r="AU206" s="73">
        <v>0</v>
      </c>
      <c r="AV206" s="73">
        <v>0</v>
      </c>
      <c r="AW206" s="73">
        <v>0</v>
      </c>
      <c r="AX206" s="73">
        <v>0.61299999999999999</v>
      </c>
      <c r="AY206" s="73">
        <v>0</v>
      </c>
      <c r="AZ206" s="73">
        <v>0</v>
      </c>
      <c r="BA206" s="73">
        <v>0</v>
      </c>
      <c r="BB206" s="73">
        <v>0</v>
      </c>
      <c r="BC206" s="73">
        <v>0.61299999999999999</v>
      </c>
      <c r="BD206" s="73">
        <v>0</v>
      </c>
      <c r="BE206" s="73">
        <v>0</v>
      </c>
      <c r="BF206" s="73">
        <v>0</v>
      </c>
      <c r="BG206" s="73">
        <v>0.51700000000000002</v>
      </c>
      <c r="BH206" s="73">
        <v>0</v>
      </c>
      <c r="BI206" s="73">
        <v>0</v>
      </c>
      <c r="BJ206" s="139">
        <v>0</v>
      </c>
      <c r="BK206" s="67">
        <v>0</v>
      </c>
      <c r="BL206" s="139">
        <v>0</v>
      </c>
      <c r="BM206" s="139">
        <v>0</v>
      </c>
      <c r="BN206" s="139">
        <v>0</v>
      </c>
      <c r="BO206" s="139">
        <v>0</v>
      </c>
      <c r="BP206" s="139">
        <v>0</v>
      </c>
      <c r="BQ206" s="139">
        <v>0.30599999999999999</v>
      </c>
      <c r="BR206" s="139">
        <v>0</v>
      </c>
      <c r="BS206" s="139">
        <v>0</v>
      </c>
      <c r="BT206" s="139">
        <v>0</v>
      </c>
      <c r="BU206" s="139">
        <v>0</v>
      </c>
      <c r="BV206" s="139">
        <v>0</v>
      </c>
      <c r="BW206" s="139">
        <v>0</v>
      </c>
      <c r="BX206" s="139">
        <v>0.45900000000000002</v>
      </c>
      <c r="BY206" s="139">
        <v>0</v>
      </c>
      <c r="BZ206" s="139">
        <v>0</v>
      </c>
      <c r="CA206" s="139">
        <v>0</v>
      </c>
      <c r="CB206" s="139">
        <v>0.30599999999999999</v>
      </c>
      <c r="CC206" s="139">
        <v>0</v>
      </c>
      <c r="CD206" s="144">
        <v>0.55100000000000005</v>
      </c>
      <c r="CE206" s="72">
        <v>0</v>
      </c>
      <c r="CF206" s="71">
        <v>0</v>
      </c>
      <c r="CG206" s="71">
        <v>0</v>
      </c>
      <c r="CH206" s="71">
        <v>0</v>
      </c>
      <c r="CI206" s="71">
        <v>0</v>
      </c>
      <c r="CJ206" s="71">
        <v>0</v>
      </c>
      <c r="CK206" s="71">
        <v>0</v>
      </c>
      <c r="CL206" s="71">
        <v>0</v>
      </c>
      <c r="CM206" s="71">
        <v>0.61299999999999999</v>
      </c>
      <c r="CN206" s="71">
        <v>0</v>
      </c>
      <c r="CO206" s="71">
        <v>0</v>
      </c>
      <c r="CP206" s="71">
        <v>0.30599999999999999</v>
      </c>
      <c r="CQ206" s="71">
        <v>0</v>
      </c>
      <c r="CR206" s="71">
        <v>0</v>
      </c>
      <c r="CS206" s="71">
        <v>0</v>
      </c>
      <c r="CT206" s="71">
        <v>0</v>
      </c>
      <c r="CU206" s="71">
        <v>0</v>
      </c>
      <c r="CV206" s="71">
        <v>0</v>
      </c>
    </row>
    <row r="207" spans="1:100" x14ac:dyDescent="0.25">
      <c r="A207" t="s">
        <v>70</v>
      </c>
      <c r="B207" s="134">
        <v>0</v>
      </c>
      <c r="C207" s="146">
        <v>0</v>
      </c>
      <c r="D207" s="146">
        <v>0</v>
      </c>
      <c r="E207" s="146">
        <v>0</v>
      </c>
      <c r="F207" s="146">
        <v>0.20699999999999999</v>
      </c>
      <c r="G207" s="134">
        <v>0</v>
      </c>
      <c r="H207" s="134">
        <v>0</v>
      </c>
      <c r="I207" s="134">
        <v>0</v>
      </c>
      <c r="J207" s="146">
        <v>0</v>
      </c>
      <c r="K207" s="146">
        <v>0</v>
      </c>
      <c r="L207" s="146">
        <v>0.34499999999999997</v>
      </c>
      <c r="M207" s="146">
        <v>0</v>
      </c>
      <c r="N207" s="134">
        <v>0</v>
      </c>
      <c r="O207" s="146">
        <v>0</v>
      </c>
      <c r="P207" s="146">
        <v>0</v>
      </c>
      <c r="Q207" s="146">
        <v>0</v>
      </c>
      <c r="R207" s="146">
        <v>0</v>
      </c>
      <c r="S207" s="134">
        <v>0</v>
      </c>
      <c r="T207" s="146">
        <v>0</v>
      </c>
      <c r="U207" s="136">
        <v>0</v>
      </c>
      <c r="V207" s="136">
        <v>0</v>
      </c>
      <c r="W207" s="136">
        <v>0</v>
      </c>
      <c r="X207" s="136">
        <v>0</v>
      </c>
      <c r="Y207" s="136">
        <v>0</v>
      </c>
      <c r="Z207" s="65">
        <v>0</v>
      </c>
      <c r="AA207" s="136">
        <v>0</v>
      </c>
      <c r="AB207" s="136">
        <v>0</v>
      </c>
      <c r="AC207" s="136">
        <v>0.69</v>
      </c>
      <c r="AD207" s="136">
        <v>0</v>
      </c>
      <c r="AE207" s="136">
        <v>0</v>
      </c>
      <c r="AF207" s="136">
        <v>0</v>
      </c>
      <c r="AG207" s="136">
        <v>0</v>
      </c>
      <c r="AH207" s="65">
        <v>0</v>
      </c>
      <c r="AI207" s="136">
        <v>0</v>
      </c>
      <c r="AJ207" s="136">
        <v>0.34499999999999997</v>
      </c>
      <c r="AK207" s="136">
        <v>0</v>
      </c>
      <c r="AL207" s="136">
        <v>0</v>
      </c>
      <c r="AM207" s="136">
        <v>0</v>
      </c>
      <c r="AN207" s="73">
        <v>0</v>
      </c>
      <c r="AO207" s="73">
        <v>0</v>
      </c>
      <c r="AP207" s="73">
        <v>0</v>
      </c>
      <c r="AQ207" s="73">
        <v>0</v>
      </c>
      <c r="AR207" s="73">
        <v>0</v>
      </c>
      <c r="AS207" s="73">
        <v>0.41299999999999998</v>
      </c>
      <c r="AT207" s="73">
        <v>0</v>
      </c>
      <c r="AU207" s="73">
        <v>0</v>
      </c>
      <c r="AV207" s="73">
        <v>0</v>
      </c>
      <c r="AW207" s="73">
        <v>0</v>
      </c>
      <c r="AX207" s="73">
        <v>0</v>
      </c>
      <c r="AY207" s="73">
        <v>0</v>
      </c>
      <c r="AZ207" s="73">
        <v>0.34499999999999997</v>
      </c>
      <c r="BA207" s="73">
        <v>0</v>
      </c>
      <c r="BB207" s="73">
        <v>0</v>
      </c>
      <c r="BC207" s="73">
        <v>0</v>
      </c>
      <c r="BD207" s="73">
        <v>0</v>
      </c>
      <c r="BE207" s="73">
        <v>0</v>
      </c>
      <c r="BF207" s="73">
        <v>0</v>
      </c>
      <c r="BG207" s="73">
        <v>0</v>
      </c>
      <c r="BH207" s="73">
        <v>0</v>
      </c>
      <c r="BI207" s="73">
        <v>0</v>
      </c>
      <c r="BJ207" s="139">
        <v>0</v>
      </c>
      <c r="BK207" s="67">
        <v>0</v>
      </c>
      <c r="BL207" s="139">
        <v>0</v>
      </c>
      <c r="BM207" s="139">
        <v>0</v>
      </c>
      <c r="BN207" s="139">
        <v>0</v>
      </c>
      <c r="BO207" s="139">
        <v>0</v>
      </c>
      <c r="BP207" s="139">
        <v>0</v>
      </c>
      <c r="BQ207" s="139">
        <v>0</v>
      </c>
      <c r="BR207" s="139">
        <v>0</v>
      </c>
      <c r="BS207" s="139">
        <v>0</v>
      </c>
      <c r="BT207" s="139">
        <v>0</v>
      </c>
      <c r="BU207" s="139">
        <v>0</v>
      </c>
      <c r="BV207" s="139">
        <v>0</v>
      </c>
      <c r="BW207" s="139">
        <v>0</v>
      </c>
      <c r="BX207" s="139">
        <v>0</v>
      </c>
      <c r="BY207" s="139">
        <v>0</v>
      </c>
      <c r="BZ207" s="139">
        <v>0</v>
      </c>
      <c r="CA207" s="139">
        <v>0</v>
      </c>
      <c r="CB207" s="139">
        <v>0</v>
      </c>
      <c r="CC207" s="139">
        <v>0</v>
      </c>
      <c r="CD207" s="71">
        <v>0</v>
      </c>
      <c r="CE207" s="70">
        <v>0</v>
      </c>
      <c r="CF207" s="71">
        <v>0</v>
      </c>
      <c r="CG207" s="71">
        <v>0</v>
      </c>
      <c r="CH207" s="71">
        <v>0</v>
      </c>
      <c r="CI207" s="71">
        <v>0</v>
      </c>
      <c r="CJ207" s="71">
        <v>0.69</v>
      </c>
      <c r="CK207" s="71">
        <v>0</v>
      </c>
      <c r="CL207" s="71">
        <v>0</v>
      </c>
      <c r="CM207" s="71">
        <v>0</v>
      </c>
      <c r="CN207" s="71">
        <v>0</v>
      </c>
      <c r="CO207" s="71">
        <v>0</v>
      </c>
      <c r="CP207" s="71">
        <v>0</v>
      </c>
      <c r="CQ207" s="71">
        <v>0</v>
      </c>
      <c r="CR207" s="71">
        <v>0</v>
      </c>
      <c r="CS207" s="71">
        <v>0</v>
      </c>
      <c r="CT207" s="71">
        <v>0.51700000000000002</v>
      </c>
      <c r="CU207" s="71">
        <v>0</v>
      </c>
      <c r="CV207" s="71">
        <v>0</v>
      </c>
    </row>
    <row r="208" spans="1:100" x14ac:dyDescent="0.25">
      <c r="A208" s="44" t="s">
        <v>71</v>
      </c>
      <c r="B208" s="134">
        <v>0</v>
      </c>
      <c r="C208" s="146">
        <v>0</v>
      </c>
      <c r="D208" s="146">
        <v>0</v>
      </c>
      <c r="E208" s="146">
        <v>0</v>
      </c>
      <c r="F208" s="146">
        <v>0</v>
      </c>
      <c r="G208" s="134">
        <v>0</v>
      </c>
      <c r="H208" s="134">
        <v>0</v>
      </c>
      <c r="I208" s="134">
        <v>0</v>
      </c>
      <c r="J208" s="146">
        <v>0</v>
      </c>
      <c r="K208" s="146">
        <v>0</v>
      </c>
      <c r="L208" s="146">
        <v>0</v>
      </c>
      <c r="M208" s="146">
        <v>0</v>
      </c>
      <c r="N208" s="134">
        <v>0</v>
      </c>
      <c r="O208" s="146">
        <v>0</v>
      </c>
      <c r="P208" s="146">
        <v>0</v>
      </c>
      <c r="Q208" s="146">
        <v>0</v>
      </c>
      <c r="R208" s="146">
        <v>0</v>
      </c>
      <c r="S208" s="134">
        <v>0</v>
      </c>
      <c r="T208" s="146">
        <v>0</v>
      </c>
      <c r="U208" s="136">
        <v>0</v>
      </c>
      <c r="V208" s="136">
        <v>0</v>
      </c>
      <c r="W208" s="136">
        <v>0</v>
      </c>
      <c r="X208" s="136">
        <v>0</v>
      </c>
      <c r="Y208" s="136">
        <v>0</v>
      </c>
      <c r="Z208" s="65">
        <f t="shared" ref="Z208:Z213" si="15">12%+3%*(char4Refine-1)</f>
        <v>0.18</v>
      </c>
      <c r="AA208" s="136">
        <v>0</v>
      </c>
      <c r="AB208" s="136">
        <v>0</v>
      </c>
      <c r="AC208" s="136">
        <v>0</v>
      </c>
      <c r="AD208" s="136">
        <v>0</v>
      </c>
      <c r="AE208" s="136">
        <v>0</v>
      </c>
      <c r="AF208" s="136">
        <v>0</v>
      </c>
      <c r="AG208" s="136">
        <v>0</v>
      </c>
      <c r="AH208" s="65">
        <v>0</v>
      </c>
      <c r="AI208" s="136">
        <v>0</v>
      </c>
      <c r="AJ208" s="136">
        <v>0</v>
      </c>
      <c r="AK208" s="136">
        <v>0</v>
      </c>
      <c r="AL208" s="136">
        <v>0</v>
      </c>
      <c r="AM208" s="136">
        <v>0</v>
      </c>
      <c r="AN208" s="73">
        <v>0</v>
      </c>
      <c r="AO208" s="73">
        <v>0</v>
      </c>
      <c r="AP208" s="73">
        <f>(IF('Data Val'!$K$4 = weapons!A208,IF(char4WeapStacks=1, (8+(char4Refine-1)*2)%, IF(char4WeapStacks=2, (16+(char4Refine-1)*4)%, IF(char4WeapStacks=3, (28+(char4Refine-1)*7)%, 0)))))+(12+(char4Refine-1)*3)%</f>
        <v>0.42</v>
      </c>
      <c r="AQ208" s="73">
        <v>0</v>
      </c>
      <c r="AR208" s="73">
        <v>0</v>
      </c>
      <c r="AS208" s="73">
        <v>0</v>
      </c>
      <c r="AT208" s="73">
        <v>0</v>
      </c>
      <c r="AU208" s="73">
        <v>0</v>
      </c>
      <c r="AV208" s="73">
        <v>0</v>
      </c>
      <c r="AW208" s="73">
        <v>0</v>
      </c>
      <c r="AX208" s="73">
        <v>0</v>
      </c>
      <c r="AY208" s="73">
        <v>0</v>
      </c>
      <c r="AZ208" s="73">
        <v>0</v>
      </c>
      <c r="BA208" s="73">
        <v>0</v>
      </c>
      <c r="BB208" s="73">
        <v>0</v>
      </c>
      <c r="BC208" s="73">
        <v>0</v>
      </c>
      <c r="BD208" s="73">
        <v>0</v>
      </c>
      <c r="BE208" s="73">
        <v>0</v>
      </c>
      <c r="BF208" s="73">
        <v>0</v>
      </c>
      <c r="BG208" s="73">
        <v>0</v>
      </c>
      <c r="BH208" s="73">
        <v>0</v>
      </c>
      <c r="BI208" s="73">
        <v>0</v>
      </c>
      <c r="BJ208" s="139">
        <v>0</v>
      </c>
      <c r="BK208" s="67">
        <v>0</v>
      </c>
      <c r="BL208" s="139">
        <f t="shared" ref="BL208:BL213" si="16">(12+(char4Refine-1)*3)%</f>
        <v>0.18</v>
      </c>
      <c r="BM208" s="139">
        <f t="shared" ref="BM208:BM213" si="17">(char4WeapStacks*(8+(char4Refine-1)*2))%</f>
        <v>0.24</v>
      </c>
      <c r="BN208" s="139">
        <v>0</v>
      </c>
      <c r="BO208" s="139">
        <v>0</v>
      </c>
      <c r="BP208" s="139">
        <v>0</v>
      </c>
      <c r="BQ208" s="139">
        <v>0</v>
      </c>
      <c r="BR208" s="139">
        <f t="shared" ref="BR208:BR213" si="18">IF(char4WeapToggle, 16+(char4Refine-1)*4,0)%</f>
        <v>0.24</v>
      </c>
      <c r="BS208" s="139">
        <v>0</v>
      </c>
      <c r="BT208" s="139">
        <v>0</v>
      </c>
      <c r="BU208" s="139">
        <v>0</v>
      </c>
      <c r="BV208" s="139">
        <v>0</v>
      </c>
      <c r="BW208" s="139">
        <f t="shared" ref="BW208:BW213" si="19">char4WeapStacks*(8+(char4Refine-1)*2)%</f>
        <v>0.24</v>
      </c>
      <c r="BX208" s="139">
        <v>0</v>
      </c>
      <c r="BY208" s="139">
        <v>0</v>
      </c>
      <c r="BZ208" s="139">
        <v>0</v>
      </c>
      <c r="CA208" s="139">
        <v>0</v>
      </c>
      <c r="CB208" s="139">
        <v>0</v>
      </c>
      <c r="CC208" s="139">
        <v>0</v>
      </c>
      <c r="CD208" s="71">
        <v>0</v>
      </c>
      <c r="CE208" s="70">
        <v>0</v>
      </c>
      <c r="CF208" s="71">
        <v>0</v>
      </c>
      <c r="CG208" s="71">
        <v>0</v>
      </c>
      <c r="CH208" s="71">
        <v>0</v>
      </c>
      <c r="CI208" s="71">
        <v>0</v>
      </c>
      <c r="CJ208" s="71">
        <v>0</v>
      </c>
      <c r="CK208" s="71">
        <v>0</v>
      </c>
      <c r="CL208" s="71">
        <v>0</v>
      </c>
      <c r="CM208" s="71">
        <v>0</v>
      </c>
      <c r="CN208" s="71">
        <v>0</v>
      </c>
      <c r="CO208" s="71">
        <v>0</v>
      </c>
      <c r="CP208" s="71">
        <v>0</v>
      </c>
      <c r="CQ208" s="71">
        <v>0</v>
      </c>
      <c r="CR208" s="71">
        <v>0</v>
      </c>
      <c r="CS208" s="71">
        <v>0</v>
      </c>
      <c r="CT208" s="71">
        <v>0</v>
      </c>
      <c r="CU208" s="71">
        <v>0</v>
      </c>
      <c r="CV208" s="71">
        <v>0</v>
      </c>
    </row>
    <row r="209" spans="1:100" x14ac:dyDescent="0.25">
      <c r="A209" t="s">
        <v>72</v>
      </c>
      <c r="B209" s="134">
        <v>0</v>
      </c>
      <c r="C209" s="146">
        <v>0</v>
      </c>
      <c r="D209" s="146">
        <v>0</v>
      </c>
      <c r="E209" s="146">
        <v>0</v>
      </c>
      <c r="F209" s="146">
        <v>0</v>
      </c>
      <c r="G209" s="134">
        <v>0</v>
      </c>
      <c r="H209" s="134">
        <v>0</v>
      </c>
      <c r="I209" s="134">
        <v>0</v>
      </c>
      <c r="J209" s="146">
        <v>0</v>
      </c>
      <c r="K209" s="146">
        <v>0</v>
      </c>
      <c r="L209" s="146">
        <v>0</v>
      </c>
      <c r="M209" s="146">
        <v>0</v>
      </c>
      <c r="N209" s="134">
        <v>0</v>
      </c>
      <c r="O209" s="146">
        <v>0</v>
      </c>
      <c r="P209" s="146">
        <v>0</v>
      </c>
      <c r="Q209" s="146">
        <v>0</v>
      </c>
      <c r="R209" s="146">
        <v>0</v>
      </c>
      <c r="S209" s="134">
        <v>0</v>
      </c>
      <c r="T209" s="146">
        <v>0</v>
      </c>
      <c r="U209" s="136">
        <v>0</v>
      </c>
      <c r="V209" s="136">
        <v>0</v>
      </c>
      <c r="W209" s="136">
        <v>0</v>
      </c>
      <c r="X209" s="136">
        <v>0</v>
      </c>
      <c r="Y209" s="136">
        <v>0</v>
      </c>
      <c r="Z209" s="65">
        <f t="shared" si="15"/>
        <v>0.18</v>
      </c>
      <c r="AA209" s="136">
        <v>0</v>
      </c>
      <c r="AB209" s="136">
        <v>0</v>
      </c>
      <c r="AC209" s="136">
        <v>0</v>
      </c>
      <c r="AD209" s="136">
        <v>0</v>
      </c>
      <c r="AE209" s="136">
        <v>0</v>
      </c>
      <c r="AF209" s="136">
        <v>0</v>
      </c>
      <c r="AG209" s="136">
        <v>0</v>
      </c>
      <c r="AH209" s="65">
        <v>0</v>
      </c>
      <c r="AI209" s="136">
        <v>0</v>
      </c>
      <c r="AJ209" s="136">
        <v>0</v>
      </c>
      <c r="AK209" s="136">
        <v>0</v>
      </c>
      <c r="AL209" s="136">
        <v>0</v>
      </c>
      <c r="AM209" s="136">
        <v>0</v>
      </c>
      <c r="AN209" s="73">
        <v>0</v>
      </c>
      <c r="AO209" s="73">
        <v>0</v>
      </c>
      <c r="AP209" s="73">
        <f>(IF('Data Val'!$K$4 = weapons!A209,IF(char4WeapStacks=1, (8+(char4Refine-1)*2)%, IF(char4WeapStacks=2, (16+(char4Refine-1)*4)%, IF(char4WeapStacks=3, (28+(char4Refine-1)*7)%, 0)))))+(12+(char4Refine-1)*3)%</f>
        <v>0.18</v>
      </c>
      <c r="AQ209" s="73">
        <v>0</v>
      </c>
      <c r="AR209" s="73">
        <v>0</v>
      </c>
      <c r="AS209" s="73">
        <v>0</v>
      </c>
      <c r="AT209" s="73">
        <v>0</v>
      </c>
      <c r="AU209" s="73">
        <v>0</v>
      </c>
      <c r="AV209" s="73">
        <v>0</v>
      </c>
      <c r="AW209" s="73">
        <v>0</v>
      </c>
      <c r="AX209" s="73">
        <v>0</v>
      </c>
      <c r="AY209" s="73">
        <v>0</v>
      </c>
      <c r="AZ209" s="73">
        <v>0</v>
      </c>
      <c r="BA209" s="73">
        <v>0</v>
      </c>
      <c r="BB209" s="73">
        <v>0</v>
      </c>
      <c r="BC209" s="73">
        <v>0</v>
      </c>
      <c r="BD209" s="73">
        <v>0</v>
      </c>
      <c r="BE209" s="73">
        <v>0</v>
      </c>
      <c r="BF209" s="73">
        <v>0</v>
      </c>
      <c r="BG209" s="73">
        <v>0</v>
      </c>
      <c r="BH209" s="73">
        <v>0</v>
      </c>
      <c r="BI209" s="73">
        <v>0</v>
      </c>
      <c r="BJ209" s="139">
        <v>0</v>
      </c>
      <c r="BK209" s="67">
        <v>0</v>
      </c>
      <c r="BL209" s="139">
        <f t="shared" si="16"/>
        <v>0.18</v>
      </c>
      <c r="BM209" s="139">
        <f t="shared" si="17"/>
        <v>0.24</v>
      </c>
      <c r="BN209" s="139">
        <v>0</v>
      </c>
      <c r="BO209" s="139">
        <v>0</v>
      </c>
      <c r="BP209" s="139">
        <v>0</v>
      </c>
      <c r="BQ209" s="139">
        <v>0</v>
      </c>
      <c r="BR209" s="139">
        <f t="shared" si="18"/>
        <v>0.24</v>
      </c>
      <c r="BS209" s="139">
        <v>0</v>
      </c>
      <c r="BT209" s="139">
        <v>0</v>
      </c>
      <c r="BU209" s="139">
        <v>0</v>
      </c>
      <c r="BV209" s="139">
        <v>0</v>
      </c>
      <c r="BW209" s="139">
        <f t="shared" si="19"/>
        <v>0.24</v>
      </c>
      <c r="BX209" s="139">
        <v>0</v>
      </c>
      <c r="BY209" s="139">
        <v>0</v>
      </c>
      <c r="BZ209" s="139">
        <v>0</v>
      </c>
      <c r="CA209" s="139">
        <v>0</v>
      </c>
      <c r="CB209" s="139">
        <v>0</v>
      </c>
      <c r="CC209" s="139">
        <v>0</v>
      </c>
      <c r="CD209" s="71">
        <v>0</v>
      </c>
      <c r="CE209" s="70">
        <v>0</v>
      </c>
      <c r="CF209" s="71">
        <v>0</v>
      </c>
      <c r="CG209" s="71">
        <v>0</v>
      </c>
      <c r="CH209" s="71">
        <v>0</v>
      </c>
      <c r="CI209" s="71">
        <v>0</v>
      </c>
      <c r="CJ209" s="71">
        <v>0</v>
      </c>
      <c r="CK209" s="71">
        <v>0</v>
      </c>
      <c r="CL209" s="71">
        <v>0</v>
      </c>
      <c r="CM209" s="71">
        <v>0</v>
      </c>
      <c r="CN209" s="71">
        <v>0</v>
      </c>
      <c r="CO209" s="71">
        <v>0</v>
      </c>
      <c r="CP209" s="71">
        <v>0</v>
      </c>
      <c r="CQ209" s="71">
        <v>0</v>
      </c>
      <c r="CR209" s="71">
        <v>0</v>
      </c>
      <c r="CS209" s="71">
        <v>0</v>
      </c>
      <c r="CT209" s="71">
        <v>0</v>
      </c>
      <c r="CU209" s="71">
        <v>0</v>
      </c>
      <c r="CV209" s="71">
        <v>0</v>
      </c>
    </row>
    <row r="210" spans="1:100" x14ac:dyDescent="0.25">
      <c r="A210" s="44" t="s">
        <v>73</v>
      </c>
      <c r="B210" s="134">
        <v>0</v>
      </c>
      <c r="C210" s="146">
        <v>0</v>
      </c>
      <c r="D210" s="146">
        <v>0</v>
      </c>
      <c r="E210" s="146">
        <v>0</v>
      </c>
      <c r="F210" s="146">
        <v>0</v>
      </c>
      <c r="G210" s="134">
        <v>0</v>
      </c>
      <c r="H210" s="134">
        <v>0</v>
      </c>
      <c r="I210" s="134">
        <v>0</v>
      </c>
      <c r="J210" s="146">
        <v>0</v>
      </c>
      <c r="K210" s="146">
        <v>0</v>
      </c>
      <c r="L210" s="146">
        <v>0</v>
      </c>
      <c r="M210" s="146">
        <v>0</v>
      </c>
      <c r="N210" s="134">
        <v>0</v>
      </c>
      <c r="O210" s="146">
        <v>0</v>
      </c>
      <c r="P210" s="146">
        <v>0</v>
      </c>
      <c r="Q210" s="146">
        <v>0</v>
      </c>
      <c r="R210" s="146">
        <v>0</v>
      </c>
      <c r="S210" s="134">
        <v>0</v>
      </c>
      <c r="T210" s="146">
        <v>0</v>
      </c>
      <c r="U210" s="136">
        <v>0</v>
      </c>
      <c r="V210" s="136">
        <v>0</v>
      </c>
      <c r="W210" s="136">
        <v>0</v>
      </c>
      <c r="X210" s="136">
        <v>0</v>
      </c>
      <c r="Y210" s="136">
        <v>0</v>
      </c>
      <c r="Z210" s="65">
        <f t="shared" si="15"/>
        <v>0.18</v>
      </c>
      <c r="AA210" s="136">
        <v>0</v>
      </c>
      <c r="AB210" s="136">
        <v>0</v>
      </c>
      <c r="AC210" s="136">
        <v>0</v>
      </c>
      <c r="AD210" s="136">
        <v>0</v>
      </c>
      <c r="AE210" s="136">
        <v>0</v>
      </c>
      <c r="AF210" s="136">
        <v>0</v>
      </c>
      <c r="AG210" s="136">
        <v>0</v>
      </c>
      <c r="AH210" s="65">
        <v>0</v>
      </c>
      <c r="AI210" s="136">
        <v>0</v>
      </c>
      <c r="AJ210" s="136">
        <v>0</v>
      </c>
      <c r="AK210" s="136">
        <v>0</v>
      </c>
      <c r="AL210" s="136">
        <v>0</v>
      </c>
      <c r="AM210" s="136">
        <v>0</v>
      </c>
      <c r="AN210" s="73">
        <v>0</v>
      </c>
      <c r="AO210" s="73">
        <v>0</v>
      </c>
      <c r="AP210" s="73">
        <f>(IF('Data Val'!$K$4 = weapons!A210,IF(char4WeapStacks=1, (8+(char4Refine-1)*2)%, IF(char4WeapStacks=2, (16+(char4Refine-1)*4)%, IF(char4WeapStacks=3, (28+(char4Refine-1)*7)%, 0)))))+(12+(char4Refine-1)*3)%</f>
        <v>0.18</v>
      </c>
      <c r="AQ210" s="73">
        <v>0</v>
      </c>
      <c r="AR210" s="73">
        <v>0</v>
      </c>
      <c r="AS210" s="73">
        <v>0</v>
      </c>
      <c r="AT210" s="73">
        <v>0</v>
      </c>
      <c r="AU210" s="73">
        <v>0</v>
      </c>
      <c r="AV210" s="73">
        <v>0</v>
      </c>
      <c r="AW210" s="73">
        <v>0</v>
      </c>
      <c r="AX210" s="73">
        <v>0</v>
      </c>
      <c r="AY210" s="73">
        <v>0</v>
      </c>
      <c r="AZ210" s="73">
        <v>0</v>
      </c>
      <c r="BA210" s="73">
        <v>0</v>
      </c>
      <c r="BB210" s="73">
        <v>0</v>
      </c>
      <c r="BC210" s="73">
        <v>0</v>
      </c>
      <c r="BD210" s="73">
        <v>0</v>
      </c>
      <c r="BE210" s="73">
        <v>0</v>
      </c>
      <c r="BF210" s="73">
        <v>0</v>
      </c>
      <c r="BG210" s="73">
        <v>0</v>
      </c>
      <c r="BH210" s="73">
        <v>0</v>
      </c>
      <c r="BI210" s="73">
        <v>0</v>
      </c>
      <c r="BJ210" s="139">
        <v>0</v>
      </c>
      <c r="BK210" s="67">
        <v>0</v>
      </c>
      <c r="BL210" s="139">
        <f t="shared" si="16"/>
        <v>0.18</v>
      </c>
      <c r="BM210" s="139">
        <f t="shared" si="17"/>
        <v>0.24</v>
      </c>
      <c r="BN210" s="139">
        <v>0</v>
      </c>
      <c r="BO210" s="139">
        <v>0</v>
      </c>
      <c r="BP210" s="139">
        <v>0</v>
      </c>
      <c r="BQ210" s="139">
        <v>0</v>
      </c>
      <c r="BR210" s="139">
        <f t="shared" si="18"/>
        <v>0.24</v>
      </c>
      <c r="BS210" s="139">
        <v>0</v>
      </c>
      <c r="BT210" s="139">
        <v>0</v>
      </c>
      <c r="BU210" s="139">
        <v>0</v>
      </c>
      <c r="BV210" s="139">
        <v>0</v>
      </c>
      <c r="BW210" s="139">
        <f t="shared" si="19"/>
        <v>0.24</v>
      </c>
      <c r="BX210" s="139">
        <v>0</v>
      </c>
      <c r="BY210" s="139">
        <v>0</v>
      </c>
      <c r="BZ210" s="139">
        <v>0</v>
      </c>
      <c r="CA210" s="139">
        <v>0</v>
      </c>
      <c r="CB210" s="139">
        <v>0</v>
      </c>
      <c r="CC210" s="139">
        <v>0</v>
      </c>
      <c r="CD210" s="71">
        <v>0</v>
      </c>
      <c r="CE210" s="70">
        <v>0</v>
      </c>
      <c r="CF210" s="71">
        <v>0</v>
      </c>
      <c r="CG210" s="71">
        <v>0</v>
      </c>
      <c r="CH210" s="71">
        <v>0</v>
      </c>
      <c r="CI210" s="71">
        <v>0</v>
      </c>
      <c r="CJ210" s="71">
        <v>0</v>
      </c>
      <c r="CK210" s="71">
        <v>0</v>
      </c>
      <c r="CL210" s="71">
        <v>0</v>
      </c>
      <c r="CM210" s="71">
        <v>0</v>
      </c>
      <c r="CN210" s="71">
        <v>0</v>
      </c>
      <c r="CO210" s="71">
        <v>0</v>
      </c>
      <c r="CP210" s="71">
        <v>0</v>
      </c>
      <c r="CQ210" s="71">
        <v>0</v>
      </c>
      <c r="CR210" s="71">
        <v>0</v>
      </c>
      <c r="CS210" s="71">
        <v>0</v>
      </c>
      <c r="CT210" s="71">
        <v>0</v>
      </c>
      <c r="CU210" s="71">
        <v>0</v>
      </c>
      <c r="CV210" s="71">
        <v>0</v>
      </c>
    </row>
    <row r="211" spans="1:100" x14ac:dyDescent="0.25">
      <c r="A211" s="44" t="s">
        <v>74</v>
      </c>
      <c r="B211" s="134">
        <v>0</v>
      </c>
      <c r="C211" s="146">
        <v>0</v>
      </c>
      <c r="D211" s="146">
        <v>0</v>
      </c>
      <c r="E211" s="146">
        <v>0</v>
      </c>
      <c r="F211" s="146">
        <v>0</v>
      </c>
      <c r="G211" s="134">
        <v>0</v>
      </c>
      <c r="H211" s="134">
        <v>0</v>
      </c>
      <c r="I211" s="134">
        <v>0</v>
      </c>
      <c r="J211" s="146">
        <v>0</v>
      </c>
      <c r="K211" s="146">
        <v>0</v>
      </c>
      <c r="L211" s="146">
        <v>0</v>
      </c>
      <c r="M211" s="146">
        <v>0</v>
      </c>
      <c r="N211" s="134">
        <v>0</v>
      </c>
      <c r="O211" s="146">
        <v>0</v>
      </c>
      <c r="P211" s="146">
        <v>0</v>
      </c>
      <c r="Q211" s="146">
        <v>0</v>
      </c>
      <c r="R211" s="146">
        <v>0</v>
      </c>
      <c r="S211" s="134">
        <v>0</v>
      </c>
      <c r="T211" s="146">
        <v>0</v>
      </c>
      <c r="U211" s="136">
        <v>0</v>
      </c>
      <c r="V211" s="136">
        <v>0</v>
      </c>
      <c r="W211" s="136">
        <v>0</v>
      </c>
      <c r="X211" s="136">
        <v>0</v>
      </c>
      <c r="Y211" s="136">
        <v>0</v>
      </c>
      <c r="Z211" s="65">
        <f t="shared" si="15"/>
        <v>0.18</v>
      </c>
      <c r="AA211" s="136">
        <v>0</v>
      </c>
      <c r="AB211" s="136">
        <v>0</v>
      </c>
      <c r="AC211" s="136">
        <v>0</v>
      </c>
      <c r="AD211" s="136">
        <v>0</v>
      </c>
      <c r="AE211" s="136">
        <v>0</v>
      </c>
      <c r="AF211" s="136">
        <v>0</v>
      </c>
      <c r="AG211" s="136">
        <v>0</v>
      </c>
      <c r="AH211" s="65">
        <v>0</v>
      </c>
      <c r="AI211" s="136">
        <v>0</v>
      </c>
      <c r="AJ211" s="136">
        <v>0</v>
      </c>
      <c r="AK211" s="136">
        <v>0</v>
      </c>
      <c r="AL211" s="136">
        <v>0</v>
      </c>
      <c r="AM211" s="136">
        <v>0</v>
      </c>
      <c r="AN211" s="73">
        <v>0</v>
      </c>
      <c r="AO211" s="73">
        <v>0</v>
      </c>
      <c r="AP211" s="73">
        <f>(IF('Data Val'!$K$4 = weapons!A211,IF(char4WeapStacks=1, (8+(char4Refine-1)*2)%, IF(char4WeapStacks=2, (16+(char4Refine-1)*4)%, IF(char4WeapStacks=3, (28+(char4Refine-1)*7)%, 0)))))+(12+(char4Refine-1)*3)%</f>
        <v>0.18</v>
      </c>
      <c r="AQ211" s="73">
        <v>0</v>
      </c>
      <c r="AR211" s="73">
        <v>0</v>
      </c>
      <c r="AS211" s="73">
        <v>0</v>
      </c>
      <c r="AT211" s="73">
        <v>0</v>
      </c>
      <c r="AU211" s="73">
        <v>0</v>
      </c>
      <c r="AV211" s="73">
        <v>0</v>
      </c>
      <c r="AW211" s="73">
        <v>0</v>
      </c>
      <c r="AX211" s="73">
        <v>0</v>
      </c>
      <c r="AY211" s="73">
        <v>0</v>
      </c>
      <c r="AZ211" s="73">
        <v>0</v>
      </c>
      <c r="BA211" s="73">
        <v>0</v>
      </c>
      <c r="BB211" s="73">
        <v>0</v>
      </c>
      <c r="BC211" s="73">
        <v>0</v>
      </c>
      <c r="BD211" s="73">
        <v>0</v>
      </c>
      <c r="BE211" s="73">
        <v>0</v>
      </c>
      <c r="BF211" s="73">
        <v>0</v>
      </c>
      <c r="BG211" s="73">
        <v>0</v>
      </c>
      <c r="BH211" s="73">
        <v>0</v>
      </c>
      <c r="BI211" s="73">
        <v>0</v>
      </c>
      <c r="BJ211" s="139">
        <v>0</v>
      </c>
      <c r="BK211" s="67">
        <v>0</v>
      </c>
      <c r="BL211" s="139">
        <f t="shared" si="16"/>
        <v>0.18</v>
      </c>
      <c r="BM211" s="139">
        <f t="shared" si="17"/>
        <v>0.24</v>
      </c>
      <c r="BN211" s="139">
        <v>0</v>
      </c>
      <c r="BO211" s="139">
        <v>0</v>
      </c>
      <c r="BP211" s="139">
        <v>0</v>
      </c>
      <c r="BQ211" s="139">
        <v>0</v>
      </c>
      <c r="BR211" s="139">
        <f t="shared" si="18"/>
        <v>0.24</v>
      </c>
      <c r="BS211" s="139">
        <v>0</v>
      </c>
      <c r="BT211" s="139">
        <v>0</v>
      </c>
      <c r="BU211" s="139">
        <v>0</v>
      </c>
      <c r="BV211" s="139">
        <v>0</v>
      </c>
      <c r="BW211" s="139">
        <f t="shared" si="19"/>
        <v>0.24</v>
      </c>
      <c r="BX211" s="139">
        <v>0</v>
      </c>
      <c r="BY211" s="139">
        <v>0</v>
      </c>
      <c r="BZ211" s="139">
        <v>0</v>
      </c>
      <c r="CA211" s="139">
        <v>0</v>
      </c>
      <c r="CB211" s="139">
        <v>0</v>
      </c>
      <c r="CC211" s="139">
        <v>0</v>
      </c>
      <c r="CD211" s="71">
        <v>0</v>
      </c>
      <c r="CE211" s="70">
        <v>0</v>
      </c>
      <c r="CF211" s="71">
        <v>0</v>
      </c>
      <c r="CG211" s="71">
        <v>0</v>
      </c>
      <c r="CH211" s="71">
        <v>0</v>
      </c>
      <c r="CI211" s="71">
        <v>0</v>
      </c>
      <c r="CJ211" s="71">
        <v>0</v>
      </c>
      <c r="CK211" s="71">
        <v>0</v>
      </c>
      <c r="CL211" s="71">
        <v>0</v>
      </c>
      <c r="CM211" s="71">
        <v>0</v>
      </c>
      <c r="CN211" s="71">
        <v>0</v>
      </c>
      <c r="CO211" s="71">
        <v>0</v>
      </c>
      <c r="CP211" s="71">
        <v>0</v>
      </c>
      <c r="CQ211" s="71">
        <v>0</v>
      </c>
      <c r="CR211" s="71">
        <v>0</v>
      </c>
      <c r="CS211" s="71">
        <v>0</v>
      </c>
      <c r="CT211" s="71">
        <v>0</v>
      </c>
      <c r="CU211" s="71">
        <v>0</v>
      </c>
      <c r="CV211" s="71">
        <v>0</v>
      </c>
    </row>
    <row r="212" spans="1:100" x14ac:dyDescent="0.25">
      <c r="A212" s="44" t="s">
        <v>75</v>
      </c>
      <c r="B212" s="134">
        <v>0</v>
      </c>
      <c r="C212" s="146">
        <v>0</v>
      </c>
      <c r="D212" s="146">
        <v>0</v>
      </c>
      <c r="E212" s="146">
        <v>0</v>
      </c>
      <c r="F212" s="146">
        <v>0</v>
      </c>
      <c r="G212" s="134">
        <v>0</v>
      </c>
      <c r="H212" s="134">
        <v>0</v>
      </c>
      <c r="I212" s="134">
        <v>0</v>
      </c>
      <c r="J212" s="146">
        <v>0</v>
      </c>
      <c r="K212" s="146">
        <v>0</v>
      </c>
      <c r="L212" s="146">
        <v>0</v>
      </c>
      <c r="M212" s="146">
        <v>0</v>
      </c>
      <c r="N212" s="134">
        <v>0</v>
      </c>
      <c r="O212" s="146">
        <v>0</v>
      </c>
      <c r="P212" s="146">
        <v>0</v>
      </c>
      <c r="Q212" s="146">
        <v>0</v>
      </c>
      <c r="R212" s="146">
        <v>0</v>
      </c>
      <c r="S212" s="134">
        <v>0</v>
      </c>
      <c r="T212" s="146">
        <v>0</v>
      </c>
      <c r="U212" s="136">
        <v>0</v>
      </c>
      <c r="V212" s="136">
        <v>0</v>
      </c>
      <c r="W212" s="136">
        <v>0</v>
      </c>
      <c r="X212" s="136">
        <v>0</v>
      </c>
      <c r="Y212" s="136">
        <v>0</v>
      </c>
      <c r="Z212" s="65">
        <f t="shared" si="15"/>
        <v>0.18</v>
      </c>
      <c r="AA212" s="136">
        <v>0</v>
      </c>
      <c r="AB212" s="136">
        <v>0</v>
      </c>
      <c r="AC212" s="136">
        <v>0</v>
      </c>
      <c r="AD212" s="136">
        <v>0</v>
      </c>
      <c r="AE212" s="136">
        <v>0</v>
      </c>
      <c r="AF212" s="136">
        <v>0</v>
      </c>
      <c r="AG212" s="136">
        <v>0</v>
      </c>
      <c r="AH212" s="65">
        <v>0</v>
      </c>
      <c r="AI212" s="136">
        <v>0</v>
      </c>
      <c r="AJ212" s="136">
        <v>0</v>
      </c>
      <c r="AK212" s="136">
        <v>0</v>
      </c>
      <c r="AL212" s="136">
        <v>0</v>
      </c>
      <c r="AM212" s="136">
        <v>0</v>
      </c>
      <c r="AN212" s="73">
        <v>0</v>
      </c>
      <c r="AO212" s="73">
        <v>0</v>
      </c>
      <c r="AP212" s="73">
        <f>(IF('Data Val'!$K$4 = weapons!A212,IF(char4WeapStacks=1, (8+(char4Refine-1)*2)%, IF(char4WeapStacks=2, (16+(char4Refine-1)*4)%, IF(char4WeapStacks=3, (28+(char4Refine-1)*7)%, 0)))))+(12+(char4Refine-1)*3)%</f>
        <v>0.18</v>
      </c>
      <c r="AQ212" s="73">
        <v>0</v>
      </c>
      <c r="AR212" s="73">
        <v>0</v>
      </c>
      <c r="AS212" s="73">
        <v>0</v>
      </c>
      <c r="AT212" s="73">
        <v>0</v>
      </c>
      <c r="AU212" s="73">
        <v>0</v>
      </c>
      <c r="AV212" s="73">
        <v>0</v>
      </c>
      <c r="AW212" s="73">
        <v>0</v>
      </c>
      <c r="AX212" s="73">
        <v>0</v>
      </c>
      <c r="AY212" s="73">
        <v>0</v>
      </c>
      <c r="AZ212" s="73">
        <v>0</v>
      </c>
      <c r="BA212" s="73">
        <v>0</v>
      </c>
      <c r="BB212" s="73">
        <v>0</v>
      </c>
      <c r="BC212" s="73">
        <v>0</v>
      </c>
      <c r="BD212" s="73">
        <v>0</v>
      </c>
      <c r="BE212" s="73">
        <v>0</v>
      </c>
      <c r="BF212" s="73">
        <v>0</v>
      </c>
      <c r="BG212" s="73">
        <v>0</v>
      </c>
      <c r="BH212" s="73">
        <v>0</v>
      </c>
      <c r="BI212" s="73">
        <v>0</v>
      </c>
      <c r="BJ212" s="139">
        <v>0</v>
      </c>
      <c r="BK212" s="67">
        <v>0</v>
      </c>
      <c r="BL212" s="139">
        <f t="shared" si="16"/>
        <v>0.18</v>
      </c>
      <c r="BM212" s="139">
        <f t="shared" si="17"/>
        <v>0.24</v>
      </c>
      <c r="BN212" s="139">
        <v>0</v>
      </c>
      <c r="BO212" s="139">
        <v>0</v>
      </c>
      <c r="BP212" s="139">
        <v>0</v>
      </c>
      <c r="BQ212" s="139">
        <v>0</v>
      </c>
      <c r="BR212" s="139">
        <f t="shared" si="18"/>
        <v>0.24</v>
      </c>
      <c r="BS212" s="139">
        <v>0</v>
      </c>
      <c r="BT212" s="139">
        <v>0</v>
      </c>
      <c r="BU212" s="139">
        <v>0</v>
      </c>
      <c r="BV212" s="139">
        <v>0</v>
      </c>
      <c r="BW212" s="139">
        <f t="shared" si="19"/>
        <v>0.24</v>
      </c>
      <c r="BX212" s="139">
        <v>0</v>
      </c>
      <c r="BY212" s="139">
        <v>0</v>
      </c>
      <c r="BZ212" s="139">
        <v>0</v>
      </c>
      <c r="CA212" s="139">
        <v>0</v>
      </c>
      <c r="CB212" s="139">
        <v>0</v>
      </c>
      <c r="CC212" s="139">
        <v>0</v>
      </c>
      <c r="CD212" s="71">
        <v>0</v>
      </c>
      <c r="CE212" s="70">
        <v>0</v>
      </c>
      <c r="CF212" s="71">
        <v>0</v>
      </c>
      <c r="CG212" s="71">
        <v>0</v>
      </c>
      <c r="CH212" s="71">
        <v>0</v>
      </c>
      <c r="CI212" s="71">
        <v>0</v>
      </c>
      <c r="CJ212" s="71">
        <v>0</v>
      </c>
      <c r="CK212" s="71">
        <v>0</v>
      </c>
      <c r="CL212" s="71">
        <v>0</v>
      </c>
      <c r="CM212" s="71">
        <v>0</v>
      </c>
      <c r="CN212" s="71">
        <v>0</v>
      </c>
      <c r="CO212" s="71">
        <v>0</v>
      </c>
      <c r="CP212" s="71">
        <v>0</v>
      </c>
      <c r="CQ212" s="71">
        <v>0</v>
      </c>
      <c r="CR212" s="71">
        <v>0</v>
      </c>
      <c r="CS212" s="71">
        <v>0</v>
      </c>
      <c r="CT212" s="71">
        <v>0</v>
      </c>
      <c r="CU212" s="71">
        <v>0</v>
      </c>
      <c r="CV212" s="71">
        <v>0</v>
      </c>
    </row>
    <row r="213" spans="1:100" x14ac:dyDescent="0.25">
      <c r="A213" s="44" t="s">
        <v>76</v>
      </c>
      <c r="B213" s="134">
        <v>0</v>
      </c>
      <c r="C213" s="146">
        <v>0</v>
      </c>
      <c r="D213" s="146">
        <v>0</v>
      </c>
      <c r="E213" s="146">
        <v>0</v>
      </c>
      <c r="F213" s="146">
        <v>0</v>
      </c>
      <c r="G213" s="134">
        <v>0</v>
      </c>
      <c r="H213" s="134">
        <v>0</v>
      </c>
      <c r="I213" s="134">
        <v>0</v>
      </c>
      <c r="J213" s="146">
        <v>0</v>
      </c>
      <c r="K213" s="146">
        <v>0</v>
      </c>
      <c r="L213" s="146">
        <v>0</v>
      </c>
      <c r="M213" s="146">
        <v>0</v>
      </c>
      <c r="N213" s="134">
        <v>0</v>
      </c>
      <c r="O213" s="146">
        <v>0</v>
      </c>
      <c r="P213" s="146">
        <v>0</v>
      </c>
      <c r="Q213" s="146">
        <v>0</v>
      </c>
      <c r="R213" s="146">
        <v>0</v>
      </c>
      <c r="S213" s="134">
        <v>0</v>
      </c>
      <c r="T213" s="146">
        <v>0</v>
      </c>
      <c r="U213" s="136">
        <v>0</v>
      </c>
      <c r="V213" s="136">
        <v>0</v>
      </c>
      <c r="W213" s="136">
        <v>0</v>
      </c>
      <c r="X213" s="136">
        <v>0</v>
      </c>
      <c r="Y213" s="136">
        <v>0</v>
      </c>
      <c r="Z213" s="65">
        <f t="shared" si="15"/>
        <v>0.18</v>
      </c>
      <c r="AA213" s="136">
        <v>0</v>
      </c>
      <c r="AB213" s="136">
        <v>0</v>
      </c>
      <c r="AC213" s="136">
        <v>0</v>
      </c>
      <c r="AD213" s="136">
        <v>0</v>
      </c>
      <c r="AE213" s="136">
        <v>0</v>
      </c>
      <c r="AF213" s="136">
        <v>0</v>
      </c>
      <c r="AG213" s="136">
        <v>0</v>
      </c>
      <c r="AH213" s="65">
        <v>0</v>
      </c>
      <c r="AI213" s="136">
        <v>0</v>
      </c>
      <c r="AJ213" s="136">
        <v>0</v>
      </c>
      <c r="AK213" s="136">
        <v>0</v>
      </c>
      <c r="AL213" s="136">
        <v>0</v>
      </c>
      <c r="AM213" s="136">
        <v>0</v>
      </c>
      <c r="AN213" s="73">
        <v>0</v>
      </c>
      <c r="AO213" s="73">
        <v>0</v>
      </c>
      <c r="AP213" s="73">
        <f>(IF('Data Val'!$K$4 = weapons!A213,IF(char4WeapStacks=1, (8+(char4Refine-1)*2)%, IF(char4WeapStacks=2, (16+(char4Refine-1)*4)%, IF(char4WeapStacks=3, (28+(char4Refine-1)*7)%, 0)))))+(12+(char4Refine-1)*3)%</f>
        <v>0.18</v>
      </c>
      <c r="AQ213" s="73">
        <v>0</v>
      </c>
      <c r="AR213" s="73">
        <v>0</v>
      </c>
      <c r="AS213" s="73">
        <v>0</v>
      </c>
      <c r="AT213" s="73">
        <v>0</v>
      </c>
      <c r="AU213" s="73">
        <v>0</v>
      </c>
      <c r="AV213" s="73">
        <v>0</v>
      </c>
      <c r="AW213" s="73">
        <v>0</v>
      </c>
      <c r="AX213" s="73">
        <v>0</v>
      </c>
      <c r="AY213" s="73">
        <v>0</v>
      </c>
      <c r="AZ213" s="73">
        <v>0</v>
      </c>
      <c r="BA213" s="73">
        <v>0</v>
      </c>
      <c r="BB213" s="73">
        <v>0</v>
      </c>
      <c r="BC213" s="73">
        <v>0</v>
      </c>
      <c r="BD213" s="73">
        <v>0</v>
      </c>
      <c r="BE213" s="73">
        <v>0</v>
      </c>
      <c r="BF213" s="73">
        <v>0</v>
      </c>
      <c r="BG213" s="73">
        <v>0</v>
      </c>
      <c r="BH213" s="73">
        <v>0</v>
      </c>
      <c r="BI213" s="73">
        <v>0</v>
      </c>
      <c r="BJ213" s="139">
        <v>0</v>
      </c>
      <c r="BK213" s="67">
        <v>0</v>
      </c>
      <c r="BL213" s="139">
        <f t="shared" si="16"/>
        <v>0.18</v>
      </c>
      <c r="BM213" s="139">
        <f t="shared" si="17"/>
        <v>0.24</v>
      </c>
      <c r="BN213" s="139">
        <v>0</v>
      </c>
      <c r="BO213" s="139">
        <v>0</v>
      </c>
      <c r="BP213" s="139">
        <v>0</v>
      </c>
      <c r="BQ213" s="139">
        <v>0</v>
      </c>
      <c r="BR213" s="139">
        <f t="shared" si="18"/>
        <v>0.24</v>
      </c>
      <c r="BS213" s="139">
        <v>0</v>
      </c>
      <c r="BT213" s="139">
        <v>0</v>
      </c>
      <c r="BU213" s="139">
        <v>0</v>
      </c>
      <c r="BV213" s="139">
        <v>0</v>
      </c>
      <c r="BW213" s="139">
        <f t="shared" si="19"/>
        <v>0.24</v>
      </c>
      <c r="BX213" s="139">
        <v>0</v>
      </c>
      <c r="BY213" s="139">
        <v>0</v>
      </c>
      <c r="BZ213" s="139">
        <v>0</v>
      </c>
      <c r="CA213" s="139">
        <v>0</v>
      </c>
      <c r="CB213" s="139">
        <v>0</v>
      </c>
      <c r="CC213" s="139">
        <v>0</v>
      </c>
      <c r="CD213" s="71">
        <v>0</v>
      </c>
      <c r="CE213" s="70">
        <v>0</v>
      </c>
      <c r="CF213" s="71">
        <v>0</v>
      </c>
      <c r="CG213" s="71">
        <v>0</v>
      </c>
      <c r="CH213" s="71">
        <v>0</v>
      </c>
      <c r="CI213" s="71">
        <v>0</v>
      </c>
      <c r="CJ213" s="71">
        <v>0</v>
      </c>
      <c r="CK213" s="71">
        <v>0</v>
      </c>
      <c r="CL213" s="71">
        <v>0</v>
      </c>
      <c r="CM213" s="71">
        <v>0</v>
      </c>
      <c r="CN213" s="71">
        <v>0</v>
      </c>
      <c r="CO213" s="71">
        <v>0</v>
      </c>
      <c r="CP213" s="71">
        <v>0</v>
      </c>
      <c r="CQ213" s="71">
        <v>0</v>
      </c>
      <c r="CR213" s="71">
        <v>0</v>
      </c>
      <c r="CS213" s="71">
        <v>0</v>
      </c>
      <c r="CT213" s="71">
        <v>0</v>
      </c>
      <c r="CU213" s="71">
        <v>0</v>
      </c>
      <c r="CV213" s="71">
        <v>0</v>
      </c>
    </row>
    <row r="214" spans="1:100" x14ac:dyDescent="0.25">
      <c r="A214" s="44" t="s">
        <v>69</v>
      </c>
      <c r="B214" s="132">
        <v>0</v>
      </c>
      <c r="C214" s="132">
        <v>0</v>
      </c>
      <c r="D214" s="201">
        <v>0</v>
      </c>
      <c r="E214" s="132">
        <v>0</v>
      </c>
      <c r="F214" s="201">
        <v>0</v>
      </c>
      <c r="G214" s="132">
        <v>0</v>
      </c>
      <c r="H214" s="132">
        <v>0</v>
      </c>
      <c r="I214" s="132">
        <v>0</v>
      </c>
      <c r="J214" s="132">
        <v>0</v>
      </c>
      <c r="K214" s="132">
        <v>0</v>
      </c>
      <c r="L214" s="132">
        <v>0</v>
      </c>
      <c r="M214" s="132">
        <v>165</v>
      </c>
      <c r="N214" s="132">
        <v>0</v>
      </c>
      <c r="O214" s="132">
        <v>0</v>
      </c>
      <c r="P214" s="201">
        <v>0</v>
      </c>
      <c r="Q214" s="201">
        <v>0</v>
      </c>
      <c r="R214" s="201">
        <v>0</v>
      </c>
      <c r="S214" s="132">
        <v>0</v>
      </c>
      <c r="T214" s="132">
        <v>0</v>
      </c>
      <c r="U214" s="137">
        <v>0</v>
      </c>
      <c r="V214" s="137">
        <v>0</v>
      </c>
      <c r="W214" s="137">
        <v>0</v>
      </c>
      <c r="X214" s="137">
        <v>0</v>
      </c>
      <c r="Y214" s="137">
        <v>0</v>
      </c>
      <c r="Z214" s="65">
        <v>0</v>
      </c>
      <c r="AA214" s="137">
        <v>0</v>
      </c>
      <c r="AB214" s="137">
        <v>110</v>
      </c>
      <c r="AC214" s="137">
        <v>0</v>
      </c>
      <c r="AD214" s="137">
        <v>0</v>
      </c>
      <c r="AE214" s="137">
        <v>0</v>
      </c>
      <c r="AF214" s="137">
        <v>0</v>
      </c>
      <c r="AG214" s="137">
        <v>221</v>
      </c>
      <c r="AH214" s="74">
        <v>0</v>
      </c>
      <c r="AI214" s="137">
        <v>0</v>
      </c>
      <c r="AJ214" s="137">
        <v>0</v>
      </c>
      <c r="AK214" s="137">
        <v>0</v>
      </c>
      <c r="AL214" s="137">
        <v>0</v>
      </c>
      <c r="AM214" s="137">
        <v>0</v>
      </c>
      <c r="AN214" s="138">
        <v>0</v>
      </c>
      <c r="AO214" s="138">
        <v>198</v>
      </c>
      <c r="AP214" s="138">
        <v>0</v>
      </c>
      <c r="AQ214" s="138">
        <v>0</v>
      </c>
      <c r="AR214" s="138">
        <v>0</v>
      </c>
      <c r="AS214" s="138">
        <v>0</v>
      </c>
      <c r="AT214" s="138">
        <v>0</v>
      </c>
      <c r="AU214" s="138">
        <v>0</v>
      </c>
      <c r="AV214" s="138">
        <v>0</v>
      </c>
      <c r="AW214" s="138">
        <v>55</v>
      </c>
      <c r="AX214" s="138">
        <v>0</v>
      </c>
      <c r="AY214" s="138">
        <v>0</v>
      </c>
      <c r="AZ214" s="138">
        <v>0</v>
      </c>
      <c r="BA214" s="138">
        <v>0</v>
      </c>
      <c r="BB214" s="138">
        <v>165</v>
      </c>
      <c r="BC214" s="138">
        <v>0</v>
      </c>
      <c r="BD214" s="138">
        <v>0</v>
      </c>
      <c r="BE214" s="138">
        <v>0</v>
      </c>
      <c r="BF214" s="138">
        <v>0</v>
      </c>
      <c r="BG214" s="138">
        <v>0</v>
      </c>
      <c r="BH214" s="138">
        <v>141</v>
      </c>
      <c r="BI214" s="138">
        <v>0</v>
      </c>
      <c r="BJ214" s="140">
        <v>0</v>
      </c>
      <c r="BK214" s="67">
        <v>0</v>
      </c>
      <c r="BL214" s="140">
        <v>0</v>
      </c>
      <c r="BM214" s="140">
        <v>0</v>
      </c>
      <c r="BN214" s="140">
        <v>0</v>
      </c>
      <c r="BO214" s="140">
        <v>0</v>
      </c>
      <c r="BP214" s="140">
        <v>0</v>
      </c>
      <c r="BQ214" s="140">
        <v>0</v>
      </c>
      <c r="BR214" s="140">
        <f>IF(char4WeapToggle,80+(char4Refine-1)*20,0)</f>
        <v>120</v>
      </c>
      <c r="BS214" s="140">
        <v>0</v>
      </c>
      <c r="BT214" s="140">
        <v>221</v>
      </c>
      <c r="BU214" s="140">
        <v>0</v>
      </c>
      <c r="BV214" s="140">
        <v>0</v>
      </c>
      <c r="BW214" s="140">
        <v>110</v>
      </c>
      <c r="BX214" s="140">
        <v>0</v>
      </c>
      <c r="BY214" s="140">
        <v>0</v>
      </c>
      <c r="BZ214" s="140">
        <v>187</v>
      </c>
      <c r="CA214" s="140">
        <v>0</v>
      </c>
      <c r="CB214" s="140">
        <v>0</v>
      </c>
      <c r="CC214" s="140">
        <v>0</v>
      </c>
      <c r="CD214" s="142">
        <f>60+(char4Refine-1)*15+IF(char4WeapToggle, 100+(char4Refine-1)*25,0)</f>
        <v>240</v>
      </c>
      <c r="CE214" s="77">
        <v>0</v>
      </c>
      <c r="CF214" s="152">
        <v>0</v>
      </c>
      <c r="CG214" s="152">
        <v>0</v>
      </c>
      <c r="CH214" s="142">
        <v>0</v>
      </c>
      <c r="CI214" s="152">
        <v>0</v>
      </c>
      <c r="CJ214" s="152">
        <v>0</v>
      </c>
      <c r="CK214" s="152">
        <v>0</v>
      </c>
      <c r="CL214" s="152">
        <v>0</v>
      </c>
      <c r="CM214" s="152">
        <v>0</v>
      </c>
      <c r="CN214" s="142">
        <v>165</v>
      </c>
      <c r="CO214" s="152">
        <v>0</v>
      </c>
      <c r="CP214" s="152">
        <v>0</v>
      </c>
      <c r="CQ214" s="152">
        <v>0</v>
      </c>
      <c r="CR214" s="152">
        <v>165</v>
      </c>
      <c r="CS214" s="152">
        <v>0</v>
      </c>
      <c r="CT214" s="152">
        <v>0</v>
      </c>
      <c r="CU214" s="152">
        <v>0</v>
      </c>
      <c r="CV214" s="152">
        <v>0</v>
      </c>
    </row>
    <row r="215" spans="1:100" x14ac:dyDescent="0.25">
      <c r="A215" s="44" t="s">
        <v>452</v>
      </c>
      <c r="B215" s="134">
        <v>0</v>
      </c>
      <c r="C215" s="134">
        <v>0</v>
      </c>
      <c r="D215" s="146">
        <v>0</v>
      </c>
      <c r="E215" s="134">
        <v>0</v>
      </c>
      <c r="F215" s="146">
        <v>0</v>
      </c>
      <c r="G215" s="134">
        <v>0</v>
      </c>
      <c r="H215" s="134">
        <v>0</v>
      </c>
      <c r="I215" s="134">
        <v>0</v>
      </c>
      <c r="J215" s="134">
        <v>0</v>
      </c>
      <c r="K215" s="134">
        <v>0</v>
      </c>
      <c r="L215" s="134">
        <v>0</v>
      </c>
      <c r="M215" s="134">
        <v>0</v>
      </c>
      <c r="N215" s="134">
        <v>0</v>
      </c>
      <c r="O215" s="134">
        <v>0</v>
      </c>
      <c r="P215" s="146">
        <v>0</v>
      </c>
      <c r="Q215" s="146">
        <v>0</v>
      </c>
      <c r="R215" s="146">
        <v>0</v>
      </c>
      <c r="S215" s="134">
        <v>0</v>
      </c>
      <c r="T215" s="134">
        <v>0</v>
      </c>
      <c r="U215" s="136">
        <v>0</v>
      </c>
      <c r="V215" s="136">
        <v>0</v>
      </c>
      <c r="W215" s="136">
        <v>0</v>
      </c>
      <c r="X215" s="136">
        <v>0</v>
      </c>
      <c r="Y215" s="136">
        <v>0</v>
      </c>
      <c r="Z215" s="65">
        <v>0</v>
      </c>
      <c r="AA215" s="136">
        <v>0</v>
      </c>
      <c r="AB215" s="136">
        <v>0</v>
      </c>
      <c r="AC215" s="136">
        <v>0</v>
      </c>
      <c r="AD215" s="136">
        <v>0</v>
      </c>
      <c r="AE215" s="136">
        <v>0</v>
      </c>
      <c r="AF215" s="136">
        <v>0</v>
      </c>
      <c r="AG215" s="136">
        <v>0</v>
      </c>
      <c r="AH215" s="65">
        <v>0</v>
      </c>
      <c r="AI215" s="136">
        <v>0</v>
      </c>
      <c r="AJ215" s="136">
        <v>0</v>
      </c>
      <c r="AK215" s="136">
        <v>0</v>
      </c>
      <c r="AL215" s="136">
        <v>0</v>
      </c>
      <c r="AM215" s="136">
        <v>0</v>
      </c>
      <c r="AN215" s="73">
        <v>0</v>
      </c>
      <c r="AO215" s="73">
        <v>0</v>
      </c>
      <c r="AP215" s="73">
        <v>0</v>
      </c>
      <c r="AQ215" s="73">
        <v>0</v>
      </c>
      <c r="AR215" s="73">
        <v>0</v>
      </c>
      <c r="AS215" s="73">
        <v>0</v>
      </c>
      <c r="AT215" s="73">
        <v>0</v>
      </c>
      <c r="AU215" s="73">
        <v>0</v>
      </c>
      <c r="AV215" s="73">
        <v>0</v>
      </c>
      <c r="AW215" s="73">
        <v>0</v>
      </c>
      <c r="AX215" s="73">
        <v>0</v>
      </c>
      <c r="AY215" s="73">
        <v>0</v>
      </c>
      <c r="AZ215" s="73">
        <v>0</v>
      </c>
      <c r="BA215" s="73">
        <v>0</v>
      </c>
      <c r="BB215" s="73">
        <v>0</v>
      </c>
      <c r="BC215" s="73">
        <v>0</v>
      </c>
      <c r="BD215" s="73">
        <v>0</v>
      </c>
      <c r="BE215" s="73">
        <v>0</v>
      </c>
      <c r="BF215" s="73">
        <v>0</v>
      </c>
      <c r="BG215" s="73">
        <v>0</v>
      </c>
      <c r="BH215" s="73">
        <v>0</v>
      </c>
      <c r="BI215" s="73">
        <v>0</v>
      </c>
      <c r="BJ215" s="139">
        <v>0</v>
      </c>
      <c r="BK215" s="67">
        <v>0</v>
      </c>
      <c r="BL215" s="139">
        <v>0</v>
      </c>
      <c r="BM215" s="139">
        <v>0</v>
      </c>
      <c r="BN215" s="139">
        <v>0</v>
      </c>
      <c r="BO215" s="139">
        <v>0</v>
      </c>
      <c r="BP215" s="139">
        <v>0</v>
      </c>
      <c r="BQ215" s="139">
        <v>0</v>
      </c>
      <c r="BR215" s="139">
        <v>0</v>
      </c>
      <c r="BS215" s="139">
        <v>0</v>
      </c>
      <c r="BT215" s="139">
        <v>0</v>
      </c>
      <c r="BU215" s="139">
        <v>0</v>
      </c>
      <c r="BV215" s="139">
        <v>0</v>
      </c>
      <c r="BW215" s="139">
        <v>0</v>
      </c>
      <c r="BX215" s="139">
        <v>0</v>
      </c>
      <c r="BY215" s="139">
        <v>0</v>
      </c>
      <c r="BZ215" s="139">
        <v>0</v>
      </c>
      <c r="CA215" s="139">
        <v>0</v>
      </c>
      <c r="CB215" s="139">
        <v>0</v>
      </c>
      <c r="CC215" s="139">
        <v>0</v>
      </c>
      <c r="CD215" s="144">
        <v>0</v>
      </c>
      <c r="CE215" s="70">
        <v>0</v>
      </c>
      <c r="CF215" s="71">
        <v>0</v>
      </c>
      <c r="CG215" s="144">
        <v>0</v>
      </c>
      <c r="CH215" s="144">
        <v>0</v>
      </c>
      <c r="CI215" s="71">
        <v>0</v>
      </c>
      <c r="CJ215" s="144">
        <v>0</v>
      </c>
      <c r="CK215" s="71">
        <v>0</v>
      </c>
      <c r="CL215" s="144">
        <v>0</v>
      </c>
      <c r="CM215" s="144">
        <v>0</v>
      </c>
      <c r="CN215" s="144">
        <v>0</v>
      </c>
      <c r="CO215" s="71">
        <v>0</v>
      </c>
      <c r="CP215" s="71">
        <v>0</v>
      </c>
      <c r="CQ215" s="71">
        <v>0</v>
      </c>
      <c r="CR215" s="71">
        <v>0</v>
      </c>
      <c r="CS215" s="144">
        <v>0</v>
      </c>
      <c r="CT215" s="71">
        <v>0</v>
      </c>
      <c r="CU215" s="71">
        <v>0</v>
      </c>
      <c r="CV215" s="71">
        <v>0</v>
      </c>
    </row>
    <row r="216" spans="1:100" x14ac:dyDescent="0.25">
      <c r="A216" s="44" t="s">
        <v>422</v>
      </c>
      <c r="B216" s="134">
        <v>0</v>
      </c>
      <c r="C216" s="146">
        <v>0</v>
      </c>
      <c r="D216" s="146">
        <v>0</v>
      </c>
      <c r="E216" s="134">
        <v>0</v>
      </c>
      <c r="F216" s="146">
        <v>0</v>
      </c>
      <c r="G216" s="134">
        <v>0</v>
      </c>
      <c r="H216" s="134">
        <v>0</v>
      </c>
      <c r="I216" s="134">
        <v>0</v>
      </c>
      <c r="J216" s="134">
        <v>0</v>
      </c>
      <c r="K216" s="134">
        <v>0</v>
      </c>
      <c r="L216" s="134">
        <v>0</v>
      </c>
      <c r="M216" s="134">
        <v>0</v>
      </c>
      <c r="N216" s="134">
        <v>0</v>
      </c>
      <c r="O216" s="134">
        <v>0</v>
      </c>
      <c r="P216" s="146">
        <v>0</v>
      </c>
      <c r="Q216" s="146">
        <v>0</v>
      </c>
      <c r="R216" s="146">
        <v>0</v>
      </c>
      <c r="S216" s="134">
        <v>0</v>
      </c>
      <c r="T216" s="134">
        <v>0</v>
      </c>
      <c r="U216" s="136">
        <v>0</v>
      </c>
      <c r="V216" s="136">
        <v>0</v>
      </c>
      <c r="W216" s="136">
        <v>0</v>
      </c>
      <c r="X216" s="136">
        <v>0</v>
      </c>
      <c r="Y216" s="136">
        <v>0</v>
      </c>
      <c r="Z216" s="65">
        <v>0</v>
      </c>
      <c r="AA216" s="136">
        <v>0</v>
      </c>
      <c r="AB216" s="136">
        <v>0</v>
      </c>
      <c r="AC216" s="136">
        <v>0</v>
      </c>
      <c r="AD216" s="136">
        <v>0</v>
      </c>
      <c r="AE216" s="136">
        <v>0</v>
      </c>
      <c r="AF216" s="136">
        <v>0</v>
      </c>
      <c r="AG216" s="136">
        <v>0</v>
      </c>
      <c r="AH216" s="65">
        <v>0</v>
      </c>
      <c r="AI216" s="136">
        <v>0</v>
      </c>
      <c r="AJ216" s="136">
        <v>0</v>
      </c>
      <c r="AK216" s="136">
        <v>0</v>
      </c>
      <c r="AL216" s="136">
        <v>0</v>
      </c>
      <c r="AM216" s="136">
        <v>0</v>
      </c>
      <c r="AN216" s="73">
        <v>0</v>
      </c>
      <c r="AO216" s="73">
        <v>0</v>
      </c>
      <c r="AP216" s="73">
        <v>0</v>
      </c>
      <c r="AQ216" s="73">
        <v>0</v>
      </c>
      <c r="AR216" s="73">
        <v>0</v>
      </c>
      <c r="AS216" s="73">
        <v>0</v>
      </c>
      <c r="AT216" s="73">
        <v>0</v>
      </c>
      <c r="AU216" s="73">
        <v>0</v>
      </c>
      <c r="AV216" s="73">
        <v>0</v>
      </c>
      <c r="AW216" s="73">
        <v>0</v>
      </c>
      <c r="AX216" s="73">
        <v>0</v>
      </c>
      <c r="AY216" s="73">
        <v>0</v>
      </c>
      <c r="AZ216" s="73">
        <v>0</v>
      </c>
      <c r="BA216" s="73">
        <v>0</v>
      </c>
      <c r="BB216" s="73">
        <v>0</v>
      </c>
      <c r="BC216" s="73">
        <v>0</v>
      </c>
      <c r="BD216" s="73">
        <v>0</v>
      </c>
      <c r="BE216" s="73">
        <v>0</v>
      </c>
      <c r="BF216" s="73">
        <v>0</v>
      </c>
      <c r="BG216" s="73">
        <v>0</v>
      </c>
      <c r="BH216" s="73">
        <v>0</v>
      </c>
      <c r="BI216" s="73">
        <v>0</v>
      </c>
      <c r="BJ216" s="139">
        <v>0</v>
      </c>
      <c r="BK216" s="67">
        <v>0</v>
      </c>
      <c r="BL216" s="139">
        <v>0</v>
      </c>
      <c r="BM216" s="139">
        <v>0</v>
      </c>
      <c r="BN216" s="139">
        <f>(10+(char4Refine-1)*2.5)%</f>
        <v>0.15</v>
      </c>
      <c r="BO216" s="139">
        <v>0</v>
      </c>
      <c r="BP216" s="139">
        <v>0</v>
      </c>
      <c r="BQ216" s="139">
        <v>0</v>
      </c>
      <c r="BR216" s="139">
        <v>0</v>
      </c>
      <c r="BS216" s="139">
        <v>0</v>
      </c>
      <c r="BT216" s="139">
        <v>0</v>
      </c>
      <c r="BU216" s="139">
        <v>0</v>
      </c>
      <c r="BV216" s="139">
        <v>0</v>
      </c>
      <c r="BW216" s="139">
        <v>0</v>
      </c>
      <c r="BX216" s="139">
        <v>0</v>
      </c>
      <c r="BY216" s="139">
        <v>0</v>
      </c>
      <c r="BZ216" s="139">
        <v>0</v>
      </c>
      <c r="CA216" s="139">
        <v>0</v>
      </c>
      <c r="CB216" s="139">
        <v>0</v>
      </c>
      <c r="CC216" s="139">
        <v>0</v>
      </c>
      <c r="CD216" s="144">
        <v>0</v>
      </c>
      <c r="CE216" s="70">
        <v>0</v>
      </c>
      <c r="CF216" s="71">
        <v>0</v>
      </c>
      <c r="CG216" s="71">
        <v>0</v>
      </c>
      <c r="CH216" s="71">
        <v>0</v>
      </c>
      <c r="CI216" s="71">
        <v>0</v>
      </c>
      <c r="CJ216" s="144">
        <v>0</v>
      </c>
      <c r="CK216" s="71">
        <v>0</v>
      </c>
      <c r="CL216" s="144">
        <v>0</v>
      </c>
      <c r="CM216" s="144">
        <v>0</v>
      </c>
      <c r="CN216" s="144">
        <v>0</v>
      </c>
      <c r="CO216" s="71">
        <v>0</v>
      </c>
      <c r="CP216" s="71">
        <v>0</v>
      </c>
      <c r="CQ216" s="71">
        <v>0</v>
      </c>
      <c r="CR216" s="71">
        <v>0</v>
      </c>
      <c r="CS216" s="144">
        <v>0</v>
      </c>
      <c r="CT216" s="71">
        <v>0</v>
      </c>
      <c r="CU216" s="71">
        <v>0</v>
      </c>
      <c r="CV216" s="71">
        <v>0</v>
      </c>
    </row>
    <row r="217" spans="1:100" x14ac:dyDescent="0.25">
      <c r="A217" s="44" t="s">
        <v>77</v>
      </c>
      <c r="B217" s="134">
        <v>0</v>
      </c>
      <c r="C217" s="146">
        <v>0</v>
      </c>
      <c r="D217" s="146">
        <v>0</v>
      </c>
      <c r="E217" s="134">
        <v>0</v>
      </c>
      <c r="F217" s="146">
        <v>0</v>
      </c>
      <c r="G217" s="134">
        <v>0</v>
      </c>
      <c r="H217" s="134">
        <v>0</v>
      </c>
      <c r="I217" s="134">
        <v>0</v>
      </c>
      <c r="J217" s="134">
        <v>0</v>
      </c>
      <c r="K217" s="134">
        <v>0</v>
      </c>
      <c r="L217" s="134">
        <v>0</v>
      </c>
      <c r="M217" s="134">
        <v>0</v>
      </c>
      <c r="N217" s="134">
        <v>0</v>
      </c>
      <c r="O217" s="134">
        <v>0</v>
      </c>
      <c r="P217" s="146">
        <v>0</v>
      </c>
      <c r="Q217" s="146">
        <v>0</v>
      </c>
      <c r="R217" s="146">
        <v>0</v>
      </c>
      <c r="S217" s="134">
        <v>0</v>
      </c>
      <c r="T217" s="134">
        <v>0</v>
      </c>
      <c r="U217" s="136">
        <v>0</v>
      </c>
      <c r="V217" s="136">
        <v>0</v>
      </c>
      <c r="W217" s="136">
        <v>0</v>
      </c>
      <c r="X217" s="136">
        <v>0</v>
      </c>
      <c r="Y217" s="136">
        <v>0</v>
      </c>
      <c r="Z217" s="65">
        <v>0</v>
      </c>
      <c r="AA217" s="136">
        <v>0</v>
      </c>
      <c r="AB217" s="136">
        <v>0</v>
      </c>
      <c r="AC217" s="136">
        <v>0</v>
      </c>
      <c r="AD217" s="136">
        <v>0</v>
      </c>
      <c r="AE217" s="136">
        <f>((8+(char4Refine-1)*4)*char4WeapStacks)%</f>
        <v>0.32</v>
      </c>
      <c r="AF217" s="136">
        <v>0</v>
      </c>
      <c r="AG217" s="136">
        <v>0</v>
      </c>
      <c r="AH217" s="65">
        <v>0</v>
      </c>
      <c r="AI217" s="136">
        <v>0</v>
      </c>
      <c r="AJ217" s="136">
        <v>0</v>
      </c>
      <c r="AK217" s="136">
        <v>0</v>
      </c>
      <c r="AL217" s="136">
        <f>(24+(char4Refine-1)*6)%</f>
        <v>0.36</v>
      </c>
      <c r="AM217" s="136">
        <v>0</v>
      </c>
      <c r="AN217" s="73">
        <v>0</v>
      </c>
      <c r="AO217" s="73">
        <f>IF(char4WeapToggle, (16+(char4Refine-1)*4), 0)%</f>
        <v>0.24</v>
      </c>
      <c r="AP217" s="73">
        <v>0</v>
      </c>
      <c r="AQ217" s="73">
        <v>0</v>
      </c>
      <c r="AR217" s="73">
        <v>0</v>
      </c>
      <c r="AS217" s="73">
        <v>0</v>
      </c>
      <c r="AT217" s="73">
        <v>0</v>
      </c>
      <c r="AU217" s="73">
        <v>0</v>
      </c>
      <c r="AV217" s="73">
        <f>(20+(char4Refine-1)*5)%</f>
        <v>0.3</v>
      </c>
      <c r="AW217" s="73">
        <v>0</v>
      </c>
      <c r="AX217" s="73">
        <v>0</v>
      </c>
      <c r="AY217" s="73">
        <v>0</v>
      </c>
      <c r="AZ217" s="73">
        <v>0</v>
      </c>
      <c r="BA217" s="73">
        <v>0</v>
      </c>
      <c r="BB217" s="73">
        <v>0</v>
      </c>
      <c r="BC217" s="73">
        <v>0</v>
      </c>
      <c r="BD217" s="73">
        <v>0</v>
      </c>
      <c r="BE217" s="73">
        <v>0</v>
      </c>
      <c r="BF217" s="73">
        <v>0</v>
      </c>
      <c r="BG217" s="73">
        <v>0</v>
      </c>
      <c r="BH217" s="73">
        <v>0</v>
      </c>
      <c r="BI217" s="73">
        <v>0</v>
      </c>
      <c r="BJ217" s="139">
        <v>0</v>
      </c>
      <c r="BK217" s="67">
        <v>0</v>
      </c>
      <c r="BL217" s="139">
        <v>0</v>
      </c>
      <c r="BM217" s="139">
        <v>0</v>
      </c>
      <c r="BN217" s="139">
        <v>0</v>
      </c>
      <c r="BO217" s="139">
        <v>0</v>
      </c>
      <c r="BP217" s="139">
        <v>0</v>
      </c>
      <c r="BQ217" s="139">
        <v>0</v>
      </c>
      <c r="BR217" s="139">
        <v>0</v>
      </c>
      <c r="BS217" s="139">
        <f>IF(char4WeapToggle,20+(char4Refine-1)*5,0)%</f>
        <v>0.3</v>
      </c>
      <c r="BT217" s="139">
        <v>0</v>
      </c>
      <c r="BU217" s="139">
        <v>0</v>
      </c>
      <c r="BV217" s="139">
        <v>0</v>
      </c>
      <c r="BW217" s="139">
        <v>0</v>
      </c>
      <c r="BX217" s="139">
        <v>0</v>
      </c>
      <c r="BY217" s="139">
        <v>0</v>
      </c>
      <c r="BZ217" s="139">
        <v>0</v>
      </c>
      <c r="CA217" s="139">
        <v>0</v>
      </c>
      <c r="CB217" s="139">
        <v>0</v>
      </c>
      <c r="CC217" s="139">
        <v>0</v>
      </c>
      <c r="CD217" s="144">
        <v>0</v>
      </c>
      <c r="CE217" s="70">
        <v>0</v>
      </c>
      <c r="CF217" s="71">
        <v>0</v>
      </c>
      <c r="CG217" s="71">
        <f>(12+(char4Refine-1)*3)%+char4WeapStacks*(8+(char4Refine-1)*2)%</f>
        <v>0.42</v>
      </c>
      <c r="CH217" s="71">
        <f>(40+(char4Refine-1)*10)%</f>
        <v>0.6</v>
      </c>
      <c r="CI217" s="71">
        <v>0</v>
      </c>
      <c r="CJ217" s="144">
        <v>0</v>
      </c>
      <c r="CK217" s="71">
        <v>0</v>
      </c>
      <c r="CL217" s="144">
        <v>0</v>
      </c>
      <c r="CM217" s="144">
        <v>0</v>
      </c>
      <c r="CN217" s="144">
        <v>0</v>
      </c>
      <c r="CO217" s="71">
        <v>0</v>
      </c>
      <c r="CP217" s="71">
        <v>0</v>
      </c>
      <c r="CQ217" s="71">
        <f>IF(char4WeapToggle, 2*(16+(char4Refine-1)*4), 16+(char4Refine-1)*4)%</f>
        <v>0.48</v>
      </c>
      <c r="CR217" s="71">
        <v>0</v>
      </c>
      <c r="CS217" s="144">
        <v>0</v>
      </c>
      <c r="CT217" s="71">
        <f>IF(char4WeapToggle, 20+(char4Refine-1)*5, 0)%</f>
        <v>0.3</v>
      </c>
      <c r="CU217" s="71">
        <f>IF(char4WeapToggle, (36+(char4Refine-1)*6)%, -10%)</f>
        <v>0.48</v>
      </c>
      <c r="CV217" s="174">
        <f>IF(char4WeapStacks=1, (12+(char4Refine-1)*3)%, IF(char4WeapStacks=2, (24+(char4Refine-1)*6)%, IF(char4WeapStacks=3, (40+(char4Refine-1)*10)%, 0)))</f>
        <v>0.36</v>
      </c>
    </row>
    <row r="218" spans="1:100" x14ac:dyDescent="0.25">
      <c r="A218" s="44" t="s">
        <v>78</v>
      </c>
      <c r="B218" s="134">
        <v>0</v>
      </c>
      <c r="C218" s="146">
        <v>0</v>
      </c>
      <c r="D218" s="146">
        <v>0</v>
      </c>
      <c r="E218" s="134">
        <v>0</v>
      </c>
      <c r="F218" s="146">
        <v>0</v>
      </c>
      <c r="G218" s="134">
        <v>0</v>
      </c>
      <c r="H218" s="134">
        <v>0</v>
      </c>
      <c r="I218" s="134">
        <v>0</v>
      </c>
      <c r="J218" s="134">
        <v>0</v>
      </c>
      <c r="K218" s="134">
        <v>0</v>
      </c>
      <c r="L218" s="134">
        <v>0</v>
      </c>
      <c r="M218" s="134">
        <v>0</v>
      </c>
      <c r="N218" s="134">
        <v>0</v>
      </c>
      <c r="O218" s="134">
        <v>0</v>
      </c>
      <c r="P218" s="146">
        <v>0</v>
      </c>
      <c r="Q218" s="146">
        <v>0</v>
      </c>
      <c r="R218" s="146">
        <v>0</v>
      </c>
      <c r="S218" s="134">
        <v>0</v>
      </c>
      <c r="T218" s="134">
        <v>0</v>
      </c>
      <c r="U218" s="136">
        <v>0</v>
      </c>
      <c r="V218" s="136">
        <v>0</v>
      </c>
      <c r="W218" s="136">
        <v>0</v>
      </c>
      <c r="X218" s="136">
        <v>0</v>
      </c>
      <c r="Y218" s="136">
        <v>0</v>
      </c>
      <c r="Z218" s="65">
        <v>0</v>
      </c>
      <c r="AA218" s="136">
        <v>0</v>
      </c>
      <c r="AB218" s="136">
        <v>0</v>
      </c>
      <c r="AC218" s="136">
        <v>0</v>
      </c>
      <c r="AD218" s="136">
        <v>0</v>
      </c>
      <c r="AE218" s="136">
        <f>((8+(char4Refine-1)*4)*char4WeapStacks)%</f>
        <v>0.32</v>
      </c>
      <c r="AF218" s="136">
        <v>0</v>
      </c>
      <c r="AG218" s="136">
        <v>0</v>
      </c>
      <c r="AH218" s="65">
        <v>0</v>
      </c>
      <c r="AI218" s="136">
        <v>0</v>
      </c>
      <c r="AJ218" s="136">
        <v>0</v>
      </c>
      <c r="AK218" s="136">
        <v>0</v>
      </c>
      <c r="AL218" s="136">
        <v>0</v>
      </c>
      <c r="AM218" s="136">
        <v>0</v>
      </c>
      <c r="AN218" s="73">
        <v>0</v>
      </c>
      <c r="AO218" s="73">
        <f>IF(char4WeapToggle, (16+(char4Refine-1)*4), 0)%</f>
        <v>0.24</v>
      </c>
      <c r="AP218" s="73">
        <v>0</v>
      </c>
      <c r="AQ218" s="73">
        <v>0</v>
      </c>
      <c r="AR218" s="73">
        <v>0</v>
      </c>
      <c r="AS218" s="73">
        <v>0</v>
      </c>
      <c r="AT218" s="73">
        <v>0</v>
      </c>
      <c r="AU218" s="73">
        <v>0</v>
      </c>
      <c r="AV218" s="73">
        <f>(20+(char4Refine-1)*5)%</f>
        <v>0.3</v>
      </c>
      <c r="AW218" s="73">
        <v>0</v>
      </c>
      <c r="AX218" s="73">
        <v>0</v>
      </c>
      <c r="AY218" s="73">
        <v>0</v>
      </c>
      <c r="AZ218" s="73">
        <v>0</v>
      </c>
      <c r="BA218" s="73">
        <v>0</v>
      </c>
      <c r="BB218" s="73">
        <v>0</v>
      </c>
      <c r="BC218" s="73">
        <v>0</v>
      </c>
      <c r="BD218" s="73">
        <v>0</v>
      </c>
      <c r="BE218" s="73">
        <v>0</v>
      </c>
      <c r="BF218" s="73">
        <v>0</v>
      </c>
      <c r="BG218" s="73">
        <v>0</v>
      </c>
      <c r="BH218" s="73">
        <v>0</v>
      </c>
      <c r="BI218" s="73">
        <v>0</v>
      </c>
      <c r="BJ218" s="139">
        <v>0</v>
      </c>
      <c r="BK218" s="67">
        <v>0</v>
      </c>
      <c r="BL218" s="139">
        <v>0</v>
      </c>
      <c r="BM218" s="139">
        <v>0</v>
      </c>
      <c r="BN218" s="139">
        <v>0</v>
      </c>
      <c r="BO218" s="139">
        <v>0</v>
      </c>
      <c r="BP218" s="139">
        <v>0</v>
      </c>
      <c r="BQ218" s="139">
        <v>0</v>
      </c>
      <c r="BR218" s="139">
        <v>0</v>
      </c>
      <c r="BS218" s="139">
        <v>0</v>
      </c>
      <c r="BT218" s="139">
        <v>0</v>
      </c>
      <c r="BU218" s="139">
        <v>0</v>
      </c>
      <c r="BV218" s="139">
        <v>0</v>
      </c>
      <c r="BW218" s="139">
        <v>0</v>
      </c>
      <c r="BX218" s="139">
        <v>0</v>
      </c>
      <c r="BY218" s="139">
        <f>IF(char4WeapToggle,16+(char4Refine-1)*4,0)%</f>
        <v>0.24</v>
      </c>
      <c r="BZ218" s="139">
        <v>0</v>
      </c>
      <c r="CA218" s="139">
        <v>0</v>
      </c>
      <c r="CB218" s="139">
        <v>0</v>
      </c>
      <c r="CC218" s="139">
        <v>0</v>
      </c>
      <c r="CD218" s="144">
        <v>0</v>
      </c>
      <c r="CE218" s="70">
        <v>0</v>
      </c>
      <c r="CF218" s="71">
        <v>0</v>
      </c>
      <c r="CG218" s="71">
        <f>(12+(char4Refine-1)*3)%+char4WeapStacks*(8+(char4Refine-1)*2)%</f>
        <v>0.42</v>
      </c>
      <c r="CH218" s="71">
        <f>-10%</f>
        <v>-0.1</v>
      </c>
      <c r="CI218" s="71">
        <v>0</v>
      </c>
      <c r="CJ218" s="144">
        <v>0</v>
      </c>
      <c r="CK218" s="71">
        <v>0</v>
      </c>
      <c r="CL218" s="144">
        <v>0</v>
      </c>
      <c r="CM218" s="144">
        <v>0</v>
      </c>
      <c r="CN218" s="144">
        <v>0</v>
      </c>
      <c r="CO218" s="71">
        <v>0</v>
      </c>
      <c r="CP218" s="71">
        <v>0</v>
      </c>
      <c r="CQ218" s="71">
        <f>IF(char4WeapToggle, 2*(12+(char4Refine-1)*3), (12+(char4Refine-1)*3))%</f>
        <v>0.36</v>
      </c>
      <c r="CR218" s="71">
        <v>0</v>
      </c>
      <c r="CS218" s="144">
        <v>0</v>
      </c>
      <c r="CT218" s="71">
        <v>0</v>
      </c>
      <c r="CU218" s="71">
        <f>IF(char4WeapToggle, (36+(char4Refine-1)*6)%, -10%)</f>
        <v>0.48</v>
      </c>
      <c r="CV218" s="71">
        <v>0</v>
      </c>
    </row>
    <row r="219" spans="1:100" x14ac:dyDescent="0.25">
      <c r="A219" s="44" t="s">
        <v>79</v>
      </c>
      <c r="B219" s="134">
        <v>0</v>
      </c>
      <c r="C219" s="134">
        <v>0</v>
      </c>
      <c r="D219" s="146">
        <v>0</v>
      </c>
      <c r="E219" s="134">
        <v>0</v>
      </c>
      <c r="F219" s="146">
        <v>0</v>
      </c>
      <c r="G219" s="134">
        <v>0</v>
      </c>
      <c r="H219" s="134">
        <v>0</v>
      </c>
      <c r="I219" s="134">
        <v>0</v>
      </c>
      <c r="J219" s="134">
        <v>0</v>
      </c>
      <c r="K219" s="134">
        <v>0</v>
      </c>
      <c r="L219" s="134">
        <v>0</v>
      </c>
      <c r="M219" s="134">
        <v>0</v>
      </c>
      <c r="N219" s="134">
        <v>0</v>
      </c>
      <c r="O219" s="134">
        <v>0</v>
      </c>
      <c r="P219" s="146">
        <v>0</v>
      </c>
      <c r="Q219" s="146">
        <v>0</v>
      </c>
      <c r="R219" s="146">
        <v>0</v>
      </c>
      <c r="S219" s="134">
        <v>0</v>
      </c>
      <c r="T219" s="134">
        <v>0</v>
      </c>
      <c r="U219" s="136">
        <v>0</v>
      </c>
      <c r="V219" s="136">
        <v>0</v>
      </c>
      <c r="W219" s="136">
        <v>0</v>
      </c>
      <c r="X219" s="136">
        <v>0</v>
      </c>
      <c r="Y219" s="136">
        <v>0</v>
      </c>
      <c r="Z219" s="65">
        <v>0</v>
      </c>
      <c r="AA219" s="136">
        <v>0</v>
      </c>
      <c r="AB219" s="136">
        <v>0</v>
      </c>
      <c r="AC219" s="136">
        <v>0</v>
      </c>
      <c r="AD219" s="136">
        <v>0</v>
      </c>
      <c r="AE219" s="136">
        <v>0</v>
      </c>
      <c r="AF219" s="136">
        <v>0</v>
      </c>
      <c r="AG219" s="136">
        <v>0</v>
      </c>
      <c r="AH219" s="65">
        <v>0</v>
      </c>
      <c r="AI219" s="136">
        <v>0</v>
      </c>
      <c r="AJ219" s="136">
        <v>0</v>
      </c>
      <c r="AK219" s="136">
        <v>0</v>
      </c>
      <c r="AL219" s="136">
        <v>0</v>
      </c>
      <c r="AM219" s="136">
        <v>0</v>
      </c>
      <c r="AN219" s="73">
        <v>0</v>
      </c>
      <c r="AO219" s="73">
        <f>IF(char4WeapToggle, (16+(char4Refine-1)*4), 0)%</f>
        <v>0.24</v>
      </c>
      <c r="AP219" s="73">
        <v>0</v>
      </c>
      <c r="AQ219" s="73">
        <v>0</v>
      </c>
      <c r="AR219" s="73">
        <v>0</v>
      </c>
      <c r="AS219" s="73">
        <v>0</v>
      </c>
      <c r="AT219" s="73">
        <v>0</v>
      </c>
      <c r="AU219" s="73">
        <v>0</v>
      </c>
      <c r="AV219" s="73">
        <v>0</v>
      </c>
      <c r="AW219" s="73">
        <v>0</v>
      </c>
      <c r="AX219" s="73">
        <v>0</v>
      </c>
      <c r="AY219" s="73">
        <v>0</v>
      </c>
      <c r="AZ219" s="73">
        <v>0</v>
      </c>
      <c r="BA219" s="73">
        <v>0</v>
      </c>
      <c r="BB219" s="73">
        <v>0</v>
      </c>
      <c r="BC219" s="73">
        <v>0</v>
      </c>
      <c r="BD219" s="73">
        <v>0</v>
      </c>
      <c r="BE219" s="73">
        <v>0</v>
      </c>
      <c r="BF219" s="73">
        <v>0</v>
      </c>
      <c r="BG219" s="73">
        <v>0</v>
      </c>
      <c r="BH219" s="73">
        <v>0</v>
      </c>
      <c r="BI219" s="73">
        <v>0</v>
      </c>
      <c r="BJ219" s="139">
        <v>0</v>
      </c>
      <c r="BK219" s="67">
        <v>0</v>
      </c>
      <c r="BL219" s="139">
        <v>0</v>
      </c>
      <c r="BM219" s="139">
        <v>0</v>
      </c>
      <c r="BN219" s="139">
        <v>0</v>
      </c>
      <c r="BO219" s="139">
        <v>0</v>
      </c>
      <c r="BP219" s="139">
        <v>0</v>
      </c>
      <c r="BQ219" s="139">
        <v>0</v>
      </c>
      <c r="BR219" s="139">
        <v>0</v>
      </c>
      <c r="BS219" s="139">
        <v>0</v>
      </c>
      <c r="BT219" s="139">
        <v>0</v>
      </c>
      <c r="BU219" s="139">
        <v>0</v>
      </c>
      <c r="BV219" s="139">
        <v>0</v>
      </c>
      <c r="BW219" s="139">
        <v>0</v>
      </c>
      <c r="BX219" s="139">
        <v>0</v>
      </c>
      <c r="BY219" s="139">
        <v>0</v>
      </c>
      <c r="BZ219" s="139">
        <v>0</v>
      </c>
      <c r="CA219" s="139">
        <v>0</v>
      </c>
      <c r="CB219" s="139">
        <v>0</v>
      </c>
      <c r="CC219" s="139">
        <v>0</v>
      </c>
      <c r="CD219" s="144">
        <v>0</v>
      </c>
      <c r="CE219" s="70">
        <v>0</v>
      </c>
      <c r="CF219" s="71">
        <v>0</v>
      </c>
      <c r="CG219" s="71">
        <v>0</v>
      </c>
      <c r="CH219" s="71">
        <v>0</v>
      </c>
      <c r="CI219" s="71">
        <v>0</v>
      </c>
      <c r="CJ219" s="144">
        <v>0</v>
      </c>
      <c r="CK219" s="71">
        <v>0</v>
      </c>
      <c r="CL219" s="144">
        <v>0</v>
      </c>
      <c r="CM219" s="144">
        <v>0</v>
      </c>
      <c r="CN219" s="144">
        <v>0</v>
      </c>
      <c r="CO219" s="71">
        <v>0</v>
      </c>
      <c r="CP219" s="71">
        <v>0</v>
      </c>
      <c r="CQ219" s="71">
        <v>0</v>
      </c>
      <c r="CR219" s="71">
        <v>0</v>
      </c>
      <c r="CS219" s="144">
        <v>0</v>
      </c>
      <c r="CT219" s="71">
        <v>0</v>
      </c>
      <c r="CU219" s="71">
        <v>0</v>
      </c>
      <c r="CV219" s="71">
        <v>0</v>
      </c>
    </row>
    <row r="220" spans="1:100" x14ac:dyDescent="0.25">
      <c r="A220" s="44" t="s">
        <v>80</v>
      </c>
      <c r="B220" s="134">
        <v>0</v>
      </c>
      <c r="C220" s="146">
        <v>0</v>
      </c>
      <c r="D220" s="146">
        <v>0</v>
      </c>
      <c r="E220" s="134">
        <v>0</v>
      </c>
      <c r="F220" s="146">
        <v>0</v>
      </c>
      <c r="G220" s="134">
        <v>0</v>
      </c>
      <c r="H220" s="134">
        <v>0</v>
      </c>
      <c r="I220" s="134">
        <v>0</v>
      </c>
      <c r="J220" s="134">
        <v>0</v>
      </c>
      <c r="K220" s="134">
        <v>0</v>
      </c>
      <c r="L220" s="134">
        <v>0</v>
      </c>
      <c r="M220" s="134">
        <v>0</v>
      </c>
      <c r="N220" s="134">
        <v>0</v>
      </c>
      <c r="O220" s="134">
        <v>0</v>
      </c>
      <c r="P220" s="146">
        <v>0</v>
      </c>
      <c r="Q220" s="146">
        <v>0</v>
      </c>
      <c r="R220" s="146">
        <v>0</v>
      </c>
      <c r="S220" s="134">
        <v>0</v>
      </c>
      <c r="T220" s="134">
        <v>0</v>
      </c>
      <c r="U220" s="136">
        <v>0</v>
      </c>
      <c r="V220" s="136">
        <v>0</v>
      </c>
      <c r="W220" s="136">
        <v>0</v>
      </c>
      <c r="X220" s="136">
        <v>0</v>
      </c>
      <c r="Y220" s="136">
        <v>0</v>
      </c>
      <c r="Z220" s="65">
        <v>0</v>
      </c>
      <c r="AA220" s="136">
        <v>0</v>
      </c>
      <c r="AB220" s="136">
        <f>(6+(char4Refine-1)*1.5)%</f>
        <v>0.09</v>
      </c>
      <c r="AC220" s="136">
        <v>0</v>
      </c>
      <c r="AD220" s="136">
        <v>0</v>
      </c>
      <c r="AE220" s="136">
        <v>0</v>
      </c>
      <c r="AF220" s="136">
        <v>0</v>
      </c>
      <c r="AG220" s="136">
        <v>0</v>
      </c>
      <c r="AH220" s="65">
        <v>0</v>
      </c>
      <c r="AI220" s="136">
        <v>0</v>
      </c>
      <c r="AJ220" s="136">
        <v>0</v>
      </c>
      <c r="AK220" s="136">
        <v>0</v>
      </c>
      <c r="AL220" s="136">
        <v>0</v>
      </c>
      <c r="AM220" s="136">
        <v>0</v>
      </c>
      <c r="AN220" s="73">
        <v>0</v>
      </c>
      <c r="AO220" s="73">
        <v>0</v>
      </c>
      <c r="AP220" s="73">
        <v>0</v>
      </c>
      <c r="AQ220" s="73">
        <v>0</v>
      </c>
      <c r="AR220" s="73">
        <v>0</v>
      </c>
      <c r="AS220" s="73">
        <v>0</v>
      </c>
      <c r="AT220" s="73">
        <f>(16+(char4Refine-1)*4)%</f>
        <v>0.24</v>
      </c>
      <c r="AU220" s="73">
        <v>0</v>
      </c>
      <c r="AV220" s="73">
        <v>0</v>
      </c>
      <c r="AW220" s="73">
        <v>0</v>
      </c>
      <c r="AX220" s="73">
        <v>0</v>
      </c>
      <c r="AY220" s="73">
        <v>0</v>
      </c>
      <c r="AZ220" s="73">
        <v>0</v>
      </c>
      <c r="BA220" s="73">
        <v>0</v>
      </c>
      <c r="BB220" s="73">
        <v>0</v>
      </c>
      <c r="BC220" s="73">
        <v>0</v>
      </c>
      <c r="BD220" s="73">
        <v>0</v>
      </c>
      <c r="BE220" s="73">
        <v>0</v>
      </c>
      <c r="BF220" s="73">
        <v>0</v>
      </c>
      <c r="BG220" s="73">
        <v>0</v>
      </c>
      <c r="BH220" s="73">
        <v>0</v>
      </c>
      <c r="BI220" s="73">
        <v>0</v>
      </c>
      <c r="BJ220" s="139">
        <v>0</v>
      </c>
      <c r="BK220" s="67">
        <v>0</v>
      </c>
      <c r="BL220" s="139">
        <v>0</v>
      </c>
      <c r="BM220" s="139">
        <v>0</v>
      </c>
      <c r="BN220" s="139">
        <v>0</v>
      </c>
      <c r="BO220" s="139">
        <v>0</v>
      </c>
      <c r="BP220" s="139">
        <v>0</v>
      </c>
      <c r="BQ220" s="139">
        <v>0</v>
      </c>
      <c r="BR220" s="139">
        <v>0</v>
      </c>
      <c r="BS220" s="139">
        <f>IF(char4WeapToggle, 20+(char4Refine-1)*5,0)%</f>
        <v>0.3</v>
      </c>
      <c r="BT220" s="139">
        <v>0</v>
      </c>
      <c r="BU220" s="139">
        <v>0</v>
      </c>
      <c r="BV220" s="139">
        <v>0</v>
      </c>
      <c r="BW220" s="139">
        <v>0</v>
      </c>
      <c r="BX220" s="139">
        <v>0</v>
      </c>
      <c r="BY220" s="139">
        <v>0</v>
      </c>
      <c r="BZ220" s="139">
        <v>0</v>
      </c>
      <c r="CA220" s="139">
        <v>0</v>
      </c>
      <c r="CB220" s="139">
        <v>0</v>
      </c>
      <c r="CC220" s="139">
        <v>0</v>
      </c>
      <c r="CD220" s="144">
        <v>0</v>
      </c>
      <c r="CE220" s="70">
        <f>12%+(char4Refine-1)*3%</f>
        <v>0.18</v>
      </c>
      <c r="CF220" s="71">
        <v>0</v>
      </c>
      <c r="CG220" s="71">
        <v>0</v>
      </c>
      <c r="CH220" s="71">
        <v>0</v>
      </c>
      <c r="CI220" s="71">
        <v>0</v>
      </c>
      <c r="CJ220" s="144">
        <v>0</v>
      </c>
      <c r="CK220" s="71">
        <v>0</v>
      </c>
      <c r="CL220" s="144">
        <v>0</v>
      </c>
      <c r="CM220" s="144">
        <v>0</v>
      </c>
      <c r="CN220" s="144">
        <v>0</v>
      </c>
      <c r="CO220" s="71">
        <v>0</v>
      </c>
      <c r="CP220" s="71">
        <v>0</v>
      </c>
      <c r="CQ220" s="71">
        <v>0</v>
      </c>
      <c r="CR220" s="71">
        <f>(24+(char4Refine-1)*6)%</f>
        <v>0.36</v>
      </c>
      <c r="CS220" s="144">
        <v>0</v>
      </c>
      <c r="CT220" s="71">
        <f>IF(char4WeapToggle, 20+(char4Refine-1)*5, 0)%</f>
        <v>0.3</v>
      </c>
      <c r="CU220" s="71">
        <v>0</v>
      </c>
      <c r="CV220" s="71">
        <v>0</v>
      </c>
    </row>
    <row r="221" spans="1:100" x14ac:dyDescent="0.25">
      <c r="A221" s="44" t="s">
        <v>81</v>
      </c>
      <c r="B221" s="134">
        <v>0</v>
      </c>
      <c r="C221" s="146">
        <v>0</v>
      </c>
      <c r="D221" s="146">
        <v>0</v>
      </c>
      <c r="E221" s="134">
        <v>0</v>
      </c>
      <c r="F221" s="146">
        <v>0</v>
      </c>
      <c r="G221" s="134">
        <v>0</v>
      </c>
      <c r="H221" s="134">
        <v>0</v>
      </c>
      <c r="I221" s="134">
        <v>0</v>
      </c>
      <c r="J221" s="134">
        <v>0</v>
      </c>
      <c r="K221" s="134">
        <v>0</v>
      </c>
      <c r="L221" s="134">
        <v>0</v>
      </c>
      <c r="M221" s="134">
        <v>0</v>
      </c>
      <c r="N221" s="134">
        <v>0</v>
      </c>
      <c r="O221" s="134">
        <v>0</v>
      </c>
      <c r="P221" s="146">
        <f>(12+(char4Refine-1)*3)%</f>
        <v>0.18</v>
      </c>
      <c r="Q221" s="146">
        <v>0</v>
      </c>
      <c r="R221" s="146">
        <v>0</v>
      </c>
      <c r="S221" s="134">
        <f>MIN((40+(char4Refine-1)*10)%, char4WeapStacks*(0.12%+(char4Refine-1)*0.03%))</f>
        <v>3.5999999999999999E-3</v>
      </c>
      <c r="T221" s="134">
        <v>0</v>
      </c>
      <c r="U221" s="136">
        <v>0</v>
      </c>
      <c r="V221" s="136">
        <v>0</v>
      </c>
      <c r="W221" s="136">
        <v>0</v>
      </c>
      <c r="X221" s="136">
        <v>0</v>
      </c>
      <c r="Y221" s="136">
        <v>0</v>
      </c>
      <c r="Z221" s="65">
        <v>0</v>
      </c>
      <c r="AA221" s="136">
        <f>(16+(char4Refine-1)*4)%</f>
        <v>0.24</v>
      </c>
      <c r="AB221" s="136">
        <v>0</v>
      </c>
      <c r="AC221" s="136">
        <v>0</v>
      </c>
      <c r="AD221" s="136">
        <v>0</v>
      </c>
      <c r="AE221" s="136">
        <v>0</v>
      </c>
      <c r="AF221" s="136">
        <v>0</v>
      </c>
      <c r="AG221" s="136">
        <v>0</v>
      </c>
      <c r="AH221" s="65">
        <f>MIN((40+(char4Refine-1)*10)%, (0.12+(char4Refine-1)*0.03)*char4WeapStacks%)</f>
        <v>3.5999999999999999E-3</v>
      </c>
      <c r="AI221" s="136">
        <v>0</v>
      </c>
      <c r="AJ221" s="136">
        <v>0</v>
      </c>
      <c r="AK221" s="136">
        <v>0</v>
      </c>
      <c r="AL221" s="136">
        <v>0</v>
      </c>
      <c r="AM221" s="136">
        <v>0</v>
      </c>
      <c r="AN221" s="73">
        <v>0</v>
      </c>
      <c r="AO221" s="73">
        <v>0</v>
      </c>
      <c r="AP221" s="73">
        <v>0</v>
      </c>
      <c r="AQ221" s="73">
        <v>0</v>
      </c>
      <c r="AR221" s="73">
        <v>0</v>
      </c>
      <c r="AS221" s="73">
        <v>0</v>
      </c>
      <c r="AT221" s="73">
        <v>0</v>
      </c>
      <c r="AU221" s="73">
        <v>0</v>
      </c>
      <c r="AV221" s="73">
        <v>0</v>
      </c>
      <c r="AW221" s="73">
        <v>0</v>
      </c>
      <c r="AX221" s="73">
        <v>0</v>
      </c>
      <c r="AY221" s="73">
        <v>0</v>
      </c>
      <c r="AZ221" s="73">
        <v>0</v>
      </c>
      <c r="BA221" s="73">
        <v>0</v>
      </c>
      <c r="BB221" s="73">
        <v>0</v>
      </c>
      <c r="BC221" s="73">
        <v>0</v>
      </c>
      <c r="BD221" s="73">
        <v>0</v>
      </c>
      <c r="BE221" s="73">
        <v>0</v>
      </c>
      <c r="BF221" s="73">
        <v>0</v>
      </c>
      <c r="BG221" s="73">
        <v>0</v>
      </c>
      <c r="BH221" s="73">
        <v>0</v>
      </c>
      <c r="BI221" s="73">
        <v>0</v>
      </c>
      <c r="BJ221" s="139">
        <v>0</v>
      </c>
      <c r="BK221" s="67">
        <v>0</v>
      </c>
      <c r="BL221" s="139">
        <v>0</v>
      </c>
      <c r="BM221" s="139">
        <v>0</v>
      </c>
      <c r="BN221" s="139">
        <v>0</v>
      </c>
      <c r="BO221" s="139">
        <v>0</v>
      </c>
      <c r="BP221" s="139">
        <v>0</v>
      </c>
      <c r="BQ221" s="139">
        <v>0</v>
      </c>
      <c r="BR221" s="139">
        <v>0</v>
      </c>
      <c r="BS221" s="139">
        <f>IF(char4WeapToggle, 20+(char4Refine-1)*5,0)%</f>
        <v>0.3</v>
      </c>
      <c r="BT221" s="139">
        <v>0</v>
      </c>
      <c r="BU221" s="139">
        <v>0</v>
      </c>
      <c r="BV221" s="139">
        <v>0</v>
      </c>
      <c r="BW221" s="139">
        <v>0</v>
      </c>
      <c r="BX221" s="139">
        <v>0</v>
      </c>
      <c r="BY221" s="139">
        <v>0</v>
      </c>
      <c r="BZ221" s="139">
        <v>0</v>
      </c>
      <c r="CA221" s="139">
        <v>0</v>
      </c>
      <c r="CB221" s="139">
        <v>0</v>
      </c>
      <c r="CC221" s="139">
        <v>0</v>
      </c>
      <c r="CD221" s="144">
        <v>0</v>
      </c>
      <c r="CE221" s="70">
        <f>12%+(char4Refine-1)*3%</f>
        <v>0.18</v>
      </c>
      <c r="CF221" s="71">
        <v>0</v>
      </c>
      <c r="CG221" s="71">
        <v>0</v>
      </c>
      <c r="CH221" s="71">
        <v>0</v>
      </c>
      <c r="CI221" s="71">
        <v>0</v>
      </c>
      <c r="CJ221" s="144">
        <v>0</v>
      </c>
      <c r="CK221" s="71">
        <v>0</v>
      </c>
      <c r="CL221" s="144">
        <v>0</v>
      </c>
      <c r="CM221" s="144">
        <v>0</v>
      </c>
      <c r="CN221" s="144">
        <v>0</v>
      </c>
      <c r="CO221" s="71">
        <v>0</v>
      </c>
      <c r="CP221" s="71">
        <v>0</v>
      </c>
      <c r="CQ221" s="71">
        <v>0</v>
      </c>
      <c r="CR221" s="71">
        <f>(24+(char4Refine-1)*6)%</f>
        <v>0.36</v>
      </c>
      <c r="CS221" s="144">
        <v>0</v>
      </c>
      <c r="CT221" s="71">
        <v>0</v>
      </c>
      <c r="CU221" s="71">
        <v>0</v>
      </c>
      <c r="CV221" s="71">
        <v>0</v>
      </c>
    </row>
    <row r="222" spans="1:100" x14ac:dyDescent="0.25">
      <c r="A222" t="s">
        <v>82</v>
      </c>
      <c r="B222" s="134">
        <f>(8+(char4Refine-1)*2)%</f>
        <v>0.12</v>
      </c>
      <c r="C222" s="146">
        <v>0</v>
      </c>
      <c r="D222" s="146">
        <v>0</v>
      </c>
      <c r="E222" s="134">
        <v>0</v>
      </c>
      <c r="F222" s="146">
        <v>0</v>
      </c>
      <c r="G222" s="134">
        <f>char4WeapStacks*(6+(char4Refine-1))%</f>
        <v>0.16</v>
      </c>
      <c r="H222" s="134">
        <f>IF(char4WeapToggle, 12+(char4Refine-1)*3)%</f>
        <v>0.18</v>
      </c>
      <c r="I222" s="134">
        <v>0</v>
      </c>
      <c r="J222" s="134">
        <v>0</v>
      </c>
      <c r="K222" s="134">
        <v>0</v>
      </c>
      <c r="L222" s="134">
        <v>0</v>
      </c>
      <c r="M222" s="134">
        <f>IF(char4WeapToggle, 20+(char4Refine-1)*4, 0)%</f>
        <v>0.28000000000000003</v>
      </c>
      <c r="N222" s="134">
        <v>0</v>
      </c>
      <c r="O222" s="134">
        <v>0</v>
      </c>
      <c r="P222" s="146">
        <v>0</v>
      </c>
      <c r="Q222" s="146">
        <v>0</v>
      </c>
      <c r="R222" s="146">
        <v>0</v>
      </c>
      <c r="S222" s="134">
        <v>0</v>
      </c>
      <c r="T222" s="134">
        <v>0</v>
      </c>
      <c r="U222" s="136">
        <v>0</v>
      </c>
      <c r="V222" s="136">
        <v>0</v>
      </c>
      <c r="W222" s="136">
        <f>IF(char4WeapStacks&gt;=7,(12+(char4Refine-1)*3),0)%</f>
        <v>0</v>
      </c>
      <c r="X222" s="136">
        <v>0</v>
      </c>
      <c r="Y222" s="136">
        <v>0</v>
      </c>
      <c r="Z222" s="65">
        <v>0</v>
      </c>
      <c r="AA222" s="136">
        <v>0</v>
      </c>
      <c r="AB222" s="136">
        <v>0</v>
      </c>
      <c r="AC222" s="136">
        <v>0</v>
      </c>
      <c r="AD222" s="136">
        <v>0</v>
      </c>
      <c r="AE222" s="136">
        <v>0</v>
      </c>
      <c r="AF222" s="136">
        <v>0</v>
      </c>
      <c r="AG222" s="136">
        <f>IF(char4WeapToggle,(20+(char4Refine-1)*4),0)%</f>
        <v>0.28000000000000003</v>
      </c>
      <c r="AH222" s="65">
        <v>0</v>
      </c>
      <c r="AI222" s="136">
        <v>0</v>
      </c>
      <c r="AJ222" s="136">
        <v>0</v>
      </c>
      <c r="AK222" s="136">
        <v>0</v>
      </c>
      <c r="AL222" s="136">
        <v>0</v>
      </c>
      <c r="AM222" s="136">
        <f>IF(char4WeapToggle,(40+(char4Refine-1)*10),0)%</f>
        <v>0.6</v>
      </c>
      <c r="AN222" s="73">
        <v>0</v>
      </c>
      <c r="AO222" s="73">
        <f>(10+(char4Refine-1)*2.5)%</f>
        <v>0.15</v>
      </c>
      <c r="AP222" s="73">
        <v>0</v>
      </c>
      <c r="AQ222" s="73">
        <v>0</v>
      </c>
      <c r="AR222" s="73">
        <v>0</v>
      </c>
      <c r="AS222" s="73">
        <v>0</v>
      </c>
      <c r="AT222" s="73">
        <v>0</v>
      </c>
      <c r="AU222" s="73">
        <v>0</v>
      </c>
      <c r="AV222" s="73">
        <v>0</v>
      </c>
      <c r="AW222" s="73">
        <f>IF(char4WeapToggle,(12+(char4Refine-1)*3),0)%</f>
        <v>0.18</v>
      </c>
      <c r="AX222" s="73">
        <v>0</v>
      </c>
      <c r="AY222" s="73">
        <v>0</v>
      </c>
      <c r="AZ222" s="73">
        <v>0</v>
      </c>
      <c r="BA222" s="73">
        <f>IF(char4WeapToggle,(20+(char4Refine-1)*4),0)%</f>
        <v>0.28000000000000003</v>
      </c>
      <c r="BB222" s="73">
        <f>(char4WeapStacks*(6+(char4Refine-1)*1.5))%</f>
        <v>0.18</v>
      </c>
      <c r="BC222" s="73">
        <v>0</v>
      </c>
      <c r="BD222" s="73">
        <v>0</v>
      </c>
      <c r="BE222" s="73">
        <v>0</v>
      </c>
      <c r="BF222" s="73">
        <v>0</v>
      </c>
      <c r="BG222" s="73">
        <v>0</v>
      </c>
      <c r="BH222" s="73">
        <v>0</v>
      </c>
      <c r="BI222" s="73">
        <v>0</v>
      </c>
      <c r="BJ222" s="139">
        <v>0</v>
      </c>
      <c r="BK222" s="67">
        <f>IF(char4WeapStacks=3, (3)*(12%+(char4Refine-1)*3%)+(12%+(char4Refine-1)*3%),(char4WeapStacks)*(12%+(char4Refine-1)*3%))</f>
        <v>0.36</v>
      </c>
      <c r="BL222" s="139">
        <v>0</v>
      </c>
      <c r="BM222" s="139">
        <v>0</v>
      </c>
      <c r="BN222" s="139">
        <v>0</v>
      </c>
      <c r="BO222" s="139">
        <v>0</v>
      </c>
      <c r="BP222" s="139">
        <v>0</v>
      </c>
      <c r="BQ222" s="139">
        <v>0</v>
      </c>
      <c r="BR222" s="139">
        <v>0</v>
      </c>
      <c r="BS222" s="139">
        <v>0</v>
      </c>
      <c r="BT222" s="139">
        <v>0</v>
      </c>
      <c r="BU222" s="139">
        <v>0</v>
      </c>
      <c r="BV222" s="139">
        <v>0</v>
      </c>
      <c r="BW222" s="139">
        <v>0</v>
      </c>
      <c r="BX222" s="139">
        <v>0</v>
      </c>
      <c r="BY222" s="139">
        <v>0</v>
      </c>
      <c r="BZ222" s="139">
        <f>IF(char4WeapToggle, 12+(char4Refine-1)*3, 0)%</f>
        <v>0.18</v>
      </c>
      <c r="CA222" s="139">
        <v>0</v>
      </c>
      <c r="CB222" s="139">
        <f>IF(char4WeapToggle, 10+(char4Refine-1)*2.5,0)%</f>
        <v>0.15</v>
      </c>
      <c r="CC222" s="139">
        <v>0</v>
      </c>
      <c r="CD222" s="144">
        <v>0</v>
      </c>
      <c r="CE222" s="70">
        <v>0</v>
      </c>
      <c r="CF222" s="71">
        <v>0</v>
      </c>
      <c r="CG222" s="71">
        <v>0</v>
      </c>
      <c r="CH222" s="71">
        <v>0</v>
      </c>
      <c r="CI222" s="71">
        <v>0</v>
      </c>
      <c r="CJ222" s="144">
        <v>0</v>
      </c>
      <c r="CK222" s="71">
        <v>0</v>
      </c>
      <c r="CL222" s="144">
        <v>0</v>
      </c>
      <c r="CM222" s="144">
        <v>0</v>
      </c>
      <c r="CN222" s="144">
        <v>0</v>
      </c>
      <c r="CO222" s="71">
        <f>IF(char4WeapToggle, 20%+(char4Refine-1)*4%, 0%)</f>
        <v>0.28000000000000003</v>
      </c>
      <c r="CP222" s="71">
        <v>0</v>
      </c>
      <c r="CQ222" s="71">
        <v>0</v>
      </c>
      <c r="CR222" s="71">
        <v>0</v>
      </c>
      <c r="CS222" s="144">
        <v>0</v>
      </c>
      <c r="CT222" s="71">
        <v>0</v>
      </c>
      <c r="CU222" s="71">
        <v>0</v>
      </c>
      <c r="CV222" s="71">
        <v>0</v>
      </c>
    </row>
    <row r="223" spans="1:100" x14ac:dyDescent="0.25">
      <c r="A223" t="s">
        <v>453</v>
      </c>
      <c r="B223" s="134">
        <v>0</v>
      </c>
      <c r="C223" s="134">
        <f>(20+(char4Refine-1)*5)%</f>
        <v>0.3</v>
      </c>
      <c r="D223" s="146">
        <v>0</v>
      </c>
      <c r="E223" s="134">
        <v>0</v>
      </c>
      <c r="F223" s="146">
        <v>0</v>
      </c>
      <c r="G223" s="134">
        <v>0</v>
      </c>
      <c r="H223" s="134">
        <v>0</v>
      </c>
      <c r="I223" s="134">
        <v>0</v>
      </c>
      <c r="J223" s="134">
        <v>0</v>
      </c>
      <c r="K223" s="134">
        <v>0</v>
      </c>
      <c r="L223" s="134">
        <v>0</v>
      </c>
      <c r="M223" s="134">
        <v>0</v>
      </c>
      <c r="N223" s="134">
        <v>0</v>
      </c>
      <c r="O223" s="134">
        <v>0</v>
      </c>
      <c r="P223" s="146">
        <v>0</v>
      </c>
      <c r="Q223" s="146">
        <v>0</v>
      </c>
      <c r="R223" s="146">
        <v>0</v>
      </c>
      <c r="S223" s="134">
        <v>0</v>
      </c>
      <c r="T223" s="134">
        <v>0</v>
      </c>
      <c r="U223" s="136">
        <v>0</v>
      </c>
      <c r="V223" s="136">
        <v>0</v>
      </c>
      <c r="W223" s="136">
        <v>0</v>
      </c>
      <c r="X223" s="136">
        <f>(20+5*(char4Refine-1))%</f>
        <v>0.3</v>
      </c>
      <c r="Y223" s="136">
        <v>0</v>
      </c>
      <c r="Z223" s="65">
        <v>0</v>
      </c>
      <c r="AA223" s="136">
        <v>0</v>
      </c>
      <c r="AB223" s="136">
        <v>0</v>
      </c>
      <c r="AC223" s="136">
        <v>0</v>
      </c>
      <c r="AD223" s="136">
        <v>0</v>
      </c>
      <c r="AE223" s="136">
        <v>0</v>
      </c>
      <c r="AF223" s="136">
        <v>0</v>
      </c>
      <c r="AG223" s="136">
        <v>0</v>
      </c>
      <c r="AH223" s="65">
        <v>0</v>
      </c>
      <c r="AI223" s="136">
        <v>0</v>
      </c>
      <c r="AJ223" s="136">
        <v>0</v>
      </c>
      <c r="AK223" s="136">
        <v>0</v>
      </c>
      <c r="AL223" s="136">
        <v>0</v>
      </c>
      <c r="AM223" s="136">
        <v>0</v>
      </c>
      <c r="AN223" s="73">
        <v>0</v>
      </c>
      <c r="AO223" s="73">
        <v>0</v>
      </c>
      <c r="AP223" s="73">
        <v>0</v>
      </c>
      <c r="AQ223" s="73">
        <f>(20+5*(char4Refine-1))%</f>
        <v>0.3</v>
      </c>
      <c r="AR223" s="73">
        <v>0</v>
      </c>
      <c r="AS223" s="73">
        <v>0</v>
      </c>
      <c r="AT223" s="73">
        <v>0</v>
      </c>
      <c r="AU223" s="73">
        <v>0</v>
      </c>
      <c r="AV223" s="73">
        <v>0</v>
      </c>
      <c r="AW223" s="73">
        <v>0</v>
      </c>
      <c r="AX223" s="73">
        <v>0</v>
      </c>
      <c r="AY223" s="73">
        <v>0</v>
      </c>
      <c r="AZ223" s="73">
        <v>0</v>
      </c>
      <c r="BA223" s="73">
        <v>0</v>
      </c>
      <c r="BB223" s="73">
        <v>0</v>
      </c>
      <c r="BC223" s="73">
        <v>0</v>
      </c>
      <c r="BD223" s="73">
        <v>0</v>
      </c>
      <c r="BE223" s="73">
        <v>0</v>
      </c>
      <c r="BF223" s="73">
        <v>0</v>
      </c>
      <c r="BG223" s="73">
        <v>0</v>
      </c>
      <c r="BH223" s="73">
        <v>0</v>
      </c>
      <c r="BI223" s="73">
        <v>0</v>
      </c>
      <c r="BJ223" s="139">
        <f>(20+5*(char4Refine-1))%</f>
        <v>0.3</v>
      </c>
      <c r="BK223" s="67">
        <v>0</v>
      </c>
      <c r="BL223" s="139">
        <v>0</v>
      </c>
      <c r="BM223" s="139">
        <v>0</v>
      </c>
      <c r="BN223" s="139">
        <v>0</v>
      </c>
      <c r="BO223" s="139">
        <v>0</v>
      </c>
      <c r="BP223" s="139">
        <v>0</v>
      </c>
      <c r="BQ223" s="139">
        <v>0</v>
      </c>
      <c r="BR223" s="139">
        <v>0</v>
      </c>
      <c r="BS223" s="139">
        <v>0</v>
      </c>
      <c r="BT223" s="139">
        <v>0</v>
      </c>
      <c r="BU223" s="139">
        <v>0</v>
      </c>
      <c r="BV223" s="139">
        <v>0</v>
      </c>
      <c r="BW223" s="139">
        <v>0</v>
      </c>
      <c r="BX223" s="139">
        <v>0</v>
      </c>
      <c r="BY223" s="139">
        <v>0</v>
      </c>
      <c r="BZ223" s="139">
        <v>0</v>
      </c>
      <c r="CA223" s="139">
        <v>0</v>
      </c>
      <c r="CB223" s="139">
        <v>0</v>
      </c>
      <c r="CC223" s="139">
        <v>0</v>
      </c>
      <c r="CD223" s="144">
        <v>0</v>
      </c>
      <c r="CE223" s="70">
        <v>0</v>
      </c>
      <c r="CF223" s="71">
        <v>0</v>
      </c>
      <c r="CG223" s="71">
        <v>0</v>
      </c>
      <c r="CH223" s="71">
        <v>0</v>
      </c>
      <c r="CI223" s="71">
        <v>0</v>
      </c>
      <c r="CJ223" s="144">
        <v>0</v>
      </c>
      <c r="CK223" s="71">
        <v>0</v>
      </c>
      <c r="CL223" s="144">
        <v>0</v>
      </c>
      <c r="CM223" s="144">
        <v>0</v>
      </c>
      <c r="CN223" s="144">
        <v>0</v>
      </c>
      <c r="CO223" s="71">
        <v>0</v>
      </c>
      <c r="CP223" s="71">
        <v>0</v>
      </c>
      <c r="CQ223" s="71">
        <v>0</v>
      </c>
      <c r="CR223" s="71">
        <v>0</v>
      </c>
      <c r="CS223" s="144">
        <v>0</v>
      </c>
      <c r="CT223" s="71">
        <v>0</v>
      </c>
      <c r="CU223" s="71">
        <v>0</v>
      </c>
      <c r="CV223" s="71">
        <v>0</v>
      </c>
    </row>
    <row r="224" spans="1:100" x14ac:dyDescent="0.25">
      <c r="A224" t="s">
        <v>83</v>
      </c>
      <c r="B224" s="134">
        <v>0</v>
      </c>
      <c r="C224" s="134">
        <v>0</v>
      </c>
      <c r="D224" s="146">
        <v>0</v>
      </c>
      <c r="E224" s="134">
        <v>0</v>
      </c>
      <c r="F224" s="146">
        <v>0</v>
      </c>
      <c r="G224" s="134">
        <v>0</v>
      </c>
      <c r="H224" s="134">
        <v>0</v>
      </c>
      <c r="I224" s="134">
        <v>0</v>
      </c>
      <c r="J224" s="134">
        <v>0</v>
      </c>
      <c r="K224" s="134">
        <v>0</v>
      </c>
      <c r="L224" s="134">
        <v>0</v>
      </c>
      <c r="M224" s="134">
        <v>0</v>
      </c>
      <c r="N224" s="134">
        <v>0</v>
      </c>
      <c r="O224" s="134">
        <v>0</v>
      </c>
      <c r="P224" s="146">
        <v>0</v>
      </c>
      <c r="Q224" s="146">
        <v>0</v>
      </c>
      <c r="R224" s="146">
        <v>0</v>
      </c>
      <c r="S224" s="134">
        <v>0</v>
      </c>
      <c r="T224" s="134">
        <v>0</v>
      </c>
      <c r="U224" s="136">
        <v>0</v>
      </c>
      <c r="V224" s="136">
        <v>0</v>
      </c>
      <c r="W224" s="136">
        <v>0</v>
      </c>
      <c r="X224" s="136">
        <v>0</v>
      </c>
      <c r="Y224" s="136">
        <v>0</v>
      </c>
      <c r="Z224" s="65">
        <v>0</v>
      </c>
      <c r="AA224" s="136">
        <v>0</v>
      </c>
      <c r="AB224" s="136">
        <v>0</v>
      </c>
      <c r="AC224" s="136">
        <v>0</v>
      </c>
      <c r="AD224" s="136">
        <v>0</v>
      </c>
      <c r="AE224" s="136">
        <v>0</v>
      </c>
      <c r="AF224" s="136">
        <v>0</v>
      </c>
      <c r="AG224" s="136">
        <v>0</v>
      </c>
      <c r="AH224" s="65">
        <v>0</v>
      </c>
      <c r="AI224" s="136">
        <v>0</v>
      </c>
      <c r="AJ224" s="136">
        <v>0</v>
      </c>
      <c r="AK224" s="136">
        <v>0</v>
      </c>
      <c r="AL224" s="136">
        <v>0</v>
      </c>
      <c r="AM224" s="136">
        <v>0</v>
      </c>
      <c r="AN224" s="73">
        <v>0</v>
      </c>
      <c r="AO224" s="73">
        <v>0</v>
      </c>
      <c r="AP224" s="73">
        <v>0</v>
      </c>
      <c r="AQ224" s="73">
        <v>0</v>
      </c>
      <c r="AR224" s="73">
        <v>0</v>
      </c>
      <c r="AS224" s="73">
        <v>0</v>
      </c>
      <c r="AT224" s="73">
        <v>0</v>
      </c>
      <c r="AU224" s="73">
        <v>0</v>
      </c>
      <c r="AV224" s="73">
        <v>0</v>
      </c>
      <c r="AW224" s="73">
        <v>0</v>
      </c>
      <c r="AX224" s="73">
        <v>0</v>
      </c>
      <c r="AY224" s="73">
        <v>0</v>
      </c>
      <c r="AZ224" s="73">
        <v>0</v>
      </c>
      <c r="BA224" s="73">
        <v>0</v>
      </c>
      <c r="BB224" s="73">
        <v>0</v>
      </c>
      <c r="BC224" s="73">
        <v>0</v>
      </c>
      <c r="BD224" s="73">
        <v>0</v>
      </c>
      <c r="BE224" s="73">
        <v>0</v>
      </c>
      <c r="BF224" s="73">
        <v>0</v>
      </c>
      <c r="BG224" s="73">
        <v>0</v>
      </c>
      <c r="BH224" s="73">
        <v>0</v>
      </c>
      <c r="BI224" s="73">
        <v>0</v>
      </c>
      <c r="BJ224" s="139">
        <v>0</v>
      </c>
      <c r="BK224" s="67">
        <v>0</v>
      </c>
      <c r="BL224" s="139">
        <v>0</v>
      </c>
      <c r="BM224" s="139">
        <v>0</v>
      </c>
      <c r="BN224" s="139">
        <v>0</v>
      </c>
      <c r="BO224" s="139">
        <v>0</v>
      </c>
      <c r="BP224" s="139">
        <v>0</v>
      </c>
      <c r="BQ224" s="139">
        <v>0</v>
      </c>
      <c r="BR224" s="139">
        <v>0</v>
      </c>
      <c r="BS224" s="139">
        <v>0</v>
      </c>
      <c r="BT224" s="139">
        <v>0</v>
      </c>
      <c r="BU224" s="139">
        <v>0</v>
      </c>
      <c r="BV224" s="139">
        <v>0</v>
      </c>
      <c r="BW224" s="139">
        <v>0</v>
      </c>
      <c r="BX224" s="139">
        <v>0</v>
      </c>
      <c r="BY224" s="139">
        <v>0</v>
      </c>
      <c r="BZ224" s="139">
        <v>0</v>
      </c>
      <c r="CA224" s="139">
        <v>0</v>
      </c>
      <c r="CB224" s="139">
        <v>0</v>
      </c>
      <c r="CC224" s="139">
        <v>0</v>
      </c>
      <c r="CD224" s="144">
        <v>0</v>
      </c>
      <c r="CE224" s="70">
        <v>0</v>
      </c>
      <c r="CF224" s="71">
        <v>0</v>
      </c>
      <c r="CG224" s="71">
        <v>0</v>
      </c>
      <c r="CH224" s="71">
        <v>0</v>
      </c>
      <c r="CI224" s="71">
        <v>0</v>
      </c>
      <c r="CJ224" s="144">
        <v>0</v>
      </c>
      <c r="CK224" s="71">
        <v>0</v>
      </c>
      <c r="CL224" s="144">
        <v>0</v>
      </c>
      <c r="CM224" s="144">
        <v>0</v>
      </c>
      <c r="CN224" s="144">
        <v>0</v>
      </c>
      <c r="CO224" s="71">
        <v>0</v>
      </c>
      <c r="CP224" s="71">
        <v>0</v>
      </c>
      <c r="CQ224" s="71">
        <v>0</v>
      </c>
      <c r="CR224" s="71">
        <v>0</v>
      </c>
      <c r="CS224" s="144">
        <v>0</v>
      </c>
      <c r="CT224" s="71">
        <v>0</v>
      </c>
      <c r="CU224" s="71">
        <v>0</v>
      </c>
      <c r="CV224" s="71">
        <v>0</v>
      </c>
    </row>
    <row r="225" spans="1:100" x14ac:dyDescent="0.25">
      <c r="A225" t="s">
        <v>84</v>
      </c>
      <c r="B225" s="134">
        <v>0</v>
      </c>
      <c r="C225" s="134">
        <v>0</v>
      </c>
      <c r="D225" s="146">
        <v>0</v>
      </c>
      <c r="E225" s="134">
        <v>0</v>
      </c>
      <c r="F225" s="146">
        <v>0</v>
      </c>
      <c r="G225" s="134">
        <v>0</v>
      </c>
      <c r="H225" s="134">
        <v>0</v>
      </c>
      <c r="I225" s="134">
        <v>0</v>
      </c>
      <c r="J225" s="134">
        <v>0</v>
      </c>
      <c r="K225" s="134">
        <v>0</v>
      </c>
      <c r="L225" s="134">
        <v>0</v>
      </c>
      <c r="M225" s="134">
        <v>0</v>
      </c>
      <c r="N225" s="134">
        <v>0</v>
      </c>
      <c r="O225" s="134">
        <v>0</v>
      </c>
      <c r="P225" s="146">
        <v>0</v>
      </c>
      <c r="Q225" s="146">
        <v>0</v>
      </c>
      <c r="R225" s="146">
        <v>0</v>
      </c>
      <c r="S225" s="134">
        <v>0</v>
      </c>
      <c r="T225" s="134">
        <v>0</v>
      </c>
      <c r="U225" s="136">
        <v>0</v>
      </c>
      <c r="V225" s="136">
        <v>0</v>
      </c>
      <c r="W225" s="136">
        <v>0</v>
      </c>
      <c r="X225" s="136">
        <v>0</v>
      </c>
      <c r="Y225" s="136">
        <v>0</v>
      </c>
      <c r="Z225" s="65">
        <v>0</v>
      </c>
      <c r="AA225" s="136">
        <v>0</v>
      </c>
      <c r="AB225" s="136">
        <v>0</v>
      </c>
      <c r="AC225" s="136">
        <v>0</v>
      </c>
      <c r="AD225" s="136">
        <v>0</v>
      </c>
      <c r="AE225" s="136">
        <v>0</v>
      </c>
      <c r="AF225" s="136">
        <v>0</v>
      </c>
      <c r="AG225" s="136">
        <v>0</v>
      </c>
      <c r="AH225" s="65">
        <v>0</v>
      </c>
      <c r="AI225" s="136">
        <v>0</v>
      </c>
      <c r="AJ225" s="136">
        <v>0</v>
      </c>
      <c r="AK225" s="136">
        <v>0</v>
      </c>
      <c r="AL225" s="136">
        <v>0</v>
      </c>
      <c r="AM225" s="136">
        <v>0</v>
      </c>
      <c r="AN225" s="73">
        <v>0</v>
      </c>
      <c r="AO225" s="73">
        <v>0</v>
      </c>
      <c r="AP225" s="73">
        <v>0</v>
      </c>
      <c r="AQ225" s="73">
        <v>0</v>
      </c>
      <c r="AR225" s="73">
        <v>0</v>
      </c>
      <c r="AS225" s="73">
        <v>0</v>
      </c>
      <c r="AT225" s="73">
        <v>0</v>
      </c>
      <c r="AU225" s="73">
        <v>0</v>
      </c>
      <c r="AV225" s="73">
        <v>0</v>
      </c>
      <c r="AW225" s="73">
        <v>0</v>
      </c>
      <c r="AX225" s="73">
        <v>0</v>
      </c>
      <c r="AY225" s="73">
        <v>0</v>
      </c>
      <c r="AZ225" s="73">
        <v>0</v>
      </c>
      <c r="BA225" s="73">
        <v>0</v>
      </c>
      <c r="BB225" s="73">
        <v>0</v>
      </c>
      <c r="BC225" s="73">
        <v>0</v>
      </c>
      <c r="BD225" s="73">
        <v>0</v>
      </c>
      <c r="BE225" s="73">
        <v>0</v>
      </c>
      <c r="BF225" s="73">
        <v>0</v>
      </c>
      <c r="BG225" s="73">
        <v>0</v>
      </c>
      <c r="BH225" s="73">
        <v>0</v>
      </c>
      <c r="BI225" s="73">
        <v>0</v>
      </c>
      <c r="BJ225" s="139">
        <v>0</v>
      </c>
      <c r="BK225" s="67">
        <v>0</v>
      </c>
      <c r="BL225" s="139">
        <v>0</v>
      </c>
      <c r="BM225" s="139">
        <v>0</v>
      </c>
      <c r="BN225" s="139">
        <v>0</v>
      </c>
      <c r="BO225" s="139">
        <v>0</v>
      </c>
      <c r="BP225" s="139">
        <v>0</v>
      </c>
      <c r="BQ225" s="139">
        <v>0</v>
      </c>
      <c r="BR225" s="139">
        <v>0</v>
      </c>
      <c r="BS225" s="139">
        <v>0</v>
      </c>
      <c r="BT225" s="139">
        <v>0</v>
      </c>
      <c r="BU225" s="139">
        <v>0</v>
      </c>
      <c r="BV225" s="139">
        <v>0</v>
      </c>
      <c r="BW225" s="139">
        <v>0</v>
      </c>
      <c r="BX225" s="139">
        <v>0</v>
      </c>
      <c r="BY225" s="139">
        <v>0</v>
      </c>
      <c r="BZ225" s="139">
        <v>0</v>
      </c>
      <c r="CA225" s="139">
        <v>0</v>
      </c>
      <c r="CB225" s="139">
        <v>0</v>
      </c>
      <c r="CC225" s="139">
        <v>0</v>
      </c>
      <c r="CD225" s="144">
        <v>0</v>
      </c>
      <c r="CE225" s="70">
        <v>0</v>
      </c>
      <c r="CF225" s="71">
        <v>0</v>
      </c>
      <c r="CG225" s="71">
        <v>0</v>
      </c>
      <c r="CH225" s="71">
        <v>0</v>
      </c>
      <c r="CI225" s="71">
        <v>0</v>
      </c>
      <c r="CJ225" s="144">
        <v>0</v>
      </c>
      <c r="CK225" s="71">
        <v>0</v>
      </c>
      <c r="CL225" s="144">
        <v>0</v>
      </c>
      <c r="CM225" s="144">
        <v>0</v>
      </c>
      <c r="CN225" s="144">
        <v>0</v>
      </c>
      <c r="CO225" s="71">
        <v>0</v>
      </c>
      <c r="CP225" s="71">
        <v>0</v>
      </c>
      <c r="CQ225" s="71">
        <v>0</v>
      </c>
      <c r="CR225" s="71">
        <v>0</v>
      </c>
      <c r="CS225" s="144">
        <v>0</v>
      </c>
      <c r="CT225" s="71">
        <v>0</v>
      </c>
      <c r="CU225" s="71">
        <v>0</v>
      </c>
      <c r="CV225" s="71">
        <v>0</v>
      </c>
    </row>
    <row r="226" spans="1:100" x14ac:dyDescent="0.25">
      <c r="A226" t="s">
        <v>85</v>
      </c>
      <c r="B226" s="134">
        <v>0</v>
      </c>
      <c r="C226" s="134">
        <v>0</v>
      </c>
      <c r="D226" s="146">
        <v>0</v>
      </c>
      <c r="E226" s="134">
        <v>0</v>
      </c>
      <c r="F226" s="146">
        <v>0</v>
      </c>
      <c r="G226" s="134">
        <v>0</v>
      </c>
      <c r="H226" s="134">
        <v>0</v>
      </c>
      <c r="I226" s="134">
        <v>0</v>
      </c>
      <c r="J226" s="134">
        <v>0</v>
      </c>
      <c r="K226" s="134">
        <v>0</v>
      </c>
      <c r="L226" s="134">
        <v>0</v>
      </c>
      <c r="M226" s="134">
        <v>0</v>
      </c>
      <c r="N226" s="134">
        <v>0</v>
      </c>
      <c r="O226" s="134">
        <v>0</v>
      </c>
      <c r="P226" s="146">
        <v>0</v>
      </c>
      <c r="Q226" s="146">
        <v>0</v>
      </c>
      <c r="R226" s="146">
        <v>0</v>
      </c>
      <c r="S226" s="134">
        <v>0</v>
      </c>
      <c r="T226" s="134">
        <v>0</v>
      </c>
      <c r="U226" s="136">
        <v>0</v>
      </c>
      <c r="V226" s="136">
        <v>0</v>
      </c>
      <c r="W226" s="136">
        <v>0</v>
      </c>
      <c r="X226" s="136">
        <v>0</v>
      </c>
      <c r="Y226" s="136">
        <v>0</v>
      </c>
      <c r="Z226" s="65">
        <v>0</v>
      </c>
      <c r="AA226" s="136">
        <v>0</v>
      </c>
      <c r="AB226" s="136">
        <v>0</v>
      </c>
      <c r="AC226" s="136">
        <v>0</v>
      </c>
      <c r="AD226" s="136">
        <v>0</v>
      </c>
      <c r="AE226" s="136">
        <v>0</v>
      </c>
      <c r="AF226" s="136">
        <v>0</v>
      </c>
      <c r="AG226" s="136">
        <v>0</v>
      </c>
      <c r="AH226" s="65">
        <v>0</v>
      </c>
      <c r="AI226" s="136">
        <v>0</v>
      </c>
      <c r="AJ226" s="136">
        <v>0</v>
      </c>
      <c r="AK226" s="136">
        <v>0</v>
      </c>
      <c r="AL226" s="136">
        <v>0</v>
      </c>
      <c r="AM226" s="136">
        <v>0</v>
      </c>
      <c r="AN226" s="73">
        <v>0</v>
      </c>
      <c r="AO226" s="73">
        <v>0</v>
      </c>
      <c r="AP226" s="73">
        <v>0</v>
      </c>
      <c r="AQ226" s="73">
        <v>0</v>
      </c>
      <c r="AR226" s="73">
        <v>0</v>
      </c>
      <c r="AS226" s="73">
        <v>0</v>
      </c>
      <c r="AT226" s="73">
        <v>0</v>
      </c>
      <c r="AU226" s="73">
        <v>0</v>
      </c>
      <c r="AV226" s="73">
        <v>0</v>
      </c>
      <c r="AW226" s="73">
        <v>0</v>
      </c>
      <c r="AX226" s="73">
        <v>0</v>
      </c>
      <c r="AY226" s="73">
        <v>0</v>
      </c>
      <c r="AZ226" s="73">
        <v>0</v>
      </c>
      <c r="BA226" s="73">
        <v>0</v>
      </c>
      <c r="BB226" s="73">
        <v>0</v>
      </c>
      <c r="BC226" s="73">
        <v>0</v>
      </c>
      <c r="BD226" s="73">
        <v>0</v>
      </c>
      <c r="BE226" s="73">
        <v>0</v>
      </c>
      <c r="BF226" s="73">
        <v>0</v>
      </c>
      <c r="BG226" s="73">
        <v>0</v>
      </c>
      <c r="BH226" s="73">
        <v>0</v>
      </c>
      <c r="BI226" s="73">
        <v>0</v>
      </c>
      <c r="BJ226" s="139">
        <v>0</v>
      </c>
      <c r="BK226" s="67">
        <v>0</v>
      </c>
      <c r="BL226" s="139">
        <v>0</v>
      </c>
      <c r="BM226" s="139">
        <v>0</v>
      </c>
      <c r="BN226" s="139">
        <v>0</v>
      </c>
      <c r="BO226" s="139">
        <v>0</v>
      </c>
      <c r="BP226" s="139">
        <v>0</v>
      </c>
      <c r="BQ226" s="139">
        <v>0</v>
      </c>
      <c r="BR226" s="139">
        <v>0</v>
      </c>
      <c r="BS226" s="139">
        <v>0</v>
      </c>
      <c r="BT226" s="139">
        <v>0</v>
      </c>
      <c r="BU226" s="139">
        <v>0</v>
      </c>
      <c r="BV226" s="139">
        <v>0</v>
      </c>
      <c r="BW226" s="139">
        <v>0</v>
      </c>
      <c r="BX226" s="139">
        <v>0</v>
      </c>
      <c r="BY226" s="139">
        <v>0</v>
      </c>
      <c r="BZ226" s="139">
        <v>0</v>
      </c>
      <c r="CA226" s="139">
        <v>0</v>
      </c>
      <c r="CB226" s="139">
        <v>0</v>
      </c>
      <c r="CC226" s="139">
        <v>0</v>
      </c>
      <c r="CD226" s="144">
        <v>0</v>
      </c>
      <c r="CE226" s="70">
        <v>0</v>
      </c>
      <c r="CF226" s="71">
        <v>0</v>
      </c>
      <c r="CG226" s="71">
        <v>0</v>
      </c>
      <c r="CH226" s="71">
        <v>0</v>
      </c>
      <c r="CI226" s="71">
        <v>0</v>
      </c>
      <c r="CJ226" s="144">
        <v>0</v>
      </c>
      <c r="CK226" s="71">
        <v>0</v>
      </c>
      <c r="CL226" s="144">
        <v>0</v>
      </c>
      <c r="CM226" s="144">
        <v>0</v>
      </c>
      <c r="CN226" s="144">
        <v>0</v>
      </c>
      <c r="CO226" s="71">
        <v>0</v>
      </c>
      <c r="CP226" s="71">
        <v>0</v>
      </c>
      <c r="CQ226" s="71">
        <v>0</v>
      </c>
      <c r="CR226" s="71">
        <v>0</v>
      </c>
      <c r="CS226" s="144">
        <v>0</v>
      </c>
      <c r="CT226" s="71">
        <v>0</v>
      </c>
      <c r="CU226" s="71">
        <v>0</v>
      </c>
      <c r="CV226" s="71">
        <v>0</v>
      </c>
    </row>
    <row r="227" spans="1:100" x14ac:dyDescent="0.25">
      <c r="A227" t="s">
        <v>87</v>
      </c>
      <c r="B227" s="134">
        <v>0</v>
      </c>
      <c r="C227" s="134">
        <v>0</v>
      </c>
      <c r="D227" s="146">
        <v>0</v>
      </c>
      <c r="E227" s="134">
        <v>0</v>
      </c>
      <c r="F227" s="146">
        <v>0</v>
      </c>
      <c r="G227" s="134">
        <v>0</v>
      </c>
      <c r="H227" s="134">
        <v>0</v>
      </c>
      <c r="I227" s="134">
        <v>0</v>
      </c>
      <c r="J227" s="134">
        <v>0</v>
      </c>
      <c r="K227" s="134">
        <v>0</v>
      </c>
      <c r="L227" s="134">
        <v>0</v>
      </c>
      <c r="M227" s="134">
        <v>0</v>
      </c>
      <c r="N227" s="134">
        <v>0</v>
      </c>
      <c r="O227" s="134">
        <v>0</v>
      </c>
      <c r="P227" s="146">
        <v>0</v>
      </c>
      <c r="Q227" s="146">
        <v>0</v>
      </c>
      <c r="R227" s="146">
        <v>0</v>
      </c>
      <c r="S227" s="134">
        <v>0</v>
      </c>
      <c r="T227" s="134">
        <v>0</v>
      </c>
      <c r="U227" s="136">
        <v>0</v>
      </c>
      <c r="V227" s="136">
        <v>0</v>
      </c>
      <c r="W227" s="136">
        <v>0</v>
      </c>
      <c r="X227" s="136">
        <v>0</v>
      </c>
      <c r="Y227" s="136">
        <v>0</v>
      </c>
      <c r="Z227" s="65">
        <v>0</v>
      </c>
      <c r="AA227" s="136">
        <v>0</v>
      </c>
      <c r="AB227" s="136">
        <v>0</v>
      </c>
      <c r="AC227" s="136">
        <v>0</v>
      </c>
      <c r="AD227" s="136">
        <v>0</v>
      </c>
      <c r="AE227" s="136">
        <v>0</v>
      </c>
      <c r="AF227" s="136">
        <v>0</v>
      </c>
      <c r="AG227" s="136">
        <v>0</v>
      </c>
      <c r="AH227" s="65">
        <v>0</v>
      </c>
      <c r="AI227" s="136">
        <v>0</v>
      </c>
      <c r="AJ227" s="136">
        <v>0</v>
      </c>
      <c r="AK227" s="136">
        <v>0</v>
      </c>
      <c r="AL227" s="136">
        <v>0</v>
      </c>
      <c r="AM227" s="136">
        <v>0</v>
      </c>
      <c r="AN227" s="73">
        <v>0</v>
      </c>
      <c r="AO227" s="73">
        <v>0</v>
      </c>
      <c r="AP227" s="73">
        <v>0</v>
      </c>
      <c r="AQ227" s="73">
        <v>0</v>
      </c>
      <c r="AR227" s="73">
        <v>0</v>
      </c>
      <c r="AS227" s="73">
        <v>0</v>
      </c>
      <c r="AT227" s="73">
        <v>0</v>
      </c>
      <c r="AU227" s="73">
        <v>0</v>
      </c>
      <c r="AV227" s="73">
        <v>0</v>
      </c>
      <c r="AW227" s="73">
        <v>0</v>
      </c>
      <c r="AX227" s="73">
        <v>0</v>
      </c>
      <c r="AY227" s="73">
        <v>0</v>
      </c>
      <c r="AZ227" s="73">
        <v>0</v>
      </c>
      <c r="BA227" s="73">
        <v>0</v>
      </c>
      <c r="BB227" s="73">
        <v>0</v>
      </c>
      <c r="BC227" s="73">
        <v>0</v>
      </c>
      <c r="BD227" s="73">
        <v>0</v>
      </c>
      <c r="BE227" s="73">
        <v>0</v>
      </c>
      <c r="BF227" s="73">
        <v>0</v>
      </c>
      <c r="BG227" s="73">
        <v>0</v>
      </c>
      <c r="BH227" s="73">
        <v>0</v>
      </c>
      <c r="BI227" s="73">
        <v>0</v>
      </c>
      <c r="BJ227" s="139">
        <v>0</v>
      </c>
      <c r="BK227" s="67">
        <v>0</v>
      </c>
      <c r="BL227" s="139">
        <v>0</v>
      </c>
      <c r="BM227" s="139">
        <v>0</v>
      </c>
      <c r="BN227" s="139">
        <v>0</v>
      </c>
      <c r="BO227" s="139">
        <v>0</v>
      </c>
      <c r="BP227" s="139">
        <v>0</v>
      </c>
      <c r="BQ227" s="139">
        <v>0</v>
      </c>
      <c r="BR227" s="139">
        <v>0</v>
      </c>
      <c r="BS227" s="139">
        <v>0</v>
      </c>
      <c r="BT227" s="139">
        <v>0</v>
      </c>
      <c r="BU227" s="139">
        <v>0</v>
      </c>
      <c r="BV227" s="139">
        <v>0</v>
      </c>
      <c r="BW227" s="139">
        <v>0</v>
      </c>
      <c r="BX227" s="139">
        <v>0</v>
      </c>
      <c r="BY227" s="139">
        <v>0</v>
      </c>
      <c r="BZ227" s="139">
        <v>0</v>
      </c>
      <c r="CA227" s="139">
        <v>0</v>
      </c>
      <c r="CB227" s="139">
        <v>0</v>
      </c>
      <c r="CC227" s="139">
        <v>0</v>
      </c>
      <c r="CD227" s="144">
        <v>0</v>
      </c>
      <c r="CE227" s="70">
        <v>0</v>
      </c>
      <c r="CF227" s="71">
        <v>0</v>
      </c>
      <c r="CG227" s="71">
        <v>0</v>
      </c>
      <c r="CH227" s="71">
        <v>0</v>
      </c>
      <c r="CI227" s="71">
        <v>0</v>
      </c>
      <c r="CJ227" s="144">
        <v>0</v>
      </c>
      <c r="CK227" s="71">
        <v>0</v>
      </c>
      <c r="CL227" s="144">
        <v>0</v>
      </c>
      <c r="CM227" s="144">
        <v>0</v>
      </c>
      <c r="CN227" s="144">
        <v>0</v>
      </c>
      <c r="CO227" s="71">
        <v>0</v>
      </c>
      <c r="CP227" s="71">
        <v>0</v>
      </c>
      <c r="CQ227" s="71">
        <v>0</v>
      </c>
      <c r="CR227" s="71">
        <v>0</v>
      </c>
      <c r="CS227" s="144">
        <v>0</v>
      </c>
      <c r="CT227" s="71">
        <v>0</v>
      </c>
      <c r="CU227" s="71">
        <v>0</v>
      </c>
      <c r="CV227" s="71">
        <v>0</v>
      </c>
    </row>
    <row r="228" spans="1:100" x14ac:dyDescent="0.25">
      <c r="A228" t="s">
        <v>86</v>
      </c>
      <c r="B228" s="134">
        <v>0</v>
      </c>
      <c r="C228" s="134">
        <v>0</v>
      </c>
      <c r="D228" s="146">
        <v>0</v>
      </c>
      <c r="E228" s="134">
        <v>0</v>
      </c>
      <c r="F228" s="146">
        <v>0</v>
      </c>
      <c r="G228" s="134">
        <v>0</v>
      </c>
      <c r="H228" s="134">
        <v>0</v>
      </c>
      <c r="I228" s="134">
        <v>0</v>
      </c>
      <c r="J228" s="134">
        <v>0</v>
      </c>
      <c r="K228" s="134">
        <v>0</v>
      </c>
      <c r="L228" s="134">
        <v>0</v>
      </c>
      <c r="M228" s="134">
        <v>0</v>
      </c>
      <c r="N228" s="134">
        <v>0</v>
      </c>
      <c r="O228" s="134">
        <v>0</v>
      </c>
      <c r="P228" s="146">
        <v>0</v>
      </c>
      <c r="Q228" s="146">
        <v>0</v>
      </c>
      <c r="R228" s="146">
        <v>0</v>
      </c>
      <c r="S228" s="134">
        <v>0</v>
      </c>
      <c r="T228" s="134">
        <v>0</v>
      </c>
      <c r="U228" s="136">
        <v>0</v>
      </c>
      <c r="V228" s="136">
        <v>0</v>
      </c>
      <c r="W228" s="136">
        <v>0</v>
      </c>
      <c r="X228" s="136">
        <v>0</v>
      </c>
      <c r="Y228" s="136">
        <v>0</v>
      </c>
      <c r="Z228" s="65">
        <v>0</v>
      </c>
      <c r="AA228" s="136">
        <v>0</v>
      </c>
      <c r="AB228" s="136">
        <v>0</v>
      </c>
      <c r="AC228" s="136">
        <v>0</v>
      </c>
      <c r="AD228" s="136">
        <v>0</v>
      </c>
      <c r="AE228" s="136">
        <v>0</v>
      </c>
      <c r="AF228" s="136">
        <v>0</v>
      </c>
      <c r="AG228" s="136">
        <v>0</v>
      </c>
      <c r="AH228" s="65">
        <v>0</v>
      </c>
      <c r="AI228" s="136">
        <v>0</v>
      </c>
      <c r="AJ228" s="136">
        <v>0</v>
      </c>
      <c r="AK228" s="136">
        <v>0</v>
      </c>
      <c r="AL228" s="136">
        <v>0</v>
      </c>
      <c r="AM228" s="136">
        <v>0</v>
      </c>
      <c r="AN228" s="73">
        <v>0</v>
      </c>
      <c r="AO228" s="73">
        <v>0</v>
      </c>
      <c r="AP228" s="73">
        <v>0</v>
      </c>
      <c r="AQ228" s="73">
        <v>0</v>
      </c>
      <c r="AR228" s="73">
        <v>0</v>
      </c>
      <c r="AS228" s="73">
        <v>0</v>
      </c>
      <c r="AT228" s="73">
        <v>0</v>
      </c>
      <c r="AU228" s="73">
        <v>0</v>
      </c>
      <c r="AV228" s="73">
        <v>0</v>
      </c>
      <c r="AW228" s="73">
        <v>0</v>
      </c>
      <c r="AX228" s="73">
        <v>0</v>
      </c>
      <c r="AY228" s="73">
        <v>0</v>
      </c>
      <c r="AZ228" s="73">
        <v>0</v>
      </c>
      <c r="BA228" s="73">
        <v>0</v>
      </c>
      <c r="BB228" s="73">
        <v>0</v>
      </c>
      <c r="BC228" s="73">
        <v>0</v>
      </c>
      <c r="BD228" s="73">
        <v>0</v>
      </c>
      <c r="BE228" s="73">
        <v>0</v>
      </c>
      <c r="BF228" s="73">
        <v>0</v>
      </c>
      <c r="BG228" s="73">
        <v>0</v>
      </c>
      <c r="BH228" s="73">
        <v>0</v>
      </c>
      <c r="BI228" s="73">
        <v>0</v>
      </c>
      <c r="BJ228" s="139">
        <v>0</v>
      </c>
      <c r="BK228" s="67">
        <v>0</v>
      </c>
      <c r="BL228" s="139">
        <v>0</v>
      </c>
      <c r="BM228" s="139">
        <v>0</v>
      </c>
      <c r="BN228" s="139">
        <v>0</v>
      </c>
      <c r="BO228" s="139">
        <v>0</v>
      </c>
      <c r="BP228" s="139">
        <v>0</v>
      </c>
      <c r="BQ228" s="139">
        <v>0</v>
      </c>
      <c r="BR228" s="139">
        <v>0</v>
      </c>
      <c r="BS228" s="139">
        <v>0</v>
      </c>
      <c r="BT228" s="139">
        <v>0</v>
      </c>
      <c r="BU228" s="139">
        <v>0</v>
      </c>
      <c r="BV228" s="139">
        <v>0</v>
      </c>
      <c r="BW228" s="139">
        <v>0</v>
      </c>
      <c r="BX228" s="139">
        <v>0</v>
      </c>
      <c r="BY228" s="139">
        <v>0</v>
      </c>
      <c r="BZ228" s="139">
        <v>0</v>
      </c>
      <c r="CA228" s="139">
        <v>0</v>
      </c>
      <c r="CB228" s="139">
        <v>0</v>
      </c>
      <c r="CC228" s="139">
        <v>0</v>
      </c>
      <c r="CD228" s="144">
        <v>0</v>
      </c>
      <c r="CE228" s="70">
        <v>0</v>
      </c>
      <c r="CF228" s="71">
        <v>0</v>
      </c>
      <c r="CG228" s="71">
        <v>0</v>
      </c>
      <c r="CH228" s="71">
        <v>0</v>
      </c>
      <c r="CI228" s="71">
        <v>0</v>
      </c>
      <c r="CJ228" s="144">
        <v>0</v>
      </c>
      <c r="CK228" s="71">
        <v>0</v>
      </c>
      <c r="CL228" s="144">
        <v>0</v>
      </c>
      <c r="CM228" s="144">
        <v>0</v>
      </c>
      <c r="CN228" s="144">
        <v>0</v>
      </c>
      <c r="CO228" s="71">
        <v>0</v>
      </c>
      <c r="CP228" s="71">
        <v>0</v>
      </c>
      <c r="CQ228" s="71">
        <v>0</v>
      </c>
      <c r="CR228" s="71">
        <v>0</v>
      </c>
      <c r="CS228" s="144">
        <v>0</v>
      </c>
      <c r="CT228" s="71">
        <v>0</v>
      </c>
      <c r="CU228" s="71">
        <v>0</v>
      </c>
      <c r="CV228" s="71">
        <v>0</v>
      </c>
    </row>
    <row r="229" spans="1:100" x14ac:dyDescent="0.25">
      <c r="A229" t="s">
        <v>88</v>
      </c>
      <c r="B229" s="134">
        <v>0</v>
      </c>
      <c r="C229" s="134">
        <v>0</v>
      </c>
      <c r="D229" s="146">
        <v>0</v>
      </c>
      <c r="E229" s="134">
        <v>0</v>
      </c>
      <c r="F229" s="146">
        <v>0</v>
      </c>
      <c r="G229" s="134">
        <v>0</v>
      </c>
      <c r="H229" s="134">
        <v>0</v>
      </c>
      <c r="I229" s="134">
        <v>0</v>
      </c>
      <c r="J229" s="134">
        <v>0</v>
      </c>
      <c r="K229" s="134">
        <v>0</v>
      </c>
      <c r="L229" s="134">
        <v>0</v>
      </c>
      <c r="M229" s="134">
        <v>0</v>
      </c>
      <c r="N229" s="134">
        <v>0</v>
      </c>
      <c r="O229" s="134">
        <v>0</v>
      </c>
      <c r="P229" s="146">
        <v>0</v>
      </c>
      <c r="Q229" s="146">
        <v>0</v>
      </c>
      <c r="R229" s="146">
        <v>0</v>
      </c>
      <c r="S229" s="134">
        <v>0</v>
      </c>
      <c r="T229" s="134">
        <v>0</v>
      </c>
      <c r="U229" s="136">
        <v>0</v>
      </c>
      <c r="V229" s="136">
        <v>0</v>
      </c>
      <c r="W229" s="136">
        <v>0</v>
      </c>
      <c r="X229" s="136">
        <v>0</v>
      </c>
      <c r="Y229" s="136">
        <v>0</v>
      </c>
      <c r="Z229" s="65">
        <v>0</v>
      </c>
      <c r="AA229" s="136">
        <v>0</v>
      </c>
      <c r="AB229" s="136">
        <v>0</v>
      </c>
      <c r="AC229" s="136">
        <v>0</v>
      </c>
      <c r="AD229" s="136">
        <v>0</v>
      </c>
      <c r="AE229" s="136">
        <v>0</v>
      </c>
      <c r="AF229" s="136">
        <v>0</v>
      </c>
      <c r="AG229" s="136">
        <v>0</v>
      </c>
      <c r="AH229" s="65">
        <v>0</v>
      </c>
      <c r="AI229" s="136">
        <v>0</v>
      </c>
      <c r="AJ229" s="136">
        <v>0</v>
      </c>
      <c r="AK229" s="136">
        <v>0</v>
      </c>
      <c r="AL229" s="136">
        <v>0</v>
      </c>
      <c r="AM229" s="136">
        <v>0</v>
      </c>
      <c r="AN229" s="73">
        <v>0</v>
      </c>
      <c r="AO229" s="73">
        <v>0</v>
      </c>
      <c r="AP229" s="73">
        <v>0</v>
      </c>
      <c r="AQ229" s="73">
        <v>0</v>
      </c>
      <c r="AR229" s="73">
        <v>0</v>
      </c>
      <c r="AS229" s="73">
        <v>0</v>
      </c>
      <c r="AT229" s="73">
        <v>0</v>
      </c>
      <c r="AU229" s="73">
        <v>0</v>
      </c>
      <c r="AV229" s="73">
        <v>0</v>
      </c>
      <c r="AW229" s="73">
        <v>0</v>
      </c>
      <c r="AX229" s="73">
        <v>0</v>
      </c>
      <c r="AY229" s="73">
        <v>0</v>
      </c>
      <c r="AZ229" s="73">
        <v>0</v>
      </c>
      <c r="BA229" s="73">
        <v>0</v>
      </c>
      <c r="BB229" s="73">
        <v>0</v>
      </c>
      <c r="BC229" s="73">
        <v>0</v>
      </c>
      <c r="BD229" s="73">
        <v>0</v>
      </c>
      <c r="BE229" s="73">
        <v>0</v>
      </c>
      <c r="BF229" s="73">
        <v>0</v>
      </c>
      <c r="BG229" s="73">
        <v>0</v>
      </c>
      <c r="BH229" s="73">
        <v>0</v>
      </c>
      <c r="BI229" s="73">
        <v>0</v>
      </c>
      <c r="BJ229" s="139">
        <v>0</v>
      </c>
      <c r="BK229" s="67">
        <v>0</v>
      </c>
      <c r="BL229" s="139">
        <v>0</v>
      </c>
      <c r="BM229" s="139">
        <v>0</v>
      </c>
      <c r="BN229" s="139">
        <v>0</v>
      </c>
      <c r="BO229" s="139">
        <v>0</v>
      </c>
      <c r="BP229" s="139">
        <v>0</v>
      </c>
      <c r="BQ229" s="139">
        <v>0</v>
      </c>
      <c r="BR229" s="139">
        <v>0</v>
      </c>
      <c r="BS229" s="139">
        <v>0</v>
      </c>
      <c r="BT229" s="139">
        <v>0</v>
      </c>
      <c r="BU229" s="139">
        <v>0</v>
      </c>
      <c r="BV229" s="139">
        <v>0</v>
      </c>
      <c r="BW229" s="139">
        <v>0</v>
      </c>
      <c r="BX229" s="139">
        <v>0</v>
      </c>
      <c r="BY229" s="139">
        <v>0</v>
      </c>
      <c r="BZ229" s="139">
        <v>0</v>
      </c>
      <c r="CA229" s="139">
        <v>0</v>
      </c>
      <c r="CB229" s="139">
        <v>0</v>
      </c>
      <c r="CC229" s="139">
        <v>0</v>
      </c>
      <c r="CD229" s="144">
        <v>0</v>
      </c>
      <c r="CE229" s="70">
        <v>0</v>
      </c>
      <c r="CF229" s="71">
        <v>0</v>
      </c>
      <c r="CG229" s="71">
        <v>0</v>
      </c>
      <c r="CH229" s="71">
        <v>0</v>
      </c>
      <c r="CI229" s="71">
        <v>0</v>
      </c>
      <c r="CJ229" s="144">
        <v>0</v>
      </c>
      <c r="CK229" s="71">
        <v>0</v>
      </c>
      <c r="CL229" s="144">
        <v>0</v>
      </c>
      <c r="CM229" s="144">
        <v>0</v>
      </c>
      <c r="CN229" s="144">
        <v>0</v>
      </c>
      <c r="CO229" s="71">
        <v>0</v>
      </c>
      <c r="CP229" s="71">
        <v>0</v>
      </c>
      <c r="CQ229" s="71">
        <v>0</v>
      </c>
      <c r="CR229" s="71">
        <v>0</v>
      </c>
      <c r="CS229" s="144">
        <v>0</v>
      </c>
      <c r="CT229" s="71">
        <v>0</v>
      </c>
      <c r="CU229" s="71">
        <v>0</v>
      </c>
      <c r="CV229" s="71">
        <v>0</v>
      </c>
    </row>
    <row r="230" spans="1:100" x14ac:dyDescent="0.25">
      <c r="A230" t="s">
        <v>89</v>
      </c>
      <c r="B230" s="134">
        <v>0</v>
      </c>
      <c r="C230" s="134">
        <v>0</v>
      </c>
      <c r="D230" s="146">
        <v>0</v>
      </c>
      <c r="E230" s="134">
        <v>0</v>
      </c>
      <c r="F230" s="146">
        <v>0</v>
      </c>
      <c r="G230" s="134">
        <v>0</v>
      </c>
      <c r="H230" s="134">
        <v>0</v>
      </c>
      <c r="I230" s="134">
        <v>0</v>
      </c>
      <c r="J230" s="134">
        <v>0</v>
      </c>
      <c r="K230" s="134">
        <v>0</v>
      </c>
      <c r="L230" s="134">
        <v>0</v>
      </c>
      <c r="M230" s="134">
        <v>0</v>
      </c>
      <c r="N230" s="134">
        <v>0</v>
      </c>
      <c r="O230" s="134">
        <v>0</v>
      </c>
      <c r="P230" s="146">
        <v>0</v>
      </c>
      <c r="Q230" s="146">
        <v>0</v>
      </c>
      <c r="R230" s="146">
        <v>0</v>
      </c>
      <c r="S230" s="134">
        <v>0</v>
      </c>
      <c r="T230" s="134">
        <v>0</v>
      </c>
      <c r="U230" s="136">
        <v>0</v>
      </c>
      <c r="V230" s="136">
        <v>0</v>
      </c>
      <c r="W230" s="136">
        <v>0</v>
      </c>
      <c r="X230" s="136">
        <v>0</v>
      </c>
      <c r="Y230" s="136">
        <v>0</v>
      </c>
      <c r="Z230" s="65">
        <v>0</v>
      </c>
      <c r="AA230" s="136">
        <v>0</v>
      </c>
      <c r="AB230" s="136">
        <v>0</v>
      </c>
      <c r="AC230" s="136">
        <v>0</v>
      </c>
      <c r="AD230" s="136">
        <v>0</v>
      </c>
      <c r="AE230" s="136">
        <v>0</v>
      </c>
      <c r="AF230" s="136">
        <v>0</v>
      </c>
      <c r="AG230" s="136">
        <v>0</v>
      </c>
      <c r="AH230" s="65">
        <v>0</v>
      </c>
      <c r="AI230" s="136">
        <v>0</v>
      </c>
      <c r="AJ230" s="136">
        <v>0</v>
      </c>
      <c r="AK230" s="136">
        <v>0</v>
      </c>
      <c r="AL230" s="136">
        <v>0</v>
      </c>
      <c r="AM230" s="136">
        <v>0</v>
      </c>
      <c r="AN230" s="73">
        <v>0</v>
      </c>
      <c r="AO230" s="73">
        <v>0</v>
      </c>
      <c r="AP230" s="73">
        <v>0</v>
      </c>
      <c r="AQ230" s="73">
        <v>0</v>
      </c>
      <c r="AR230" s="73">
        <v>0</v>
      </c>
      <c r="AS230" s="73">
        <v>0</v>
      </c>
      <c r="AT230" s="73">
        <v>0</v>
      </c>
      <c r="AU230" s="73">
        <v>0</v>
      </c>
      <c r="AV230" s="73">
        <v>0</v>
      </c>
      <c r="AW230" s="73">
        <v>0</v>
      </c>
      <c r="AX230" s="73">
        <v>0</v>
      </c>
      <c r="AY230" s="73">
        <v>0</v>
      </c>
      <c r="AZ230" s="73">
        <v>0</v>
      </c>
      <c r="BA230" s="73">
        <v>0</v>
      </c>
      <c r="BB230" s="73">
        <v>0</v>
      </c>
      <c r="BC230" s="73">
        <v>0</v>
      </c>
      <c r="BD230" s="73">
        <v>0</v>
      </c>
      <c r="BE230" s="73">
        <v>0</v>
      </c>
      <c r="BF230" s="73">
        <v>0</v>
      </c>
      <c r="BG230" s="73">
        <v>0</v>
      </c>
      <c r="BH230" s="73">
        <v>0</v>
      </c>
      <c r="BI230" s="73">
        <v>0</v>
      </c>
      <c r="BJ230" s="139">
        <v>0</v>
      </c>
      <c r="BK230" s="67">
        <v>0</v>
      </c>
      <c r="BL230" s="139">
        <v>0</v>
      </c>
      <c r="BM230" s="139">
        <v>0</v>
      </c>
      <c r="BN230" s="139">
        <v>0</v>
      </c>
      <c r="BO230" s="139">
        <v>0</v>
      </c>
      <c r="BP230" s="139">
        <v>0</v>
      </c>
      <c r="BQ230" s="139">
        <v>0</v>
      </c>
      <c r="BR230" s="139">
        <v>0</v>
      </c>
      <c r="BS230" s="139">
        <v>0</v>
      </c>
      <c r="BT230" s="139">
        <v>0</v>
      </c>
      <c r="BU230" s="139">
        <v>0</v>
      </c>
      <c r="BV230" s="139">
        <v>0</v>
      </c>
      <c r="BW230" s="139">
        <v>0</v>
      </c>
      <c r="BX230" s="139">
        <v>0</v>
      </c>
      <c r="BY230" s="139">
        <v>0</v>
      </c>
      <c r="BZ230" s="139">
        <v>0</v>
      </c>
      <c r="CA230" s="139">
        <v>0</v>
      </c>
      <c r="CB230" s="139">
        <v>0</v>
      </c>
      <c r="CC230" s="139">
        <v>0</v>
      </c>
      <c r="CD230" s="144">
        <v>0</v>
      </c>
      <c r="CE230" s="70">
        <v>0</v>
      </c>
      <c r="CF230" s="71">
        <v>0</v>
      </c>
      <c r="CG230" s="71">
        <v>0</v>
      </c>
      <c r="CH230" s="71">
        <v>0</v>
      </c>
      <c r="CI230" s="71">
        <v>0</v>
      </c>
      <c r="CJ230" s="144">
        <v>0</v>
      </c>
      <c r="CK230" s="71">
        <v>0</v>
      </c>
      <c r="CL230" s="144">
        <v>0</v>
      </c>
      <c r="CM230" s="144">
        <v>0</v>
      </c>
      <c r="CN230" s="144">
        <v>0</v>
      </c>
      <c r="CO230" s="71">
        <v>0</v>
      </c>
      <c r="CP230" s="71">
        <v>0</v>
      </c>
      <c r="CQ230" s="71">
        <v>0</v>
      </c>
      <c r="CR230" s="71">
        <v>0</v>
      </c>
      <c r="CS230" s="144">
        <v>0</v>
      </c>
      <c r="CT230" s="71">
        <v>0</v>
      </c>
      <c r="CU230" s="71">
        <v>0</v>
      </c>
      <c r="CV230" s="71">
        <v>0</v>
      </c>
    </row>
    <row r="231" spans="1:100" x14ac:dyDescent="0.25">
      <c r="A231" t="s">
        <v>90</v>
      </c>
      <c r="B231" s="134">
        <v>0</v>
      </c>
      <c r="C231" s="134">
        <v>0</v>
      </c>
      <c r="D231" s="146">
        <v>0</v>
      </c>
      <c r="E231" s="134">
        <v>0</v>
      </c>
      <c r="F231" s="146">
        <v>0</v>
      </c>
      <c r="G231" s="134">
        <v>0</v>
      </c>
      <c r="H231" s="134">
        <v>0</v>
      </c>
      <c r="I231" s="134">
        <v>0</v>
      </c>
      <c r="J231" s="134">
        <v>0</v>
      </c>
      <c r="K231" s="134">
        <v>0</v>
      </c>
      <c r="L231" s="134">
        <v>0</v>
      </c>
      <c r="M231" s="134">
        <v>0</v>
      </c>
      <c r="N231" s="134">
        <v>0</v>
      </c>
      <c r="O231" s="134">
        <v>0</v>
      </c>
      <c r="P231" s="146">
        <v>0</v>
      </c>
      <c r="Q231" s="146">
        <v>0</v>
      </c>
      <c r="R231" s="146">
        <v>0</v>
      </c>
      <c r="S231" s="134">
        <v>0</v>
      </c>
      <c r="T231" s="134">
        <v>0</v>
      </c>
      <c r="U231" s="136">
        <v>0</v>
      </c>
      <c r="V231" s="136">
        <v>0</v>
      </c>
      <c r="W231" s="136">
        <v>0</v>
      </c>
      <c r="X231" s="136">
        <v>0</v>
      </c>
      <c r="Y231" s="136">
        <v>0</v>
      </c>
      <c r="Z231" s="65">
        <v>0</v>
      </c>
      <c r="AA231" s="136">
        <v>0</v>
      </c>
      <c r="AB231" s="136">
        <v>0</v>
      </c>
      <c r="AC231" s="136">
        <v>0</v>
      </c>
      <c r="AD231" s="136">
        <v>0</v>
      </c>
      <c r="AE231" s="136">
        <v>0</v>
      </c>
      <c r="AF231" s="136">
        <v>0</v>
      </c>
      <c r="AG231" s="136">
        <v>0</v>
      </c>
      <c r="AH231" s="65">
        <v>0</v>
      </c>
      <c r="AI231" s="136">
        <v>0</v>
      </c>
      <c r="AJ231" s="136">
        <v>0</v>
      </c>
      <c r="AK231" s="136">
        <v>0</v>
      </c>
      <c r="AL231" s="136">
        <v>0</v>
      </c>
      <c r="AM231" s="136">
        <v>0</v>
      </c>
      <c r="AN231" s="73">
        <v>0</v>
      </c>
      <c r="AO231" s="73">
        <v>0</v>
      </c>
      <c r="AP231" s="73">
        <v>0</v>
      </c>
      <c r="AQ231" s="73">
        <v>0</v>
      </c>
      <c r="AR231" s="73">
        <v>0</v>
      </c>
      <c r="AS231" s="73">
        <v>0</v>
      </c>
      <c r="AT231" s="73">
        <v>0</v>
      </c>
      <c r="AU231" s="73">
        <v>0</v>
      </c>
      <c r="AV231" s="73">
        <v>0</v>
      </c>
      <c r="AW231" s="73">
        <v>0</v>
      </c>
      <c r="AX231" s="73">
        <v>0</v>
      </c>
      <c r="AY231" s="73">
        <v>0</v>
      </c>
      <c r="AZ231" s="73">
        <v>0</v>
      </c>
      <c r="BA231" s="73">
        <v>0</v>
      </c>
      <c r="BB231" s="73">
        <v>0</v>
      </c>
      <c r="BC231" s="73">
        <v>0</v>
      </c>
      <c r="BD231" s="73">
        <v>0</v>
      </c>
      <c r="BE231" s="73">
        <v>0</v>
      </c>
      <c r="BF231" s="73">
        <v>0</v>
      </c>
      <c r="BG231" s="73">
        <v>0</v>
      </c>
      <c r="BH231" s="73">
        <v>0</v>
      </c>
      <c r="BI231" s="73">
        <v>0</v>
      </c>
      <c r="BJ231" s="139">
        <v>0</v>
      </c>
      <c r="BK231" s="67">
        <v>0</v>
      </c>
      <c r="BL231" s="139">
        <v>0</v>
      </c>
      <c r="BM231" s="139">
        <v>0</v>
      </c>
      <c r="BN231" s="139">
        <v>0</v>
      </c>
      <c r="BO231" s="139">
        <v>0</v>
      </c>
      <c r="BP231" s="139">
        <v>0</v>
      </c>
      <c r="BQ231" s="139">
        <v>0</v>
      </c>
      <c r="BR231" s="139">
        <v>0</v>
      </c>
      <c r="BS231" s="139">
        <v>0</v>
      </c>
      <c r="BT231" s="139">
        <v>0</v>
      </c>
      <c r="BU231" s="139">
        <v>0</v>
      </c>
      <c r="BV231" s="139">
        <v>0</v>
      </c>
      <c r="BW231" s="139">
        <v>0</v>
      </c>
      <c r="BX231" s="139">
        <v>0</v>
      </c>
      <c r="BY231" s="139">
        <v>0</v>
      </c>
      <c r="BZ231" s="139">
        <v>0</v>
      </c>
      <c r="CA231" s="139">
        <v>0</v>
      </c>
      <c r="CB231" s="139">
        <v>0</v>
      </c>
      <c r="CC231" s="139">
        <v>0</v>
      </c>
      <c r="CD231" s="144">
        <v>0</v>
      </c>
      <c r="CE231" s="70">
        <v>0</v>
      </c>
      <c r="CF231" s="71">
        <v>0</v>
      </c>
      <c r="CG231" s="71">
        <v>0</v>
      </c>
      <c r="CH231" s="71">
        <v>0</v>
      </c>
      <c r="CI231" s="71">
        <v>0</v>
      </c>
      <c r="CJ231" s="144">
        <v>0</v>
      </c>
      <c r="CK231" s="71">
        <v>0</v>
      </c>
      <c r="CL231" s="144">
        <v>0</v>
      </c>
      <c r="CM231" s="144">
        <v>0</v>
      </c>
      <c r="CN231" s="144">
        <v>0</v>
      </c>
      <c r="CO231" s="71">
        <v>0</v>
      </c>
      <c r="CP231" s="71">
        <v>0</v>
      </c>
      <c r="CQ231" s="71">
        <v>0</v>
      </c>
      <c r="CR231" s="71">
        <v>0</v>
      </c>
      <c r="CS231" s="144">
        <v>0</v>
      </c>
      <c r="CT231" s="71">
        <v>0</v>
      </c>
      <c r="CU231" s="71">
        <v>0</v>
      </c>
      <c r="CV231" s="71">
        <v>0</v>
      </c>
    </row>
    <row r="232" spans="1:100" x14ac:dyDescent="0.25">
      <c r="A232" t="s">
        <v>454</v>
      </c>
      <c r="B232" s="134">
        <v>0</v>
      </c>
      <c r="C232" s="134">
        <v>0</v>
      </c>
      <c r="D232" s="146">
        <v>0</v>
      </c>
      <c r="E232" s="134">
        <v>0</v>
      </c>
      <c r="F232" s="146">
        <v>0</v>
      </c>
      <c r="G232" s="134">
        <v>0</v>
      </c>
      <c r="H232" s="134">
        <v>0</v>
      </c>
      <c r="I232" s="134">
        <v>0</v>
      </c>
      <c r="J232" s="134">
        <v>0</v>
      </c>
      <c r="K232" s="134">
        <v>0</v>
      </c>
      <c r="L232" s="134">
        <v>0</v>
      </c>
      <c r="M232" s="134">
        <v>0</v>
      </c>
      <c r="N232" s="134">
        <v>0</v>
      </c>
      <c r="O232" s="134">
        <v>0</v>
      </c>
      <c r="P232" s="146">
        <v>0</v>
      </c>
      <c r="Q232" s="146">
        <v>0</v>
      </c>
      <c r="R232" s="146">
        <v>0</v>
      </c>
      <c r="S232" s="134">
        <v>0</v>
      </c>
      <c r="T232" s="134">
        <v>0</v>
      </c>
      <c r="U232" s="136">
        <v>0</v>
      </c>
      <c r="V232" s="136">
        <v>0</v>
      </c>
      <c r="W232" s="136">
        <v>0</v>
      </c>
      <c r="X232" s="136">
        <v>0</v>
      </c>
      <c r="Y232" s="136">
        <v>0</v>
      </c>
      <c r="Z232" s="65">
        <v>0</v>
      </c>
      <c r="AA232" s="136">
        <v>0</v>
      </c>
      <c r="AB232" s="136">
        <v>0</v>
      </c>
      <c r="AC232" s="136">
        <v>0</v>
      </c>
      <c r="AD232" s="136">
        <v>0</v>
      </c>
      <c r="AE232" s="136">
        <v>0</v>
      </c>
      <c r="AF232" s="136">
        <v>0</v>
      </c>
      <c r="AG232" s="136">
        <v>0</v>
      </c>
      <c r="AH232" s="65">
        <v>0</v>
      </c>
      <c r="AI232" s="136">
        <v>0</v>
      </c>
      <c r="AJ232" s="136">
        <v>0</v>
      </c>
      <c r="AK232" s="136">
        <v>0</v>
      </c>
      <c r="AL232" s="136">
        <v>0</v>
      </c>
      <c r="AM232" s="136">
        <v>0</v>
      </c>
      <c r="AN232" s="73">
        <v>0</v>
      </c>
      <c r="AO232" s="73">
        <v>0</v>
      </c>
      <c r="AP232" s="73">
        <v>0</v>
      </c>
      <c r="AQ232" s="73">
        <v>0</v>
      </c>
      <c r="AR232" s="73">
        <v>0</v>
      </c>
      <c r="AS232" s="73">
        <v>0</v>
      </c>
      <c r="AT232" s="73">
        <v>0</v>
      </c>
      <c r="AU232" s="73">
        <v>0</v>
      </c>
      <c r="AV232" s="73">
        <v>0</v>
      </c>
      <c r="AW232" s="73">
        <v>0</v>
      </c>
      <c r="AX232" s="73">
        <v>0</v>
      </c>
      <c r="AY232" s="73">
        <v>0</v>
      </c>
      <c r="AZ232" s="73">
        <v>0</v>
      </c>
      <c r="BA232" s="73">
        <v>0</v>
      </c>
      <c r="BB232" s="73">
        <v>0</v>
      </c>
      <c r="BC232" s="73">
        <v>0</v>
      </c>
      <c r="BD232" s="73">
        <v>0</v>
      </c>
      <c r="BE232" s="73">
        <v>0</v>
      </c>
      <c r="BF232" s="73">
        <v>0</v>
      </c>
      <c r="BG232" s="73">
        <v>0</v>
      </c>
      <c r="BH232" s="73">
        <v>0</v>
      </c>
      <c r="BI232" s="73">
        <v>0</v>
      </c>
      <c r="BJ232" s="139">
        <v>0</v>
      </c>
      <c r="BK232" s="67">
        <v>0</v>
      </c>
      <c r="BL232" s="139">
        <v>0</v>
      </c>
      <c r="BM232" s="139">
        <v>0</v>
      </c>
      <c r="BN232" s="139">
        <v>0</v>
      </c>
      <c r="BO232" s="139">
        <v>0</v>
      </c>
      <c r="BP232" s="139">
        <v>0</v>
      </c>
      <c r="BQ232" s="139">
        <v>0</v>
      </c>
      <c r="BR232" s="139">
        <v>0</v>
      </c>
      <c r="BS232" s="139">
        <v>0</v>
      </c>
      <c r="BT232" s="139">
        <v>0</v>
      </c>
      <c r="BU232" s="139">
        <v>0</v>
      </c>
      <c r="BV232" s="139">
        <v>0</v>
      </c>
      <c r="BW232" s="139">
        <v>0</v>
      </c>
      <c r="BX232" s="139">
        <v>0</v>
      </c>
      <c r="BY232" s="139">
        <v>0</v>
      </c>
      <c r="BZ232" s="139">
        <v>0</v>
      </c>
      <c r="CA232" s="139">
        <v>0</v>
      </c>
      <c r="CB232" s="139">
        <v>0</v>
      </c>
      <c r="CC232" s="139">
        <v>0</v>
      </c>
      <c r="CD232" s="144">
        <v>0</v>
      </c>
      <c r="CE232" s="70">
        <v>0</v>
      </c>
      <c r="CF232" s="71">
        <v>0</v>
      </c>
      <c r="CG232" s="71">
        <v>0</v>
      </c>
      <c r="CH232" s="71">
        <v>0</v>
      </c>
      <c r="CI232" s="71">
        <v>0</v>
      </c>
      <c r="CJ232" s="144">
        <v>0</v>
      </c>
      <c r="CK232" s="71">
        <v>0</v>
      </c>
      <c r="CL232" s="144">
        <v>0</v>
      </c>
      <c r="CM232" s="144">
        <v>0</v>
      </c>
      <c r="CN232" s="144">
        <v>0</v>
      </c>
      <c r="CO232" s="71">
        <v>0</v>
      </c>
      <c r="CP232" s="71">
        <v>0</v>
      </c>
      <c r="CQ232" s="71">
        <v>0</v>
      </c>
      <c r="CR232" s="71">
        <v>0</v>
      </c>
      <c r="CS232" s="144">
        <v>0</v>
      </c>
      <c r="CT232" s="71">
        <v>0</v>
      </c>
      <c r="CU232" s="71">
        <v>0</v>
      </c>
      <c r="CV232" s="71">
        <v>0</v>
      </c>
    </row>
    <row r="233" spans="1:100" x14ac:dyDescent="0.25">
      <c r="A233" t="s">
        <v>455</v>
      </c>
      <c r="B233" s="134">
        <v>0</v>
      </c>
      <c r="C233" s="134">
        <v>0</v>
      </c>
      <c r="D233" s="146">
        <v>0</v>
      </c>
      <c r="E233" s="134">
        <v>0</v>
      </c>
      <c r="F233" s="146">
        <v>0</v>
      </c>
      <c r="G233" s="134">
        <v>0</v>
      </c>
      <c r="H233" s="134">
        <v>0</v>
      </c>
      <c r="I233" s="134">
        <v>0</v>
      </c>
      <c r="J233" s="134">
        <v>0</v>
      </c>
      <c r="K233" s="134">
        <v>0</v>
      </c>
      <c r="L233" s="134">
        <v>0</v>
      </c>
      <c r="M233" s="134">
        <v>0</v>
      </c>
      <c r="N233" s="134">
        <v>0</v>
      </c>
      <c r="O233" s="134">
        <v>0</v>
      </c>
      <c r="P233" s="146">
        <v>0</v>
      </c>
      <c r="Q233" s="146">
        <v>0</v>
      </c>
      <c r="R233" s="146">
        <v>0</v>
      </c>
      <c r="S233" s="134">
        <v>0</v>
      </c>
      <c r="T233" s="134">
        <v>0</v>
      </c>
      <c r="U233" s="136">
        <v>0</v>
      </c>
      <c r="V233" s="136">
        <v>0</v>
      </c>
      <c r="W233" s="136">
        <v>0</v>
      </c>
      <c r="X233" s="136">
        <v>0</v>
      </c>
      <c r="Y233" s="136">
        <v>0</v>
      </c>
      <c r="Z233" s="65">
        <v>0</v>
      </c>
      <c r="AA233" s="136">
        <v>0</v>
      </c>
      <c r="AB233" s="136">
        <v>0</v>
      </c>
      <c r="AC233" s="136">
        <v>0</v>
      </c>
      <c r="AD233" s="136">
        <v>0</v>
      </c>
      <c r="AE233" s="136">
        <v>0</v>
      </c>
      <c r="AF233" s="136">
        <v>0</v>
      </c>
      <c r="AG233" s="136">
        <v>0</v>
      </c>
      <c r="AH233" s="65">
        <v>0</v>
      </c>
      <c r="AI233" s="136">
        <v>0</v>
      </c>
      <c r="AJ233" s="136">
        <v>0</v>
      </c>
      <c r="AK233" s="136">
        <v>0</v>
      </c>
      <c r="AL233" s="136">
        <v>0</v>
      </c>
      <c r="AM233" s="136">
        <v>0</v>
      </c>
      <c r="AN233" s="73">
        <v>0</v>
      </c>
      <c r="AO233" s="73">
        <v>0</v>
      </c>
      <c r="AP233" s="73">
        <v>0</v>
      </c>
      <c r="AQ233" s="73">
        <v>0</v>
      </c>
      <c r="AR233" s="73">
        <v>0</v>
      </c>
      <c r="AS233" s="73">
        <v>0</v>
      </c>
      <c r="AT233" s="73">
        <v>0</v>
      </c>
      <c r="AU233" s="73">
        <v>0</v>
      </c>
      <c r="AV233" s="73">
        <v>0</v>
      </c>
      <c r="AW233" s="73">
        <v>0</v>
      </c>
      <c r="AX233" s="73">
        <v>0</v>
      </c>
      <c r="AY233" s="73">
        <v>0</v>
      </c>
      <c r="AZ233" s="73">
        <v>0</v>
      </c>
      <c r="BA233" s="73">
        <v>0</v>
      </c>
      <c r="BB233" s="73">
        <v>0</v>
      </c>
      <c r="BC233" s="73">
        <v>0</v>
      </c>
      <c r="BD233" s="73">
        <v>0</v>
      </c>
      <c r="BE233" s="73">
        <v>0</v>
      </c>
      <c r="BF233" s="73">
        <v>0</v>
      </c>
      <c r="BG233" s="73">
        <v>0</v>
      </c>
      <c r="BH233" s="73">
        <v>0</v>
      </c>
      <c r="BI233" s="73">
        <v>0</v>
      </c>
      <c r="BJ233" s="139">
        <v>0</v>
      </c>
      <c r="BK233" s="67">
        <v>0</v>
      </c>
      <c r="BL233" s="139">
        <v>0</v>
      </c>
      <c r="BM233" s="139">
        <v>0</v>
      </c>
      <c r="BN233" s="139">
        <v>0</v>
      </c>
      <c r="BO233" s="139">
        <v>0</v>
      </c>
      <c r="BP233" s="139">
        <v>0</v>
      </c>
      <c r="BQ233" s="139">
        <v>0</v>
      </c>
      <c r="BR233" s="139">
        <v>0</v>
      </c>
      <c r="BS233" s="139">
        <v>0</v>
      </c>
      <c r="BT233" s="139">
        <v>0</v>
      </c>
      <c r="BU233" s="139">
        <v>0</v>
      </c>
      <c r="BV233" s="139">
        <v>0</v>
      </c>
      <c r="BW233" s="139">
        <v>0</v>
      </c>
      <c r="BX233" s="139">
        <v>0</v>
      </c>
      <c r="BY233" s="139">
        <v>0</v>
      </c>
      <c r="BZ233" s="139">
        <v>0</v>
      </c>
      <c r="CA233" s="139">
        <v>0</v>
      </c>
      <c r="CB233" s="139">
        <v>0</v>
      </c>
      <c r="CC233" s="139">
        <v>0</v>
      </c>
      <c r="CD233" s="144">
        <v>0</v>
      </c>
      <c r="CE233" s="70">
        <v>0</v>
      </c>
      <c r="CF233" s="71">
        <v>0</v>
      </c>
      <c r="CG233" s="71">
        <v>0</v>
      </c>
      <c r="CH233" s="71">
        <v>0</v>
      </c>
      <c r="CI233" s="71">
        <v>0</v>
      </c>
      <c r="CJ233" s="144">
        <v>0</v>
      </c>
      <c r="CK233" s="71">
        <v>0</v>
      </c>
      <c r="CL233" s="144">
        <v>0</v>
      </c>
      <c r="CM233" s="144">
        <v>0</v>
      </c>
      <c r="CN233" s="144">
        <v>0</v>
      </c>
      <c r="CO233" s="71">
        <v>0</v>
      </c>
      <c r="CP233" s="71">
        <v>0</v>
      </c>
      <c r="CQ233" s="71">
        <v>0</v>
      </c>
      <c r="CR233" s="71">
        <v>0</v>
      </c>
      <c r="CS233" s="144">
        <v>0</v>
      </c>
      <c r="CT233" s="71">
        <v>0</v>
      </c>
      <c r="CU233" s="71">
        <v>0</v>
      </c>
      <c r="CV233" s="71">
        <v>0</v>
      </c>
    </row>
    <row r="234" spans="1:100" x14ac:dyDescent="0.25">
      <c r="A234" t="s">
        <v>456</v>
      </c>
      <c r="B234" s="134">
        <v>0</v>
      </c>
      <c r="C234" s="134">
        <v>0</v>
      </c>
      <c r="D234" s="146">
        <v>0</v>
      </c>
      <c r="E234" s="134">
        <v>0</v>
      </c>
      <c r="F234" s="146">
        <v>0</v>
      </c>
      <c r="G234" s="134">
        <v>0</v>
      </c>
      <c r="H234" s="134">
        <v>0</v>
      </c>
      <c r="I234" s="134">
        <v>0</v>
      </c>
      <c r="J234" s="134">
        <v>0</v>
      </c>
      <c r="K234" s="134">
        <v>0</v>
      </c>
      <c r="L234" s="134">
        <v>0</v>
      </c>
      <c r="M234" s="134">
        <v>0</v>
      </c>
      <c r="N234" s="134">
        <v>0</v>
      </c>
      <c r="O234" s="134">
        <v>0</v>
      </c>
      <c r="P234" s="146">
        <v>0</v>
      </c>
      <c r="Q234" s="146">
        <v>0</v>
      </c>
      <c r="R234" s="146">
        <v>0</v>
      </c>
      <c r="S234" s="134">
        <v>0</v>
      </c>
      <c r="T234" s="134">
        <v>0</v>
      </c>
      <c r="U234" s="136">
        <v>0</v>
      </c>
      <c r="V234" s="136">
        <v>0</v>
      </c>
      <c r="W234" s="136">
        <v>0</v>
      </c>
      <c r="X234" s="136">
        <v>0</v>
      </c>
      <c r="Y234" s="136">
        <v>0</v>
      </c>
      <c r="Z234" s="65">
        <v>0</v>
      </c>
      <c r="AA234" s="136">
        <v>0</v>
      </c>
      <c r="AB234" s="136">
        <v>0</v>
      </c>
      <c r="AC234" s="136">
        <v>0</v>
      </c>
      <c r="AD234" s="136">
        <v>0</v>
      </c>
      <c r="AE234" s="136">
        <v>0</v>
      </c>
      <c r="AF234" s="136">
        <v>0</v>
      </c>
      <c r="AG234" s="136">
        <v>0</v>
      </c>
      <c r="AH234" s="65">
        <v>0</v>
      </c>
      <c r="AI234" s="136">
        <v>0</v>
      </c>
      <c r="AJ234" s="136">
        <v>0</v>
      </c>
      <c r="AK234" s="136">
        <v>0</v>
      </c>
      <c r="AL234" s="136">
        <v>0</v>
      </c>
      <c r="AM234" s="136">
        <v>0</v>
      </c>
      <c r="AN234" s="73">
        <v>0</v>
      </c>
      <c r="AO234" s="73">
        <v>0</v>
      </c>
      <c r="AP234" s="73">
        <v>0</v>
      </c>
      <c r="AQ234" s="73">
        <v>0</v>
      </c>
      <c r="AR234" s="73">
        <v>0</v>
      </c>
      <c r="AS234" s="73">
        <v>0</v>
      </c>
      <c r="AT234" s="73">
        <v>0</v>
      </c>
      <c r="AU234" s="73">
        <v>0</v>
      </c>
      <c r="AV234" s="73">
        <v>0</v>
      </c>
      <c r="AW234" s="73">
        <v>0</v>
      </c>
      <c r="AX234" s="73">
        <v>0</v>
      </c>
      <c r="AY234" s="73">
        <v>0</v>
      </c>
      <c r="AZ234" s="73">
        <v>0</v>
      </c>
      <c r="BA234" s="73">
        <v>0</v>
      </c>
      <c r="BB234" s="73">
        <v>0</v>
      </c>
      <c r="BC234" s="73">
        <v>0</v>
      </c>
      <c r="BD234" s="73">
        <v>0</v>
      </c>
      <c r="BE234" s="73">
        <v>0</v>
      </c>
      <c r="BF234" s="73">
        <v>0</v>
      </c>
      <c r="BG234" s="73">
        <v>0</v>
      </c>
      <c r="BH234" s="73">
        <v>0</v>
      </c>
      <c r="BI234" s="73">
        <v>0</v>
      </c>
      <c r="BJ234" s="139">
        <v>0</v>
      </c>
      <c r="BK234" s="67">
        <v>0</v>
      </c>
      <c r="BL234" s="139">
        <v>0</v>
      </c>
      <c r="BM234" s="139">
        <v>0</v>
      </c>
      <c r="BN234" s="139">
        <v>0</v>
      </c>
      <c r="BO234" s="139">
        <v>0</v>
      </c>
      <c r="BP234" s="139">
        <v>0</v>
      </c>
      <c r="BQ234" s="139">
        <v>0</v>
      </c>
      <c r="BR234" s="139">
        <v>0</v>
      </c>
      <c r="BS234" s="139">
        <v>0</v>
      </c>
      <c r="BT234" s="139">
        <v>0</v>
      </c>
      <c r="BU234" s="139">
        <v>0</v>
      </c>
      <c r="BV234" s="139">
        <v>0</v>
      </c>
      <c r="BW234" s="139">
        <v>0</v>
      </c>
      <c r="BX234" s="139">
        <v>0</v>
      </c>
      <c r="BY234" s="139">
        <v>0</v>
      </c>
      <c r="BZ234" s="139">
        <v>0</v>
      </c>
      <c r="CA234" s="139">
        <v>0</v>
      </c>
      <c r="CB234" s="139">
        <v>0</v>
      </c>
      <c r="CC234" s="139">
        <v>0</v>
      </c>
      <c r="CD234" s="144">
        <v>0</v>
      </c>
      <c r="CE234" s="70">
        <v>0</v>
      </c>
      <c r="CF234" s="71">
        <v>0</v>
      </c>
      <c r="CG234" s="71">
        <v>0</v>
      </c>
      <c r="CH234" s="71">
        <v>0</v>
      </c>
      <c r="CI234" s="71">
        <v>0</v>
      </c>
      <c r="CJ234" s="144">
        <v>0</v>
      </c>
      <c r="CK234" s="71">
        <v>0</v>
      </c>
      <c r="CL234" s="144">
        <v>0</v>
      </c>
      <c r="CM234" s="144">
        <v>0</v>
      </c>
      <c r="CN234" s="144">
        <v>0</v>
      </c>
      <c r="CO234" s="71">
        <v>0</v>
      </c>
      <c r="CP234" s="71">
        <v>0</v>
      </c>
      <c r="CQ234" s="71">
        <v>0</v>
      </c>
      <c r="CR234" s="71">
        <v>0</v>
      </c>
      <c r="CS234" s="144">
        <v>0</v>
      </c>
      <c r="CT234" s="71">
        <v>0</v>
      </c>
      <c r="CU234" s="71">
        <v>0</v>
      </c>
      <c r="CV234" s="71">
        <v>0</v>
      </c>
    </row>
    <row r="235" spans="1:100" x14ac:dyDescent="0.25">
      <c r="A235" t="s">
        <v>457</v>
      </c>
      <c r="B235" s="134">
        <v>0</v>
      </c>
      <c r="C235" s="134">
        <v>0</v>
      </c>
      <c r="D235" s="146">
        <v>0</v>
      </c>
      <c r="E235" s="134">
        <v>0</v>
      </c>
      <c r="F235" s="146">
        <v>0</v>
      </c>
      <c r="G235" s="134">
        <v>0</v>
      </c>
      <c r="H235" s="134">
        <v>0</v>
      </c>
      <c r="I235" s="134">
        <v>0</v>
      </c>
      <c r="J235" s="134">
        <v>0</v>
      </c>
      <c r="K235" s="134">
        <v>0</v>
      </c>
      <c r="L235" s="134">
        <v>0</v>
      </c>
      <c r="M235" s="134">
        <v>0</v>
      </c>
      <c r="N235" s="134">
        <v>0</v>
      </c>
      <c r="O235" s="134">
        <v>0</v>
      </c>
      <c r="P235" s="146">
        <v>0</v>
      </c>
      <c r="Q235" s="146">
        <v>0</v>
      </c>
      <c r="R235" s="146">
        <v>0</v>
      </c>
      <c r="S235" s="134">
        <v>0</v>
      </c>
      <c r="T235" s="134">
        <v>0</v>
      </c>
      <c r="U235" s="136">
        <v>0</v>
      </c>
      <c r="V235" s="136">
        <v>0</v>
      </c>
      <c r="W235" s="136">
        <v>0</v>
      </c>
      <c r="X235" s="136">
        <v>0</v>
      </c>
      <c r="Y235" s="136">
        <v>0</v>
      </c>
      <c r="Z235" s="65">
        <v>0</v>
      </c>
      <c r="AA235" s="136">
        <v>0</v>
      </c>
      <c r="AB235" s="136">
        <v>0</v>
      </c>
      <c r="AC235" s="136">
        <v>0</v>
      </c>
      <c r="AD235" s="136">
        <v>0</v>
      </c>
      <c r="AE235" s="136">
        <v>0</v>
      </c>
      <c r="AF235" s="136">
        <v>0</v>
      </c>
      <c r="AG235" s="136">
        <v>0</v>
      </c>
      <c r="AH235" s="65">
        <v>0</v>
      </c>
      <c r="AI235" s="136">
        <v>0</v>
      </c>
      <c r="AJ235" s="136">
        <v>0</v>
      </c>
      <c r="AK235" s="136">
        <v>0</v>
      </c>
      <c r="AL235" s="136">
        <v>0</v>
      </c>
      <c r="AM235" s="136">
        <v>0</v>
      </c>
      <c r="AN235" s="73">
        <v>0</v>
      </c>
      <c r="AO235" s="73">
        <v>0</v>
      </c>
      <c r="AP235" s="73">
        <v>0</v>
      </c>
      <c r="AQ235" s="73">
        <v>0</v>
      </c>
      <c r="AR235" s="73">
        <v>0</v>
      </c>
      <c r="AS235" s="73">
        <v>0</v>
      </c>
      <c r="AT235" s="73">
        <v>0</v>
      </c>
      <c r="AU235" s="73">
        <v>0</v>
      </c>
      <c r="AV235" s="73">
        <v>0</v>
      </c>
      <c r="AW235" s="73">
        <v>0</v>
      </c>
      <c r="AX235" s="73">
        <v>0</v>
      </c>
      <c r="AY235" s="73">
        <v>0</v>
      </c>
      <c r="AZ235" s="73">
        <v>0</v>
      </c>
      <c r="BA235" s="73">
        <v>0</v>
      </c>
      <c r="BB235" s="73">
        <v>0</v>
      </c>
      <c r="BC235" s="73">
        <v>0</v>
      </c>
      <c r="BD235" s="73">
        <v>0</v>
      </c>
      <c r="BE235" s="73">
        <v>0</v>
      </c>
      <c r="BF235" s="73">
        <v>0</v>
      </c>
      <c r="BG235" s="73">
        <v>0</v>
      </c>
      <c r="BH235" s="73">
        <v>0</v>
      </c>
      <c r="BI235" s="73">
        <v>0</v>
      </c>
      <c r="BJ235" s="139">
        <v>0</v>
      </c>
      <c r="BK235" s="67">
        <v>0</v>
      </c>
      <c r="BL235" s="139">
        <v>0</v>
      </c>
      <c r="BM235" s="139">
        <v>0</v>
      </c>
      <c r="BN235" s="139">
        <v>0</v>
      </c>
      <c r="BO235" s="139">
        <v>0</v>
      </c>
      <c r="BP235" s="139">
        <v>0</v>
      </c>
      <c r="BQ235" s="139">
        <v>0</v>
      </c>
      <c r="BR235" s="139">
        <v>0</v>
      </c>
      <c r="BS235" s="139">
        <v>0</v>
      </c>
      <c r="BT235" s="139">
        <v>0</v>
      </c>
      <c r="BU235" s="139">
        <v>0</v>
      </c>
      <c r="BV235" s="139">
        <v>0</v>
      </c>
      <c r="BW235" s="139">
        <v>0</v>
      </c>
      <c r="BX235" s="139">
        <v>0</v>
      </c>
      <c r="BY235" s="139">
        <v>0</v>
      </c>
      <c r="BZ235" s="139">
        <v>0</v>
      </c>
      <c r="CA235" s="139">
        <v>0</v>
      </c>
      <c r="CB235" s="139">
        <v>0</v>
      </c>
      <c r="CC235" s="139">
        <v>0</v>
      </c>
      <c r="CD235" s="144">
        <v>0</v>
      </c>
      <c r="CE235" s="70">
        <v>0</v>
      </c>
      <c r="CF235" s="71">
        <v>0</v>
      </c>
      <c r="CG235" s="71">
        <v>0</v>
      </c>
      <c r="CH235" s="71">
        <v>0</v>
      </c>
      <c r="CI235" s="71">
        <v>0</v>
      </c>
      <c r="CJ235" s="144">
        <v>0</v>
      </c>
      <c r="CK235" s="71">
        <v>0</v>
      </c>
      <c r="CL235" s="144">
        <v>0</v>
      </c>
      <c r="CM235" s="144">
        <v>0</v>
      </c>
      <c r="CN235" s="144">
        <v>0</v>
      </c>
      <c r="CO235" s="71">
        <v>0</v>
      </c>
      <c r="CP235" s="71">
        <v>0</v>
      </c>
      <c r="CQ235" s="71">
        <v>0</v>
      </c>
      <c r="CR235" s="71">
        <v>0</v>
      </c>
      <c r="CS235" s="144">
        <v>0</v>
      </c>
      <c r="CT235" s="71">
        <v>0</v>
      </c>
      <c r="CU235" s="71">
        <v>0</v>
      </c>
      <c r="CV235" s="71">
        <v>0</v>
      </c>
    </row>
    <row r="236" spans="1:100" x14ac:dyDescent="0.25">
      <c r="A236" t="s">
        <v>458</v>
      </c>
      <c r="B236" s="134">
        <v>0</v>
      </c>
      <c r="C236" s="134">
        <v>0</v>
      </c>
      <c r="D236" s="146">
        <v>0</v>
      </c>
      <c r="E236" s="134">
        <v>0</v>
      </c>
      <c r="F236" s="146">
        <v>0</v>
      </c>
      <c r="G236" s="134">
        <v>0</v>
      </c>
      <c r="H236" s="134">
        <v>0</v>
      </c>
      <c r="I236" s="134">
        <v>0</v>
      </c>
      <c r="J236" s="134">
        <v>0</v>
      </c>
      <c r="K236" s="134">
        <v>0</v>
      </c>
      <c r="L236" s="134">
        <v>0</v>
      </c>
      <c r="M236" s="134">
        <v>0</v>
      </c>
      <c r="N236" s="134">
        <v>0</v>
      </c>
      <c r="O236" s="134">
        <v>0</v>
      </c>
      <c r="P236" s="146">
        <v>0</v>
      </c>
      <c r="Q236" s="146">
        <v>0</v>
      </c>
      <c r="R236" s="146">
        <v>0</v>
      </c>
      <c r="S236" s="134">
        <v>0</v>
      </c>
      <c r="T236" s="134">
        <v>0</v>
      </c>
      <c r="U236" s="136">
        <v>0</v>
      </c>
      <c r="V236" s="136">
        <v>0</v>
      </c>
      <c r="W236" s="136">
        <v>0</v>
      </c>
      <c r="X236" s="136">
        <v>0</v>
      </c>
      <c r="Y236" s="136">
        <v>0</v>
      </c>
      <c r="Z236" s="65">
        <v>0</v>
      </c>
      <c r="AA236" s="136">
        <v>0</v>
      </c>
      <c r="AB236" s="136">
        <v>0</v>
      </c>
      <c r="AC236" s="136">
        <v>0</v>
      </c>
      <c r="AD236" s="136">
        <v>0</v>
      </c>
      <c r="AE236" s="136">
        <v>0</v>
      </c>
      <c r="AF236" s="136">
        <v>0</v>
      </c>
      <c r="AG236" s="136">
        <v>0</v>
      </c>
      <c r="AH236" s="65">
        <v>0</v>
      </c>
      <c r="AI236" s="136">
        <v>0</v>
      </c>
      <c r="AJ236" s="136">
        <v>0</v>
      </c>
      <c r="AK236" s="136">
        <v>0</v>
      </c>
      <c r="AL236" s="136">
        <v>0</v>
      </c>
      <c r="AM236" s="136">
        <v>0</v>
      </c>
      <c r="AN236" s="73">
        <v>0</v>
      </c>
      <c r="AO236" s="73">
        <v>0</v>
      </c>
      <c r="AP236" s="73">
        <v>0</v>
      </c>
      <c r="AQ236" s="73">
        <v>0</v>
      </c>
      <c r="AR236" s="73">
        <v>0</v>
      </c>
      <c r="AS236" s="73">
        <v>0</v>
      </c>
      <c r="AT236" s="73">
        <v>0</v>
      </c>
      <c r="AU236" s="73">
        <v>0</v>
      </c>
      <c r="AV236" s="73">
        <v>0</v>
      </c>
      <c r="AW236" s="73">
        <v>0</v>
      </c>
      <c r="AX236" s="73">
        <v>0</v>
      </c>
      <c r="AY236" s="73">
        <v>0</v>
      </c>
      <c r="AZ236" s="73">
        <v>0</v>
      </c>
      <c r="BA236" s="73">
        <v>0</v>
      </c>
      <c r="BB236" s="73">
        <v>0</v>
      </c>
      <c r="BC236" s="73">
        <v>0</v>
      </c>
      <c r="BD236" s="73">
        <v>0</v>
      </c>
      <c r="BE236" s="73">
        <v>0</v>
      </c>
      <c r="BF236" s="73">
        <v>0</v>
      </c>
      <c r="BG236" s="73">
        <v>0</v>
      </c>
      <c r="BH236" s="73">
        <v>0</v>
      </c>
      <c r="BI236" s="73">
        <v>0</v>
      </c>
      <c r="BJ236" s="139">
        <v>0</v>
      </c>
      <c r="BK236" s="67">
        <v>0</v>
      </c>
      <c r="BL236" s="139">
        <v>0</v>
      </c>
      <c r="BM236" s="139">
        <v>0</v>
      </c>
      <c r="BN236" s="139">
        <v>0</v>
      </c>
      <c r="BO236" s="139">
        <v>0</v>
      </c>
      <c r="BP236" s="139">
        <v>0</v>
      </c>
      <c r="BQ236" s="139">
        <v>0</v>
      </c>
      <c r="BR236" s="139">
        <v>0</v>
      </c>
      <c r="BS236" s="139">
        <v>0</v>
      </c>
      <c r="BT236" s="139">
        <v>0</v>
      </c>
      <c r="BU236" s="139">
        <v>0</v>
      </c>
      <c r="BV236" s="139">
        <v>0</v>
      </c>
      <c r="BW236" s="139">
        <v>0</v>
      </c>
      <c r="BX236" s="139">
        <v>0</v>
      </c>
      <c r="BY236" s="139">
        <v>0</v>
      </c>
      <c r="BZ236" s="139">
        <v>0</v>
      </c>
      <c r="CA236" s="139">
        <v>0</v>
      </c>
      <c r="CB236" s="139">
        <v>0</v>
      </c>
      <c r="CC236" s="139">
        <v>0</v>
      </c>
      <c r="CD236" s="144">
        <v>0</v>
      </c>
      <c r="CE236" s="70">
        <v>0</v>
      </c>
      <c r="CF236" s="71">
        <v>0</v>
      </c>
      <c r="CG236" s="71">
        <v>0</v>
      </c>
      <c r="CH236" s="71">
        <v>0</v>
      </c>
      <c r="CI236" s="71">
        <v>0</v>
      </c>
      <c r="CJ236" s="144">
        <v>0</v>
      </c>
      <c r="CK236" s="71">
        <v>0</v>
      </c>
      <c r="CL236" s="144">
        <v>0</v>
      </c>
      <c r="CM236" s="144">
        <v>0</v>
      </c>
      <c r="CN236" s="144">
        <v>0</v>
      </c>
      <c r="CO236" s="71">
        <v>0</v>
      </c>
      <c r="CP236" s="71">
        <v>0</v>
      </c>
      <c r="CQ236" s="71">
        <v>0</v>
      </c>
      <c r="CR236" s="71">
        <v>0</v>
      </c>
      <c r="CS236" s="144">
        <v>0</v>
      </c>
      <c r="CT236" s="71">
        <v>0</v>
      </c>
      <c r="CU236" s="71">
        <v>0</v>
      </c>
      <c r="CV236" s="71">
        <v>0</v>
      </c>
    </row>
    <row r="237" spans="1:100" x14ac:dyDescent="0.25">
      <c r="A237" t="s">
        <v>459</v>
      </c>
      <c r="B237" s="134">
        <v>0</v>
      </c>
      <c r="C237" s="134">
        <v>0</v>
      </c>
      <c r="D237" s="146">
        <v>0</v>
      </c>
      <c r="E237" s="134">
        <v>0</v>
      </c>
      <c r="F237" s="146">
        <v>0</v>
      </c>
      <c r="G237" s="134">
        <v>0</v>
      </c>
      <c r="H237" s="134">
        <v>0</v>
      </c>
      <c r="I237" s="134">
        <v>0</v>
      </c>
      <c r="J237" s="134">
        <v>0</v>
      </c>
      <c r="K237" s="134">
        <v>0</v>
      </c>
      <c r="L237" s="134">
        <v>0</v>
      </c>
      <c r="M237" s="134">
        <v>0</v>
      </c>
      <c r="N237" s="134">
        <v>0</v>
      </c>
      <c r="O237" s="134">
        <v>0</v>
      </c>
      <c r="P237" s="146">
        <v>0</v>
      </c>
      <c r="Q237" s="146">
        <v>0</v>
      </c>
      <c r="R237" s="146">
        <v>0</v>
      </c>
      <c r="S237" s="134">
        <v>0</v>
      </c>
      <c r="T237" s="134">
        <v>0</v>
      </c>
      <c r="U237" s="136">
        <v>0</v>
      </c>
      <c r="V237" s="136">
        <v>0</v>
      </c>
      <c r="W237" s="136">
        <v>0</v>
      </c>
      <c r="X237" s="136">
        <v>0</v>
      </c>
      <c r="Y237" s="136">
        <v>0</v>
      </c>
      <c r="Z237" s="65">
        <v>0</v>
      </c>
      <c r="AA237" s="136">
        <v>0</v>
      </c>
      <c r="AB237" s="136">
        <v>0</v>
      </c>
      <c r="AC237" s="136">
        <v>0</v>
      </c>
      <c r="AD237" s="136">
        <v>0</v>
      </c>
      <c r="AE237" s="136">
        <v>0</v>
      </c>
      <c r="AF237" s="136">
        <v>0</v>
      </c>
      <c r="AG237" s="136">
        <v>0</v>
      </c>
      <c r="AH237" s="65">
        <v>0</v>
      </c>
      <c r="AI237" s="136">
        <v>0</v>
      </c>
      <c r="AJ237" s="136">
        <v>0</v>
      </c>
      <c r="AK237" s="136">
        <v>0</v>
      </c>
      <c r="AL237" s="136">
        <v>0</v>
      </c>
      <c r="AM237" s="136">
        <v>0</v>
      </c>
      <c r="AN237" s="73">
        <v>0</v>
      </c>
      <c r="AO237" s="73">
        <v>0</v>
      </c>
      <c r="AP237" s="73">
        <v>0</v>
      </c>
      <c r="AQ237" s="73">
        <v>0</v>
      </c>
      <c r="AR237" s="73">
        <v>0</v>
      </c>
      <c r="AS237" s="73">
        <v>0</v>
      </c>
      <c r="AT237" s="73">
        <v>0</v>
      </c>
      <c r="AU237" s="73">
        <v>0</v>
      </c>
      <c r="AV237" s="73">
        <v>0</v>
      </c>
      <c r="AW237" s="73">
        <v>0</v>
      </c>
      <c r="AX237" s="73">
        <v>0</v>
      </c>
      <c r="AY237" s="73">
        <v>0</v>
      </c>
      <c r="AZ237" s="73">
        <v>0</v>
      </c>
      <c r="BA237" s="73">
        <v>0</v>
      </c>
      <c r="BB237" s="73">
        <v>0</v>
      </c>
      <c r="BC237" s="73">
        <v>0</v>
      </c>
      <c r="BD237" s="73">
        <v>0</v>
      </c>
      <c r="BE237" s="73">
        <v>0</v>
      </c>
      <c r="BF237" s="73">
        <v>0</v>
      </c>
      <c r="BG237" s="73">
        <v>0</v>
      </c>
      <c r="BH237" s="73">
        <v>0</v>
      </c>
      <c r="BI237" s="73">
        <v>0</v>
      </c>
      <c r="BJ237" s="139">
        <v>0</v>
      </c>
      <c r="BK237" s="67">
        <v>0</v>
      </c>
      <c r="BL237" s="139">
        <v>0</v>
      </c>
      <c r="BM237" s="139">
        <v>0</v>
      </c>
      <c r="BN237" s="139">
        <v>0</v>
      </c>
      <c r="BO237" s="139">
        <v>0</v>
      </c>
      <c r="BP237" s="139">
        <v>0</v>
      </c>
      <c r="BQ237" s="139">
        <v>0</v>
      </c>
      <c r="BR237" s="139">
        <v>0</v>
      </c>
      <c r="BS237" s="139">
        <v>0</v>
      </c>
      <c r="BT237" s="139">
        <v>0</v>
      </c>
      <c r="BU237" s="139">
        <v>0</v>
      </c>
      <c r="BV237" s="139">
        <v>0</v>
      </c>
      <c r="BW237" s="139">
        <v>0</v>
      </c>
      <c r="BX237" s="139">
        <v>0</v>
      </c>
      <c r="BY237" s="139">
        <v>0</v>
      </c>
      <c r="BZ237" s="139">
        <v>0</v>
      </c>
      <c r="CA237" s="139">
        <v>0</v>
      </c>
      <c r="CB237" s="139">
        <v>0</v>
      </c>
      <c r="CC237" s="139">
        <v>0</v>
      </c>
      <c r="CD237" s="144">
        <v>0</v>
      </c>
      <c r="CE237" s="70">
        <v>0</v>
      </c>
      <c r="CF237" s="71">
        <v>0</v>
      </c>
      <c r="CG237" s="71">
        <v>0</v>
      </c>
      <c r="CH237" s="71">
        <v>0</v>
      </c>
      <c r="CI237" s="71">
        <v>0</v>
      </c>
      <c r="CJ237" s="144">
        <v>0</v>
      </c>
      <c r="CK237" s="71">
        <v>0</v>
      </c>
      <c r="CL237" s="144">
        <v>0</v>
      </c>
      <c r="CM237" s="144">
        <v>0</v>
      </c>
      <c r="CN237" s="144">
        <v>0</v>
      </c>
      <c r="CO237" s="71">
        <v>0</v>
      </c>
      <c r="CP237" s="71">
        <v>0</v>
      </c>
      <c r="CQ237" s="71">
        <v>0</v>
      </c>
      <c r="CR237" s="71">
        <v>0</v>
      </c>
      <c r="CS237" s="144">
        <v>0</v>
      </c>
      <c r="CT237" s="71">
        <v>0</v>
      </c>
      <c r="CU237" s="71">
        <v>0</v>
      </c>
      <c r="CV237" s="71">
        <v>0</v>
      </c>
    </row>
    <row r="238" spans="1:100" x14ac:dyDescent="0.25">
      <c r="A238" t="s">
        <v>460</v>
      </c>
      <c r="B238" s="134">
        <v>0</v>
      </c>
      <c r="C238" s="134">
        <v>0</v>
      </c>
      <c r="D238" s="146">
        <v>0</v>
      </c>
      <c r="E238" s="134">
        <v>0</v>
      </c>
      <c r="F238" s="146">
        <v>0</v>
      </c>
      <c r="G238" s="134">
        <v>0</v>
      </c>
      <c r="H238" s="134">
        <v>0</v>
      </c>
      <c r="I238" s="134">
        <v>0</v>
      </c>
      <c r="J238" s="134">
        <v>0</v>
      </c>
      <c r="K238" s="134">
        <v>0</v>
      </c>
      <c r="L238" s="134">
        <v>0</v>
      </c>
      <c r="M238" s="134">
        <v>0</v>
      </c>
      <c r="N238" s="134">
        <v>0</v>
      </c>
      <c r="O238" s="134">
        <v>0</v>
      </c>
      <c r="P238" s="146">
        <v>0</v>
      </c>
      <c r="Q238" s="146">
        <v>0</v>
      </c>
      <c r="R238" s="146">
        <v>0</v>
      </c>
      <c r="S238" s="134">
        <v>0</v>
      </c>
      <c r="T238" s="134">
        <v>0</v>
      </c>
      <c r="U238" s="136">
        <v>0</v>
      </c>
      <c r="V238" s="136">
        <v>0</v>
      </c>
      <c r="W238" s="136">
        <v>0</v>
      </c>
      <c r="X238" s="136">
        <v>0</v>
      </c>
      <c r="Y238" s="136">
        <v>0</v>
      </c>
      <c r="Z238" s="65">
        <v>0</v>
      </c>
      <c r="AA238" s="136">
        <v>0</v>
      </c>
      <c r="AB238" s="136">
        <v>0</v>
      </c>
      <c r="AC238" s="136">
        <v>0</v>
      </c>
      <c r="AD238" s="136">
        <v>0</v>
      </c>
      <c r="AE238" s="136">
        <v>0</v>
      </c>
      <c r="AF238" s="136">
        <v>0</v>
      </c>
      <c r="AG238" s="136">
        <v>0</v>
      </c>
      <c r="AH238" s="65">
        <v>0</v>
      </c>
      <c r="AI238" s="136">
        <v>0</v>
      </c>
      <c r="AJ238" s="136">
        <v>0</v>
      </c>
      <c r="AK238" s="136">
        <v>0</v>
      </c>
      <c r="AL238" s="136">
        <v>0</v>
      </c>
      <c r="AM238" s="136">
        <v>0</v>
      </c>
      <c r="AN238" s="73">
        <v>0</v>
      </c>
      <c r="AO238" s="73">
        <v>0</v>
      </c>
      <c r="AP238" s="73">
        <v>0</v>
      </c>
      <c r="AQ238" s="73">
        <v>0</v>
      </c>
      <c r="AR238" s="73">
        <v>0</v>
      </c>
      <c r="AS238" s="73">
        <v>0</v>
      </c>
      <c r="AT238" s="73">
        <v>0</v>
      </c>
      <c r="AU238" s="73">
        <v>0</v>
      </c>
      <c r="AV238" s="73">
        <v>0</v>
      </c>
      <c r="AW238" s="73">
        <v>0</v>
      </c>
      <c r="AX238" s="73">
        <v>0</v>
      </c>
      <c r="AY238" s="73">
        <v>0</v>
      </c>
      <c r="AZ238" s="73">
        <v>0</v>
      </c>
      <c r="BA238" s="73">
        <v>0</v>
      </c>
      <c r="BB238" s="73">
        <v>0</v>
      </c>
      <c r="BC238" s="73">
        <v>0</v>
      </c>
      <c r="BD238" s="73">
        <v>0</v>
      </c>
      <c r="BE238" s="73">
        <v>0</v>
      </c>
      <c r="BF238" s="73">
        <v>0</v>
      </c>
      <c r="BG238" s="73">
        <v>0</v>
      </c>
      <c r="BH238" s="73">
        <v>0</v>
      </c>
      <c r="BI238" s="73">
        <v>0</v>
      </c>
      <c r="BJ238" s="139">
        <v>0</v>
      </c>
      <c r="BK238" s="67">
        <v>0</v>
      </c>
      <c r="BL238" s="139">
        <v>0</v>
      </c>
      <c r="BM238" s="139">
        <v>0</v>
      </c>
      <c r="BN238" s="139">
        <v>0</v>
      </c>
      <c r="BO238" s="139">
        <v>0</v>
      </c>
      <c r="BP238" s="139">
        <v>0</v>
      </c>
      <c r="BQ238" s="139">
        <v>0</v>
      </c>
      <c r="BR238" s="139">
        <v>0</v>
      </c>
      <c r="BS238" s="139">
        <v>0</v>
      </c>
      <c r="BT238" s="139">
        <v>0</v>
      </c>
      <c r="BU238" s="139">
        <v>0</v>
      </c>
      <c r="BV238" s="139">
        <v>0</v>
      </c>
      <c r="BW238" s="139">
        <v>0</v>
      </c>
      <c r="BX238" s="139">
        <v>0</v>
      </c>
      <c r="BY238" s="139">
        <v>0</v>
      </c>
      <c r="BZ238" s="139">
        <v>0</v>
      </c>
      <c r="CA238" s="139">
        <v>0</v>
      </c>
      <c r="CB238" s="139">
        <v>0</v>
      </c>
      <c r="CC238" s="139">
        <v>0</v>
      </c>
      <c r="CD238" s="144">
        <v>0</v>
      </c>
      <c r="CE238" s="70">
        <v>0</v>
      </c>
      <c r="CF238" s="71">
        <v>0</v>
      </c>
      <c r="CG238" s="71">
        <v>0</v>
      </c>
      <c r="CH238" s="71">
        <v>0</v>
      </c>
      <c r="CI238" s="71">
        <v>0</v>
      </c>
      <c r="CJ238" s="144">
        <v>0</v>
      </c>
      <c r="CK238" s="71">
        <v>0</v>
      </c>
      <c r="CL238" s="144">
        <v>0</v>
      </c>
      <c r="CM238" s="144">
        <v>0</v>
      </c>
      <c r="CN238" s="144">
        <v>0</v>
      </c>
      <c r="CO238" s="71">
        <v>0</v>
      </c>
      <c r="CP238" s="71">
        <v>0</v>
      </c>
      <c r="CQ238" s="71">
        <v>0</v>
      </c>
      <c r="CR238" s="71">
        <v>0</v>
      </c>
      <c r="CS238" s="144">
        <v>0</v>
      </c>
      <c r="CT238" s="71">
        <v>0</v>
      </c>
      <c r="CU238" s="71">
        <v>0</v>
      </c>
      <c r="CV238" s="71">
        <v>0</v>
      </c>
    </row>
    <row r="239" spans="1:100" x14ac:dyDescent="0.25">
      <c r="A239" t="s">
        <v>420</v>
      </c>
      <c r="B239" s="49">
        <v>0</v>
      </c>
      <c r="C239" s="49">
        <v>0</v>
      </c>
      <c r="D239" s="49">
        <v>0</v>
      </c>
      <c r="E239" s="49">
        <v>0</v>
      </c>
      <c r="F239" s="49">
        <v>0</v>
      </c>
      <c r="G239" s="49">
        <v>0</v>
      </c>
      <c r="H239" s="49">
        <v>0</v>
      </c>
      <c r="I239" s="49">
        <v>0</v>
      </c>
      <c r="J239" s="49">
        <v>0</v>
      </c>
      <c r="K239" s="49">
        <v>0</v>
      </c>
      <c r="L239" s="49">
        <v>0</v>
      </c>
      <c r="M239" s="49">
        <v>0</v>
      </c>
      <c r="N239" s="49">
        <v>0</v>
      </c>
      <c r="O239" s="49">
        <v>0</v>
      </c>
      <c r="P239" s="49">
        <v>0</v>
      </c>
      <c r="Q239" s="49">
        <v>0</v>
      </c>
      <c r="R239" s="49">
        <v>0</v>
      </c>
      <c r="S239" s="49">
        <v>0</v>
      </c>
      <c r="T239" s="49">
        <v>0</v>
      </c>
      <c r="U239" s="65">
        <v>0</v>
      </c>
      <c r="V239" s="65">
        <v>0</v>
      </c>
      <c r="W239" s="65">
        <v>0</v>
      </c>
      <c r="X239" s="65">
        <v>0</v>
      </c>
      <c r="Y239" s="65">
        <v>0</v>
      </c>
      <c r="Z239" s="65">
        <v>0</v>
      </c>
      <c r="AA239" s="65">
        <v>0</v>
      </c>
      <c r="AB239" s="65">
        <v>0</v>
      </c>
      <c r="AC239" s="65">
        <v>0</v>
      </c>
      <c r="AD239" s="65">
        <v>0</v>
      </c>
      <c r="AE239" s="65">
        <v>0</v>
      </c>
      <c r="AF239" s="65">
        <v>0</v>
      </c>
      <c r="AG239" s="65">
        <v>0</v>
      </c>
      <c r="AH239" s="65">
        <v>0</v>
      </c>
      <c r="AI239" s="65">
        <v>0</v>
      </c>
      <c r="AJ239" s="65">
        <v>0</v>
      </c>
      <c r="AK239" s="65">
        <v>0</v>
      </c>
      <c r="AL239" s="65">
        <v>0</v>
      </c>
      <c r="AM239" s="65">
        <v>0</v>
      </c>
      <c r="AN239" s="66">
        <v>0</v>
      </c>
      <c r="AO239" s="66">
        <v>0</v>
      </c>
      <c r="AP239" s="66">
        <v>0</v>
      </c>
      <c r="AQ239" s="66">
        <v>0</v>
      </c>
      <c r="AR239" s="66">
        <v>0</v>
      </c>
      <c r="AS239" s="66">
        <v>0</v>
      </c>
      <c r="AT239" s="66">
        <f>6%+(char4Refine-1)*2%</f>
        <v>0.1</v>
      </c>
      <c r="AU239" s="66">
        <v>0</v>
      </c>
      <c r="AV239" s="66">
        <v>0</v>
      </c>
      <c r="AW239" s="66">
        <v>0</v>
      </c>
      <c r="AX239" s="66">
        <v>0</v>
      </c>
      <c r="AY239" s="66">
        <v>0</v>
      </c>
      <c r="AZ239" s="66">
        <v>0</v>
      </c>
      <c r="BA239" s="66">
        <v>0</v>
      </c>
      <c r="BB239" s="66">
        <v>0</v>
      </c>
      <c r="BC239" s="66">
        <v>0</v>
      </c>
      <c r="BD239" s="66">
        <v>0</v>
      </c>
      <c r="BE239" s="66">
        <v>0</v>
      </c>
      <c r="BF239" s="66">
        <v>0</v>
      </c>
      <c r="BG239" s="66">
        <v>0</v>
      </c>
      <c r="BH239" s="66">
        <v>0</v>
      </c>
      <c r="BI239" s="66">
        <v>0</v>
      </c>
      <c r="BJ239" s="68">
        <v>0</v>
      </c>
      <c r="BK239" s="67">
        <v>0</v>
      </c>
      <c r="BL239" s="68">
        <v>0</v>
      </c>
      <c r="BM239" s="68">
        <v>0</v>
      </c>
      <c r="BN239" s="68">
        <v>0</v>
      </c>
      <c r="BO239" s="68">
        <v>0</v>
      </c>
      <c r="BP239" s="68">
        <v>0</v>
      </c>
      <c r="BQ239" s="68">
        <v>0</v>
      </c>
      <c r="BR239" s="68">
        <v>0</v>
      </c>
      <c r="BS239" s="68">
        <v>0</v>
      </c>
      <c r="BT239" s="68">
        <v>0</v>
      </c>
      <c r="BU239" s="68">
        <v>0</v>
      </c>
      <c r="BV239" s="68">
        <v>0</v>
      </c>
      <c r="BW239" s="68">
        <v>0</v>
      </c>
      <c r="BX239" s="68">
        <v>0</v>
      </c>
      <c r="BY239" s="68">
        <v>0</v>
      </c>
      <c r="BZ239" s="68">
        <v>0</v>
      </c>
      <c r="CA239" s="68">
        <v>0</v>
      </c>
      <c r="CB239" s="68">
        <v>0</v>
      </c>
      <c r="CC239" s="68">
        <v>0</v>
      </c>
      <c r="CD239" s="72">
        <v>0</v>
      </c>
      <c r="CE239" s="72">
        <v>0</v>
      </c>
      <c r="CF239" s="72">
        <v>0</v>
      </c>
      <c r="CG239" s="72">
        <v>0</v>
      </c>
      <c r="CH239" s="72">
        <v>0</v>
      </c>
      <c r="CI239" s="72">
        <v>0</v>
      </c>
      <c r="CJ239" s="72">
        <v>0</v>
      </c>
      <c r="CK239" s="72">
        <v>0</v>
      </c>
      <c r="CL239" s="72">
        <v>0</v>
      </c>
      <c r="CM239" s="72">
        <v>0</v>
      </c>
      <c r="CN239" s="72">
        <v>0</v>
      </c>
      <c r="CO239" s="72">
        <v>0</v>
      </c>
      <c r="CP239" s="72">
        <v>0</v>
      </c>
      <c r="CQ239" s="72">
        <v>0</v>
      </c>
      <c r="CR239" s="72">
        <v>0</v>
      </c>
      <c r="CS239" s="72">
        <v>0</v>
      </c>
      <c r="CT239" s="72">
        <v>0</v>
      </c>
      <c r="CU239" s="72">
        <v>0</v>
      </c>
      <c r="CV239" s="72">
        <v>0</v>
      </c>
    </row>
    <row r="240" spans="1:100" x14ac:dyDescent="0.25">
      <c r="A240" t="s">
        <v>419</v>
      </c>
      <c r="B240" s="49">
        <v>0</v>
      </c>
      <c r="C240" s="49">
        <v>0</v>
      </c>
      <c r="D240" s="49">
        <v>0</v>
      </c>
      <c r="E240" s="49">
        <v>0</v>
      </c>
      <c r="F240" s="49">
        <v>0</v>
      </c>
      <c r="G240" s="49">
        <v>0</v>
      </c>
      <c r="H240" s="49">
        <v>0</v>
      </c>
      <c r="I240" s="49">
        <v>0</v>
      </c>
      <c r="J240" s="49">
        <v>0</v>
      </c>
      <c r="K240" s="49">
        <v>0</v>
      </c>
      <c r="L240" s="49">
        <v>0</v>
      </c>
      <c r="M240" s="49">
        <v>0</v>
      </c>
      <c r="N240" s="49">
        <v>0</v>
      </c>
      <c r="O240" s="49">
        <v>0</v>
      </c>
      <c r="P240" s="49">
        <v>0</v>
      </c>
      <c r="Q240" s="49">
        <v>0</v>
      </c>
      <c r="R240" s="49">
        <v>0</v>
      </c>
      <c r="S240" s="49">
        <v>0</v>
      </c>
      <c r="T240" s="49">
        <v>0</v>
      </c>
      <c r="U240" s="65">
        <v>0</v>
      </c>
      <c r="V240" s="65">
        <v>0</v>
      </c>
      <c r="W240" s="65">
        <v>0</v>
      </c>
      <c r="X240" s="65">
        <v>0</v>
      </c>
      <c r="Y240" s="65">
        <v>0</v>
      </c>
      <c r="Z240" s="65">
        <v>0</v>
      </c>
      <c r="AA240" s="65">
        <f>6%+(char4Refine-1)*1.5%</f>
        <v>0.09</v>
      </c>
      <c r="AB240" s="65">
        <v>0</v>
      </c>
      <c r="AC240" s="65">
        <v>0</v>
      </c>
      <c r="AD240" s="65">
        <v>0</v>
      </c>
      <c r="AE240" s="65">
        <v>0</v>
      </c>
      <c r="AF240" s="65">
        <v>0</v>
      </c>
      <c r="AG240" s="65">
        <v>0</v>
      </c>
      <c r="AH240" s="65">
        <v>0</v>
      </c>
      <c r="AI240" s="65">
        <v>0</v>
      </c>
      <c r="AJ240" s="65">
        <v>0</v>
      </c>
      <c r="AK240" s="65">
        <v>0</v>
      </c>
      <c r="AL240" s="65">
        <v>0</v>
      </c>
      <c r="AM240" s="65">
        <v>0</v>
      </c>
      <c r="AN240" s="66">
        <v>0</v>
      </c>
      <c r="AO240" s="66">
        <v>0</v>
      </c>
      <c r="AP240" s="66">
        <v>0</v>
      </c>
      <c r="AQ240" s="66">
        <v>0</v>
      </c>
      <c r="AR240" s="66">
        <v>0</v>
      </c>
      <c r="AS240" s="66">
        <v>0</v>
      </c>
      <c r="AT240" s="66">
        <v>0</v>
      </c>
      <c r="AU240" s="66">
        <v>0</v>
      </c>
      <c r="AV240" s="66">
        <v>0</v>
      </c>
      <c r="AW240" s="66">
        <v>0</v>
      </c>
      <c r="AX240" s="66">
        <v>0</v>
      </c>
      <c r="AY240" s="66">
        <v>0</v>
      </c>
      <c r="AZ240" s="66">
        <v>0</v>
      </c>
      <c r="BA240" s="66">
        <v>0</v>
      </c>
      <c r="BB240" s="66">
        <v>0</v>
      </c>
      <c r="BC240" s="66">
        <v>0</v>
      </c>
      <c r="BD240" s="66">
        <v>0</v>
      </c>
      <c r="BE240" s="66">
        <v>0</v>
      </c>
      <c r="BF240" s="66">
        <v>0</v>
      </c>
      <c r="BG240" s="66">
        <v>0</v>
      </c>
      <c r="BH240" s="66">
        <v>0</v>
      </c>
      <c r="BI240" s="66">
        <v>0</v>
      </c>
      <c r="BJ240" s="68">
        <v>0</v>
      </c>
      <c r="BK240" s="67">
        <v>0</v>
      </c>
      <c r="BL240" s="68">
        <v>0</v>
      </c>
      <c r="BM240" s="68">
        <v>0</v>
      </c>
      <c r="BN240" s="68">
        <v>0</v>
      </c>
      <c r="BO240" s="68">
        <v>0</v>
      </c>
      <c r="BP240" s="68">
        <v>0</v>
      </c>
      <c r="BQ240" s="68">
        <v>0</v>
      </c>
      <c r="BR240" s="68">
        <v>0</v>
      </c>
      <c r="BS240" s="68">
        <v>0</v>
      </c>
      <c r="BT240" s="68">
        <v>0</v>
      </c>
      <c r="BU240" s="68">
        <v>0</v>
      </c>
      <c r="BV240" s="68">
        <v>0</v>
      </c>
      <c r="BW240" s="68">
        <v>0</v>
      </c>
      <c r="BX240" s="68">
        <v>0</v>
      </c>
      <c r="BY240" s="68">
        <v>0</v>
      </c>
      <c r="BZ240" s="68">
        <v>0</v>
      </c>
      <c r="CA240" s="68">
        <v>0</v>
      </c>
      <c r="CB240" s="68">
        <v>0</v>
      </c>
      <c r="CC240" s="68">
        <v>0</v>
      </c>
      <c r="CD240" s="72">
        <v>0</v>
      </c>
      <c r="CE240" s="72">
        <v>0</v>
      </c>
      <c r="CF240" s="72">
        <v>0</v>
      </c>
      <c r="CG240" s="72">
        <v>0</v>
      </c>
      <c r="CH240" s="72">
        <v>0</v>
      </c>
      <c r="CI240" s="72">
        <v>0</v>
      </c>
      <c r="CJ240" s="72">
        <v>0</v>
      </c>
      <c r="CK240" s="72">
        <v>0</v>
      </c>
      <c r="CL240" s="72">
        <v>0</v>
      </c>
      <c r="CM240" s="72">
        <v>0</v>
      </c>
      <c r="CN240" s="72">
        <v>0</v>
      </c>
      <c r="CO240" s="72">
        <v>0</v>
      </c>
      <c r="CP240" s="72">
        <v>0</v>
      </c>
      <c r="CQ240" s="72">
        <v>0</v>
      </c>
      <c r="CR240" s="72">
        <v>0</v>
      </c>
      <c r="CS240" s="72">
        <v>0</v>
      </c>
      <c r="CT240" s="72">
        <v>0</v>
      </c>
      <c r="CU240" s="72">
        <v>0</v>
      </c>
      <c r="CV240" s="72">
        <v>0</v>
      </c>
    </row>
    <row r="241" spans="1:100" x14ac:dyDescent="0.25">
      <c r="A241" t="s">
        <v>421</v>
      </c>
      <c r="B241" s="49">
        <v>0</v>
      </c>
      <c r="C241" s="49">
        <v>0</v>
      </c>
      <c r="D241" s="49">
        <v>0</v>
      </c>
      <c r="E241" s="49">
        <v>0</v>
      </c>
      <c r="F241" s="49">
        <v>0</v>
      </c>
      <c r="G241" s="49">
        <v>0</v>
      </c>
      <c r="H241" s="49">
        <v>0</v>
      </c>
      <c r="I241" s="49">
        <v>0</v>
      </c>
      <c r="J241" s="49">
        <v>0</v>
      </c>
      <c r="K241" s="49">
        <v>0</v>
      </c>
      <c r="L241" s="49">
        <v>0</v>
      </c>
      <c r="M241" s="49">
        <v>0</v>
      </c>
      <c r="N241" s="49">
        <v>0</v>
      </c>
      <c r="O241" s="49">
        <v>0</v>
      </c>
      <c r="P241" s="49">
        <v>0</v>
      </c>
      <c r="Q241" s="49">
        <v>0</v>
      </c>
      <c r="R241" s="49">
        <v>0</v>
      </c>
      <c r="S241" s="49">
        <v>0</v>
      </c>
      <c r="T241" s="49">
        <v>0</v>
      </c>
      <c r="U241" s="65">
        <v>0</v>
      </c>
      <c r="V241" s="65">
        <v>0</v>
      </c>
      <c r="W241" s="65">
        <v>0</v>
      </c>
      <c r="X241" s="65">
        <v>0</v>
      </c>
      <c r="Y241" s="65">
        <v>0</v>
      </c>
      <c r="Z241" s="65">
        <v>0</v>
      </c>
      <c r="AA241" s="65">
        <v>0</v>
      </c>
      <c r="AB241" s="65">
        <v>0</v>
      </c>
      <c r="AC241" s="65">
        <v>0</v>
      </c>
      <c r="AD241" s="65">
        <v>0</v>
      </c>
      <c r="AE241" s="65">
        <v>0</v>
      </c>
      <c r="AF241" s="65">
        <v>0</v>
      </c>
      <c r="AG241" s="65">
        <v>0</v>
      </c>
      <c r="AH241" s="65">
        <v>0</v>
      </c>
      <c r="AI241" s="65">
        <v>0</v>
      </c>
      <c r="AJ241" s="65">
        <v>0</v>
      </c>
      <c r="AK241" s="65">
        <v>0</v>
      </c>
      <c r="AL241" s="65">
        <v>0</v>
      </c>
      <c r="AM241" s="65">
        <v>0</v>
      </c>
      <c r="AN241" s="66">
        <v>0</v>
      </c>
      <c r="AO241" s="66">
        <v>0</v>
      </c>
      <c r="AP241" s="66">
        <v>0</v>
      </c>
      <c r="AQ241" s="66">
        <v>0</v>
      </c>
      <c r="AR241" s="66">
        <v>0</v>
      </c>
      <c r="AS241" s="66">
        <v>0</v>
      </c>
      <c r="AT241" s="66">
        <v>0</v>
      </c>
      <c r="AU241" s="66">
        <v>0</v>
      </c>
      <c r="AV241" s="66">
        <v>0</v>
      </c>
      <c r="AW241" s="66">
        <v>0</v>
      </c>
      <c r="AX241" s="66">
        <v>0</v>
      </c>
      <c r="AY241" s="66">
        <v>0</v>
      </c>
      <c r="AZ241" s="66">
        <v>0</v>
      </c>
      <c r="BA241" s="66">
        <v>0</v>
      </c>
      <c r="BB241" s="66">
        <v>0</v>
      </c>
      <c r="BC241" s="66">
        <v>0</v>
      </c>
      <c r="BD241" s="66">
        <v>0</v>
      </c>
      <c r="BE241" s="66">
        <v>0</v>
      </c>
      <c r="BF241" s="66">
        <v>0</v>
      </c>
      <c r="BG241" s="66">
        <v>0</v>
      </c>
      <c r="BH241" s="66">
        <v>0</v>
      </c>
      <c r="BI241" s="66">
        <v>0</v>
      </c>
      <c r="BJ241" s="68">
        <v>0</v>
      </c>
      <c r="BK241" s="67">
        <v>0</v>
      </c>
      <c r="BL241" s="68">
        <v>0</v>
      </c>
      <c r="BM241" s="68">
        <v>0</v>
      </c>
      <c r="BN241" s="68">
        <v>0</v>
      </c>
      <c r="BO241" s="68">
        <v>0</v>
      </c>
      <c r="BP241" s="68">
        <v>0</v>
      </c>
      <c r="BQ241" s="68">
        <v>0</v>
      </c>
      <c r="BR241" s="68">
        <v>0</v>
      </c>
      <c r="BS241" s="68">
        <v>0</v>
      </c>
      <c r="BT241" s="68">
        <v>0</v>
      </c>
      <c r="BU241" s="68">
        <v>0</v>
      </c>
      <c r="BV241" s="68">
        <v>0</v>
      </c>
      <c r="BW241" s="68">
        <v>0</v>
      </c>
      <c r="BX241" s="68">
        <v>0</v>
      </c>
      <c r="BY241" s="68">
        <v>0</v>
      </c>
      <c r="BZ241" s="68">
        <v>0</v>
      </c>
      <c r="CA241" s="68">
        <v>0</v>
      </c>
      <c r="CB241" s="68">
        <v>0</v>
      </c>
      <c r="CC241" s="68">
        <v>0</v>
      </c>
      <c r="CD241" s="72">
        <v>0</v>
      </c>
      <c r="CE241" s="72">
        <v>0</v>
      </c>
      <c r="CF241" s="72">
        <v>0</v>
      </c>
      <c r="CG241" s="72">
        <v>0</v>
      </c>
      <c r="CH241" s="72">
        <v>0</v>
      </c>
      <c r="CI241" s="72">
        <v>0</v>
      </c>
      <c r="CJ241" s="72">
        <v>0</v>
      </c>
      <c r="CK241" s="72">
        <v>0</v>
      </c>
      <c r="CL241" s="72">
        <v>0</v>
      </c>
      <c r="CM241" s="72">
        <v>0</v>
      </c>
      <c r="CN241" s="72">
        <v>0</v>
      </c>
      <c r="CO241" s="72">
        <v>0</v>
      </c>
      <c r="CP241" s="72">
        <v>0</v>
      </c>
      <c r="CQ241" s="72">
        <v>0</v>
      </c>
      <c r="CR241" s="72">
        <v>0</v>
      </c>
      <c r="CS241" s="72">
        <v>0</v>
      </c>
      <c r="CT241" s="72">
        <v>0</v>
      </c>
      <c r="CU241" s="72">
        <v>0</v>
      </c>
      <c r="CV241" s="72">
        <v>0</v>
      </c>
    </row>
    <row r="242" spans="1:100" x14ac:dyDescent="0.25">
      <c r="A242" t="s">
        <v>433</v>
      </c>
      <c r="B242" s="49">
        <v>0</v>
      </c>
      <c r="C242" s="49">
        <v>0</v>
      </c>
      <c r="D242" s="49">
        <v>0</v>
      </c>
      <c r="E242" s="49">
        <v>0</v>
      </c>
      <c r="F242" s="49">
        <v>0</v>
      </c>
      <c r="G242" s="49">
        <v>0</v>
      </c>
      <c r="H242" s="49">
        <v>0</v>
      </c>
      <c r="I242" s="49">
        <v>0</v>
      </c>
      <c r="J242" s="49">
        <v>0</v>
      </c>
      <c r="K242" s="49">
        <v>0</v>
      </c>
      <c r="L242" s="49">
        <v>0</v>
      </c>
      <c r="M242" s="49">
        <v>0</v>
      </c>
      <c r="N242" s="49">
        <v>0</v>
      </c>
      <c r="O242" s="49">
        <v>0</v>
      </c>
      <c r="P242" s="49">
        <v>0</v>
      </c>
      <c r="Q242" s="49">
        <v>0</v>
      </c>
      <c r="R242" s="49">
        <v>0</v>
      </c>
      <c r="S242" s="49">
        <v>0</v>
      </c>
      <c r="T242" s="49">
        <v>0</v>
      </c>
      <c r="U242" s="65">
        <v>0</v>
      </c>
      <c r="V242" s="65">
        <v>0</v>
      </c>
      <c r="W242" s="65">
        <v>0</v>
      </c>
      <c r="X242" s="65">
        <v>0</v>
      </c>
      <c r="Y242" s="65">
        <v>0</v>
      </c>
      <c r="Z242" s="65">
        <v>0</v>
      </c>
      <c r="AA242" s="65">
        <v>0</v>
      </c>
      <c r="AB242" s="65">
        <v>0</v>
      </c>
      <c r="AC242" s="65">
        <v>0</v>
      </c>
      <c r="AD242" s="65">
        <v>0</v>
      </c>
      <c r="AE242" s="65">
        <v>0</v>
      </c>
      <c r="AF242" s="65">
        <v>0</v>
      </c>
      <c r="AG242" s="65">
        <v>0</v>
      </c>
      <c r="AH242" s="65">
        <v>0</v>
      </c>
      <c r="AI242" s="65">
        <v>0</v>
      </c>
      <c r="AJ242" s="65">
        <v>0</v>
      </c>
      <c r="AK242" s="65">
        <v>0</v>
      </c>
      <c r="AL242" s="65">
        <v>0</v>
      </c>
      <c r="AM242" s="65">
        <v>0</v>
      </c>
      <c r="AN242" s="66">
        <v>0</v>
      </c>
      <c r="AO242" s="66">
        <v>0</v>
      </c>
      <c r="AP242" s="66">
        <v>0</v>
      </c>
      <c r="AQ242" s="66">
        <v>0</v>
      </c>
      <c r="AR242" s="66">
        <v>0</v>
      </c>
      <c r="AS242" s="66">
        <v>0</v>
      </c>
      <c r="AT242" s="66">
        <v>0</v>
      </c>
      <c r="AU242" s="66">
        <v>0</v>
      </c>
      <c r="AV242" s="66">
        <v>0</v>
      </c>
      <c r="AW242" s="66">
        <v>0</v>
      </c>
      <c r="AX242" s="66">
        <v>0</v>
      </c>
      <c r="AY242" s="66">
        <v>0</v>
      </c>
      <c r="AZ242" s="66">
        <v>0</v>
      </c>
      <c r="BA242" s="66">
        <v>0</v>
      </c>
      <c r="BB242" s="66">
        <v>0</v>
      </c>
      <c r="BC242" s="66">
        <v>0</v>
      </c>
      <c r="BD242" s="66">
        <v>0</v>
      </c>
      <c r="BE242" s="66">
        <v>0</v>
      </c>
      <c r="BF242" s="66">
        <v>0</v>
      </c>
      <c r="BG242" s="66">
        <v>0</v>
      </c>
      <c r="BH242" s="66">
        <v>0</v>
      </c>
      <c r="BI242" s="66">
        <v>0</v>
      </c>
      <c r="BJ242" s="68">
        <v>0</v>
      </c>
      <c r="BK242" s="67">
        <v>0</v>
      </c>
      <c r="BL242" s="68">
        <v>0</v>
      </c>
      <c r="BM242" s="68">
        <v>0</v>
      </c>
      <c r="BN242" s="68">
        <v>0</v>
      </c>
      <c r="BO242" s="68">
        <v>0</v>
      </c>
      <c r="BP242" s="68">
        <v>0</v>
      </c>
      <c r="BQ242" s="68">
        <v>0</v>
      </c>
      <c r="BR242" s="68">
        <v>0</v>
      </c>
      <c r="BS242" s="68">
        <v>0</v>
      </c>
      <c r="BT242" s="68">
        <v>0</v>
      </c>
      <c r="BU242" s="68">
        <v>0</v>
      </c>
      <c r="BV242" s="68">
        <v>0</v>
      </c>
      <c r="BW242" s="68">
        <v>0</v>
      </c>
      <c r="BX242" s="68">
        <v>0</v>
      </c>
      <c r="BY242" s="68">
        <v>0</v>
      </c>
      <c r="BZ242" s="68">
        <v>0</v>
      </c>
      <c r="CA242" s="68">
        <v>0</v>
      </c>
      <c r="CB242" s="68">
        <v>0</v>
      </c>
      <c r="CC242" s="68">
        <v>0</v>
      </c>
      <c r="CD242" s="72">
        <v>0</v>
      </c>
      <c r="CE242" s="72">
        <v>0</v>
      </c>
      <c r="CF242" s="72">
        <v>0</v>
      </c>
      <c r="CG242" s="72">
        <v>0</v>
      </c>
      <c r="CH242" s="72">
        <v>0</v>
      </c>
      <c r="CI242" s="72">
        <v>0</v>
      </c>
      <c r="CJ242" s="72">
        <v>0</v>
      </c>
      <c r="CK242" s="72">
        <v>0</v>
      </c>
      <c r="CL242" s="72">
        <v>0</v>
      </c>
      <c r="CM242" s="72">
        <v>0</v>
      </c>
      <c r="CN242" s="72">
        <v>0</v>
      </c>
      <c r="CO242" s="72">
        <v>0</v>
      </c>
      <c r="CP242" s="72">
        <v>0</v>
      </c>
      <c r="CQ242" s="72">
        <v>0</v>
      </c>
      <c r="CR242" s="72">
        <v>0</v>
      </c>
      <c r="CS242" s="72">
        <v>0</v>
      </c>
      <c r="CT242" s="72">
        <v>0</v>
      </c>
      <c r="CU242" s="72">
        <v>0</v>
      </c>
      <c r="CV242" s="72">
        <v>0</v>
      </c>
    </row>
    <row r="243" spans="1:100" x14ac:dyDescent="0.25">
      <c r="A243" s="44" t="s">
        <v>62</v>
      </c>
      <c r="B243" s="132">
        <v>0</v>
      </c>
      <c r="C243" s="132">
        <v>0</v>
      </c>
      <c r="D243" s="201">
        <v>0</v>
      </c>
      <c r="E243" s="132">
        <v>0</v>
      </c>
      <c r="F243" s="201">
        <v>0</v>
      </c>
      <c r="G243" s="132">
        <v>0</v>
      </c>
      <c r="H243" s="132">
        <v>0</v>
      </c>
      <c r="I243" s="132">
        <v>0</v>
      </c>
      <c r="J243" s="132">
        <v>0</v>
      </c>
      <c r="K243" s="132">
        <v>0</v>
      </c>
      <c r="L243" s="132">
        <v>0</v>
      </c>
      <c r="M243" s="132">
        <v>0</v>
      </c>
      <c r="N243" s="132">
        <v>0</v>
      </c>
      <c r="O243" s="132">
        <v>0</v>
      </c>
      <c r="P243" s="201">
        <v>0</v>
      </c>
      <c r="Q243" s="201">
        <v>0</v>
      </c>
      <c r="R243" s="201">
        <v>0</v>
      </c>
      <c r="S243" s="132">
        <v>0</v>
      </c>
      <c r="T243" s="132">
        <v>0</v>
      </c>
      <c r="U243" s="137">
        <v>0</v>
      </c>
      <c r="V243" s="137">
        <v>0</v>
      </c>
      <c r="W243" s="137">
        <v>0</v>
      </c>
      <c r="X243" s="137">
        <v>0</v>
      </c>
      <c r="Y243" s="137">
        <f>IF(char4WeapToggle,(char4FinalHP*(0.008+(char4Refine-1)*0.002))+(char4FinalHP*(0.01+(char4Refine-1)*0.002)),(char4FinalHP*(0.008+(char4Refine-1)*0.002)))</f>
        <v>438.45243519999997</v>
      </c>
      <c r="Z243" s="65">
        <v>0</v>
      </c>
      <c r="AA243" s="137">
        <v>0</v>
      </c>
      <c r="AB243" s="137">
        <v>0</v>
      </c>
      <c r="AC243" s="137">
        <v>0</v>
      </c>
      <c r="AD243" s="137">
        <v>0</v>
      </c>
      <c r="AE243" s="137">
        <v>0</v>
      </c>
      <c r="AF243" s="137">
        <v>0</v>
      </c>
      <c r="AG243" s="137">
        <v>0</v>
      </c>
      <c r="AH243" s="74">
        <v>0</v>
      </c>
      <c r="AI243" s="137">
        <v>0</v>
      </c>
      <c r="AJ243" s="137">
        <v>0</v>
      </c>
      <c r="AK243" s="137">
        <v>0</v>
      </c>
      <c r="AL243" s="137">
        <v>0</v>
      </c>
      <c r="AM243" s="137">
        <v>0</v>
      </c>
      <c r="AN243" s="138">
        <f>((1.2+(char4Refine-1)*0.3)/100)*char4FinalHP</f>
        <v>303.54399359999996</v>
      </c>
      <c r="AO243" s="138">
        <v>0</v>
      </c>
      <c r="AP243" s="138">
        <v>0</v>
      </c>
      <c r="AQ243" s="138">
        <v>0</v>
      </c>
      <c r="AR243" s="138">
        <v>0</v>
      </c>
      <c r="AS243" s="138">
        <v>0</v>
      </c>
      <c r="AT243" s="138">
        <v>0</v>
      </c>
      <c r="AU243" s="138">
        <v>0</v>
      </c>
      <c r="AV243" s="138">
        <v>0</v>
      </c>
      <c r="AW243" s="138">
        <v>0</v>
      </c>
      <c r="AX243" s="138">
        <v>0</v>
      </c>
      <c r="AY243" s="138">
        <v>0</v>
      </c>
      <c r="AZ243" s="138">
        <v>0</v>
      </c>
      <c r="BA243" s="138">
        <v>0</v>
      </c>
      <c r="BB243" s="138">
        <v>0</v>
      </c>
      <c r="BC243" s="138">
        <v>0</v>
      </c>
      <c r="BD243" s="138">
        <v>0</v>
      </c>
      <c r="BE243" s="138">
        <v>0</v>
      </c>
      <c r="BF243" s="138">
        <v>0</v>
      </c>
      <c r="BG243" s="138">
        <v>0</v>
      </c>
      <c r="BH243" s="138">
        <v>0</v>
      </c>
      <c r="BI243" s="138">
        <v>0</v>
      </c>
      <c r="BJ243" s="140">
        <v>0</v>
      </c>
      <c r="BK243" s="67">
        <v>0</v>
      </c>
      <c r="BL243" s="140">
        <v>0</v>
      </c>
      <c r="BM243" s="140">
        <v>0</v>
      </c>
      <c r="BN243" s="140">
        <v>0</v>
      </c>
      <c r="BO243" s="140">
        <v>0</v>
      </c>
      <c r="BP243" s="140">
        <v>0</v>
      </c>
      <c r="BQ243" s="140">
        <v>0</v>
      </c>
      <c r="BR243" s="140">
        <v>0</v>
      </c>
      <c r="BS243" s="140">
        <v>0</v>
      </c>
      <c r="BT243" s="140">
        <v>0</v>
      </c>
      <c r="BU243" s="140">
        <v>0</v>
      </c>
      <c r="BV243" s="140">
        <v>0</v>
      </c>
      <c r="BW243" s="140">
        <v>0</v>
      </c>
      <c r="BX243" s="140">
        <v>0</v>
      </c>
      <c r="BY243" s="140">
        <v>0</v>
      </c>
      <c r="BZ243" s="140">
        <v>0</v>
      </c>
      <c r="CA243" s="140">
        <v>0</v>
      </c>
      <c r="CB243" s="140">
        <v>0</v>
      </c>
      <c r="CC243" s="140">
        <v>0</v>
      </c>
      <c r="CD243" s="142">
        <v>0</v>
      </c>
      <c r="CE243" s="77">
        <v>0</v>
      </c>
      <c r="CF243" s="142">
        <v>0</v>
      </c>
      <c r="CG243" s="142">
        <v>0</v>
      </c>
      <c r="CH243" s="142">
        <v>0</v>
      </c>
      <c r="CI243" s="142">
        <v>0</v>
      </c>
      <c r="CJ243" s="142">
        <v>0</v>
      </c>
      <c r="CK243" s="152">
        <v>0</v>
      </c>
      <c r="CL243" s="142">
        <v>0</v>
      </c>
      <c r="CM243" s="142">
        <v>0</v>
      </c>
      <c r="CN243" s="142">
        <v>0</v>
      </c>
      <c r="CO243" s="142">
        <v>0</v>
      </c>
      <c r="CP243" s="142">
        <v>0</v>
      </c>
      <c r="CQ243" s="152">
        <v>0</v>
      </c>
      <c r="CR243" s="142">
        <v>0</v>
      </c>
      <c r="CS243" s="142">
        <v>0</v>
      </c>
      <c r="CT243" s="142">
        <v>0</v>
      </c>
      <c r="CU243" s="142">
        <v>0</v>
      </c>
      <c r="CV243" s="152">
        <v>0</v>
      </c>
    </row>
    <row r="244" spans="1:100" x14ac:dyDescent="0.25">
      <c r="A244" s="44" t="s">
        <v>64</v>
      </c>
      <c r="B244" s="132">
        <v>0</v>
      </c>
      <c r="C244" s="132">
        <v>0</v>
      </c>
      <c r="D244" s="201">
        <v>0</v>
      </c>
      <c r="E244" s="132">
        <v>0</v>
      </c>
      <c r="F244" s="201">
        <v>0</v>
      </c>
      <c r="G244" s="132">
        <v>0</v>
      </c>
      <c r="H244" s="132">
        <v>0</v>
      </c>
      <c r="I244" s="132">
        <v>0</v>
      </c>
      <c r="J244" s="132">
        <v>0</v>
      </c>
      <c r="K244" s="132">
        <v>0</v>
      </c>
      <c r="L244" s="132">
        <v>0</v>
      </c>
      <c r="M244" s="132">
        <v>0</v>
      </c>
      <c r="N244" s="132">
        <v>0</v>
      </c>
      <c r="O244" s="132">
        <v>0</v>
      </c>
      <c r="P244" s="201">
        <v>0</v>
      </c>
      <c r="Q244" s="201">
        <v>0</v>
      </c>
      <c r="R244" s="201">
        <v>0</v>
      </c>
      <c r="S244" s="132">
        <v>0</v>
      </c>
      <c r="T244" s="132">
        <v>0</v>
      </c>
      <c r="U244" s="137">
        <v>0</v>
      </c>
      <c r="V244" s="137">
        <v>0</v>
      </c>
      <c r="W244" s="137">
        <v>0</v>
      </c>
      <c r="X244" s="137">
        <v>0</v>
      </c>
      <c r="Y244" s="137">
        <v>0</v>
      </c>
      <c r="Z244" s="65">
        <v>0</v>
      </c>
      <c r="AA244" s="137">
        <v>0</v>
      </c>
      <c r="AB244" s="137">
        <v>0</v>
      </c>
      <c r="AC244" s="137">
        <v>0</v>
      </c>
      <c r="AD244" s="137">
        <v>0</v>
      </c>
      <c r="AE244" s="137">
        <v>0</v>
      </c>
      <c r="AF244" s="137">
        <v>0</v>
      </c>
      <c r="AG244" s="137">
        <v>0</v>
      </c>
      <c r="AH244" s="74">
        <v>0</v>
      </c>
      <c r="AI244" s="137">
        <v>0</v>
      </c>
      <c r="AJ244" s="137">
        <v>0</v>
      </c>
      <c r="AK244" s="137">
        <v>0</v>
      </c>
      <c r="AL244" s="137">
        <v>0</v>
      </c>
      <c r="AM244" s="137">
        <v>0</v>
      </c>
      <c r="AN244" s="138">
        <v>0</v>
      </c>
      <c r="AO244" s="138">
        <v>0</v>
      </c>
      <c r="AP244" s="138">
        <v>0</v>
      </c>
      <c r="AQ244" s="138">
        <v>0</v>
      </c>
      <c r="AR244" s="138">
        <v>0</v>
      </c>
      <c r="AS244" s="138">
        <v>0</v>
      </c>
      <c r="AT244" s="138">
        <v>0</v>
      </c>
      <c r="AU244" s="138">
        <v>0</v>
      </c>
      <c r="AV244" s="138">
        <v>0</v>
      </c>
      <c r="AW244" s="138">
        <v>0</v>
      </c>
      <c r="AX244" s="138">
        <v>0</v>
      </c>
      <c r="AY244" s="138">
        <v>0</v>
      </c>
      <c r="AZ244" s="138">
        <v>0</v>
      </c>
      <c r="BA244" s="138">
        <v>0</v>
      </c>
      <c r="BB244" s="138">
        <v>0</v>
      </c>
      <c r="BC244" s="138">
        <v>0</v>
      </c>
      <c r="BD244" s="138">
        <v>0</v>
      </c>
      <c r="BE244" s="138">
        <v>0</v>
      </c>
      <c r="BF244" s="138">
        <v>0</v>
      </c>
      <c r="BG244" s="138">
        <v>0</v>
      </c>
      <c r="BH244" s="138">
        <v>0</v>
      </c>
      <c r="BI244" s="138">
        <v>0</v>
      </c>
      <c r="BJ244" s="140">
        <v>0</v>
      </c>
      <c r="BK244" s="67">
        <v>0</v>
      </c>
      <c r="BL244" s="140">
        <v>0</v>
      </c>
      <c r="BM244" s="140">
        <v>0</v>
      </c>
      <c r="BN244" s="140">
        <v>0</v>
      </c>
      <c r="BO244" s="140">
        <v>0</v>
      </c>
      <c r="BP244" s="140">
        <v>0</v>
      </c>
      <c r="BQ244" s="140">
        <v>0</v>
      </c>
      <c r="BR244" s="140">
        <v>0</v>
      </c>
      <c r="BS244" s="140">
        <v>0</v>
      </c>
      <c r="BT244" s="140">
        <v>0</v>
      </c>
      <c r="BU244" s="140">
        <v>0</v>
      </c>
      <c r="BV244" s="140">
        <v>0</v>
      </c>
      <c r="BW244" s="140">
        <v>0</v>
      </c>
      <c r="BX244" s="140">
        <v>0</v>
      </c>
      <c r="BY244" s="140">
        <v>0</v>
      </c>
      <c r="BZ244" s="140">
        <v>0</v>
      </c>
      <c r="CA244" s="140">
        <v>0</v>
      </c>
      <c r="CB244" s="140">
        <v>0</v>
      </c>
      <c r="CC244" s="140">
        <v>0</v>
      </c>
      <c r="CD244" s="142">
        <v>0</v>
      </c>
      <c r="CE244" s="77">
        <v>0</v>
      </c>
      <c r="CF244" s="142">
        <v>0</v>
      </c>
      <c r="CG244" s="142">
        <v>0</v>
      </c>
      <c r="CH244" s="142">
        <v>0</v>
      </c>
      <c r="CI244" s="142">
        <v>0</v>
      </c>
      <c r="CJ244" s="142">
        <v>0</v>
      </c>
      <c r="CK244" s="152">
        <v>0</v>
      </c>
      <c r="CL244" s="142">
        <v>0</v>
      </c>
      <c r="CM244" s="142">
        <v>0</v>
      </c>
      <c r="CN244" s="142">
        <v>0</v>
      </c>
      <c r="CO244" s="142">
        <v>0</v>
      </c>
      <c r="CP244" s="142">
        <v>0</v>
      </c>
      <c r="CQ244" s="152">
        <v>0</v>
      </c>
      <c r="CR244" s="142">
        <v>0</v>
      </c>
      <c r="CS244" s="142">
        <v>0</v>
      </c>
      <c r="CT244" s="142">
        <v>0</v>
      </c>
      <c r="CU244" s="142">
        <v>0</v>
      </c>
      <c r="CV244" s="152">
        <v>0</v>
      </c>
    </row>
    <row r="245" spans="1:100" x14ac:dyDescent="0.25">
      <c r="A245" s="44" t="s">
        <v>63</v>
      </c>
      <c r="B245" s="132">
        <v>0</v>
      </c>
      <c r="C245" s="132">
        <v>0</v>
      </c>
      <c r="D245" s="201">
        <v>0</v>
      </c>
      <c r="E245" s="132">
        <v>0</v>
      </c>
      <c r="F245" s="201">
        <v>0</v>
      </c>
      <c r="G245" s="132">
        <v>0</v>
      </c>
      <c r="H245" s="132">
        <v>0</v>
      </c>
      <c r="I245" s="132">
        <v>0</v>
      </c>
      <c r="J245" s="132">
        <v>0</v>
      </c>
      <c r="K245" s="132">
        <v>0</v>
      </c>
      <c r="L245" s="132">
        <v>0</v>
      </c>
      <c r="M245" s="132">
        <v>0</v>
      </c>
      <c r="N245" s="132">
        <v>0</v>
      </c>
      <c r="O245" s="132">
        <v>0</v>
      </c>
      <c r="P245" s="201">
        <v>0</v>
      </c>
      <c r="Q245" s="201">
        <v>0</v>
      </c>
      <c r="R245" s="201">
        <v>0</v>
      </c>
      <c r="S245" s="132">
        <v>0</v>
      </c>
      <c r="T245" s="132">
        <v>0</v>
      </c>
      <c r="U245" s="137">
        <v>0</v>
      </c>
      <c r="V245" s="137">
        <v>0</v>
      </c>
      <c r="W245" s="137">
        <v>0</v>
      </c>
      <c r="X245" s="137">
        <v>0</v>
      </c>
      <c r="Y245" s="137">
        <v>0</v>
      </c>
      <c r="Z245" s="65">
        <v>0</v>
      </c>
      <c r="AA245" s="137">
        <v>0</v>
      </c>
      <c r="AB245" s="137">
        <v>0</v>
      </c>
      <c r="AC245" s="137">
        <v>0</v>
      </c>
      <c r="AD245" s="137">
        <v>0</v>
      </c>
      <c r="AE245" s="137">
        <v>0</v>
      </c>
      <c r="AF245" s="137">
        <v>0</v>
      </c>
      <c r="AG245" s="137">
        <v>0</v>
      </c>
      <c r="AH245" s="74">
        <v>0</v>
      </c>
      <c r="AI245" s="137">
        <v>0</v>
      </c>
      <c r="AJ245" s="137">
        <v>0</v>
      </c>
      <c r="AK245" s="137">
        <v>0</v>
      </c>
      <c r="AL245" s="137">
        <v>0</v>
      </c>
      <c r="AM245" s="137">
        <v>0</v>
      </c>
      <c r="AN245" s="138">
        <v>0</v>
      </c>
      <c r="AO245" s="138">
        <v>0</v>
      </c>
      <c r="AP245" s="138">
        <v>0</v>
      </c>
      <c r="AQ245" s="138">
        <v>0</v>
      </c>
      <c r="AR245" s="138">
        <v>0</v>
      </c>
      <c r="AS245" s="138">
        <v>0</v>
      </c>
      <c r="AT245" s="138">
        <v>0</v>
      </c>
      <c r="AU245" s="138">
        <v>0</v>
      </c>
      <c r="AV245" s="138">
        <v>0</v>
      </c>
      <c r="AW245" s="138">
        <v>0</v>
      </c>
      <c r="AX245" s="138">
        <v>0</v>
      </c>
      <c r="AY245" s="138">
        <v>0</v>
      </c>
      <c r="AZ245" s="138">
        <v>0</v>
      </c>
      <c r="BA245" s="138">
        <v>0</v>
      </c>
      <c r="BB245" s="138">
        <v>0</v>
      </c>
      <c r="BC245" s="138">
        <v>0</v>
      </c>
      <c r="BD245" s="138">
        <v>0</v>
      </c>
      <c r="BE245" s="138">
        <v>0</v>
      </c>
      <c r="BF245" s="138">
        <v>0</v>
      </c>
      <c r="BG245" s="138">
        <v>0</v>
      </c>
      <c r="BH245" s="138">
        <v>0</v>
      </c>
      <c r="BI245" s="138">
        <v>0</v>
      </c>
      <c r="BJ245" s="140">
        <v>0</v>
      </c>
      <c r="BK245" s="67">
        <v>0</v>
      </c>
      <c r="BL245" s="140">
        <v>0</v>
      </c>
      <c r="BM245" s="140">
        <v>0</v>
      </c>
      <c r="BN245" s="140">
        <v>0</v>
      </c>
      <c r="BO245" s="140">
        <v>0</v>
      </c>
      <c r="BP245" s="140">
        <v>0</v>
      </c>
      <c r="BQ245" s="140">
        <v>0</v>
      </c>
      <c r="BR245" s="140">
        <v>0</v>
      </c>
      <c r="BS245" s="140">
        <v>0</v>
      </c>
      <c r="BT245" s="140">
        <v>0</v>
      </c>
      <c r="BU245" s="140">
        <v>0</v>
      </c>
      <c r="BV245" s="140">
        <v>0</v>
      </c>
      <c r="BW245" s="140">
        <v>0</v>
      </c>
      <c r="BX245" s="140">
        <v>0</v>
      </c>
      <c r="BY245" s="140">
        <v>0</v>
      </c>
      <c r="BZ245" s="140">
        <v>0</v>
      </c>
      <c r="CA245" s="140">
        <v>0</v>
      </c>
      <c r="CB245" s="140">
        <v>0</v>
      </c>
      <c r="CC245" s="140">
        <v>0</v>
      </c>
      <c r="CD245" s="142">
        <v>0</v>
      </c>
      <c r="CE245" s="77">
        <v>0</v>
      </c>
      <c r="CF245" s="142">
        <v>0</v>
      </c>
      <c r="CG245" s="142">
        <v>0</v>
      </c>
      <c r="CH245" s="142">
        <v>0</v>
      </c>
      <c r="CI245" s="142">
        <v>0</v>
      </c>
      <c r="CJ245" s="142">
        <v>0</v>
      </c>
      <c r="CK245" s="152">
        <v>0</v>
      </c>
      <c r="CL245" s="142">
        <v>0</v>
      </c>
      <c r="CM245" s="142">
        <v>0</v>
      </c>
      <c r="CN245" s="142">
        <v>0</v>
      </c>
      <c r="CO245" s="142">
        <v>0</v>
      </c>
      <c r="CP245" s="142">
        <v>0</v>
      </c>
      <c r="CQ245" s="152">
        <v>0</v>
      </c>
      <c r="CR245" s="142">
        <v>0</v>
      </c>
      <c r="CS245" s="142">
        <v>0</v>
      </c>
      <c r="CT245" s="142">
        <v>0</v>
      </c>
      <c r="CU245" s="142">
        <v>0</v>
      </c>
      <c r="CV245" s="152">
        <v>0</v>
      </c>
    </row>
    <row r="246" spans="1:100" x14ac:dyDescent="0.25">
      <c r="A246" s="44" t="s">
        <v>719</v>
      </c>
      <c r="B246" s="132" t="b">
        <v>1</v>
      </c>
      <c r="C246" s="132" t="b">
        <v>0</v>
      </c>
      <c r="D246" s="132" t="b">
        <v>1</v>
      </c>
      <c r="E246" s="132" t="b">
        <v>0</v>
      </c>
      <c r="F246" s="132" t="b">
        <v>0</v>
      </c>
      <c r="G246" s="132" t="b">
        <v>0</v>
      </c>
      <c r="H246" s="132" t="b">
        <v>0</v>
      </c>
      <c r="I246" s="132" t="b">
        <v>0</v>
      </c>
      <c r="J246" s="132" t="b">
        <v>0</v>
      </c>
      <c r="K246" s="132" t="b">
        <v>0</v>
      </c>
      <c r="L246" s="132" t="b">
        <v>1</v>
      </c>
      <c r="M246" s="132" t="b">
        <v>0</v>
      </c>
      <c r="N246" s="132" t="b">
        <v>0</v>
      </c>
      <c r="O246" s="132" t="b">
        <v>1</v>
      </c>
      <c r="P246" s="132" t="b">
        <v>1</v>
      </c>
      <c r="Q246" s="132" t="b">
        <v>0</v>
      </c>
      <c r="R246" s="132" t="b">
        <v>0</v>
      </c>
      <c r="S246" s="132" t="b">
        <v>0</v>
      </c>
      <c r="T246" s="132" t="b">
        <v>0</v>
      </c>
      <c r="U246" s="137" t="b">
        <v>1</v>
      </c>
      <c r="V246" s="137" t="b">
        <v>0</v>
      </c>
      <c r="W246" s="137" t="b">
        <v>0</v>
      </c>
      <c r="X246" s="137" t="b">
        <v>0</v>
      </c>
      <c r="Y246" s="137" t="b">
        <v>0</v>
      </c>
      <c r="Z246" s="137" t="b">
        <v>0</v>
      </c>
      <c r="AA246" s="137" t="b">
        <v>0</v>
      </c>
      <c r="AB246" s="137" t="b">
        <v>0</v>
      </c>
      <c r="AC246" s="137" t="b">
        <v>1</v>
      </c>
      <c r="AD246" s="137" t="b">
        <v>0</v>
      </c>
      <c r="AE246" s="137" t="b">
        <v>0</v>
      </c>
      <c r="AF246" s="137" t="b">
        <v>0</v>
      </c>
      <c r="AG246" s="137" t="b">
        <v>0</v>
      </c>
      <c r="AH246" s="137" t="b">
        <v>0</v>
      </c>
      <c r="AI246" s="137" t="b">
        <v>0</v>
      </c>
      <c r="AJ246" s="137" t="b">
        <v>1</v>
      </c>
      <c r="AK246" s="137" t="b">
        <v>0</v>
      </c>
      <c r="AL246" s="137" t="b">
        <v>0</v>
      </c>
      <c r="AM246" s="137" t="b">
        <v>0</v>
      </c>
      <c r="AN246" s="138" t="b">
        <v>0</v>
      </c>
      <c r="AO246" s="138" t="b">
        <v>0</v>
      </c>
      <c r="AP246" s="138" t="b">
        <v>0</v>
      </c>
      <c r="AQ246" s="138" t="b">
        <v>0</v>
      </c>
      <c r="AR246" s="138" t="b">
        <v>1</v>
      </c>
      <c r="AS246" s="138" t="b">
        <v>1</v>
      </c>
      <c r="AT246" s="138" t="b">
        <v>0</v>
      </c>
      <c r="AU246" s="138" t="b">
        <v>1</v>
      </c>
      <c r="AV246" s="138" t="b">
        <v>0</v>
      </c>
      <c r="AW246" s="138" t="b">
        <v>0</v>
      </c>
      <c r="AX246" s="138" t="b">
        <v>0</v>
      </c>
      <c r="AY246" s="138" t="b">
        <v>0</v>
      </c>
      <c r="AZ246" s="138" t="b">
        <v>0</v>
      </c>
      <c r="BA246" s="138" t="b">
        <v>0</v>
      </c>
      <c r="BB246" s="138" t="b">
        <v>0</v>
      </c>
      <c r="BC246" s="138" t="b">
        <v>0</v>
      </c>
      <c r="BD246" s="138" t="b">
        <v>0</v>
      </c>
      <c r="BE246" s="138" t="b">
        <v>0</v>
      </c>
      <c r="BF246" s="138" t="b">
        <v>1</v>
      </c>
      <c r="BG246" s="138" t="b">
        <v>0</v>
      </c>
      <c r="BH246" s="138" t="b">
        <v>0</v>
      </c>
      <c r="BI246" s="138" t="b">
        <v>0</v>
      </c>
      <c r="BJ246" s="140" t="b">
        <v>0</v>
      </c>
      <c r="BK246" s="140" t="b">
        <v>0</v>
      </c>
      <c r="BL246" s="140" t="b">
        <v>1</v>
      </c>
      <c r="BM246" s="140" t="b">
        <v>0</v>
      </c>
      <c r="BN246" s="140" t="b">
        <v>1</v>
      </c>
      <c r="BO246" s="140" t="b">
        <v>1</v>
      </c>
      <c r="BP246" s="140" t="b">
        <v>1</v>
      </c>
      <c r="BQ246" s="140" t="b">
        <v>0</v>
      </c>
      <c r="BR246" s="140" t="b">
        <v>0</v>
      </c>
      <c r="BS246" s="140" t="b">
        <v>0</v>
      </c>
      <c r="BT246" s="140" t="b">
        <v>0</v>
      </c>
      <c r="BU246" s="140" t="b">
        <v>0</v>
      </c>
      <c r="BV246" s="140" t="b">
        <v>1</v>
      </c>
      <c r="BW246" s="140" t="b">
        <v>0</v>
      </c>
      <c r="BX246" s="140" t="b">
        <v>0</v>
      </c>
      <c r="BY246" s="140" t="b">
        <v>0</v>
      </c>
      <c r="BZ246" s="140" t="b">
        <v>0</v>
      </c>
      <c r="CA246" s="140" t="b">
        <v>0</v>
      </c>
      <c r="CB246" s="140" t="b">
        <v>0</v>
      </c>
      <c r="CC246" s="140" t="b">
        <v>0</v>
      </c>
      <c r="CD246" s="142" t="b">
        <v>0</v>
      </c>
      <c r="CE246" s="76" t="b">
        <v>0</v>
      </c>
      <c r="CF246" s="142" t="b">
        <v>1</v>
      </c>
      <c r="CG246" s="142" t="b">
        <v>0</v>
      </c>
      <c r="CH246" s="142" t="b">
        <v>0</v>
      </c>
      <c r="CI246" s="142" t="b">
        <v>1</v>
      </c>
      <c r="CJ246" s="142" t="b">
        <v>0</v>
      </c>
      <c r="CK246" s="142" t="b">
        <v>0</v>
      </c>
      <c r="CL246" s="142" t="b">
        <v>0</v>
      </c>
      <c r="CM246" s="142" t="b">
        <v>0</v>
      </c>
      <c r="CN246" s="142" t="b">
        <v>0</v>
      </c>
      <c r="CO246" s="142" t="b">
        <v>0</v>
      </c>
      <c r="CP246" s="142" t="b">
        <v>0</v>
      </c>
      <c r="CQ246" s="142" t="b">
        <v>0</v>
      </c>
      <c r="CR246" s="142" t="b">
        <v>0</v>
      </c>
      <c r="CS246" s="142" t="b">
        <v>0</v>
      </c>
      <c r="CT246" s="142" t="b">
        <v>0</v>
      </c>
      <c r="CU246" s="142" t="b">
        <v>0</v>
      </c>
      <c r="CV246" s="142" t="b">
        <v>0</v>
      </c>
    </row>
    <row r="247" spans="1:100" x14ac:dyDescent="0.25">
      <c r="A247" s="44" t="s">
        <v>720</v>
      </c>
      <c r="B247" s="132" t="b">
        <v>0</v>
      </c>
      <c r="C247" s="132" t="b">
        <v>0</v>
      </c>
      <c r="D247" s="132" t="b">
        <v>1</v>
      </c>
      <c r="E247" s="132" t="b">
        <v>0</v>
      </c>
      <c r="F247" s="132" t="b">
        <v>0</v>
      </c>
      <c r="G247" s="132" t="b">
        <v>0</v>
      </c>
      <c r="H247" s="132" t="b">
        <v>0</v>
      </c>
      <c r="I247" s="132" t="b">
        <v>0</v>
      </c>
      <c r="J247" s="132" t="b">
        <v>0</v>
      </c>
      <c r="K247" s="132" t="b">
        <v>0</v>
      </c>
      <c r="L247" s="132" t="b">
        <v>1</v>
      </c>
      <c r="M247" s="132" t="b">
        <v>0</v>
      </c>
      <c r="N247" s="132" t="b">
        <v>0</v>
      </c>
      <c r="O247" s="132" t="b">
        <v>0</v>
      </c>
      <c r="P247" s="132" t="b">
        <v>0</v>
      </c>
      <c r="Q247" s="132" t="b">
        <v>0</v>
      </c>
      <c r="R247" s="132" t="b">
        <v>0</v>
      </c>
      <c r="S247" s="132" t="b">
        <v>0</v>
      </c>
      <c r="T247" s="132" t="b">
        <v>0</v>
      </c>
      <c r="U247" s="137" t="b">
        <v>0</v>
      </c>
      <c r="V247" s="137" t="b">
        <v>0</v>
      </c>
      <c r="W247" s="137" t="b">
        <v>0</v>
      </c>
      <c r="X247" s="137" t="b">
        <v>0</v>
      </c>
      <c r="Y247" s="137" t="b">
        <v>0</v>
      </c>
      <c r="Z247" s="137" t="b">
        <v>0</v>
      </c>
      <c r="AA247" s="137" t="b">
        <v>0</v>
      </c>
      <c r="AB247" s="137" t="b">
        <v>0</v>
      </c>
      <c r="AC247" s="137" t="b">
        <v>1</v>
      </c>
      <c r="AD247" s="137" t="b">
        <v>0</v>
      </c>
      <c r="AE247" s="137" t="b">
        <v>0</v>
      </c>
      <c r="AF247" s="137" t="b">
        <v>0</v>
      </c>
      <c r="AG247" s="137" t="b">
        <v>0</v>
      </c>
      <c r="AH247" s="137" t="b">
        <v>0</v>
      </c>
      <c r="AI247" s="137" t="b">
        <v>0</v>
      </c>
      <c r="AJ247" s="137" t="b">
        <v>0</v>
      </c>
      <c r="AK247" s="137" t="b">
        <v>0</v>
      </c>
      <c r="AL247" s="137" t="b">
        <v>0</v>
      </c>
      <c r="AM247" s="137" t="b">
        <v>0</v>
      </c>
      <c r="AN247" s="138" t="b">
        <v>0</v>
      </c>
      <c r="AO247" s="138" t="b">
        <v>0</v>
      </c>
      <c r="AP247" s="138" t="b">
        <v>0</v>
      </c>
      <c r="AQ247" s="138" t="b">
        <v>0</v>
      </c>
      <c r="AR247" s="138" t="b">
        <v>0</v>
      </c>
      <c r="AS247" s="138" t="b">
        <v>0</v>
      </c>
      <c r="AT247" s="138" t="b">
        <v>0</v>
      </c>
      <c r="AU247" s="138" t="b">
        <v>0</v>
      </c>
      <c r="AV247" s="138" t="b">
        <v>0</v>
      </c>
      <c r="AW247" s="138" t="b">
        <v>0</v>
      </c>
      <c r="AX247" s="138" t="b">
        <v>0</v>
      </c>
      <c r="AY247" s="138" t="b">
        <v>0</v>
      </c>
      <c r="AZ247" s="138" t="b">
        <v>0</v>
      </c>
      <c r="BA247" s="138" t="b">
        <v>0</v>
      </c>
      <c r="BB247" s="138" t="b">
        <v>0</v>
      </c>
      <c r="BC247" s="138" t="b">
        <v>0</v>
      </c>
      <c r="BD247" s="138" t="b">
        <v>0</v>
      </c>
      <c r="BE247" s="138" t="b">
        <v>0</v>
      </c>
      <c r="BF247" s="138" t="b">
        <v>0</v>
      </c>
      <c r="BG247" s="138" t="b">
        <v>0</v>
      </c>
      <c r="BH247" s="138" t="b">
        <v>0</v>
      </c>
      <c r="BI247" s="138" t="b">
        <v>0</v>
      </c>
      <c r="BJ247" s="140" t="b">
        <v>0</v>
      </c>
      <c r="BK247" s="140" t="b">
        <v>0</v>
      </c>
      <c r="BL247" s="140" t="b">
        <v>0</v>
      </c>
      <c r="BM247" s="140" t="b">
        <v>0</v>
      </c>
      <c r="BN247" s="140" t="b">
        <v>0</v>
      </c>
      <c r="BO247" s="140" t="b">
        <v>1</v>
      </c>
      <c r="BP247" s="140" t="b">
        <v>0</v>
      </c>
      <c r="BQ247" s="140" t="b">
        <v>0</v>
      </c>
      <c r="BR247" s="140" t="b">
        <v>0</v>
      </c>
      <c r="BS247" s="140" t="b">
        <v>0</v>
      </c>
      <c r="BT247" s="140" t="b">
        <v>0</v>
      </c>
      <c r="BU247" s="140" t="b">
        <v>0</v>
      </c>
      <c r="BV247" s="140" t="b">
        <v>0</v>
      </c>
      <c r="BW247" s="140" t="b">
        <v>0</v>
      </c>
      <c r="BX247" s="140" t="b">
        <v>0</v>
      </c>
      <c r="BY247" s="140" t="b">
        <v>0</v>
      </c>
      <c r="BZ247" s="140" t="b">
        <v>0</v>
      </c>
      <c r="CA247" s="140" t="b">
        <v>0</v>
      </c>
      <c r="CB247" s="140" t="b">
        <v>0</v>
      </c>
      <c r="CC247" s="140" t="b">
        <v>0</v>
      </c>
      <c r="CD247" s="142" t="b">
        <v>0</v>
      </c>
      <c r="CE247" s="76" t="b">
        <v>0</v>
      </c>
      <c r="CF247" s="142" t="b">
        <v>0</v>
      </c>
      <c r="CG247" s="142" t="b">
        <v>0</v>
      </c>
      <c r="CH247" s="142" t="b">
        <v>0</v>
      </c>
      <c r="CI247" s="142" t="b">
        <v>0</v>
      </c>
      <c r="CJ247" s="142" t="b">
        <v>0</v>
      </c>
      <c r="CK247" s="142" t="b">
        <v>0</v>
      </c>
      <c r="CL247" s="142" t="b">
        <v>0</v>
      </c>
      <c r="CM247" s="142" t="b">
        <v>0</v>
      </c>
      <c r="CN247" s="142" t="b">
        <v>0</v>
      </c>
      <c r="CO247" s="142" t="b">
        <v>0</v>
      </c>
      <c r="CP247" s="142" t="b">
        <v>0</v>
      </c>
      <c r="CQ247" s="142" t="b">
        <v>0</v>
      </c>
      <c r="CR247" s="142" t="b">
        <v>0</v>
      </c>
      <c r="CS247" s="142" t="b">
        <v>0</v>
      </c>
      <c r="CT247" s="142" t="b">
        <v>0</v>
      </c>
      <c r="CU247" s="142" t="b">
        <v>0</v>
      </c>
      <c r="CV247" s="142" t="b">
        <v>0</v>
      </c>
    </row>
    <row r="248" spans="1:100" x14ac:dyDescent="0.25">
      <c r="A248" s="44" t="s">
        <v>721</v>
      </c>
      <c r="B248" s="132" t="b">
        <v>0</v>
      </c>
      <c r="C248" s="132" t="b">
        <v>0</v>
      </c>
      <c r="D248" s="132" t="b">
        <v>0</v>
      </c>
      <c r="E248" s="132" t="b">
        <v>0</v>
      </c>
      <c r="F248" s="132" t="b">
        <v>0</v>
      </c>
      <c r="G248" s="132" t="b">
        <v>0</v>
      </c>
      <c r="H248" s="132" t="b">
        <v>0</v>
      </c>
      <c r="I248" s="132" t="b">
        <v>0</v>
      </c>
      <c r="J248" s="132" t="b">
        <v>0</v>
      </c>
      <c r="K248" s="132" t="b">
        <v>0</v>
      </c>
      <c r="L248" s="132" t="b">
        <v>0</v>
      </c>
      <c r="M248" s="132" t="b">
        <v>0</v>
      </c>
      <c r="N248" s="132" t="b">
        <v>0</v>
      </c>
      <c r="O248" s="132" t="b">
        <v>0</v>
      </c>
      <c r="P248" s="132" t="b">
        <v>0</v>
      </c>
      <c r="Q248" s="132" t="b">
        <v>0</v>
      </c>
      <c r="R248" s="132" t="b">
        <v>0</v>
      </c>
      <c r="S248" s="132" t="b">
        <v>0</v>
      </c>
      <c r="T248" s="132" t="b">
        <v>0</v>
      </c>
      <c r="U248" s="137" t="b">
        <v>0</v>
      </c>
      <c r="V248" s="137" t="b">
        <v>0</v>
      </c>
      <c r="W248" s="137" t="b">
        <v>0</v>
      </c>
      <c r="X248" s="137" t="b">
        <v>0</v>
      </c>
      <c r="Y248" s="137" t="b">
        <v>0</v>
      </c>
      <c r="Z248" s="137" t="b">
        <v>0</v>
      </c>
      <c r="AA248" s="137" t="b">
        <v>0</v>
      </c>
      <c r="AB248" s="137" t="b">
        <v>0</v>
      </c>
      <c r="AC248" s="137" t="b">
        <v>0</v>
      </c>
      <c r="AD248" s="137" t="b">
        <v>0</v>
      </c>
      <c r="AE248" s="137" t="b">
        <v>0</v>
      </c>
      <c r="AF248" s="137" t="b">
        <v>0</v>
      </c>
      <c r="AG248" s="137" t="b">
        <v>0</v>
      </c>
      <c r="AH248" s="137" t="b">
        <v>0</v>
      </c>
      <c r="AI248" s="137" t="b">
        <v>0</v>
      </c>
      <c r="AJ248" s="137" t="b">
        <v>0</v>
      </c>
      <c r="AK248" s="137" t="b">
        <v>0</v>
      </c>
      <c r="AL248" s="137" t="b">
        <v>0</v>
      </c>
      <c r="AM248" s="137" t="b">
        <v>0</v>
      </c>
      <c r="AN248" s="138" t="b">
        <v>0</v>
      </c>
      <c r="AO248" s="138" t="b">
        <v>0</v>
      </c>
      <c r="AP248" s="138" t="b">
        <v>0</v>
      </c>
      <c r="AQ248" s="138" t="b">
        <v>0</v>
      </c>
      <c r="AR248" s="138" t="b">
        <v>0</v>
      </c>
      <c r="AS248" s="138" t="b">
        <v>0</v>
      </c>
      <c r="AT248" s="138" t="b">
        <v>0</v>
      </c>
      <c r="AU248" s="138" t="b">
        <v>0</v>
      </c>
      <c r="AV248" s="138" t="b">
        <v>0</v>
      </c>
      <c r="AW248" s="138" t="b">
        <v>0</v>
      </c>
      <c r="AX248" s="138" t="b">
        <v>0</v>
      </c>
      <c r="AY248" s="138" t="b">
        <v>0</v>
      </c>
      <c r="AZ248" s="138" t="b">
        <v>0</v>
      </c>
      <c r="BA248" s="138" t="b">
        <v>0</v>
      </c>
      <c r="BB248" s="138" t="b">
        <v>0</v>
      </c>
      <c r="BC248" s="138" t="b">
        <v>0</v>
      </c>
      <c r="BD248" s="138" t="b">
        <v>0</v>
      </c>
      <c r="BE248" s="138" t="b">
        <v>0</v>
      </c>
      <c r="BF248" s="138" t="b">
        <v>0</v>
      </c>
      <c r="BG248" s="138" t="b">
        <v>0</v>
      </c>
      <c r="BH248" s="138" t="b">
        <v>0</v>
      </c>
      <c r="BI248" s="138" t="b">
        <v>0</v>
      </c>
      <c r="BJ248" s="140" t="b">
        <v>0</v>
      </c>
      <c r="BK248" s="140" t="b">
        <v>0</v>
      </c>
      <c r="BL248" s="140" t="b">
        <v>0</v>
      </c>
      <c r="BM248" s="140" t="b">
        <v>0</v>
      </c>
      <c r="BN248" s="140" t="b">
        <v>0</v>
      </c>
      <c r="BO248" s="140" t="b">
        <v>0</v>
      </c>
      <c r="BP248" s="140" t="b">
        <v>0</v>
      </c>
      <c r="BQ248" s="140" t="b">
        <v>0</v>
      </c>
      <c r="BR248" s="140" t="b">
        <v>0</v>
      </c>
      <c r="BS248" s="140" t="b">
        <v>0</v>
      </c>
      <c r="BT248" s="140" t="b">
        <v>0</v>
      </c>
      <c r="BU248" s="140" t="b">
        <v>0</v>
      </c>
      <c r="BV248" s="140" t="b">
        <v>0</v>
      </c>
      <c r="BW248" s="140" t="b">
        <v>0</v>
      </c>
      <c r="BX248" s="140" t="b">
        <v>0</v>
      </c>
      <c r="BY248" s="140" t="b">
        <v>0</v>
      </c>
      <c r="BZ248" s="140" t="b">
        <v>0</v>
      </c>
      <c r="CA248" s="140" t="b">
        <v>0</v>
      </c>
      <c r="CB248" s="140" t="b">
        <v>0</v>
      </c>
      <c r="CC248" s="140" t="b">
        <v>0</v>
      </c>
      <c r="CD248" s="142" t="b">
        <v>0</v>
      </c>
      <c r="CE248" s="76" t="b">
        <v>0</v>
      </c>
      <c r="CF248" s="142" t="b">
        <v>0</v>
      </c>
      <c r="CG248" s="142" t="b">
        <v>0</v>
      </c>
      <c r="CH248" s="142" t="b">
        <v>0</v>
      </c>
      <c r="CI248" s="142" t="b">
        <v>0</v>
      </c>
      <c r="CJ248" s="142" t="b">
        <v>0</v>
      </c>
      <c r="CK248" s="142" t="b">
        <v>0</v>
      </c>
      <c r="CL248" s="142" t="b">
        <v>0</v>
      </c>
      <c r="CM248" s="142" t="b">
        <v>0</v>
      </c>
      <c r="CN248" s="142" t="b">
        <v>0</v>
      </c>
      <c r="CO248" s="142" t="b">
        <v>0</v>
      </c>
      <c r="CP248" s="142" t="b">
        <v>0</v>
      </c>
      <c r="CQ248" s="142" t="b">
        <v>0</v>
      </c>
      <c r="CR248" s="142" t="b">
        <v>0</v>
      </c>
      <c r="CS248" s="142" t="b">
        <v>0</v>
      </c>
      <c r="CT248" s="142" t="b">
        <v>0</v>
      </c>
      <c r="CU248" s="142" t="b">
        <v>0</v>
      </c>
      <c r="CV248" s="142" t="b">
        <v>0</v>
      </c>
    </row>
    <row r="249" spans="1:100" x14ac:dyDescent="0.25">
      <c r="A249" s="44" t="s">
        <v>722</v>
      </c>
      <c r="B249" s="132" t="s">
        <v>697</v>
      </c>
      <c r="C249" s="132"/>
      <c r="D249" s="132" t="s">
        <v>698</v>
      </c>
      <c r="E249" s="132"/>
      <c r="F249" s="133"/>
      <c r="G249" s="132"/>
      <c r="H249" s="132"/>
      <c r="I249" s="134"/>
      <c r="J249" s="132"/>
      <c r="K249" s="135"/>
      <c r="L249" s="132" t="s">
        <v>699</v>
      </c>
      <c r="M249" s="132"/>
      <c r="N249" s="135"/>
      <c r="O249" s="135" t="s">
        <v>700</v>
      </c>
      <c r="P249" s="132" t="s">
        <v>701</v>
      </c>
      <c r="Q249" s="133"/>
      <c r="R249" s="133"/>
      <c r="S249" s="133"/>
      <c r="T249" s="135"/>
      <c r="U249" s="136" t="s">
        <v>702</v>
      </c>
      <c r="V249" s="137"/>
      <c r="W249" s="136"/>
      <c r="X249" s="136"/>
      <c r="Y249" s="136"/>
      <c r="Z249" s="136"/>
      <c r="AA249" s="137"/>
      <c r="AB249" s="137"/>
      <c r="AC249" s="136" t="s">
        <v>703</v>
      </c>
      <c r="AD249" s="136"/>
      <c r="AE249" s="136"/>
      <c r="AF249" s="136"/>
      <c r="AG249" s="136"/>
      <c r="AH249" s="136"/>
      <c r="AI249" s="136"/>
      <c r="AJ249" s="136" t="s">
        <v>704</v>
      </c>
      <c r="AK249" s="136"/>
      <c r="AL249" s="136"/>
      <c r="AM249" s="136"/>
      <c r="AN249" s="73"/>
      <c r="AO249" s="138"/>
      <c r="AP249" s="138"/>
      <c r="AQ249" s="73"/>
      <c r="AR249" s="73" t="s">
        <v>705</v>
      </c>
      <c r="AS249" s="73" t="s">
        <v>706</v>
      </c>
      <c r="AT249" s="73"/>
      <c r="AU249" s="73" t="s">
        <v>707</v>
      </c>
      <c r="AV249" s="73"/>
      <c r="AW249" s="73"/>
      <c r="AX249" s="73"/>
      <c r="AY249" s="73"/>
      <c r="AZ249" s="73"/>
      <c r="BA249" s="73"/>
      <c r="BB249" s="73"/>
      <c r="BC249" s="73"/>
      <c r="BD249" s="73"/>
      <c r="BE249" s="138"/>
      <c r="BF249" s="73" t="s">
        <v>708</v>
      </c>
      <c r="BG249" s="73"/>
      <c r="BH249" s="138"/>
      <c r="BI249" s="73"/>
      <c r="BJ249" s="139"/>
      <c r="BK249" s="139"/>
      <c r="BL249" s="139" t="s">
        <v>709</v>
      </c>
      <c r="BM249" s="139"/>
      <c r="BN249" s="140" t="s">
        <v>710</v>
      </c>
      <c r="BO249" s="139" t="s">
        <v>711</v>
      </c>
      <c r="BP249" s="139" t="s">
        <v>712</v>
      </c>
      <c r="BQ249" s="139"/>
      <c r="BR249" s="139"/>
      <c r="BS249" s="139"/>
      <c r="BT249" s="139"/>
      <c r="BU249" s="139"/>
      <c r="BV249" s="139" t="s">
        <v>1022</v>
      </c>
      <c r="BW249" s="139"/>
      <c r="BX249" s="139"/>
      <c r="BY249" s="139"/>
      <c r="BZ249" s="140"/>
      <c r="CA249" s="140"/>
      <c r="CB249" s="140"/>
      <c r="CC249" s="139"/>
      <c r="CD249" s="141"/>
      <c r="CE249" s="76"/>
      <c r="CF249" s="141" t="s">
        <v>713</v>
      </c>
      <c r="CG249" s="141"/>
      <c r="CH249" s="141"/>
      <c r="CI249" s="141" t="s">
        <v>714</v>
      </c>
      <c r="CJ249" s="141"/>
      <c r="CK249" s="141"/>
      <c r="CL249" s="141"/>
      <c r="CM249" s="141"/>
      <c r="CN249" s="141"/>
      <c r="CO249" s="141"/>
      <c r="CP249" s="141"/>
      <c r="CQ249" s="141"/>
      <c r="CR249" s="141"/>
      <c r="CS249" s="141"/>
      <c r="CT249" s="141"/>
      <c r="CU249" s="141"/>
      <c r="CV249" s="141"/>
    </row>
    <row r="250" spans="1:100" x14ac:dyDescent="0.25">
      <c r="A250" s="44" t="s">
        <v>723</v>
      </c>
      <c r="B250" s="132" t="s">
        <v>246</v>
      </c>
      <c r="C250" s="132"/>
      <c r="D250" s="132" t="s">
        <v>6</v>
      </c>
      <c r="E250" s="132"/>
      <c r="F250" s="133"/>
      <c r="G250" s="132"/>
      <c r="H250" s="132"/>
      <c r="I250" s="134"/>
      <c r="J250" s="132"/>
      <c r="K250" s="135"/>
      <c r="L250" s="132" t="s">
        <v>246</v>
      </c>
      <c r="M250" s="132"/>
      <c r="N250" s="135"/>
      <c r="O250" s="135" t="s">
        <v>246</v>
      </c>
      <c r="P250" s="132" t="s">
        <v>246</v>
      </c>
      <c r="Q250" s="133"/>
      <c r="R250" s="133"/>
      <c r="S250" s="133"/>
      <c r="T250" s="135"/>
      <c r="U250" s="136" t="s">
        <v>246</v>
      </c>
      <c r="V250" s="137"/>
      <c r="W250" s="136"/>
      <c r="X250" s="136"/>
      <c r="Y250" s="136"/>
      <c r="Z250" s="136"/>
      <c r="AA250" s="137"/>
      <c r="AB250" s="137"/>
      <c r="AC250" s="136" t="s">
        <v>246</v>
      </c>
      <c r="AD250" s="136"/>
      <c r="AE250" s="136"/>
      <c r="AF250" s="136"/>
      <c r="AG250" s="136"/>
      <c r="AH250" s="136"/>
      <c r="AI250" s="136"/>
      <c r="AJ250" s="136" t="s">
        <v>246</v>
      </c>
      <c r="AK250" s="136"/>
      <c r="AL250" s="136"/>
      <c r="AM250" s="136"/>
      <c r="AN250" s="73"/>
      <c r="AO250" s="138"/>
      <c r="AP250" s="138"/>
      <c r="AQ250" s="73"/>
      <c r="AR250" s="73" t="s">
        <v>246</v>
      </c>
      <c r="AS250" s="73" t="s">
        <v>246</v>
      </c>
      <c r="AT250" s="73"/>
      <c r="AU250" s="73" t="s">
        <v>246</v>
      </c>
      <c r="AV250" s="73"/>
      <c r="AW250" s="73"/>
      <c r="AX250" s="73"/>
      <c r="AY250" s="73"/>
      <c r="AZ250" s="73"/>
      <c r="BA250" s="73"/>
      <c r="BB250" s="73"/>
      <c r="BC250" s="73"/>
      <c r="BD250" s="73"/>
      <c r="BE250" s="138"/>
      <c r="BF250" s="73" t="s">
        <v>19</v>
      </c>
      <c r="BG250" s="73"/>
      <c r="BH250" s="138"/>
      <c r="BI250" s="73"/>
      <c r="BJ250" s="139"/>
      <c r="BK250" s="139"/>
      <c r="BL250" s="139" t="s">
        <v>246</v>
      </c>
      <c r="BM250" s="139"/>
      <c r="BN250" s="140" t="s">
        <v>6</v>
      </c>
      <c r="BO250" s="139" t="s">
        <v>246</v>
      </c>
      <c r="BP250" s="139" t="s">
        <v>246</v>
      </c>
      <c r="BQ250" s="139"/>
      <c r="BR250" s="139"/>
      <c r="BS250" s="139"/>
      <c r="BT250" s="139"/>
      <c r="BU250" s="139"/>
      <c r="BV250" s="139" t="s">
        <v>947</v>
      </c>
      <c r="BW250" s="139"/>
      <c r="BX250" s="139"/>
      <c r="BY250" s="139"/>
      <c r="BZ250" s="140"/>
      <c r="CA250" s="140"/>
      <c r="CB250" s="140"/>
      <c r="CC250" s="139"/>
      <c r="CD250" s="141"/>
      <c r="CE250" s="76"/>
      <c r="CF250" s="141" t="s">
        <v>246</v>
      </c>
      <c r="CG250" s="141"/>
      <c r="CH250" s="141"/>
      <c r="CI250" s="141" t="s">
        <v>246</v>
      </c>
      <c r="CJ250" s="141"/>
      <c r="CK250" s="141"/>
      <c r="CL250" s="141"/>
      <c r="CM250" s="141"/>
      <c r="CN250" s="141"/>
      <c r="CO250" s="141"/>
      <c r="CP250" s="141"/>
      <c r="CQ250" s="141"/>
      <c r="CR250" s="141"/>
      <c r="CS250" s="141"/>
      <c r="CT250" s="141"/>
      <c r="CU250" s="141"/>
      <c r="CV250" s="141"/>
    </row>
    <row r="251" spans="1:100" x14ac:dyDescent="0.25">
      <c r="A251" s="44" t="s">
        <v>724</v>
      </c>
      <c r="B251" s="132" t="s">
        <v>125</v>
      </c>
      <c r="C251" s="132"/>
      <c r="D251" s="132" t="s">
        <v>128</v>
      </c>
      <c r="E251" s="132"/>
      <c r="F251" s="133"/>
      <c r="G251" s="132"/>
      <c r="H251" s="132"/>
      <c r="I251" s="134"/>
      <c r="J251" s="132"/>
      <c r="K251" s="135"/>
      <c r="L251" s="132" t="s">
        <v>125</v>
      </c>
      <c r="M251" s="132"/>
      <c r="N251" s="135"/>
      <c r="O251" s="135" t="s">
        <v>125</v>
      </c>
      <c r="P251" s="132" t="s">
        <v>125</v>
      </c>
      <c r="Q251" s="133"/>
      <c r="R251" s="133"/>
      <c r="S251" s="133"/>
      <c r="T251" s="135"/>
      <c r="U251" s="136" t="s">
        <v>125</v>
      </c>
      <c r="V251" s="137"/>
      <c r="W251" s="136"/>
      <c r="X251" s="136"/>
      <c r="Y251" s="136"/>
      <c r="Z251" s="136"/>
      <c r="AA251" s="137"/>
      <c r="AB251" s="137"/>
      <c r="AC251" s="136" t="s">
        <v>125</v>
      </c>
      <c r="AD251" s="136"/>
      <c r="AE251" s="136"/>
      <c r="AF251" s="136"/>
      <c r="AG251" s="136"/>
      <c r="AH251" s="136"/>
      <c r="AI251" s="136"/>
      <c r="AJ251" s="136" t="s">
        <v>125</v>
      </c>
      <c r="AK251" s="136"/>
      <c r="AL251" s="136"/>
      <c r="AM251" s="136"/>
      <c r="AN251" s="73"/>
      <c r="AO251" s="138"/>
      <c r="AP251" s="138"/>
      <c r="AQ251" s="73"/>
      <c r="AR251" s="73" t="s">
        <v>125</v>
      </c>
      <c r="AS251" s="73" t="s">
        <v>125</v>
      </c>
      <c r="AT251" s="73"/>
      <c r="AU251" s="73" t="s">
        <v>125</v>
      </c>
      <c r="AV251" s="73"/>
      <c r="AW251" s="73"/>
      <c r="AX251" s="73"/>
      <c r="AY251" s="73"/>
      <c r="AZ251" s="73"/>
      <c r="BA251" s="73"/>
      <c r="BB251" s="73"/>
      <c r="BC251" s="73"/>
      <c r="BD251" s="73"/>
      <c r="BE251" s="138"/>
      <c r="BF251" s="73" t="s">
        <v>128</v>
      </c>
      <c r="BG251" s="73"/>
      <c r="BH251" s="138"/>
      <c r="BI251" s="73"/>
      <c r="BJ251" s="139"/>
      <c r="BK251" s="139"/>
      <c r="BL251" s="139" t="s">
        <v>125</v>
      </c>
      <c r="BM251" s="139"/>
      <c r="BN251" s="140" t="s">
        <v>223</v>
      </c>
      <c r="BO251" s="139" t="s">
        <v>125</v>
      </c>
      <c r="BP251" s="139" t="s">
        <v>125</v>
      </c>
      <c r="BQ251" s="139"/>
      <c r="BR251" s="139"/>
      <c r="BS251" s="139"/>
      <c r="BT251" s="139"/>
      <c r="BU251" s="139"/>
      <c r="BV251" s="139" t="s">
        <v>223</v>
      </c>
      <c r="BW251" s="139"/>
      <c r="BX251" s="139"/>
      <c r="BY251" s="139"/>
      <c r="BZ251" s="140"/>
      <c r="CA251" s="140"/>
      <c r="CB251" s="140"/>
      <c r="CC251" s="139"/>
      <c r="CD251" s="141"/>
      <c r="CE251" s="76"/>
      <c r="CF251" s="141" t="s">
        <v>125</v>
      </c>
      <c r="CG251" s="141"/>
      <c r="CH251" s="141"/>
      <c r="CI251" s="141" t="s">
        <v>125</v>
      </c>
      <c r="CJ251" s="141"/>
      <c r="CK251" s="141"/>
      <c r="CL251" s="141"/>
      <c r="CM251" s="141"/>
      <c r="CN251" s="141"/>
      <c r="CO251" s="141"/>
      <c r="CP251" s="141"/>
      <c r="CQ251" s="141"/>
      <c r="CR251" s="141"/>
      <c r="CS251" s="141"/>
      <c r="CT251" s="141"/>
      <c r="CU251" s="141"/>
      <c r="CV251" s="141"/>
    </row>
    <row r="252" spans="1:100" x14ac:dyDescent="0.25">
      <c r="A252" s="44" t="s">
        <v>725</v>
      </c>
      <c r="B252" s="134">
        <f>80%+(char4Refine-1)*20%</f>
        <v>1.2000000000000002</v>
      </c>
      <c r="C252" s="132"/>
      <c r="D252" s="143">
        <f>40%+(char4Refine-1)*10%</f>
        <v>0.60000000000000009</v>
      </c>
      <c r="E252" s="132"/>
      <c r="F252" s="133"/>
      <c r="G252" s="132"/>
      <c r="H252" s="132"/>
      <c r="I252" s="134"/>
      <c r="J252" s="132"/>
      <c r="K252" s="135"/>
      <c r="L252" s="143">
        <f>80%+(char4Refine-1)*15%</f>
        <v>1.1000000000000001</v>
      </c>
      <c r="M252" s="132"/>
      <c r="N252" s="135"/>
      <c r="O252" s="143">
        <f>240%+(char4Refine-1)*60%</f>
        <v>3.5999999999999996</v>
      </c>
      <c r="P252" s="134">
        <f>100%+(char4Refine-1)*25%</f>
        <v>1.5</v>
      </c>
      <c r="Q252" s="133"/>
      <c r="R252" s="133"/>
      <c r="S252" s="133"/>
      <c r="T252" s="135"/>
      <c r="U252" s="136">
        <f>40%+(char4Refine-1)*15%</f>
        <v>0.7</v>
      </c>
      <c r="V252" s="137"/>
      <c r="W252" s="136"/>
      <c r="X252" s="136"/>
      <c r="Y252" s="136"/>
      <c r="Z252" s="136"/>
      <c r="AA252" s="137"/>
      <c r="AB252" s="137"/>
      <c r="AC252" s="136">
        <f>60%+(char4Refine-1)*15%</f>
        <v>0.89999999999999991</v>
      </c>
      <c r="AD252" s="136"/>
      <c r="AE252" s="136"/>
      <c r="AF252" s="136"/>
      <c r="AG252" s="136"/>
      <c r="AH252" s="136"/>
      <c r="AI252" s="136"/>
      <c r="AJ252" s="136">
        <f>20%+(char4Refine-1)*5%</f>
        <v>0.30000000000000004</v>
      </c>
      <c r="AK252" s="136"/>
      <c r="AL252" s="136"/>
      <c r="AM252" s="136"/>
      <c r="AN252" s="73"/>
      <c r="AO252" s="138"/>
      <c r="AP252" s="138"/>
      <c r="AQ252" s="73"/>
      <c r="AR252" s="73">
        <f>20%+(char4Refine-1)*5%</f>
        <v>0.30000000000000004</v>
      </c>
      <c r="AS252" s="73">
        <f>200%+(char4Refine-1)*30%</f>
        <v>2.6</v>
      </c>
      <c r="AT252" s="73"/>
      <c r="AU252" s="73">
        <f>100%+(char4Refine-1)*25%</f>
        <v>1.5</v>
      </c>
      <c r="AV252" s="73"/>
      <c r="AW252" s="73"/>
      <c r="AX252" s="73"/>
      <c r="AY252" s="73"/>
      <c r="AZ252" s="73"/>
      <c r="BA252" s="73"/>
      <c r="BB252" s="73"/>
      <c r="BC252" s="73"/>
      <c r="BD252" s="73"/>
      <c r="BE252" s="138"/>
      <c r="BF252" s="73">
        <f>40%+(char4Refine-1)*10%</f>
        <v>0.60000000000000009</v>
      </c>
      <c r="BG252" s="73"/>
      <c r="BH252" s="138"/>
      <c r="BI252" s="73"/>
      <c r="BJ252" s="139"/>
      <c r="BK252" s="139"/>
      <c r="BL252" s="139">
        <f>160%+(char4Refine-1)*40%</f>
        <v>2.4000000000000004</v>
      </c>
      <c r="BM252" s="139"/>
      <c r="BN252" s="139">
        <f>1%+(char4Refine-1)*0.5%</f>
        <v>0.02</v>
      </c>
      <c r="BO252" s="139">
        <f>60%+(char4Refine-1)*15%</f>
        <v>0.89999999999999991</v>
      </c>
      <c r="BP252" s="139">
        <f>240%+(char4Refine-1)*30%</f>
        <v>3</v>
      </c>
      <c r="BQ252" s="139"/>
      <c r="BR252" s="139"/>
      <c r="BS252" s="139"/>
      <c r="BT252" s="139"/>
      <c r="BU252" s="139"/>
      <c r="BV252" s="139">
        <f>4%+0.5%*(char4Refine-1)</f>
        <v>0.05</v>
      </c>
      <c r="BW252" s="139"/>
      <c r="BX252" s="139"/>
      <c r="BY252" s="139"/>
      <c r="BZ252" s="140"/>
      <c r="CA252" s="140"/>
      <c r="CB252" s="140"/>
      <c r="CC252" s="139"/>
      <c r="CD252" s="141"/>
      <c r="CE252" s="76"/>
      <c r="CF252" s="144">
        <v>1.25</v>
      </c>
      <c r="CG252" s="141"/>
      <c r="CH252" s="141"/>
      <c r="CI252" s="145">
        <f>40%+(char4Refine-1)*10%</f>
        <v>0.60000000000000009</v>
      </c>
      <c r="CJ252" s="141"/>
      <c r="CK252" s="141"/>
      <c r="CL252" s="141"/>
      <c r="CM252" s="141"/>
      <c r="CN252" s="141"/>
      <c r="CO252" s="141"/>
      <c r="CP252" s="141"/>
      <c r="CQ252" s="141"/>
      <c r="CR252" s="141"/>
      <c r="CS252" s="141"/>
      <c r="CT252" s="141"/>
      <c r="CU252" s="141"/>
      <c r="CV252" s="141"/>
    </row>
    <row r="253" spans="1:100" x14ac:dyDescent="0.25">
      <c r="A253" s="44" t="s">
        <v>726</v>
      </c>
      <c r="B253" s="132" t="s">
        <v>715</v>
      </c>
      <c r="C253" s="132"/>
      <c r="D253" s="132" t="str">
        <f>char4NAElement</f>
        <v>Phys</v>
      </c>
      <c r="E253" s="132"/>
      <c r="F253" s="133"/>
      <c r="G253" s="132"/>
      <c r="H253" s="132"/>
      <c r="I253" s="134"/>
      <c r="J253" s="132"/>
      <c r="K253" s="135"/>
      <c r="L253" s="132" t="s">
        <v>715</v>
      </c>
      <c r="M253" s="132"/>
      <c r="N253" s="135"/>
      <c r="O253" s="135" t="s">
        <v>715</v>
      </c>
      <c r="P253" s="132" t="s">
        <v>715</v>
      </c>
      <c r="Q253" s="133"/>
      <c r="R253" s="133"/>
      <c r="S253" s="133"/>
      <c r="T253" s="135"/>
      <c r="U253" s="136" t="s">
        <v>715</v>
      </c>
      <c r="V253" s="137"/>
      <c r="W253" s="136"/>
      <c r="X253" s="136"/>
      <c r="Y253" s="136"/>
      <c r="Z253" s="136"/>
      <c r="AA253" s="137"/>
      <c r="AB253" s="137"/>
      <c r="AC253" s="136" t="s">
        <v>715</v>
      </c>
      <c r="AD253" s="136"/>
      <c r="AE253" s="136"/>
      <c r="AF253" s="136"/>
      <c r="AG253" s="136"/>
      <c r="AH253" s="136"/>
      <c r="AI253" s="136"/>
      <c r="AJ253" s="136"/>
      <c r="AK253" s="136"/>
      <c r="AL253" s="136"/>
      <c r="AM253" s="136"/>
      <c r="AN253" s="73"/>
      <c r="AO253" s="138"/>
      <c r="AP253" s="138"/>
      <c r="AQ253" s="73"/>
      <c r="AR253" s="73" t="s">
        <v>715</v>
      </c>
      <c r="AS253" s="73" t="s">
        <v>715</v>
      </c>
      <c r="AT253" s="73"/>
      <c r="AU253" s="73" t="s">
        <v>715</v>
      </c>
      <c r="AV253" s="73"/>
      <c r="AW253" s="73"/>
      <c r="AX253" s="73"/>
      <c r="AY253" s="73"/>
      <c r="AZ253" s="73"/>
      <c r="BA253" s="73"/>
      <c r="BB253" s="73"/>
      <c r="BC253" s="73"/>
      <c r="BD253" s="73"/>
      <c r="BE253" s="138"/>
      <c r="BF253" s="73" t="str">
        <f>char4SkillElement</f>
        <v>Anemo</v>
      </c>
      <c r="BG253" s="73"/>
      <c r="BH253" s="138"/>
      <c r="BI253" s="73"/>
      <c r="BJ253" s="139"/>
      <c r="BK253" s="139"/>
      <c r="BL253" s="139" t="s">
        <v>715</v>
      </c>
      <c r="BM253" s="139"/>
      <c r="BN253" s="140" t="str">
        <f>char4NAElement</f>
        <v>Phys</v>
      </c>
      <c r="BO253" s="139" t="s">
        <v>715</v>
      </c>
      <c r="BP253" s="139" t="s">
        <v>715</v>
      </c>
      <c r="BQ253" s="139"/>
      <c r="BR253" s="139"/>
      <c r="BS253" s="139"/>
      <c r="BT253" s="139"/>
      <c r="BU253" s="139"/>
      <c r="BV253" s="139" t="s">
        <v>246</v>
      </c>
      <c r="BW253" s="139"/>
      <c r="BX253" s="139"/>
      <c r="BY253" s="139"/>
      <c r="BZ253" s="140"/>
      <c r="CA253" s="140"/>
      <c r="CB253" s="140"/>
      <c r="CC253" s="139"/>
      <c r="CD253" s="141"/>
      <c r="CE253" s="76"/>
      <c r="CF253" s="141" t="s">
        <v>715</v>
      </c>
      <c r="CG253" s="141"/>
      <c r="CH253" s="141"/>
      <c r="CI253" s="141" t="s">
        <v>715</v>
      </c>
      <c r="CJ253" s="141"/>
      <c r="CK253" s="141"/>
      <c r="CL253" s="141"/>
      <c r="CM253" s="141"/>
      <c r="CN253" s="141"/>
      <c r="CO253" s="141"/>
      <c r="CP253" s="141"/>
      <c r="CQ253" s="141"/>
      <c r="CR253" s="141"/>
      <c r="CS253" s="141"/>
      <c r="CT253" s="141"/>
      <c r="CU253" s="141"/>
      <c r="CV253" s="141"/>
    </row>
    <row r="254" spans="1:100" x14ac:dyDescent="0.25">
      <c r="A254" s="44" t="s">
        <v>727</v>
      </c>
      <c r="B254" s="132"/>
      <c r="C254" s="132"/>
      <c r="D254" s="132" t="s">
        <v>716</v>
      </c>
      <c r="E254" s="132"/>
      <c r="F254" s="133"/>
      <c r="G254" s="132"/>
      <c r="H254" s="132"/>
      <c r="I254" s="134"/>
      <c r="J254" s="132"/>
      <c r="K254" s="135"/>
      <c r="L254" s="132" t="s">
        <v>717</v>
      </c>
      <c r="M254" s="132"/>
      <c r="N254" s="135"/>
      <c r="O254" s="135"/>
      <c r="P254" s="132"/>
      <c r="Q254" s="133"/>
      <c r="R254" s="133"/>
      <c r="S254" s="133"/>
      <c r="T254" s="135"/>
      <c r="U254" s="136"/>
      <c r="V254" s="137"/>
      <c r="W254" s="136"/>
      <c r="X254" s="136"/>
      <c r="Y254" s="136"/>
      <c r="Z254" s="136"/>
      <c r="AA254" s="137"/>
      <c r="AB254" s="137"/>
      <c r="AC254" s="136" t="s">
        <v>718</v>
      </c>
      <c r="AD254" s="136"/>
      <c r="AE254" s="136"/>
      <c r="AF254" s="136"/>
      <c r="AG254" s="136"/>
      <c r="AH254" s="136"/>
      <c r="AI254" s="136"/>
      <c r="AJ254" s="136"/>
      <c r="AK254" s="136"/>
      <c r="AL254" s="136"/>
      <c r="AM254" s="136"/>
      <c r="AN254" s="73"/>
      <c r="AO254" s="138"/>
      <c r="AP254" s="138"/>
      <c r="AQ254" s="73"/>
      <c r="AR254" s="73"/>
      <c r="AS254" s="73"/>
      <c r="AT254" s="73"/>
      <c r="AU254" s="73"/>
      <c r="AV254" s="73"/>
      <c r="AW254" s="73"/>
      <c r="AX254" s="73"/>
      <c r="AY254" s="73"/>
      <c r="AZ254" s="73"/>
      <c r="BA254" s="73"/>
      <c r="BB254" s="73"/>
      <c r="BC254" s="73"/>
      <c r="BD254" s="73"/>
      <c r="BE254" s="138"/>
      <c r="BF254" s="73"/>
      <c r="BG254" s="73"/>
      <c r="BH254" s="138"/>
      <c r="BI254" s="73"/>
      <c r="BJ254" s="139"/>
      <c r="BK254" s="139"/>
      <c r="BL254" s="139"/>
      <c r="BM254" s="139"/>
      <c r="BN254" s="140"/>
      <c r="BO254" s="139" t="s">
        <v>718</v>
      </c>
      <c r="BP254" s="139"/>
      <c r="BQ254" s="139"/>
      <c r="BR254" s="139"/>
      <c r="BS254" s="139"/>
      <c r="BT254" s="139"/>
      <c r="BU254" s="139"/>
      <c r="BV254" s="139"/>
      <c r="BW254" s="139"/>
      <c r="BX254" s="139"/>
      <c r="BY254" s="139"/>
      <c r="BZ254" s="140"/>
      <c r="CA254" s="140"/>
      <c r="CB254" s="140"/>
      <c r="CC254" s="139"/>
      <c r="CD254" s="141"/>
      <c r="CE254" s="76"/>
      <c r="CF254" s="141"/>
      <c r="CG254" s="141"/>
      <c r="CH254" s="141"/>
      <c r="CI254" s="141"/>
      <c r="CJ254" s="141"/>
      <c r="CK254" s="141"/>
      <c r="CL254" s="141"/>
      <c r="CM254" s="141"/>
      <c r="CN254" s="141"/>
      <c r="CO254" s="141"/>
      <c r="CP254" s="141"/>
      <c r="CQ254" s="141"/>
      <c r="CR254" s="141"/>
      <c r="CS254" s="141"/>
      <c r="CT254" s="141"/>
      <c r="CU254" s="141"/>
      <c r="CV254" s="141"/>
    </row>
    <row r="255" spans="1:100" x14ac:dyDescent="0.25">
      <c r="A255" s="44" t="s">
        <v>728</v>
      </c>
      <c r="B255" s="132"/>
      <c r="C255" s="132"/>
      <c r="D255" s="132" t="s">
        <v>5</v>
      </c>
      <c r="E255" s="132"/>
      <c r="F255" s="133"/>
      <c r="G255" s="132"/>
      <c r="H255" s="132"/>
      <c r="I255" s="134"/>
      <c r="J255" s="132"/>
      <c r="K255" s="135"/>
      <c r="L255" s="132" t="s">
        <v>246</v>
      </c>
      <c r="M255" s="132"/>
      <c r="N255" s="135"/>
      <c r="O255" s="135"/>
      <c r="P255" s="132"/>
      <c r="Q255" s="133"/>
      <c r="R255" s="133"/>
      <c r="S255" s="133"/>
      <c r="T255" s="135"/>
      <c r="U255" s="136"/>
      <c r="V255" s="137"/>
      <c r="W255" s="136"/>
      <c r="X255" s="136"/>
      <c r="Y255" s="136"/>
      <c r="Z255" s="136"/>
      <c r="AA255" s="137"/>
      <c r="AB255" s="137"/>
      <c r="AC255" s="136" t="s">
        <v>246</v>
      </c>
      <c r="AD255" s="136"/>
      <c r="AE255" s="136"/>
      <c r="AF255" s="136"/>
      <c r="AG255" s="136"/>
      <c r="AH255" s="136"/>
      <c r="AI255" s="136"/>
      <c r="AJ255" s="136"/>
      <c r="AK255" s="136"/>
      <c r="AL255" s="136"/>
      <c r="AM255" s="136"/>
      <c r="AN255" s="73"/>
      <c r="AO255" s="138"/>
      <c r="AP255" s="138"/>
      <c r="AQ255" s="73"/>
      <c r="AR255" s="73"/>
      <c r="AS255" s="73"/>
      <c r="AT255" s="73"/>
      <c r="AU255" s="73"/>
      <c r="AV255" s="73"/>
      <c r="AW255" s="73"/>
      <c r="AX255" s="73"/>
      <c r="AY255" s="73"/>
      <c r="AZ255" s="73"/>
      <c r="BA255" s="73"/>
      <c r="BB255" s="73"/>
      <c r="BC255" s="73"/>
      <c r="BD255" s="73"/>
      <c r="BE255" s="138"/>
      <c r="BF255" s="73"/>
      <c r="BG255" s="73"/>
      <c r="BH255" s="138"/>
      <c r="BI255" s="73"/>
      <c r="BJ255" s="139"/>
      <c r="BK255" s="139"/>
      <c r="BL255" s="139"/>
      <c r="BM255" s="139"/>
      <c r="BN255" s="140"/>
      <c r="BO255" s="139" t="s">
        <v>246</v>
      </c>
      <c r="BP255" s="139"/>
      <c r="BQ255" s="139"/>
      <c r="BR255" s="139"/>
      <c r="BS255" s="139"/>
      <c r="BT255" s="139"/>
      <c r="BU255" s="139"/>
      <c r="BV255" s="139"/>
      <c r="BW255" s="139"/>
      <c r="BX255" s="139"/>
      <c r="BY255" s="139"/>
      <c r="BZ255" s="140"/>
      <c r="CA255" s="140"/>
      <c r="CB255" s="140"/>
      <c r="CC255" s="139"/>
      <c r="CD255" s="141"/>
      <c r="CE255" s="76"/>
      <c r="CF255" s="141"/>
      <c r="CG255" s="141"/>
      <c r="CH255" s="141"/>
      <c r="CI255" s="141"/>
      <c r="CJ255" s="141"/>
      <c r="CK255" s="141"/>
      <c r="CL255" s="141"/>
      <c r="CM255" s="141"/>
      <c r="CN255" s="141"/>
      <c r="CO255" s="141"/>
      <c r="CP255" s="141"/>
      <c r="CQ255" s="141"/>
      <c r="CR255" s="141"/>
      <c r="CS255" s="141"/>
      <c r="CT255" s="141"/>
      <c r="CU255" s="141"/>
      <c r="CV255" s="141"/>
    </row>
    <row r="256" spans="1:100" x14ac:dyDescent="0.25">
      <c r="A256" s="44" t="s">
        <v>729</v>
      </c>
      <c r="B256" s="132"/>
      <c r="C256" s="132"/>
      <c r="D256" s="132" t="s">
        <v>128</v>
      </c>
      <c r="E256" s="132"/>
      <c r="F256" s="133"/>
      <c r="G256" s="132"/>
      <c r="H256" s="132"/>
      <c r="I256" s="134"/>
      <c r="J256" s="132"/>
      <c r="K256" s="135"/>
      <c r="L256" s="132" t="s">
        <v>125</v>
      </c>
      <c r="M256" s="132"/>
      <c r="N256" s="135"/>
      <c r="O256" s="135"/>
      <c r="P256" s="132"/>
      <c r="Q256" s="133"/>
      <c r="R256" s="133"/>
      <c r="S256" s="133"/>
      <c r="T256" s="135"/>
      <c r="U256" s="136"/>
      <c r="V256" s="137"/>
      <c r="W256" s="136"/>
      <c r="X256" s="136"/>
      <c r="Y256" s="136"/>
      <c r="Z256" s="136"/>
      <c r="AA256" s="137"/>
      <c r="AB256" s="137"/>
      <c r="AC256" s="136" t="s">
        <v>125</v>
      </c>
      <c r="AD256" s="136"/>
      <c r="AE256" s="136"/>
      <c r="AF256" s="136"/>
      <c r="AG256" s="136"/>
      <c r="AH256" s="136"/>
      <c r="AI256" s="136"/>
      <c r="AJ256" s="136"/>
      <c r="AK256" s="136"/>
      <c r="AL256" s="136"/>
      <c r="AM256" s="136"/>
      <c r="AN256" s="73"/>
      <c r="AO256" s="138"/>
      <c r="AP256" s="138"/>
      <c r="AQ256" s="73"/>
      <c r="AR256" s="73"/>
      <c r="AS256" s="73"/>
      <c r="AT256" s="73"/>
      <c r="AU256" s="73"/>
      <c r="AV256" s="73"/>
      <c r="AW256" s="73"/>
      <c r="AX256" s="73"/>
      <c r="AY256" s="73"/>
      <c r="AZ256" s="73"/>
      <c r="BA256" s="73"/>
      <c r="BB256" s="73"/>
      <c r="BC256" s="73"/>
      <c r="BD256" s="73"/>
      <c r="BE256" s="138"/>
      <c r="BF256" s="73"/>
      <c r="BG256" s="73"/>
      <c r="BH256" s="138"/>
      <c r="BI256" s="73"/>
      <c r="BJ256" s="139"/>
      <c r="BK256" s="139"/>
      <c r="BL256" s="139"/>
      <c r="BM256" s="139"/>
      <c r="BN256" s="140"/>
      <c r="BO256" s="139" t="s">
        <v>125</v>
      </c>
      <c r="BP256" s="139"/>
      <c r="BQ256" s="139"/>
      <c r="BR256" s="139"/>
      <c r="BS256" s="139"/>
      <c r="BT256" s="139"/>
      <c r="BU256" s="139"/>
      <c r="BV256" s="139"/>
      <c r="BW256" s="139"/>
      <c r="BX256" s="139"/>
      <c r="BY256" s="139"/>
      <c r="BZ256" s="140"/>
      <c r="CA256" s="140"/>
      <c r="CB256" s="140"/>
      <c r="CC256" s="139"/>
      <c r="CD256" s="141"/>
      <c r="CE256" s="76"/>
      <c r="CF256" s="141"/>
      <c r="CG256" s="141"/>
      <c r="CH256" s="141"/>
      <c r="CI256" s="141"/>
      <c r="CJ256" s="141"/>
      <c r="CK256" s="141"/>
      <c r="CL256" s="141"/>
      <c r="CM256" s="141"/>
      <c r="CN256" s="141"/>
      <c r="CO256" s="141"/>
      <c r="CP256" s="141"/>
      <c r="CQ256" s="141"/>
      <c r="CR256" s="141"/>
      <c r="CS256" s="141"/>
      <c r="CT256" s="141"/>
      <c r="CU256" s="141"/>
      <c r="CV256" s="141"/>
    </row>
    <row r="257" spans="1:100" x14ac:dyDescent="0.25">
      <c r="A257" s="44" t="s">
        <v>730</v>
      </c>
      <c r="B257" s="132"/>
      <c r="C257" s="132"/>
      <c r="D257" s="146">
        <f>0.4+(char4Refine-1)*0.1</f>
        <v>0.60000000000000009</v>
      </c>
      <c r="E257" s="132"/>
      <c r="F257" s="133"/>
      <c r="G257" s="132"/>
      <c r="H257" s="132"/>
      <c r="I257" s="134"/>
      <c r="J257" s="132"/>
      <c r="K257" s="135"/>
      <c r="L257" s="143">
        <f>200%+(char4Refine-1)*40%</f>
        <v>2.8</v>
      </c>
      <c r="M257" s="132"/>
      <c r="N257" s="135"/>
      <c r="O257" s="135"/>
      <c r="P257" s="132"/>
      <c r="Q257" s="133"/>
      <c r="R257" s="133"/>
      <c r="S257" s="133"/>
      <c r="T257" s="135"/>
      <c r="U257" s="136"/>
      <c r="V257" s="137"/>
      <c r="W257" s="136"/>
      <c r="X257" s="136"/>
      <c r="Y257" s="136"/>
      <c r="Z257" s="136"/>
      <c r="AA257" s="137"/>
      <c r="AB257" s="137"/>
      <c r="AC257" s="136">
        <f>200%+(char4Refine-1)*40%</f>
        <v>2.8</v>
      </c>
      <c r="AD257" s="136"/>
      <c r="AE257" s="136"/>
      <c r="AF257" s="136"/>
      <c r="AG257" s="136"/>
      <c r="AH257" s="136"/>
      <c r="AI257" s="136"/>
      <c r="AJ257" s="136"/>
      <c r="AK257" s="136"/>
      <c r="AL257" s="136"/>
      <c r="AM257" s="136"/>
      <c r="AN257" s="73"/>
      <c r="AO257" s="138"/>
      <c r="AP257" s="138"/>
      <c r="AQ257" s="73"/>
      <c r="AR257" s="73"/>
      <c r="AS257" s="73"/>
      <c r="AT257" s="73"/>
      <c r="AU257" s="73"/>
      <c r="AV257" s="73"/>
      <c r="AW257" s="73"/>
      <c r="AX257" s="73"/>
      <c r="AY257" s="73"/>
      <c r="AZ257" s="73"/>
      <c r="BA257" s="73"/>
      <c r="BB257" s="73"/>
      <c r="BC257" s="73"/>
      <c r="BD257" s="73"/>
      <c r="BE257" s="138"/>
      <c r="BF257" s="73"/>
      <c r="BG257" s="73"/>
      <c r="BH257" s="138"/>
      <c r="BI257" s="73"/>
      <c r="BJ257" s="139"/>
      <c r="BK257" s="139"/>
      <c r="BL257" s="139"/>
      <c r="BM257" s="139"/>
      <c r="BN257" s="140"/>
      <c r="BO257" s="139">
        <f>200%+(char4Refine-1)*40%</f>
        <v>2.8</v>
      </c>
      <c r="BP257" s="139"/>
      <c r="BQ257" s="139"/>
      <c r="BR257" s="139"/>
      <c r="BS257" s="139"/>
      <c r="BT257" s="139"/>
      <c r="BU257" s="139"/>
      <c r="BV257" s="139"/>
      <c r="BW257" s="139"/>
      <c r="BX257" s="139"/>
      <c r="BY257" s="139"/>
      <c r="BZ257" s="140"/>
      <c r="CA257" s="140"/>
      <c r="CB257" s="140"/>
      <c r="CC257" s="139"/>
      <c r="CD257" s="141"/>
      <c r="CE257" s="76"/>
      <c r="CF257" s="141"/>
      <c r="CG257" s="141"/>
      <c r="CH257" s="141"/>
      <c r="CI257" s="141"/>
      <c r="CJ257" s="141"/>
      <c r="CK257" s="141"/>
      <c r="CL257" s="141"/>
      <c r="CM257" s="141"/>
      <c r="CN257" s="141"/>
      <c r="CO257" s="141"/>
      <c r="CP257" s="141"/>
      <c r="CQ257" s="141"/>
      <c r="CR257" s="141"/>
      <c r="CS257" s="141"/>
      <c r="CT257" s="141"/>
      <c r="CU257" s="141"/>
      <c r="CV257" s="141"/>
    </row>
    <row r="258" spans="1:100" x14ac:dyDescent="0.25">
      <c r="A258" s="44" t="s">
        <v>731</v>
      </c>
      <c r="B258" s="132"/>
      <c r="C258" s="132"/>
      <c r="D258" s="146" t="str">
        <f>char4CAElement</f>
        <v>Phys</v>
      </c>
      <c r="E258" s="132"/>
      <c r="F258" s="133"/>
      <c r="G258" s="132"/>
      <c r="H258" s="132"/>
      <c r="I258" s="134"/>
      <c r="J258" s="132"/>
      <c r="K258" s="135"/>
      <c r="L258" s="132" t="s">
        <v>715</v>
      </c>
      <c r="M258" s="132"/>
      <c r="N258" s="135"/>
      <c r="O258" s="135"/>
      <c r="P258" s="132"/>
      <c r="Q258" s="133"/>
      <c r="R258" s="133"/>
      <c r="S258" s="133"/>
      <c r="T258" s="135"/>
      <c r="U258" s="136"/>
      <c r="V258" s="137"/>
      <c r="W258" s="136"/>
      <c r="X258" s="136"/>
      <c r="Y258" s="136"/>
      <c r="Z258" s="136"/>
      <c r="AA258" s="137"/>
      <c r="AB258" s="137"/>
      <c r="AC258" s="136" t="s">
        <v>715</v>
      </c>
      <c r="AD258" s="136"/>
      <c r="AE258" s="136"/>
      <c r="AF258" s="136"/>
      <c r="AG258" s="136"/>
      <c r="AH258" s="136"/>
      <c r="AI258" s="136"/>
      <c r="AJ258" s="136"/>
      <c r="AK258" s="136"/>
      <c r="AL258" s="136"/>
      <c r="AM258" s="136"/>
      <c r="AN258" s="73"/>
      <c r="AO258" s="138"/>
      <c r="AP258" s="138"/>
      <c r="AQ258" s="73"/>
      <c r="AR258" s="73"/>
      <c r="AS258" s="73"/>
      <c r="AT258" s="73"/>
      <c r="AU258" s="73"/>
      <c r="AV258" s="73"/>
      <c r="AW258" s="73"/>
      <c r="AX258" s="73"/>
      <c r="AY258" s="73"/>
      <c r="AZ258" s="73"/>
      <c r="BA258" s="73"/>
      <c r="BB258" s="73"/>
      <c r="BC258" s="73"/>
      <c r="BD258" s="73"/>
      <c r="BE258" s="138"/>
      <c r="BF258" s="73"/>
      <c r="BG258" s="73"/>
      <c r="BH258" s="138"/>
      <c r="BI258" s="73"/>
      <c r="BJ258" s="139"/>
      <c r="BK258" s="139"/>
      <c r="BL258" s="139"/>
      <c r="BM258" s="139"/>
      <c r="BN258" s="140"/>
      <c r="BO258" s="139" t="s">
        <v>715</v>
      </c>
      <c r="BP258" s="139"/>
      <c r="BQ258" s="139"/>
      <c r="BR258" s="139"/>
      <c r="BS258" s="139"/>
      <c r="BT258" s="139"/>
      <c r="BU258" s="139"/>
      <c r="BV258" s="139"/>
      <c r="BW258" s="139"/>
      <c r="BX258" s="139"/>
      <c r="BY258" s="139"/>
      <c r="BZ258" s="140"/>
      <c r="CA258" s="140"/>
      <c r="CB258" s="140"/>
      <c r="CC258" s="139"/>
      <c r="CD258" s="141"/>
      <c r="CE258" s="76"/>
      <c r="CF258" s="141"/>
      <c r="CG258" s="141"/>
      <c r="CH258" s="141"/>
      <c r="CI258" s="141"/>
      <c r="CJ258" s="141"/>
      <c r="CK258" s="141"/>
      <c r="CL258" s="141"/>
      <c r="CM258" s="141"/>
      <c r="CN258" s="141"/>
      <c r="CO258" s="141"/>
      <c r="CP258" s="141"/>
      <c r="CQ258" s="141"/>
      <c r="CR258" s="141"/>
      <c r="CS258" s="141"/>
      <c r="CT258" s="141"/>
      <c r="CU258" s="141"/>
      <c r="CV258" s="141"/>
    </row>
    <row r="259" spans="1:100" x14ac:dyDescent="0.25">
      <c r="A259" s="44" t="s">
        <v>732</v>
      </c>
      <c r="B259" s="132"/>
      <c r="C259" s="132"/>
      <c r="D259" s="132"/>
      <c r="E259" s="132"/>
      <c r="F259" s="133"/>
      <c r="G259" s="132"/>
      <c r="H259" s="132"/>
      <c r="I259" s="134"/>
      <c r="J259" s="132"/>
      <c r="K259" s="135"/>
      <c r="L259" s="132"/>
      <c r="M259" s="132"/>
      <c r="N259" s="135"/>
      <c r="O259" s="135"/>
      <c r="P259" s="132"/>
      <c r="Q259" s="133"/>
      <c r="R259" s="133"/>
      <c r="S259" s="133"/>
      <c r="T259" s="135"/>
      <c r="U259" s="136"/>
      <c r="V259" s="137"/>
      <c r="W259" s="136"/>
      <c r="X259" s="136"/>
      <c r="Y259" s="136"/>
      <c r="Z259" s="136"/>
      <c r="AA259" s="137"/>
      <c r="AB259" s="137"/>
      <c r="AC259" s="136"/>
      <c r="AD259" s="136"/>
      <c r="AE259" s="136"/>
      <c r="AF259" s="136"/>
      <c r="AG259" s="136"/>
      <c r="AH259" s="136"/>
      <c r="AI259" s="136"/>
      <c r="AJ259" s="136"/>
      <c r="AK259" s="136"/>
      <c r="AL259" s="136"/>
      <c r="AM259" s="136"/>
      <c r="AN259" s="73"/>
      <c r="AO259" s="138"/>
      <c r="AP259" s="138"/>
      <c r="AQ259" s="73"/>
      <c r="AR259" s="73"/>
      <c r="AS259" s="73"/>
      <c r="AT259" s="73"/>
      <c r="AU259" s="73"/>
      <c r="AV259" s="73"/>
      <c r="AW259" s="73"/>
      <c r="AX259" s="73"/>
      <c r="AY259" s="73"/>
      <c r="AZ259" s="73"/>
      <c r="BA259" s="73"/>
      <c r="BB259" s="73"/>
      <c r="BC259" s="73"/>
      <c r="BD259" s="73"/>
      <c r="BE259" s="138"/>
      <c r="BF259" s="73"/>
      <c r="BG259" s="73"/>
      <c r="BH259" s="138"/>
      <c r="BI259" s="73"/>
      <c r="BJ259" s="139"/>
      <c r="BK259" s="139"/>
      <c r="BL259" s="139"/>
      <c r="BM259" s="139"/>
      <c r="BN259" s="140"/>
      <c r="BO259" s="139"/>
      <c r="BP259" s="139"/>
      <c r="BQ259" s="139"/>
      <c r="BR259" s="139"/>
      <c r="BS259" s="139"/>
      <c r="BT259" s="139"/>
      <c r="BU259" s="139"/>
      <c r="BV259" s="139"/>
      <c r="BW259" s="139"/>
      <c r="BX259" s="139"/>
      <c r="BY259" s="139"/>
      <c r="BZ259" s="140"/>
      <c r="CA259" s="140"/>
      <c r="CB259" s="140"/>
      <c r="CC259" s="139"/>
      <c r="CD259" s="141"/>
      <c r="CE259" s="76"/>
      <c r="CF259" s="141"/>
      <c r="CG259" s="141"/>
      <c r="CH259" s="141"/>
      <c r="CI259" s="141"/>
      <c r="CJ259" s="141"/>
      <c r="CK259" s="141"/>
      <c r="CL259" s="141"/>
      <c r="CM259" s="141"/>
      <c r="CN259" s="141"/>
      <c r="CO259" s="141"/>
      <c r="CP259" s="141"/>
      <c r="CQ259" s="141"/>
      <c r="CR259" s="141"/>
      <c r="CS259" s="141"/>
      <c r="CT259" s="141"/>
      <c r="CU259" s="141"/>
      <c r="CV259" s="141"/>
    </row>
    <row r="260" spans="1:100" x14ac:dyDescent="0.25">
      <c r="A260" s="44" t="s">
        <v>733</v>
      </c>
      <c r="B260" s="132"/>
      <c r="C260" s="132"/>
      <c r="D260" s="132"/>
      <c r="E260" s="132"/>
      <c r="F260" s="133"/>
      <c r="G260" s="132"/>
      <c r="H260" s="132"/>
      <c r="I260" s="134"/>
      <c r="J260" s="132"/>
      <c r="K260" s="135"/>
      <c r="L260" s="132"/>
      <c r="M260" s="132"/>
      <c r="N260" s="135"/>
      <c r="O260" s="135"/>
      <c r="P260" s="132"/>
      <c r="Q260" s="133"/>
      <c r="R260" s="133"/>
      <c r="S260" s="133"/>
      <c r="T260" s="135"/>
      <c r="U260" s="136"/>
      <c r="V260" s="137"/>
      <c r="W260" s="136"/>
      <c r="X260" s="136"/>
      <c r="Y260" s="136"/>
      <c r="Z260" s="136"/>
      <c r="AA260" s="137"/>
      <c r="AB260" s="137"/>
      <c r="AC260" s="136"/>
      <c r="AD260" s="136"/>
      <c r="AE260" s="136"/>
      <c r="AF260" s="136"/>
      <c r="AG260" s="136"/>
      <c r="AH260" s="136"/>
      <c r="AI260" s="136"/>
      <c r="AJ260" s="136"/>
      <c r="AK260" s="136"/>
      <c r="AL260" s="136"/>
      <c r="AM260" s="136"/>
      <c r="AN260" s="73"/>
      <c r="AO260" s="138"/>
      <c r="AP260" s="138"/>
      <c r="AQ260" s="73"/>
      <c r="AR260" s="73"/>
      <c r="AS260" s="73"/>
      <c r="AT260" s="73"/>
      <c r="AU260" s="73"/>
      <c r="AV260" s="73"/>
      <c r="AW260" s="73"/>
      <c r="AX260" s="73"/>
      <c r="AY260" s="73"/>
      <c r="AZ260" s="73"/>
      <c r="BA260" s="73"/>
      <c r="BB260" s="73"/>
      <c r="BC260" s="73"/>
      <c r="BD260" s="73"/>
      <c r="BE260" s="138"/>
      <c r="BF260" s="73"/>
      <c r="BG260" s="73"/>
      <c r="BH260" s="138"/>
      <c r="BI260" s="73"/>
      <c r="BJ260" s="139"/>
      <c r="BK260" s="139"/>
      <c r="BL260" s="139"/>
      <c r="BM260" s="139"/>
      <c r="BN260" s="140"/>
      <c r="BO260" s="139"/>
      <c r="BP260" s="139"/>
      <c r="BQ260" s="139"/>
      <c r="BR260" s="139"/>
      <c r="BS260" s="139"/>
      <c r="BT260" s="139"/>
      <c r="BU260" s="139"/>
      <c r="BV260" s="139"/>
      <c r="BW260" s="139"/>
      <c r="BX260" s="139"/>
      <c r="BY260" s="139"/>
      <c r="BZ260" s="140"/>
      <c r="CA260" s="140"/>
      <c r="CB260" s="140"/>
      <c r="CC260" s="139"/>
      <c r="CD260" s="141"/>
      <c r="CE260" s="76"/>
      <c r="CF260" s="141"/>
      <c r="CG260" s="141"/>
      <c r="CH260" s="141"/>
      <c r="CI260" s="141"/>
      <c r="CJ260" s="141"/>
      <c r="CK260" s="141"/>
      <c r="CL260" s="141"/>
      <c r="CM260" s="141"/>
      <c r="CN260" s="141"/>
      <c r="CO260" s="141"/>
      <c r="CP260" s="141"/>
      <c r="CQ260" s="141"/>
      <c r="CR260" s="141"/>
      <c r="CS260" s="141"/>
      <c r="CT260" s="141"/>
      <c r="CU260" s="141"/>
      <c r="CV260" s="141"/>
    </row>
    <row r="261" spans="1:100" x14ac:dyDescent="0.25">
      <c r="A261" s="44" t="s">
        <v>734</v>
      </c>
      <c r="B261" s="132"/>
      <c r="C261" s="132"/>
      <c r="D261" s="132"/>
      <c r="E261" s="132"/>
      <c r="F261" s="133"/>
      <c r="G261" s="132"/>
      <c r="H261" s="132"/>
      <c r="I261" s="134"/>
      <c r="J261" s="132"/>
      <c r="K261" s="135"/>
      <c r="L261" s="132"/>
      <c r="M261" s="132"/>
      <c r="N261" s="135"/>
      <c r="O261" s="135"/>
      <c r="P261" s="132"/>
      <c r="Q261" s="133"/>
      <c r="R261" s="133"/>
      <c r="S261" s="133"/>
      <c r="T261" s="135"/>
      <c r="U261" s="136"/>
      <c r="V261" s="137"/>
      <c r="W261" s="136"/>
      <c r="X261" s="136"/>
      <c r="Y261" s="136"/>
      <c r="Z261" s="136"/>
      <c r="AA261" s="137"/>
      <c r="AB261" s="137"/>
      <c r="AC261" s="136"/>
      <c r="AD261" s="136"/>
      <c r="AE261" s="136"/>
      <c r="AF261" s="136"/>
      <c r="AG261" s="136"/>
      <c r="AH261" s="136"/>
      <c r="AI261" s="136"/>
      <c r="AJ261" s="136"/>
      <c r="AK261" s="136"/>
      <c r="AL261" s="136"/>
      <c r="AM261" s="136"/>
      <c r="AN261" s="73"/>
      <c r="AO261" s="138"/>
      <c r="AP261" s="138"/>
      <c r="AQ261" s="73"/>
      <c r="AR261" s="73"/>
      <c r="AS261" s="73"/>
      <c r="AT261" s="73"/>
      <c r="AU261" s="73"/>
      <c r="AV261" s="73"/>
      <c r="AW261" s="73"/>
      <c r="AX261" s="73"/>
      <c r="AY261" s="73"/>
      <c r="AZ261" s="73"/>
      <c r="BA261" s="73"/>
      <c r="BB261" s="73"/>
      <c r="BC261" s="73"/>
      <c r="BD261" s="73"/>
      <c r="BE261" s="138"/>
      <c r="BF261" s="73"/>
      <c r="BG261" s="73"/>
      <c r="BH261" s="138"/>
      <c r="BI261" s="73"/>
      <c r="BJ261" s="139"/>
      <c r="BK261" s="139"/>
      <c r="BL261" s="139"/>
      <c r="BM261" s="139"/>
      <c r="BN261" s="140"/>
      <c r="BO261" s="139"/>
      <c r="BP261" s="139"/>
      <c r="BQ261" s="139"/>
      <c r="BR261" s="139"/>
      <c r="BS261" s="139"/>
      <c r="BT261" s="139"/>
      <c r="BU261" s="139"/>
      <c r="BV261" s="139"/>
      <c r="BW261" s="139"/>
      <c r="BX261" s="139"/>
      <c r="BY261" s="139"/>
      <c r="BZ261" s="140"/>
      <c r="CA261" s="140"/>
      <c r="CB261" s="140"/>
      <c r="CC261" s="139"/>
      <c r="CD261" s="141"/>
      <c r="CE261" s="76"/>
      <c r="CF261" s="141"/>
      <c r="CG261" s="141"/>
      <c r="CH261" s="141"/>
      <c r="CI261" s="141"/>
      <c r="CJ261" s="141"/>
      <c r="CK261" s="141"/>
      <c r="CL261" s="141"/>
      <c r="CM261" s="141"/>
      <c r="CN261" s="141"/>
      <c r="CO261" s="141"/>
      <c r="CP261" s="141"/>
      <c r="CQ261" s="141"/>
      <c r="CR261" s="141"/>
      <c r="CS261" s="141"/>
      <c r="CT261" s="141"/>
      <c r="CU261" s="141"/>
      <c r="CV261" s="141"/>
    </row>
    <row r="262" spans="1:100" x14ac:dyDescent="0.25">
      <c r="A262" s="44" t="s">
        <v>735</v>
      </c>
      <c r="B262" s="132"/>
      <c r="C262" s="132"/>
      <c r="D262" s="132"/>
      <c r="E262" s="132"/>
      <c r="F262" s="133"/>
      <c r="G262" s="132"/>
      <c r="H262" s="132"/>
      <c r="I262" s="134"/>
      <c r="J262" s="132"/>
      <c r="K262" s="135"/>
      <c r="L262" s="132"/>
      <c r="M262" s="132"/>
      <c r="N262" s="135"/>
      <c r="O262" s="135"/>
      <c r="P262" s="132"/>
      <c r="Q262" s="133"/>
      <c r="R262" s="133"/>
      <c r="S262" s="133"/>
      <c r="T262" s="135"/>
      <c r="U262" s="136"/>
      <c r="V262" s="137"/>
      <c r="W262" s="136"/>
      <c r="X262" s="136"/>
      <c r="Y262" s="136"/>
      <c r="Z262" s="136"/>
      <c r="AA262" s="137"/>
      <c r="AB262" s="137"/>
      <c r="AC262" s="136"/>
      <c r="AD262" s="136"/>
      <c r="AE262" s="136"/>
      <c r="AF262" s="136"/>
      <c r="AG262" s="136"/>
      <c r="AH262" s="136"/>
      <c r="AI262" s="136"/>
      <c r="AJ262" s="136"/>
      <c r="AK262" s="136"/>
      <c r="AL262" s="136"/>
      <c r="AM262" s="136"/>
      <c r="AN262" s="73"/>
      <c r="AO262" s="138"/>
      <c r="AP262" s="138"/>
      <c r="AQ262" s="73"/>
      <c r="AR262" s="73"/>
      <c r="AS262" s="73"/>
      <c r="AT262" s="73"/>
      <c r="AU262" s="73"/>
      <c r="AV262" s="73"/>
      <c r="AW262" s="73"/>
      <c r="AX262" s="73"/>
      <c r="AY262" s="73"/>
      <c r="AZ262" s="73"/>
      <c r="BA262" s="73"/>
      <c r="BB262" s="73"/>
      <c r="BC262" s="73"/>
      <c r="BD262" s="73"/>
      <c r="BE262" s="138"/>
      <c r="BF262" s="73"/>
      <c r="BG262" s="73"/>
      <c r="BH262" s="138"/>
      <c r="BI262" s="73"/>
      <c r="BJ262" s="139"/>
      <c r="BK262" s="139"/>
      <c r="BL262" s="139"/>
      <c r="BM262" s="139"/>
      <c r="BN262" s="140"/>
      <c r="BO262" s="139"/>
      <c r="BP262" s="139"/>
      <c r="BQ262" s="139"/>
      <c r="BR262" s="139"/>
      <c r="BS262" s="139"/>
      <c r="BT262" s="139"/>
      <c r="BU262" s="139"/>
      <c r="BV262" s="139"/>
      <c r="BW262" s="139"/>
      <c r="BX262" s="139"/>
      <c r="BY262" s="139"/>
      <c r="BZ262" s="140"/>
      <c r="CA262" s="140"/>
      <c r="CB262" s="140"/>
      <c r="CC262" s="139"/>
      <c r="CD262" s="141"/>
      <c r="CE262" s="76"/>
      <c r="CF262" s="141"/>
      <c r="CG262" s="141"/>
      <c r="CH262" s="141"/>
      <c r="CI262" s="141"/>
      <c r="CJ262" s="141"/>
      <c r="CK262" s="141"/>
      <c r="CL262" s="141"/>
      <c r="CM262" s="141"/>
      <c r="CN262" s="141"/>
      <c r="CO262" s="141"/>
      <c r="CP262" s="141"/>
      <c r="CQ262" s="141"/>
      <c r="CR262" s="141"/>
      <c r="CS262" s="141"/>
      <c r="CT262" s="141"/>
      <c r="CU262" s="141"/>
      <c r="CV262" s="141"/>
    </row>
    <row r="263" spans="1:100" x14ac:dyDescent="0.25">
      <c r="A263" s="44" t="s">
        <v>736</v>
      </c>
      <c r="B263" s="132"/>
      <c r="C263" s="132"/>
      <c r="D263" s="132"/>
      <c r="E263" s="132"/>
      <c r="F263" s="133"/>
      <c r="G263" s="132"/>
      <c r="H263" s="132"/>
      <c r="I263" s="134"/>
      <c r="J263" s="132"/>
      <c r="K263" s="135"/>
      <c r="L263" s="132"/>
      <c r="M263" s="132"/>
      <c r="N263" s="135"/>
      <c r="O263" s="135"/>
      <c r="P263" s="132"/>
      <c r="Q263" s="133"/>
      <c r="R263" s="133"/>
      <c r="S263" s="133"/>
      <c r="T263" s="135"/>
      <c r="U263" s="136"/>
      <c r="V263" s="137"/>
      <c r="W263" s="136"/>
      <c r="X263" s="136"/>
      <c r="Y263" s="136"/>
      <c r="Z263" s="136"/>
      <c r="AA263" s="137"/>
      <c r="AB263" s="137"/>
      <c r="AC263" s="136"/>
      <c r="AD263" s="136"/>
      <c r="AE263" s="136"/>
      <c r="AF263" s="136"/>
      <c r="AG263" s="136"/>
      <c r="AH263" s="136"/>
      <c r="AI263" s="136"/>
      <c r="AJ263" s="136"/>
      <c r="AK263" s="136"/>
      <c r="AL263" s="136"/>
      <c r="AM263" s="136"/>
      <c r="AN263" s="73"/>
      <c r="AO263" s="138"/>
      <c r="AP263" s="138"/>
      <c r="AQ263" s="73"/>
      <c r="AR263" s="73"/>
      <c r="AS263" s="73"/>
      <c r="AT263" s="73"/>
      <c r="AU263" s="73"/>
      <c r="AV263" s="73"/>
      <c r="AW263" s="73"/>
      <c r="AX263" s="73"/>
      <c r="AY263" s="73"/>
      <c r="AZ263" s="73"/>
      <c r="BA263" s="73"/>
      <c r="BB263" s="73"/>
      <c r="BC263" s="73"/>
      <c r="BD263" s="73"/>
      <c r="BE263" s="138"/>
      <c r="BF263" s="73"/>
      <c r="BG263" s="73"/>
      <c r="BH263" s="138"/>
      <c r="BI263" s="73"/>
      <c r="BJ263" s="139"/>
      <c r="BK263" s="139"/>
      <c r="BL263" s="139"/>
      <c r="BM263" s="139"/>
      <c r="BN263" s="140"/>
      <c r="BO263" s="139"/>
      <c r="BP263" s="139"/>
      <c r="BQ263" s="139"/>
      <c r="BR263" s="139"/>
      <c r="BS263" s="139"/>
      <c r="BT263" s="139"/>
      <c r="BU263" s="139"/>
      <c r="BV263" s="139"/>
      <c r="BW263" s="139"/>
      <c r="BX263" s="139"/>
      <c r="BY263" s="139"/>
      <c r="BZ263" s="140"/>
      <c r="CA263" s="140"/>
      <c r="CB263" s="140"/>
      <c r="CC263" s="139"/>
      <c r="CD263" s="141"/>
      <c r="CE263" s="76"/>
      <c r="CF263" s="141"/>
      <c r="CG263" s="141"/>
      <c r="CH263" s="141"/>
      <c r="CI263" s="141"/>
      <c r="CJ263" s="141"/>
      <c r="CK263" s="141"/>
      <c r="CL263" s="141"/>
      <c r="CM263" s="141"/>
      <c r="CN263" s="141"/>
      <c r="CO263" s="141"/>
      <c r="CP263" s="141"/>
      <c r="CQ263" s="141"/>
      <c r="CR263" s="141"/>
      <c r="CS263" s="141"/>
      <c r="CT263" s="141"/>
      <c r="CU263" s="141"/>
      <c r="CV263" s="14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38D20-9CCF-49B6-83D8-9DC1DE45154E}">
  <dimension ref="A1:H100"/>
  <sheetViews>
    <sheetView workbookViewId="0">
      <selection activeCell="C9" sqref="C9"/>
    </sheetView>
  </sheetViews>
  <sheetFormatPr defaultRowHeight="15" x14ac:dyDescent="0.25"/>
  <cols>
    <col min="2" max="2" width="13.85546875" bestFit="1" customWidth="1"/>
    <col min="3" max="3" width="23.85546875" bestFit="1" customWidth="1"/>
    <col min="4" max="4" width="22.85546875" bestFit="1" customWidth="1"/>
    <col min="5" max="5" width="29.85546875" bestFit="1" customWidth="1"/>
    <col min="6" max="6" width="27.28515625" bestFit="1" customWidth="1"/>
  </cols>
  <sheetData>
    <row r="1" spans="1:3" x14ac:dyDescent="0.25">
      <c r="A1" t="s">
        <v>1169</v>
      </c>
    </row>
    <row r="2" spans="1:3" x14ac:dyDescent="0.25">
      <c r="C2" t="str">
        <f>C64&amp;" char lvl="&amp;C67&amp;"/"&amp;C70&amp;" cons=0 talent="&amp;C32&amp;","&amp;C33&amp;","&amp;C34&amp;";"</f>
        <v>shenhe char lvl=90/90 cons=0 talent=9,9,9;</v>
      </c>
    </row>
    <row r="3" spans="1:3" x14ac:dyDescent="0.25">
      <c r="C3" t="str">
        <f>C64&amp;" add weapon="""&amp;C65&amp;""" refine="&amp;C37&amp;" lvl=90/90;"</f>
        <v>shenhe add weapon="favoniuslance" refine=3 lvl=90/90;</v>
      </c>
    </row>
    <row r="4" spans="1:3" x14ac:dyDescent="0.25">
      <c r="C4" t="str">
        <f>IF(C80&gt;0,C64&amp;" add set="&amp;C77&amp;" count="&amp;C80&amp;";","")</f>
        <v/>
      </c>
    </row>
    <row r="5" spans="1:3" x14ac:dyDescent="0.25">
      <c r="C5" t="str">
        <f>IF(C81&gt;0,C64&amp;" add set="""&amp;C78&amp;""" count="&amp;C81&amp;";","")</f>
        <v>shenhe add set="noblesseoblige" count=4;</v>
      </c>
    </row>
    <row r="6" spans="1:3" x14ac:dyDescent="0.25">
      <c r="C6" t="str">
        <f>C64&amp;" add stats "&amp;C83&amp;C84&amp;C85&amp;C86&amp;C87&amp;C88&amp;C89&amp;C90&amp;C91&amp;C92&amp;C93&amp;C94&amp;C95&amp;C96&amp;C97&amp;C98&amp;C99&amp;C100&amp;";"</f>
        <v>shenhe add stats atk=344.08 def=39.36 hp=5287.88 em=39.64 atk%=1.4972 def%=0.124 hp%=0.0992 cr=0.3641 cd=0.5958 er=0.3306 ;</v>
      </c>
    </row>
    <row r="8" spans="1:3" x14ac:dyDescent="0.25">
      <c r="C8" t="str">
        <f>D64&amp;" char lvl="&amp;D67&amp;"/"&amp;D70&amp;" cons=0 talent="&amp;D32&amp;","&amp;D33&amp;","&amp;D34&amp;";"</f>
        <v>ganyu char lvl=90/90 cons=0 talent=9,9,9;</v>
      </c>
    </row>
    <row r="9" spans="1:3" x14ac:dyDescent="0.25">
      <c r="C9" t="str">
        <f>D64&amp;" add weapon="""&amp;D65&amp;""" refine="&amp;D37&amp;" lvl=90/90;"</f>
        <v>ganyu add weapon="prototypecrescent" refine=3 lvl=90/90;</v>
      </c>
    </row>
    <row r="10" spans="1:3" x14ac:dyDescent="0.25">
      <c r="C10" t="str">
        <f>IF(D80&gt;0,D64&amp;" add set="&amp;D77&amp;" count="&amp;D80&amp;";","")</f>
        <v/>
      </c>
    </row>
    <row r="11" spans="1:3" x14ac:dyDescent="0.25">
      <c r="C11" t="str">
        <f>IF(D81&gt;0,D64&amp;" add set="""&amp;D78&amp;""" count="&amp;D81&amp;";","")</f>
        <v>ganyu add set="blizzardstrayer" count=4;</v>
      </c>
    </row>
    <row r="12" spans="1:3" x14ac:dyDescent="0.25">
      <c r="C12" t="str">
        <f>D64&amp;" add stats "&amp;D83&amp;D84&amp;D85&amp;D86&amp;D87&amp;D88&amp;D89&amp;D90&amp;D91&amp;D92&amp;D93&amp;D94&amp;D95&amp;D96&amp;D97&amp;D98&amp;D99&amp;D100&amp;";"</f>
        <v>ganyu add stats atk=344.08 def=39.36 hp=5287.88 em=39.64 atk%=0.6644 def%=0.124 hp%=0.0992 cr=0.3972 cd=1.284 er=0.1102 cryo%=0.466 ;</v>
      </c>
    </row>
    <row r="14" spans="1:3" x14ac:dyDescent="0.25">
      <c r="C14" t="str">
        <f>E64&amp;" char lvl="&amp;E67&amp;"/"&amp;E70&amp;" cons=0 talent="&amp;E32&amp;","&amp;E33&amp;","&amp;E34&amp;";"</f>
        <v>mona char lvl=90/90 cons=0 talent=9,9,9;</v>
      </c>
    </row>
    <row r="15" spans="1:3" x14ac:dyDescent="0.25">
      <c r="C15" t="str">
        <f>E64&amp;" add weapon="""&amp;E65&amp;""" refine="&amp;E37&amp;" lvl=90/90;"</f>
        <v>mona add weapon="prototypeamber" refine=3 lvl=90/90;</v>
      </c>
    </row>
    <row r="16" spans="1:3" x14ac:dyDescent="0.25">
      <c r="C16" t="str">
        <f>IF(E80&gt;0,E64&amp;" add set="&amp;E77&amp;" count="&amp;E80&amp;";","")</f>
        <v/>
      </c>
    </row>
    <row r="17" spans="1:6" x14ac:dyDescent="0.25">
      <c r="C17" t="str">
        <f>IF(E81&gt;0,E64&amp;" add set="""&amp;E78&amp;""" count="&amp;E81&amp;";","")</f>
        <v>mona add set="tenacityofthemillelith" count=4;</v>
      </c>
    </row>
    <row r="18" spans="1:6" x14ac:dyDescent="0.25">
      <c r="C18" t="str">
        <f>E64&amp;" add stats "&amp;E83&amp;E84&amp;E85&amp;E86&amp;E87&amp;E88&amp;E89&amp;E90&amp;E91&amp;E92&amp;E93&amp;E94&amp;E95&amp;E96&amp;E97&amp;E98&amp;E99&amp;E100&amp;";"</f>
        <v>mona add stats atk=344.08 def=39.36 hp=5287.88 em=39.64 atk%=0.6148 def%=0.124 hp%=0.0992 cr=0.5096 cd=0.7944 er=0.3857 hydro%=0.466 ;</v>
      </c>
    </row>
    <row r="20" spans="1:6" x14ac:dyDescent="0.25">
      <c r="C20" t="str">
        <f>F64&amp;" char lvl="&amp;F67&amp;"/"&amp;F70&amp;" cons=0 talent="&amp;F32&amp;","&amp;F33&amp;","&amp;F34&amp;";"</f>
        <v>venti char lvl=90/90 cons=0 talent=9,9,9;</v>
      </c>
    </row>
    <row r="21" spans="1:6" x14ac:dyDescent="0.25">
      <c r="C21" t="str">
        <f>F64&amp;" add weapon="""&amp;F65&amp;""" refine="&amp;F37&amp;" lvl=90/90;"</f>
        <v>venti add weapon="favoniuswarbow" refine=3 lvl=90/90;</v>
      </c>
    </row>
    <row r="22" spans="1:6" x14ac:dyDescent="0.25">
      <c r="C22" t="str">
        <f>IF(F80&gt;0,F64&amp;" add set="&amp;F77&amp;" count="&amp;F80&amp;";","")</f>
        <v/>
      </c>
    </row>
    <row r="23" spans="1:6" x14ac:dyDescent="0.25">
      <c r="C23" t="str">
        <f>IF(F81&gt;0,F64&amp;" add set="""&amp;F78&amp;""" count="&amp;F81&amp;";","")</f>
        <v>venti add set="viridescentvenerer" count=4;</v>
      </c>
    </row>
    <row r="24" spans="1:6" x14ac:dyDescent="0.25">
      <c r="C24" t="str">
        <f>F64&amp;" add stats "&amp;F83&amp;F84&amp;F85&amp;F86&amp;F87&amp;F88&amp;F89&amp;F90&amp;F91&amp;F92&amp;F93&amp;F94&amp;F95&amp;F96&amp;F97&amp;F98&amp;F99&amp;F100&amp;";"</f>
        <v>venti add stats atk=344.08 def=39.36 hp=5287.88 em=679.92 atk%=0.5952 def%=0.124 hp%=0.0992 cr=0.1986 cd=0.2648 er=0.1102 ;</v>
      </c>
    </row>
    <row r="28" spans="1:6" x14ac:dyDescent="0.25">
      <c r="A28" t="s">
        <v>1170</v>
      </c>
    </row>
    <row r="29" spans="1:6" x14ac:dyDescent="0.25">
      <c r="B29" t="s">
        <v>123</v>
      </c>
    </row>
    <row r="30" spans="1:6" x14ac:dyDescent="0.25">
      <c r="C30" t="str">
        <f>'Char 1'!$E5</f>
        <v>Shenhe</v>
      </c>
      <c r="D30" t="str">
        <f>'Char 2'!$E5</f>
        <v>Ganyu</v>
      </c>
      <c r="E30" t="str">
        <f>'Char 3'!$E5</f>
        <v>Mona</v>
      </c>
      <c r="F30" t="str">
        <f>'Char 4'!$E5</f>
        <v>Venti</v>
      </c>
    </row>
    <row r="31" spans="1:6" x14ac:dyDescent="0.25">
      <c r="C31">
        <f>'Char 1'!$E6</f>
        <v>90</v>
      </c>
      <c r="D31">
        <f>'Char 2'!$E6</f>
        <v>90</v>
      </c>
      <c r="E31">
        <f>'Char 3'!$E6</f>
        <v>90</v>
      </c>
      <c r="F31">
        <f>'Char 4'!$E6</f>
        <v>90</v>
      </c>
    </row>
    <row r="32" spans="1:6" x14ac:dyDescent="0.25">
      <c r="C32">
        <f>'Char 1'!$E7</f>
        <v>9</v>
      </c>
      <c r="D32">
        <f>'Char 2'!$E7</f>
        <v>9</v>
      </c>
      <c r="E32">
        <f>'Char 3'!$E7</f>
        <v>9</v>
      </c>
      <c r="F32">
        <f>'Char 4'!$E7</f>
        <v>9</v>
      </c>
    </row>
    <row r="33" spans="2:7" x14ac:dyDescent="0.25">
      <c r="C33">
        <f>'Char 1'!$E8</f>
        <v>9</v>
      </c>
      <c r="D33">
        <f>'Char 2'!$E8</f>
        <v>9</v>
      </c>
      <c r="E33">
        <f>'Char 3'!$E8</f>
        <v>9</v>
      </c>
      <c r="F33">
        <f>'Char 4'!$E8</f>
        <v>9</v>
      </c>
    </row>
    <row r="34" spans="2:7" x14ac:dyDescent="0.25">
      <c r="C34">
        <f>'Char 1'!$E9</f>
        <v>9</v>
      </c>
      <c r="D34">
        <f>'Char 2'!$E9</f>
        <v>9</v>
      </c>
      <c r="E34">
        <f>'Char 3'!$E9</f>
        <v>9</v>
      </c>
      <c r="F34">
        <f>'Char 4'!$E9</f>
        <v>9</v>
      </c>
    </row>
    <row r="35" spans="2:7" x14ac:dyDescent="0.25">
      <c r="B35" t="s">
        <v>1096</v>
      </c>
    </row>
    <row r="36" spans="2:7" x14ac:dyDescent="0.25">
      <c r="C36" t="str">
        <f>'Char 1'!$L5</f>
        <v>Favonius Lance</v>
      </c>
      <c r="D36" t="str">
        <f>'Char 2'!$L5</f>
        <v>Prototype Crescent</v>
      </c>
      <c r="E36" t="str">
        <f>'Char 3'!$L5</f>
        <v>Prototype Amber</v>
      </c>
      <c r="F36" t="str">
        <f>'Char 4'!$L5</f>
        <v>Favonius Warbow</v>
      </c>
    </row>
    <row r="37" spans="2:7" x14ac:dyDescent="0.25">
      <c r="C37">
        <f>'Char 1'!$L6</f>
        <v>3</v>
      </c>
      <c r="D37">
        <f>'Char 1'!$L6</f>
        <v>3</v>
      </c>
      <c r="E37">
        <f>'Char 1'!$L6</f>
        <v>3</v>
      </c>
      <c r="F37">
        <f>'Char 1'!$L6</f>
        <v>3</v>
      </c>
    </row>
    <row r="39" spans="2:7" x14ac:dyDescent="0.25">
      <c r="B39" t="s">
        <v>564</v>
      </c>
    </row>
    <row r="40" spans="2:7" x14ac:dyDescent="0.25">
      <c r="C40" t="str">
        <f>'Char 1'!$L14</f>
        <v xml:space="preserve">2-piece Noblesse Oblige  </v>
      </c>
      <c r="D40" t="str">
        <f>'Char 2'!$L14</f>
        <v xml:space="preserve">2-piece Blizzard Strayer  </v>
      </c>
      <c r="E40" t="str">
        <f>'Char 3'!$L14</f>
        <v>2-piece Tenacity of the Millelith</v>
      </c>
      <c r="F40" t="str">
        <f>'Char 4'!$L14</f>
        <v xml:space="preserve">2-piece Viridescent Venerer  </v>
      </c>
    </row>
    <row r="41" spans="2:7" x14ac:dyDescent="0.25">
      <c r="C41" t="str">
        <f>'Char 1'!$L15</f>
        <v xml:space="preserve">4-piece Noblesse Oblige  </v>
      </c>
      <c r="D41" t="str">
        <f>'Char 2'!$L15</f>
        <v xml:space="preserve">4-piece Blizzard Strayer  </v>
      </c>
      <c r="E41" t="str">
        <f>'Char 3'!$L15</f>
        <v>4-piece Tenacity of the Millelith</v>
      </c>
      <c r="F41" t="str">
        <f>'Char 4'!$L15</f>
        <v xml:space="preserve">4-piece Viridescent Venerer  </v>
      </c>
    </row>
    <row r="43" spans="2:7" x14ac:dyDescent="0.25">
      <c r="B43" t="s">
        <v>1171</v>
      </c>
    </row>
    <row r="44" spans="2:7" x14ac:dyDescent="0.25">
      <c r="B44" t="s">
        <v>62</v>
      </c>
      <c r="C44">
        <f>Calcs!D6+Calcs!H6</f>
        <v>344.08</v>
      </c>
      <c r="D44">
        <f>Calcs!D58+Calcs!H58</f>
        <v>344.08</v>
      </c>
      <c r="E44">
        <f>Calcs!D110+Calcs!H110</f>
        <v>344.08</v>
      </c>
      <c r="F44">
        <f>+Calcs!D162+Calcs!H162</f>
        <v>344.08</v>
      </c>
      <c r="G44" t="s">
        <v>1172</v>
      </c>
    </row>
    <row r="45" spans="2:7" x14ac:dyDescent="0.25">
      <c r="B45" t="s">
        <v>63</v>
      </c>
      <c r="C45">
        <f>Calcs!D7+Calcs!H7</f>
        <v>39.36</v>
      </c>
      <c r="D45">
        <f>Calcs!D59+Calcs!H59</f>
        <v>39.36</v>
      </c>
      <c r="E45">
        <f>Calcs!D111+Calcs!H111</f>
        <v>39.36</v>
      </c>
      <c r="F45">
        <f>+Calcs!D163+Calcs!H163</f>
        <v>39.36</v>
      </c>
      <c r="G45" t="s">
        <v>1173</v>
      </c>
    </row>
    <row r="46" spans="2:7" x14ac:dyDescent="0.25">
      <c r="B46" t="s">
        <v>64</v>
      </c>
      <c r="C46">
        <f>Calcs!D8+Calcs!H8</f>
        <v>5287.88</v>
      </c>
      <c r="D46">
        <f>Calcs!D60+Calcs!H60</f>
        <v>5287.88</v>
      </c>
      <c r="E46">
        <f>Calcs!D112+Calcs!H112</f>
        <v>5287.88</v>
      </c>
      <c r="F46">
        <f>+Calcs!D164+Calcs!H164</f>
        <v>5287.88</v>
      </c>
      <c r="G46" t="s">
        <v>1174</v>
      </c>
    </row>
    <row r="47" spans="2:7" x14ac:dyDescent="0.25">
      <c r="B47" t="s">
        <v>69</v>
      </c>
      <c r="C47">
        <f>Calcs!D9+Calcs!H9</f>
        <v>39.64</v>
      </c>
      <c r="D47">
        <f>Calcs!D61+Calcs!H61</f>
        <v>39.64</v>
      </c>
      <c r="E47">
        <f>Calcs!D113+Calcs!H113</f>
        <v>39.64</v>
      </c>
      <c r="F47">
        <f>+Calcs!D165+Calcs!H165</f>
        <v>679.92</v>
      </c>
      <c r="G47" t="s">
        <v>1175</v>
      </c>
    </row>
    <row r="48" spans="2:7" x14ac:dyDescent="0.25">
      <c r="B48" t="s">
        <v>65</v>
      </c>
      <c r="C48" s="29">
        <f>Calcs!D10+Calcs!H10</f>
        <v>1.4972000000000001</v>
      </c>
      <c r="D48" s="29">
        <f>Calcs!D62+Calcs!H62</f>
        <v>0.66439999999999999</v>
      </c>
      <c r="E48" s="29">
        <f>Calcs!D114+Calcs!H114</f>
        <v>0.61480000000000001</v>
      </c>
      <c r="F48" s="29">
        <f>+Calcs!D166+Calcs!H166</f>
        <v>0.59519999999999995</v>
      </c>
      <c r="G48" t="s">
        <v>1176</v>
      </c>
    </row>
    <row r="49" spans="1:7" x14ac:dyDescent="0.25">
      <c r="B49" t="s">
        <v>66</v>
      </c>
      <c r="C49" s="29">
        <f>Calcs!D11+Calcs!H11</f>
        <v>0.124</v>
      </c>
      <c r="D49" s="29">
        <f>Calcs!D63+Calcs!H63</f>
        <v>0.124</v>
      </c>
      <c r="E49" s="29">
        <f>Calcs!D115+Calcs!H115</f>
        <v>0.124</v>
      </c>
      <c r="F49" s="29">
        <f>+Calcs!D167+Calcs!H167</f>
        <v>0.124</v>
      </c>
      <c r="G49" t="s">
        <v>1177</v>
      </c>
    </row>
    <row r="50" spans="1:7" x14ac:dyDescent="0.25">
      <c r="B50" t="s">
        <v>67</v>
      </c>
      <c r="C50" s="29">
        <f>Calcs!D12+Calcs!H12</f>
        <v>9.9199999999999997E-2</v>
      </c>
      <c r="D50" s="29">
        <f>Calcs!D64+Calcs!H64</f>
        <v>9.9199999999999997E-2</v>
      </c>
      <c r="E50" s="29">
        <f>Calcs!D116+Calcs!H116</f>
        <v>9.9199999999999997E-2</v>
      </c>
      <c r="F50" s="29">
        <f>+Calcs!D168+Calcs!H168</f>
        <v>9.9199999999999997E-2</v>
      </c>
      <c r="G50" t="s">
        <v>1178</v>
      </c>
    </row>
    <row r="51" spans="1:7" x14ac:dyDescent="0.25">
      <c r="B51" t="s">
        <v>408</v>
      </c>
      <c r="C51" s="29">
        <f>Calcs!D13+Calcs!H13</f>
        <v>0.36409999999999998</v>
      </c>
      <c r="D51" s="29">
        <f>Calcs!D65+Calcs!H65</f>
        <v>0.3972</v>
      </c>
      <c r="E51" s="29">
        <f>Calcs!D117+Calcs!H117</f>
        <v>0.50960000000000005</v>
      </c>
      <c r="F51" s="29">
        <f>+Calcs!D169+Calcs!H169</f>
        <v>0.1986</v>
      </c>
      <c r="G51" t="s">
        <v>1179</v>
      </c>
    </row>
    <row r="52" spans="1:7" x14ac:dyDescent="0.25">
      <c r="B52" t="s">
        <v>409</v>
      </c>
      <c r="C52" s="29">
        <f>Calcs!D14+Calcs!H14</f>
        <v>0.5958</v>
      </c>
      <c r="D52" s="29">
        <f>Calcs!D66+Calcs!H66</f>
        <v>1.2839999999999998</v>
      </c>
      <c r="E52" s="29">
        <f>Calcs!D118+Calcs!H118</f>
        <v>0.7944</v>
      </c>
      <c r="F52" s="29">
        <f>+Calcs!D170+Calcs!H170</f>
        <v>0.26479999999999998</v>
      </c>
      <c r="G52" t="s">
        <v>1180</v>
      </c>
    </row>
    <row r="53" spans="1:7" x14ac:dyDescent="0.25">
      <c r="B53" t="s">
        <v>68</v>
      </c>
      <c r="C53" s="29">
        <f>Calcs!D15+Calcs!H15</f>
        <v>0.3306</v>
      </c>
      <c r="D53" s="29">
        <f>Calcs!D67+Calcs!H67</f>
        <v>0.11020000000000001</v>
      </c>
      <c r="E53" s="29">
        <f>Calcs!D119+Calcs!H119</f>
        <v>0.38570000000000004</v>
      </c>
      <c r="F53" s="29">
        <f>+Calcs!D171+Calcs!H171</f>
        <v>0.11020000000000001</v>
      </c>
      <c r="G53" t="s">
        <v>1181</v>
      </c>
    </row>
    <row r="54" spans="1:7" x14ac:dyDescent="0.25">
      <c r="B54" t="s">
        <v>82</v>
      </c>
      <c r="C54" s="29">
        <f>Calcs!D16+Calcs!H16</f>
        <v>0</v>
      </c>
      <c r="D54" s="29">
        <f>Calcs!D68+Calcs!H68</f>
        <v>0</v>
      </c>
      <c r="E54" s="29">
        <f>Calcs!D120+Calcs!H120</f>
        <v>0</v>
      </c>
      <c r="F54" s="29">
        <f>+Calcs!D172+Calcs!H172</f>
        <v>0</v>
      </c>
    </row>
    <row r="55" spans="1:7" x14ac:dyDescent="0.25">
      <c r="B55" t="s">
        <v>70</v>
      </c>
      <c r="C55" s="29">
        <f>Calcs!D17+Calcs!H17</f>
        <v>0</v>
      </c>
      <c r="D55" s="29">
        <f>Calcs!D69+Calcs!H69</f>
        <v>0</v>
      </c>
      <c r="E55" s="29">
        <f>Calcs!D121+Calcs!H121</f>
        <v>0</v>
      </c>
      <c r="F55" s="29">
        <f>+Calcs!D173+Calcs!H173</f>
        <v>0</v>
      </c>
      <c r="G55" t="s">
        <v>1182</v>
      </c>
    </row>
    <row r="56" spans="1:7" x14ac:dyDescent="0.25">
      <c r="B56" t="s">
        <v>71</v>
      </c>
      <c r="C56" s="29">
        <f>Calcs!D18+Calcs!H18</f>
        <v>0</v>
      </c>
      <c r="D56" s="29">
        <f>Calcs!D70+Calcs!H70</f>
        <v>0</v>
      </c>
      <c r="E56" s="29">
        <f>Calcs!D122+Calcs!H122</f>
        <v>0</v>
      </c>
      <c r="F56" s="29">
        <f>+Calcs!D174+Calcs!H174</f>
        <v>0</v>
      </c>
      <c r="G56" t="s">
        <v>1183</v>
      </c>
    </row>
    <row r="57" spans="1:7" x14ac:dyDescent="0.25">
      <c r="B57" t="s">
        <v>72</v>
      </c>
      <c r="C57" s="29">
        <f>Calcs!D19+Calcs!H19</f>
        <v>0</v>
      </c>
      <c r="D57" s="29">
        <f>Calcs!D71+Calcs!H71</f>
        <v>0</v>
      </c>
      <c r="E57" s="29">
        <f>Calcs!D123+Calcs!H123</f>
        <v>0</v>
      </c>
      <c r="F57" s="29">
        <f>+Calcs!D175+Calcs!H175</f>
        <v>0</v>
      </c>
      <c r="G57" t="s">
        <v>1184</v>
      </c>
    </row>
    <row r="58" spans="1:7" x14ac:dyDescent="0.25">
      <c r="B58" t="s">
        <v>73</v>
      </c>
      <c r="C58" s="29">
        <f>Calcs!D20+Calcs!H20</f>
        <v>0</v>
      </c>
      <c r="D58" s="29">
        <f>Calcs!D72+Calcs!H72</f>
        <v>0</v>
      </c>
      <c r="E58" s="29">
        <f>Calcs!D124+Calcs!H124</f>
        <v>0</v>
      </c>
      <c r="F58" s="29">
        <f>+Calcs!D176+Calcs!H176</f>
        <v>0</v>
      </c>
      <c r="G58" t="s">
        <v>1185</v>
      </c>
    </row>
    <row r="59" spans="1:7" x14ac:dyDescent="0.25">
      <c r="B59" t="s">
        <v>74</v>
      </c>
      <c r="C59" s="29">
        <f>Calcs!D21+Calcs!H21</f>
        <v>0</v>
      </c>
      <c r="D59" s="29">
        <f>Calcs!D73+Calcs!H73</f>
        <v>0.46600000000000003</v>
      </c>
      <c r="E59" s="29">
        <f>Calcs!D125+Calcs!H125</f>
        <v>0</v>
      </c>
      <c r="F59" s="29">
        <f>+Calcs!D177+Calcs!H177</f>
        <v>0</v>
      </c>
      <c r="G59" t="s">
        <v>1186</v>
      </c>
    </row>
    <row r="60" spans="1:7" x14ac:dyDescent="0.25">
      <c r="B60" t="s">
        <v>75</v>
      </c>
      <c r="C60" s="29">
        <f>Calcs!D22+Calcs!H22</f>
        <v>0</v>
      </c>
      <c r="D60" s="29">
        <f>Calcs!D74+Calcs!H74</f>
        <v>0</v>
      </c>
      <c r="E60" s="29">
        <f>Calcs!D126+Calcs!H126</f>
        <v>0.46600000000000003</v>
      </c>
      <c r="F60" s="29">
        <f>+Calcs!D178+Calcs!H178</f>
        <v>0</v>
      </c>
      <c r="G60" t="s">
        <v>1187</v>
      </c>
    </row>
    <row r="61" spans="1:7" x14ac:dyDescent="0.25">
      <c r="B61" t="s">
        <v>76</v>
      </c>
      <c r="C61" s="29">
        <f>Calcs!D23+Calcs!H23</f>
        <v>0</v>
      </c>
      <c r="D61" s="29">
        <f>Calcs!D75+Calcs!H75</f>
        <v>0</v>
      </c>
      <c r="E61" s="29">
        <f>Calcs!D127+Calcs!H127</f>
        <v>0</v>
      </c>
      <c r="F61" s="29">
        <f>+Calcs!D179+Calcs!H179</f>
        <v>0</v>
      </c>
      <c r="G61" t="s">
        <v>1188</v>
      </c>
    </row>
    <row r="63" spans="1:7" x14ac:dyDescent="0.25">
      <c r="A63" t="s">
        <v>1189</v>
      </c>
    </row>
    <row r="64" spans="1:7" x14ac:dyDescent="0.25">
      <c r="B64" t="s">
        <v>1190</v>
      </c>
      <c r="C64" t="str">
        <f>LOWER(C30)</f>
        <v>shenhe</v>
      </c>
      <c r="D64" t="str">
        <f>LOWER(D30)</f>
        <v>ganyu</v>
      </c>
      <c r="E64" t="str">
        <f>LOWER(E30)</f>
        <v>mona</v>
      </c>
      <c r="F64" t="str">
        <f>LOWER(F30)</f>
        <v>venti</v>
      </c>
    </row>
    <row r="65" spans="2:8" x14ac:dyDescent="0.25">
      <c r="B65" t="s">
        <v>1191</v>
      </c>
      <c r="C65" t="str">
        <f>LOWER(SUBSTITUTE(C36," ",""))</f>
        <v>favoniuslance</v>
      </c>
      <c r="D65" t="str">
        <f>LOWER(SUBSTITUTE(D36," ",""))</f>
        <v>prototypecrescent</v>
      </c>
      <c r="E65" t="str">
        <f>LOWER(SUBSTITUTE(E36," ",""))</f>
        <v>prototypeamber</v>
      </c>
      <c r="F65" t="str">
        <f>LOWER(SUBSTITUTE(F36," ",""))</f>
        <v>favoniuswarbow</v>
      </c>
    </row>
    <row r="67" spans="2:8" x14ac:dyDescent="0.25">
      <c r="B67" t="s">
        <v>1192</v>
      </c>
      <c r="C67">
        <f>C31</f>
        <v>90</v>
      </c>
      <c r="D67">
        <f t="shared" ref="D67:F67" si="0">D31</f>
        <v>90</v>
      </c>
      <c r="E67">
        <f t="shared" si="0"/>
        <v>90</v>
      </c>
      <c r="F67">
        <f t="shared" si="0"/>
        <v>90</v>
      </c>
    </row>
    <row r="68" spans="2:8" x14ac:dyDescent="0.25">
      <c r="B68" t="s">
        <v>1193</v>
      </c>
      <c r="C68">
        <f>MATCH(C$67,'Data Val'!$A$8:$A$21,0)</f>
        <v>14</v>
      </c>
      <c r="D68">
        <f>MATCH(D$67,'Data Val'!$A$8:$A$21,0)</f>
        <v>14</v>
      </c>
      <c r="E68">
        <f>MATCH(E$67,'Data Val'!$A$8:$A$21,0)</f>
        <v>14</v>
      </c>
      <c r="F68">
        <f>MATCH(F$67,'Data Val'!$A$8:$A$21,0)</f>
        <v>14</v>
      </c>
    </row>
    <row r="69" spans="2:8" x14ac:dyDescent="0.25">
      <c r="B69" t="s">
        <v>1194</v>
      </c>
      <c r="C69" t="e">
        <f>INDEX('Data Val'!$A$8:$A$21,C$68+1)</f>
        <v>#REF!</v>
      </c>
      <c r="D69" t="e">
        <f>INDEX('Data Val'!$A$8:$A$21,D$68+1)</f>
        <v>#REF!</v>
      </c>
      <c r="E69" t="e">
        <f>INDEX('Data Val'!$A$8:$A$21,E$68+1)</f>
        <v>#REF!</v>
      </c>
      <c r="F69" t="e">
        <f>INDEX('Data Val'!$A$8:$A$21,F$68+1)</f>
        <v>#REF!</v>
      </c>
    </row>
    <row r="70" spans="2:8" x14ac:dyDescent="0.25">
      <c r="B70" t="s">
        <v>1195</v>
      </c>
      <c r="C70">
        <f>IF(RIGHT(C67,1)="+",C69,C67)</f>
        <v>90</v>
      </c>
      <c r="D70">
        <f t="shared" ref="D70:F70" si="1">IF(RIGHT(D67,1)="+",D69,D67)</f>
        <v>90</v>
      </c>
      <c r="E70">
        <f t="shared" si="1"/>
        <v>90</v>
      </c>
      <c r="F70">
        <f t="shared" si="1"/>
        <v>90</v>
      </c>
    </row>
    <row r="72" spans="2:8" x14ac:dyDescent="0.25">
      <c r="B72" t="s">
        <v>1196</v>
      </c>
      <c r="C72" t="str">
        <f t="shared" ref="C72:F73" si="2">RIGHT(C40,LEN(C40)-8)</f>
        <v xml:space="preserve">Noblesse Oblige  </v>
      </c>
      <c r="D72" t="str">
        <f t="shared" si="2"/>
        <v xml:space="preserve">Blizzard Strayer  </v>
      </c>
      <c r="E72" t="str">
        <f t="shared" si="2"/>
        <v>Tenacity of the Millelith</v>
      </c>
      <c r="F72" t="str">
        <f t="shared" si="2"/>
        <v xml:space="preserve">Viridescent Venerer  </v>
      </c>
    </row>
    <row r="73" spans="2:8" x14ac:dyDescent="0.25">
      <c r="B73" t="s">
        <v>1197</v>
      </c>
      <c r="C73" t="str">
        <f t="shared" si="2"/>
        <v xml:space="preserve">Noblesse Oblige  </v>
      </c>
      <c r="D73" t="str">
        <f t="shared" si="2"/>
        <v xml:space="preserve">Blizzard Strayer  </v>
      </c>
      <c r="E73" t="str">
        <f t="shared" si="2"/>
        <v>Tenacity of the Millelith</v>
      </c>
      <c r="F73" t="str">
        <f t="shared" si="2"/>
        <v xml:space="preserve">Viridescent Venerer  </v>
      </c>
    </row>
    <row r="74" spans="2:8" x14ac:dyDescent="0.25">
      <c r="B74" t="s">
        <v>1198</v>
      </c>
      <c r="C74">
        <f>VALUE(LEFT(C40,1))</f>
        <v>2</v>
      </c>
      <c r="D74">
        <f t="shared" ref="D74:F75" si="3">VALUE(LEFT(D40,1))</f>
        <v>2</v>
      </c>
      <c r="E74">
        <f t="shared" si="3"/>
        <v>2</v>
      </c>
      <c r="F74">
        <f t="shared" si="3"/>
        <v>2</v>
      </c>
    </row>
    <row r="75" spans="2:8" x14ac:dyDescent="0.25">
      <c r="B75" t="s">
        <v>1199</v>
      </c>
      <c r="C75">
        <f>VALUE(LEFT(C41,1))</f>
        <v>4</v>
      </c>
      <c r="D75">
        <f t="shared" si="3"/>
        <v>4</v>
      </c>
      <c r="E75">
        <f t="shared" si="3"/>
        <v>4</v>
      </c>
      <c r="F75">
        <f t="shared" si="3"/>
        <v>4</v>
      </c>
    </row>
    <row r="77" spans="2:8" x14ac:dyDescent="0.25">
      <c r="C77" t="str">
        <f t="shared" ref="C77:F78" si="4">LOWER(SUBSTITUTE(C72," ",""))</f>
        <v>noblesseoblige</v>
      </c>
      <c r="D77" t="str">
        <f t="shared" si="4"/>
        <v>blizzardstrayer</v>
      </c>
      <c r="E77" t="str">
        <f t="shared" si="4"/>
        <v>tenacityofthemillelith</v>
      </c>
      <c r="F77" t="str">
        <f t="shared" si="4"/>
        <v>viridescentvenerer</v>
      </c>
    </row>
    <row r="78" spans="2:8" x14ac:dyDescent="0.25">
      <c r="C78" t="str">
        <f t="shared" si="4"/>
        <v>noblesseoblige</v>
      </c>
      <c r="D78" t="str">
        <f t="shared" si="4"/>
        <v>blizzardstrayer</v>
      </c>
      <c r="E78" t="str">
        <f t="shared" si="4"/>
        <v>tenacityofthemillelith</v>
      </c>
      <c r="F78" t="str">
        <f t="shared" si="4"/>
        <v>viridescentvenerer</v>
      </c>
    </row>
    <row r="80" spans="2:8" x14ac:dyDescent="0.25">
      <c r="C80">
        <f>IF(C77=C78,0,C74)</f>
        <v>0</v>
      </c>
      <c r="D80">
        <f>IF(D77=D78,0,D74)</f>
        <v>0</v>
      </c>
      <c r="E80">
        <f>IF(E77=E78,0,E74)</f>
        <v>0</v>
      </c>
      <c r="F80">
        <f>IF(F77=F78,0,F74)</f>
        <v>0</v>
      </c>
      <c r="H80" t="s">
        <v>1200</v>
      </c>
    </row>
    <row r="81" spans="2:6" x14ac:dyDescent="0.25">
      <c r="C81">
        <f>IF(C78=C77,MIN(SUM(C74:C75),4),C75)</f>
        <v>4</v>
      </c>
      <c r="D81">
        <f>IF(D78=D77,MIN(SUM(D74:D75),4),D75)</f>
        <v>4</v>
      </c>
      <c r="E81">
        <f>IF(E78=E77,MIN(SUM(E74:E75),4),E75)</f>
        <v>4</v>
      </c>
      <c r="F81">
        <f>IF(F78=F77,MIN(SUM(F74:F75),4),F75)</f>
        <v>4</v>
      </c>
    </row>
    <row r="83" spans="2:6" x14ac:dyDescent="0.25">
      <c r="B83" t="s">
        <v>1172</v>
      </c>
      <c r="C83" t="str">
        <f>IF(C44&gt;0,$B83&amp;"="&amp;C44&amp;" ","")</f>
        <v xml:space="preserve">atk=344.08 </v>
      </c>
      <c r="D83" t="str">
        <f t="shared" ref="D83:F83" si="5">IF(D44&gt;0,$B83&amp;"="&amp;D44&amp;" ","")</f>
        <v xml:space="preserve">atk=344.08 </v>
      </c>
      <c r="E83" t="str">
        <f t="shared" si="5"/>
        <v xml:space="preserve">atk=344.08 </v>
      </c>
      <c r="F83" t="str">
        <f t="shared" si="5"/>
        <v xml:space="preserve">atk=344.08 </v>
      </c>
    </row>
    <row r="84" spans="2:6" x14ac:dyDescent="0.25">
      <c r="B84" t="s">
        <v>1173</v>
      </c>
      <c r="C84" t="str">
        <f t="shared" ref="C84:F99" si="6">IF(C45&gt;0,$B84&amp;"="&amp;C45&amp;" ","")</f>
        <v xml:space="preserve">def=39.36 </v>
      </c>
      <c r="D84" t="str">
        <f t="shared" si="6"/>
        <v xml:space="preserve">def=39.36 </v>
      </c>
      <c r="E84" t="str">
        <f t="shared" si="6"/>
        <v xml:space="preserve">def=39.36 </v>
      </c>
      <c r="F84" t="str">
        <f t="shared" si="6"/>
        <v xml:space="preserve">def=39.36 </v>
      </c>
    </row>
    <row r="85" spans="2:6" x14ac:dyDescent="0.25">
      <c r="B85" t="s">
        <v>1174</v>
      </c>
      <c r="C85" t="str">
        <f t="shared" si="6"/>
        <v xml:space="preserve">hp=5287.88 </v>
      </c>
      <c r="D85" t="str">
        <f t="shared" si="6"/>
        <v xml:space="preserve">hp=5287.88 </v>
      </c>
      <c r="E85" t="str">
        <f t="shared" si="6"/>
        <v xml:space="preserve">hp=5287.88 </v>
      </c>
      <c r="F85" t="str">
        <f t="shared" si="6"/>
        <v xml:space="preserve">hp=5287.88 </v>
      </c>
    </row>
    <row r="86" spans="2:6" x14ac:dyDescent="0.25">
      <c r="B86" t="s">
        <v>1175</v>
      </c>
      <c r="C86" t="str">
        <f t="shared" si="6"/>
        <v xml:space="preserve">em=39.64 </v>
      </c>
      <c r="D86" t="str">
        <f t="shared" si="6"/>
        <v xml:space="preserve">em=39.64 </v>
      </c>
      <c r="E86" t="str">
        <f t="shared" si="6"/>
        <v xml:space="preserve">em=39.64 </v>
      </c>
      <c r="F86" t="str">
        <f t="shared" si="6"/>
        <v xml:space="preserve">em=679.92 </v>
      </c>
    </row>
    <row r="87" spans="2:6" x14ac:dyDescent="0.25">
      <c r="B87" t="s">
        <v>1176</v>
      </c>
      <c r="C87" t="str">
        <f t="shared" si="6"/>
        <v xml:space="preserve">atk%=1.4972 </v>
      </c>
      <c r="D87" t="str">
        <f t="shared" si="6"/>
        <v xml:space="preserve">atk%=0.6644 </v>
      </c>
      <c r="E87" t="str">
        <f t="shared" si="6"/>
        <v xml:space="preserve">atk%=0.6148 </v>
      </c>
      <c r="F87" t="str">
        <f t="shared" si="6"/>
        <v xml:space="preserve">atk%=0.5952 </v>
      </c>
    </row>
    <row r="88" spans="2:6" x14ac:dyDescent="0.25">
      <c r="B88" t="s">
        <v>1177</v>
      </c>
      <c r="C88" t="str">
        <f t="shared" si="6"/>
        <v xml:space="preserve">def%=0.124 </v>
      </c>
      <c r="D88" t="str">
        <f t="shared" si="6"/>
        <v xml:space="preserve">def%=0.124 </v>
      </c>
      <c r="E88" t="str">
        <f t="shared" si="6"/>
        <v xml:space="preserve">def%=0.124 </v>
      </c>
      <c r="F88" t="str">
        <f t="shared" si="6"/>
        <v xml:space="preserve">def%=0.124 </v>
      </c>
    </row>
    <row r="89" spans="2:6" x14ac:dyDescent="0.25">
      <c r="B89" t="s">
        <v>1178</v>
      </c>
      <c r="C89" t="str">
        <f t="shared" si="6"/>
        <v xml:space="preserve">hp%=0.0992 </v>
      </c>
      <c r="D89" t="str">
        <f t="shared" si="6"/>
        <v xml:space="preserve">hp%=0.0992 </v>
      </c>
      <c r="E89" t="str">
        <f t="shared" si="6"/>
        <v xml:space="preserve">hp%=0.0992 </v>
      </c>
      <c r="F89" t="str">
        <f t="shared" si="6"/>
        <v xml:space="preserve">hp%=0.0992 </v>
      </c>
    </row>
    <row r="90" spans="2:6" x14ac:dyDescent="0.25">
      <c r="B90" t="s">
        <v>1179</v>
      </c>
      <c r="C90" t="str">
        <f t="shared" si="6"/>
        <v xml:space="preserve">cr=0.3641 </v>
      </c>
      <c r="D90" t="str">
        <f t="shared" si="6"/>
        <v xml:space="preserve">cr=0.3972 </v>
      </c>
      <c r="E90" t="str">
        <f t="shared" si="6"/>
        <v xml:space="preserve">cr=0.5096 </v>
      </c>
      <c r="F90" t="str">
        <f t="shared" si="6"/>
        <v xml:space="preserve">cr=0.1986 </v>
      </c>
    </row>
    <row r="91" spans="2:6" x14ac:dyDescent="0.25">
      <c r="B91" t="s">
        <v>1180</v>
      </c>
      <c r="C91" t="str">
        <f t="shared" si="6"/>
        <v xml:space="preserve">cd=0.5958 </v>
      </c>
      <c r="D91" t="str">
        <f t="shared" si="6"/>
        <v xml:space="preserve">cd=1.284 </v>
      </c>
      <c r="E91" t="str">
        <f t="shared" si="6"/>
        <v xml:space="preserve">cd=0.7944 </v>
      </c>
      <c r="F91" t="str">
        <f t="shared" si="6"/>
        <v xml:space="preserve">cd=0.2648 </v>
      </c>
    </row>
    <row r="92" spans="2:6" x14ac:dyDescent="0.25">
      <c r="B92" t="s">
        <v>1181</v>
      </c>
      <c r="C92" t="str">
        <f t="shared" si="6"/>
        <v xml:space="preserve">er=0.3306 </v>
      </c>
      <c r="D92" t="str">
        <f t="shared" si="6"/>
        <v xml:space="preserve">er=0.1102 </v>
      </c>
      <c r="E92" t="str">
        <f t="shared" si="6"/>
        <v xml:space="preserve">er=0.3857 </v>
      </c>
      <c r="F92" t="str">
        <f t="shared" si="6"/>
        <v xml:space="preserve">er=0.1102 </v>
      </c>
    </row>
    <row r="93" spans="2:6" x14ac:dyDescent="0.25">
      <c r="C93" t="str">
        <f t="shared" si="6"/>
        <v/>
      </c>
      <c r="D93" t="str">
        <f t="shared" si="6"/>
        <v/>
      </c>
      <c r="E93" t="str">
        <f t="shared" si="6"/>
        <v/>
      </c>
      <c r="F93" t="str">
        <f t="shared" si="6"/>
        <v/>
      </c>
    </row>
    <row r="94" spans="2:6" x14ac:dyDescent="0.25">
      <c r="B94" t="s">
        <v>1182</v>
      </c>
      <c r="C94" t="str">
        <f t="shared" si="6"/>
        <v/>
      </c>
      <c r="D94" t="str">
        <f t="shared" si="6"/>
        <v/>
      </c>
      <c r="E94" t="str">
        <f t="shared" si="6"/>
        <v/>
      </c>
      <c r="F94" t="str">
        <f t="shared" si="6"/>
        <v/>
      </c>
    </row>
    <row r="95" spans="2:6" x14ac:dyDescent="0.25">
      <c r="B95" t="s">
        <v>1183</v>
      </c>
      <c r="C95" t="str">
        <f t="shared" si="6"/>
        <v/>
      </c>
      <c r="D95" t="str">
        <f t="shared" si="6"/>
        <v/>
      </c>
      <c r="E95" t="str">
        <f t="shared" si="6"/>
        <v/>
      </c>
      <c r="F95" t="str">
        <f t="shared" si="6"/>
        <v/>
      </c>
    </row>
    <row r="96" spans="2:6" x14ac:dyDescent="0.25">
      <c r="B96" t="s">
        <v>1184</v>
      </c>
      <c r="C96" t="str">
        <f t="shared" si="6"/>
        <v/>
      </c>
      <c r="D96" t="str">
        <f t="shared" si="6"/>
        <v/>
      </c>
      <c r="E96" t="str">
        <f t="shared" si="6"/>
        <v/>
      </c>
      <c r="F96" t="str">
        <f t="shared" si="6"/>
        <v/>
      </c>
    </row>
    <row r="97" spans="2:6" x14ac:dyDescent="0.25">
      <c r="B97" t="s">
        <v>1185</v>
      </c>
      <c r="C97" t="str">
        <f t="shared" si="6"/>
        <v/>
      </c>
      <c r="D97" t="str">
        <f t="shared" si="6"/>
        <v/>
      </c>
      <c r="E97" t="str">
        <f t="shared" si="6"/>
        <v/>
      </c>
      <c r="F97" t="str">
        <f t="shared" si="6"/>
        <v/>
      </c>
    </row>
    <row r="98" spans="2:6" x14ac:dyDescent="0.25">
      <c r="B98" t="s">
        <v>1186</v>
      </c>
      <c r="C98" t="str">
        <f t="shared" si="6"/>
        <v/>
      </c>
      <c r="D98" t="str">
        <f t="shared" si="6"/>
        <v xml:space="preserve">cryo%=0.466 </v>
      </c>
      <c r="E98" t="str">
        <f t="shared" si="6"/>
        <v/>
      </c>
      <c r="F98" t="str">
        <f t="shared" si="6"/>
        <v/>
      </c>
    </row>
    <row r="99" spans="2:6" x14ac:dyDescent="0.25">
      <c r="B99" t="s">
        <v>1187</v>
      </c>
      <c r="C99" t="str">
        <f t="shared" si="6"/>
        <v/>
      </c>
      <c r="D99" t="str">
        <f t="shared" si="6"/>
        <v/>
      </c>
      <c r="E99" t="str">
        <f t="shared" si="6"/>
        <v xml:space="preserve">hydro%=0.466 </v>
      </c>
      <c r="F99" t="str">
        <f t="shared" si="6"/>
        <v/>
      </c>
    </row>
    <row r="100" spans="2:6" x14ac:dyDescent="0.25">
      <c r="B100" t="s">
        <v>1188</v>
      </c>
      <c r="C100" t="str">
        <f t="shared" ref="C100:F100" si="7">IF(C61&gt;0,$B100&amp;"="&amp;C61&amp;" ","")</f>
        <v/>
      </c>
      <c r="D100" t="str">
        <f t="shared" si="7"/>
        <v/>
      </c>
      <c r="E100" t="str">
        <f t="shared" si="7"/>
        <v/>
      </c>
      <c r="F100" t="str">
        <f t="shared" si="7"/>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0CC4-5070-4B30-86C5-3F74E4145FA4}">
  <sheetPr codeName="Sheet13"/>
  <dimension ref="A1:AP215"/>
  <sheetViews>
    <sheetView topLeftCell="A25" workbookViewId="0">
      <selection activeCell="J53" sqref="J53"/>
    </sheetView>
  </sheetViews>
  <sheetFormatPr defaultRowHeight="15" x14ac:dyDescent="0.25"/>
  <sheetData>
    <row r="1" spans="1:42" x14ac:dyDescent="0.25">
      <c r="A1" s="83" t="s">
        <v>564</v>
      </c>
      <c r="B1" s="84" t="s">
        <v>65</v>
      </c>
      <c r="C1" s="84" t="s">
        <v>66</v>
      </c>
      <c r="D1" s="85" t="s">
        <v>67</v>
      </c>
      <c r="E1" s="84" t="s">
        <v>408</v>
      </c>
      <c r="F1" s="84" t="s">
        <v>409</v>
      </c>
      <c r="G1" s="84" t="s">
        <v>68</v>
      </c>
      <c r="H1" s="84" t="s">
        <v>70</v>
      </c>
      <c r="I1" s="85" t="s">
        <v>71</v>
      </c>
      <c r="J1" s="84" t="s">
        <v>72</v>
      </c>
      <c r="K1" s="85" t="s">
        <v>73</v>
      </c>
      <c r="L1" s="85" t="s">
        <v>74</v>
      </c>
      <c r="M1" s="85" t="s">
        <v>75</v>
      </c>
      <c r="N1" s="85" t="s">
        <v>76</v>
      </c>
      <c r="O1" s="85" t="s">
        <v>69</v>
      </c>
      <c r="P1" s="85" t="s">
        <v>452</v>
      </c>
      <c r="Q1" s="85" t="s">
        <v>422</v>
      </c>
      <c r="R1" s="85" t="s">
        <v>77</v>
      </c>
      <c r="S1" s="85" t="s">
        <v>78</v>
      </c>
      <c r="T1" s="85" t="s">
        <v>79</v>
      </c>
      <c r="U1" s="85" t="s">
        <v>80</v>
      </c>
      <c r="V1" s="85" t="s">
        <v>81</v>
      </c>
      <c r="W1" s="84" t="s">
        <v>82</v>
      </c>
      <c r="X1" s="84" t="s">
        <v>453</v>
      </c>
      <c r="Y1" s="84" t="s">
        <v>83</v>
      </c>
      <c r="Z1" s="84" t="s">
        <v>84</v>
      </c>
      <c r="AA1" s="84" t="s">
        <v>85</v>
      </c>
      <c r="AB1" s="84" t="s">
        <v>87</v>
      </c>
      <c r="AC1" s="84" t="s">
        <v>86</v>
      </c>
      <c r="AD1" s="84" t="s">
        <v>88</v>
      </c>
      <c r="AE1" s="84" t="s">
        <v>89</v>
      </c>
      <c r="AF1" s="84" t="s">
        <v>90</v>
      </c>
      <c r="AG1" s="84" t="s">
        <v>454</v>
      </c>
      <c r="AH1" s="84" t="s">
        <v>455</v>
      </c>
      <c r="AI1" s="84" t="s">
        <v>456</v>
      </c>
      <c r="AJ1" s="84" t="s">
        <v>457</v>
      </c>
      <c r="AK1" s="84" t="s">
        <v>458</v>
      </c>
      <c r="AL1" s="84" t="s">
        <v>459</v>
      </c>
      <c r="AM1" s="84" t="s">
        <v>460</v>
      </c>
      <c r="AN1" s="85" t="s">
        <v>62</v>
      </c>
      <c r="AO1" s="85" t="s">
        <v>64</v>
      </c>
      <c r="AP1" s="86" t="s">
        <v>63</v>
      </c>
    </row>
    <row r="2" spans="1:42" x14ac:dyDescent="0.25">
      <c r="A2" s="87" t="s">
        <v>565</v>
      </c>
      <c r="B2" s="88"/>
      <c r="C2" s="88"/>
      <c r="D2" s="88"/>
      <c r="E2" s="88"/>
      <c r="F2" s="88"/>
      <c r="G2" s="88"/>
      <c r="H2" s="88"/>
      <c r="I2" s="88"/>
      <c r="J2" s="88">
        <v>0.15</v>
      </c>
      <c r="K2" s="88"/>
      <c r="L2" s="88"/>
      <c r="M2" s="88"/>
      <c r="N2" s="88"/>
      <c r="O2" s="89"/>
      <c r="P2" s="88"/>
      <c r="Q2" s="88"/>
      <c r="R2" s="88"/>
      <c r="S2" s="88"/>
      <c r="T2" s="88"/>
      <c r="U2" s="88"/>
      <c r="V2" s="88"/>
      <c r="W2" s="88"/>
      <c r="X2" s="88"/>
      <c r="Y2" s="88"/>
      <c r="Z2" s="88"/>
      <c r="AA2" s="88"/>
      <c r="AB2" s="88"/>
      <c r="AC2" s="88"/>
      <c r="AD2" s="88"/>
      <c r="AE2" s="88"/>
      <c r="AF2" s="88"/>
      <c r="AG2" s="88"/>
      <c r="AH2" s="88"/>
      <c r="AI2" s="88"/>
      <c r="AJ2" s="88"/>
      <c r="AK2" s="88"/>
      <c r="AL2" s="88"/>
      <c r="AM2" s="88"/>
      <c r="AN2" s="90"/>
      <c r="AO2" s="90"/>
      <c r="AP2" s="91"/>
    </row>
    <row r="3" spans="1:42" x14ac:dyDescent="0.25">
      <c r="A3" s="92" t="s">
        <v>566</v>
      </c>
      <c r="B3" s="93"/>
      <c r="C3" s="93"/>
      <c r="D3" s="93"/>
      <c r="E3" s="93">
        <v>0.12</v>
      </c>
      <c r="F3" s="93"/>
      <c r="G3" s="93"/>
      <c r="H3" s="93"/>
      <c r="I3" s="93"/>
      <c r="J3" s="93"/>
      <c r="K3" s="93"/>
      <c r="L3" s="93"/>
      <c r="M3" s="93"/>
      <c r="N3" s="93"/>
      <c r="O3" s="94"/>
      <c r="P3" s="93"/>
      <c r="Q3" s="93"/>
      <c r="R3" s="93"/>
      <c r="S3" s="93"/>
      <c r="T3" s="93"/>
      <c r="U3" s="93"/>
      <c r="V3" s="93"/>
      <c r="W3" s="93"/>
      <c r="X3" s="93"/>
      <c r="Y3" s="93"/>
      <c r="Z3" s="93"/>
      <c r="AA3" s="93"/>
      <c r="AB3" s="93"/>
      <c r="AC3" s="93"/>
      <c r="AD3" s="93"/>
      <c r="AE3" s="93"/>
      <c r="AF3" s="93"/>
      <c r="AG3" s="93"/>
      <c r="AH3" s="93"/>
      <c r="AI3" s="93"/>
      <c r="AJ3" s="93"/>
      <c r="AK3" s="93"/>
      <c r="AL3" s="93"/>
      <c r="AM3" s="93"/>
      <c r="AN3" s="95"/>
      <c r="AO3" s="95"/>
      <c r="AP3" s="96"/>
    </row>
    <row r="4" spans="1:42" x14ac:dyDescent="0.25">
      <c r="A4" s="87" t="s">
        <v>567</v>
      </c>
      <c r="B4" s="88"/>
      <c r="C4" s="88"/>
      <c r="D4" s="88"/>
      <c r="E4" s="88"/>
      <c r="F4" s="88"/>
      <c r="G4" s="88"/>
      <c r="H4" s="88">
        <v>0.25</v>
      </c>
      <c r="I4" s="88"/>
      <c r="J4" s="88"/>
      <c r="K4" s="88"/>
      <c r="L4" s="88"/>
      <c r="M4" s="88"/>
      <c r="N4" s="88"/>
      <c r="O4" s="89"/>
      <c r="P4" s="88"/>
      <c r="Q4" s="88"/>
      <c r="R4" s="88"/>
      <c r="S4" s="88"/>
      <c r="T4" s="88"/>
      <c r="U4" s="88"/>
      <c r="V4" s="88"/>
      <c r="W4" s="88"/>
      <c r="X4" s="88"/>
      <c r="Y4" s="88"/>
      <c r="Z4" s="88"/>
      <c r="AA4" s="88"/>
      <c r="AB4" s="88"/>
      <c r="AC4" s="88"/>
      <c r="AD4" s="88"/>
      <c r="AE4" s="88"/>
      <c r="AF4" s="88"/>
      <c r="AG4" s="88"/>
      <c r="AH4" s="88"/>
      <c r="AI4" s="88"/>
      <c r="AJ4" s="88"/>
      <c r="AK4" s="88"/>
      <c r="AL4" s="88"/>
      <c r="AM4" s="88"/>
      <c r="AN4" s="90"/>
      <c r="AO4" s="90"/>
      <c r="AP4" s="91"/>
    </row>
    <row r="5" spans="1:42" x14ac:dyDescent="0.25">
      <c r="A5" s="92" t="s">
        <v>568</v>
      </c>
      <c r="B5" s="93">
        <v>0.18</v>
      </c>
      <c r="C5" s="93"/>
      <c r="D5" s="93"/>
      <c r="E5" s="93"/>
      <c r="F5" s="93"/>
      <c r="G5" s="93"/>
      <c r="H5" s="93"/>
      <c r="I5" s="93"/>
      <c r="J5" s="93"/>
      <c r="K5" s="93"/>
      <c r="L5" s="93"/>
      <c r="M5" s="93"/>
      <c r="N5" s="93"/>
      <c r="O5" s="94"/>
      <c r="P5" s="93"/>
      <c r="Q5" s="93"/>
      <c r="R5" s="93"/>
      <c r="S5" s="93"/>
      <c r="T5" s="93"/>
      <c r="U5" s="93"/>
      <c r="V5" s="93"/>
      <c r="W5" s="93"/>
      <c r="X5" s="93"/>
      <c r="Y5" s="93"/>
      <c r="Z5" s="93"/>
      <c r="AA5" s="93"/>
      <c r="AB5" s="93"/>
      <c r="AC5" s="93"/>
      <c r="AD5" s="93"/>
      <c r="AE5" s="93"/>
      <c r="AF5" s="93"/>
      <c r="AG5" s="93"/>
      <c r="AH5" s="93"/>
      <c r="AI5" s="93"/>
      <c r="AJ5" s="93"/>
      <c r="AK5" s="93"/>
      <c r="AL5" s="93"/>
      <c r="AM5" s="93"/>
      <c r="AN5" s="95"/>
      <c r="AO5" s="95"/>
      <c r="AP5" s="96"/>
    </row>
    <row r="6" spans="1:42" x14ac:dyDescent="0.25">
      <c r="A6" s="87" t="s">
        <v>569</v>
      </c>
      <c r="B6" s="88"/>
      <c r="C6" s="88"/>
      <c r="D6" s="88"/>
      <c r="E6" s="88"/>
      <c r="F6" s="88"/>
      <c r="G6" s="88"/>
      <c r="H6" s="88"/>
      <c r="I6" s="88"/>
      <c r="J6" s="88"/>
      <c r="K6" s="88">
        <v>0.15</v>
      </c>
      <c r="L6" s="88"/>
      <c r="M6" s="88"/>
      <c r="N6" s="88"/>
      <c r="O6" s="89"/>
      <c r="P6" s="88"/>
      <c r="Q6" s="88"/>
      <c r="R6" s="88"/>
      <c r="S6" s="88"/>
      <c r="T6" s="88"/>
      <c r="U6" s="88"/>
      <c r="V6" s="88"/>
      <c r="W6" s="88"/>
      <c r="X6" s="88"/>
      <c r="Y6" s="88"/>
      <c r="Z6" s="88"/>
      <c r="AA6" s="88"/>
      <c r="AB6" s="88"/>
      <c r="AC6" s="88"/>
      <c r="AD6" s="88"/>
      <c r="AE6" s="88"/>
      <c r="AF6" s="88"/>
      <c r="AG6" s="88"/>
      <c r="AH6" s="88"/>
      <c r="AI6" s="88"/>
      <c r="AJ6" s="88"/>
      <c r="AK6" s="88"/>
      <c r="AL6" s="88"/>
      <c r="AM6" s="88"/>
      <c r="AN6" s="90"/>
      <c r="AO6" s="90"/>
      <c r="AP6" s="91"/>
    </row>
    <row r="7" spans="1:42" x14ac:dyDescent="0.25">
      <c r="A7" s="92" t="s">
        <v>570</v>
      </c>
      <c r="B7" s="93"/>
      <c r="C7" s="93">
        <v>0.3</v>
      </c>
      <c r="D7" s="93"/>
      <c r="E7" s="93"/>
      <c r="F7" s="93"/>
      <c r="G7" s="93"/>
      <c r="H7" s="93"/>
      <c r="I7" s="93"/>
      <c r="J7" s="93"/>
      <c r="K7" s="93"/>
      <c r="L7" s="93"/>
      <c r="M7" s="93"/>
      <c r="N7" s="93"/>
      <c r="O7" s="94"/>
      <c r="P7" s="93"/>
      <c r="Q7" s="93"/>
      <c r="R7" s="93"/>
      <c r="S7" s="93"/>
      <c r="T7" s="93"/>
      <c r="U7" s="93"/>
      <c r="V7" s="93"/>
      <c r="W7" s="93"/>
      <c r="X7" s="93"/>
      <c r="Y7" s="93"/>
      <c r="Z7" s="93"/>
      <c r="AA7" s="93"/>
      <c r="AB7" s="93"/>
      <c r="AC7" s="93"/>
      <c r="AD7" s="93"/>
      <c r="AE7" s="93"/>
      <c r="AF7" s="93"/>
      <c r="AG7" s="93"/>
      <c r="AH7" s="93"/>
      <c r="AI7" s="93"/>
      <c r="AJ7" s="93"/>
      <c r="AK7" s="93"/>
      <c r="AL7" s="93"/>
      <c r="AM7" s="93"/>
      <c r="AN7" s="95"/>
      <c r="AO7" s="95"/>
      <c r="AP7" s="96"/>
    </row>
    <row r="8" spans="1:42" x14ac:dyDescent="0.25">
      <c r="A8" s="87" t="s">
        <v>571</v>
      </c>
      <c r="B8" s="88"/>
      <c r="C8" s="88"/>
      <c r="D8" s="88"/>
      <c r="E8" s="88"/>
      <c r="F8" s="88"/>
      <c r="G8" s="88"/>
      <c r="H8" s="88"/>
      <c r="I8" s="88"/>
      <c r="J8" s="88"/>
      <c r="K8" s="88"/>
      <c r="L8" s="88"/>
      <c r="M8" s="88"/>
      <c r="N8" s="88"/>
      <c r="O8" s="89"/>
      <c r="P8" s="88"/>
      <c r="Q8" s="88"/>
      <c r="R8" s="88"/>
      <c r="S8" s="88"/>
      <c r="T8" s="88"/>
      <c r="U8" s="88">
        <v>0.2</v>
      </c>
      <c r="V8" s="88"/>
      <c r="W8" s="88"/>
      <c r="X8" s="88"/>
      <c r="Y8" s="88"/>
      <c r="Z8" s="88"/>
      <c r="AA8" s="88"/>
      <c r="AB8" s="88"/>
      <c r="AC8" s="88"/>
      <c r="AD8" s="88"/>
      <c r="AE8" s="88"/>
      <c r="AF8" s="88"/>
      <c r="AG8" s="88"/>
      <c r="AH8" s="88"/>
      <c r="AI8" s="88"/>
      <c r="AJ8" s="88"/>
      <c r="AK8" s="88"/>
      <c r="AL8" s="88"/>
      <c r="AM8" s="88"/>
      <c r="AN8" s="90"/>
      <c r="AO8" s="90"/>
      <c r="AP8" s="91"/>
    </row>
    <row r="9" spans="1:42" x14ac:dyDescent="0.25">
      <c r="A9" s="92" t="s">
        <v>572</v>
      </c>
      <c r="B9" s="93">
        <v>0.18</v>
      </c>
      <c r="C9" s="93"/>
      <c r="D9" s="93"/>
      <c r="E9" s="93"/>
      <c r="F9" s="93"/>
      <c r="G9" s="93"/>
      <c r="H9" s="93"/>
      <c r="I9" s="93"/>
      <c r="J9" s="93"/>
      <c r="K9" s="93"/>
      <c r="L9" s="93"/>
      <c r="M9" s="93"/>
      <c r="N9" s="93"/>
      <c r="O9" s="94"/>
      <c r="P9" s="93"/>
      <c r="Q9" s="93"/>
      <c r="R9" s="93"/>
      <c r="S9" s="93"/>
      <c r="T9" s="93"/>
      <c r="U9" s="93"/>
      <c r="V9" s="93"/>
      <c r="W9" s="93"/>
      <c r="X9" s="93"/>
      <c r="Y9" s="93"/>
      <c r="Z9" s="93"/>
      <c r="AA9" s="93"/>
      <c r="AB9" s="93"/>
      <c r="AC9" s="93"/>
      <c r="AD9" s="93"/>
      <c r="AE9" s="93"/>
      <c r="AF9" s="93"/>
      <c r="AG9" s="93"/>
      <c r="AH9" s="93"/>
      <c r="AI9" s="93"/>
      <c r="AJ9" s="93"/>
      <c r="AK9" s="93"/>
      <c r="AL9" s="93"/>
      <c r="AM9" s="93"/>
      <c r="AN9" s="95"/>
      <c r="AO9" s="95"/>
      <c r="AP9" s="96"/>
    </row>
    <row r="10" spans="1:42" x14ac:dyDescent="0.25">
      <c r="A10" s="87" t="s">
        <v>573</v>
      </c>
      <c r="B10" s="88"/>
      <c r="C10" s="88"/>
      <c r="D10" s="88"/>
      <c r="E10" s="88"/>
      <c r="F10" s="88"/>
      <c r="G10" s="88"/>
      <c r="H10" s="88"/>
      <c r="I10" s="88"/>
      <c r="J10" s="88"/>
      <c r="K10" s="88"/>
      <c r="L10" s="88"/>
      <c r="M10" s="88"/>
      <c r="N10" s="88"/>
      <c r="O10" s="89">
        <v>80</v>
      </c>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90"/>
      <c r="AO10" s="90"/>
      <c r="AP10" s="91"/>
    </row>
    <row r="11" spans="1:42" x14ac:dyDescent="0.25">
      <c r="A11" s="92" t="s">
        <v>574</v>
      </c>
      <c r="B11" s="93"/>
      <c r="C11" s="93"/>
      <c r="D11" s="93"/>
      <c r="E11" s="93"/>
      <c r="F11" s="93"/>
      <c r="G11" s="93"/>
      <c r="H11" s="93"/>
      <c r="I11" s="93"/>
      <c r="J11" s="93"/>
      <c r="K11" s="93"/>
      <c r="L11" s="93"/>
      <c r="M11" s="93"/>
      <c r="N11" s="93"/>
      <c r="O11" s="94"/>
      <c r="P11" s="93"/>
      <c r="Q11" s="93"/>
      <c r="R11" s="93"/>
      <c r="S11" s="93"/>
      <c r="T11" s="93"/>
      <c r="U11" s="93"/>
      <c r="V11" s="93"/>
      <c r="W11" s="93"/>
      <c r="X11" s="93"/>
      <c r="Y11" s="93"/>
      <c r="Z11" s="93"/>
      <c r="AA11" s="93"/>
      <c r="AB11" s="93"/>
      <c r="AC11" s="93"/>
      <c r="AD11" s="93"/>
      <c r="AE11" s="93"/>
      <c r="AF11" s="93"/>
      <c r="AG11" s="93"/>
      <c r="AH11" s="93"/>
      <c r="AI11" s="93">
        <v>0.4</v>
      </c>
      <c r="AJ11" s="93"/>
      <c r="AK11" s="93"/>
      <c r="AL11" s="93"/>
      <c r="AM11" s="93"/>
      <c r="AN11" s="95"/>
      <c r="AO11" s="95"/>
      <c r="AP11" s="96"/>
    </row>
    <row r="12" spans="1:42" x14ac:dyDescent="0.25">
      <c r="A12" s="87" t="s">
        <v>575</v>
      </c>
      <c r="B12" s="88"/>
      <c r="C12" s="88"/>
      <c r="D12" s="88"/>
      <c r="E12" s="88"/>
      <c r="F12" s="88"/>
      <c r="G12" s="88"/>
      <c r="H12" s="88"/>
      <c r="I12" s="88"/>
      <c r="J12" s="88"/>
      <c r="K12" s="88"/>
      <c r="L12" s="88"/>
      <c r="M12" s="88"/>
      <c r="N12" s="88"/>
      <c r="O12" s="89"/>
      <c r="P12" s="88"/>
      <c r="Q12" s="88">
        <v>0.15</v>
      </c>
      <c r="R12" s="88"/>
      <c r="S12" s="88"/>
      <c r="T12" s="88"/>
      <c r="U12" s="88"/>
      <c r="V12" s="88"/>
      <c r="W12" s="88"/>
      <c r="X12" s="88"/>
      <c r="Y12" s="88"/>
      <c r="Z12" s="88"/>
      <c r="AA12" s="88"/>
      <c r="AB12" s="88"/>
      <c r="AC12" s="88"/>
      <c r="AD12" s="88"/>
      <c r="AE12" s="88"/>
      <c r="AF12" s="88"/>
      <c r="AG12" s="88"/>
      <c r="AH12" s="88"/>
      <c r="AI12" s="88"/>
      <c r="AJ12" s="88"/>
      <c r="AK12" s="88"/>
      <c r="AL12" s="88"/>
      <c r="AM12" s="88"/>
      <c r="AN12" s="90"/>
      <c r="AO12" s="90"/>
      <c r="AP12" s="91"/>
    </row>
    <row r="13" spans="1:42" x14ac:dyDescent="0.25">
      <c r="A13" s="92" t="s">
        <v>576</v>
      </c>
      <c r="B13" s="93"/>
      <c r="C13" s="93"/>
      <c r="D13" s="93"/>
      <c r="E13" s="93"/>
      <c r="F13" s="93"/>
      <c r="G13" s="93"/>
      <c r="H13" s="93"/>
      <c r="I13" s="93"/>
      <c r="J13" s="93"/>
      <c r="K13" s="93"/>
      <c r="L13" s="93"/>
      <c r="M13" s="93"/>
      <c r="N13" s="93"/>
      <c r="O13" s="94"/>
      <c r="P13" s="93"/>
      <c r="Q13" s="93"/>
      <c r="R13" s="93">
        <v>0.15</v>
      </c>
      <c r="S13" s="93">
        <v>0.15</v>
      </c>
      <c r="T13" s="93"/>
      <c r="U13" s="93"/>
      <c r="V13" s="93"/>
      <c r="W13" s="93"/>
      <c r="X13" s="93"/>
      <c r="Y13" s="93"/>
      <c r="Z13" s="93"/>
      <c r="AA13" s="93"/>
      <c r="AB13" s="93"/>
      <c r="AC13" s="93"/>
      <c r="AD13" s="93"/>
      <c r="AE13" s="93"/>
      <c r="AF13" s="93"/>
      <c r="AG13" s="93"/>
      <c r="AH13" s="93"/>
      <c r="AI13" s="93"/>
      <c r="AJ13" s="93"/>
      <c r="AK13" s="93"/>
      <c r="AL13" s="93"/>
      <c r="AM13" s="93"/>
      <c r="AN13" s="95"/>
      <c r="AO13" s="95"/>
      <c r="AP13" s="96"/>
    </row>
    <row r="14" spans="1:42" x14ac:dyDescent="0.25">
      <c r="A14" s="87" t="s">
        <v>577</v>
      </c>
      <c r="B14" s="88"/>
      <c r="C14" s="88"/>
      <c r="D14" s="88"/>
      <c r="E14" s="88"/>
      <c r="F14" s="88"/>
      <c r="G14" s="88"/>
      <c r="H14" s="88"/>
      <c r="I14" s="88"/>
      <c r="J14" s="88"/>
      <c r="K14" s="88"/>
      <c r="L14" s="88"/>
      <c r="M14" s="88"/>
      <c r="N14" s="88"/>
      <c r="O14" s="89"/>
      <c r="P14" s="88"/>
      <c r="Q14" s="88"/>
      <c r="R14" s="88"/>
      <c r="S14" s="88"/>
      <c r="T14" s="88"/>
      <c r="U14" s="88"/>
      <c r="V14" s="88">
        <v>0.2</v>
      </c>
      <c r="W14" s="88"/>
      <c r="X14" s="88"/>
      <c r="Y14" s="88"/>
      <c r="Z14" s="88"/>
      <c r="AA14" s="88"/>
      <c r="AB14" s="88"/>
      <c r="AC14" s="88"/>
      <c r="AD14" s="88"/>
      <c r="AE14" s="88"/>
      <c r="AF14" s="88"/>
      <c r="AG14" s="88"/>
      <c r="AH14" s="88"/>
      <c r="AI14" s="88"/>
      <c r="AJ14" s="88"/>
      <c r="AK14" s="88"/>
      <c r="AL14" s="88"/>
      <c r="AM14" s="88"/>
      <c r="AN14" s="90"/>
      <c r="AO14" s="90"/>
      <c r="AP14" s="91"/>
    </row>
    <row r="15" spans="1:42" x14ac:dyDescent="0.25">
      <c r="A15" s="92" t="s">
        <v>578</v>
      </c>
      <c r="B15" s="93"/>
      <c r="C15" s="93"/>
      <c r="D15" s="93"/>
      <c r="E15" s="93"/>
      <c r="F15" s="93"/>
      <c r="G15" s="93"/>
      <c r="H15" s="93"/>
      <c r="I15" s="93"/>
      <c r="J15" s="93"/>
      <c r="K15" s="93"/>
      <c r="L15" s="93"/>
      <c r="M15" s="93"/>
      <c r="N15" s="93"/>
      <c r="O15" s="94"/>
      <c r="P15" s="93"/>
      <c r="Q15" s="93"/>
      <c r="R15" s="93"/>
      <c r="S15" s="93"/>
      <c r="T15" s="93"/>
      <c r="U15" s="93"/>
      <c r="V15" s="93"/>
      <c r="W15" s="93"/>
      <c r="X15" s="93">
        <v>0.35</v>
      </c>
      <c r="Y15" s="93"/>
      <c r="Z15" s="93"/>
      <c r="AA15" s="93"/>
      <c r="AB15" s="93"/>
      <c r="AC15" s="93"/>
      <c r="AD15" s="93"/>
      <c r="AE15" s="93"/>
      <c r="AF15" s="93"/>
      <c r="AG15" s="93"/>
      <c r="AH15" s="93"/>
      <c r="AI15" s="93"/>
      <c r="AJ15" s="93"/>
      <c r="AK15" s="93"/>
      <c r="AL15" s="93"/>
      <c r="AM15" s="93"/>
      <c r="AN15" s="95"/>
      <c r="AO15" s="95"/>
      <c r="AP15" s="96"/>
    </row>
    <row r="16" spans="1:42" x14ac:dyDescent="0.25">
      <c r="A16" s="87" t="s">
        <v>579</v>
      </c>
      <c r="B16" s="88"/>
      <c r="C16" s="88"/>
      <c r="D16" s="88"/>
      <c r="E16" s="88"/>
      <c r="F16" s="88"/>
      <c r="G16" s="88"/>
      <c r="H16" s="88"/>
      <c r="I16" s="88"/>
      <c r="J16" s="88"/>
      <c r="K16" s="88"/>
      <c r="L16" s="88"/>
      <c r="M16" s="88"/>
      <c r="N16" s="88">
        <v>0.15</v>
      </c>
      <c r="O16" s="89"/>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90"/>
      <c r="AO16" s="90"/>
      <c r="AP16" s="91"/>
    </row>
    <row r="17" spans="1:42" x14ac:dyDescent="0.25">
      <c r="A17" s="92" t="s">
        <v>580</v>
      </c>
      <c r="B17" s="93"/>
      <c r="C17" s="93"/>
      <c r="D17" s="93"/>
      <c r="E17" s="93"/>
      <c r="F17" s="93"/>
      <c r="G17" s="93"/>
      <c r="H17" s="93"/>
      <c r="I17" s="93"/>
      <c r="J17" s="93"/>
      <c r="K17" s="93"/>
      <c r="L17" s="93"/>
      <c r="M17" s="93"/>
      <c r="N17" s="93"/>
      <c r="O17" s="94"/>
      <c r="P17" s="93"/>
      <c r="Q17" s="93"/>
      <c r="R17" s="93"/>
      <c r="S17" s="93"/>
      <c r="T17" s="93"/>
      <c r="U17" s="93"/>
      <c r="V17" s="93"/>
      <c r="W17" s="93"/>
      <c r="X17" s="93"/>
      <c r="Y17" s="93"/>
      <c r="Z17" s="93"/>
      <c r="AA17" s="93"/>
      <c r="AB17" s="93"/>
      <c r="AC17" s="93"/>
      <c r="AD17" s="93"/>
      <c r="AE17" s="93"/>
      <c r="AF17" s="93"/>
      <c r="AG17" s="93"/>
      <c r="AH17" s="93"/>
      <c r="AI17" s="93"/>
      <c r="AJ17" s="93"/>
      <c r="AK17" s="93"/>
      <c r="AL17" s="93">
        <v>0.4</v>
      </c>
      <c r="AM17" s="93"/>
      <c r="AN17" s="95"/>
      <c r="AO17" s="95"/>
      <c r="AP17" s="96"/>
    </row>
    <row r="18" spans="1:42" x14ac:dyDescent="0.25">
      <c r="A18" s="87" t="s">
        <v>581</v>
      </c>
      <c r="B18" s="88"/>
      <c r="C18" s="88"/>
      <c r="D18" s="88"/>
      <c r="E18" s="88"/>
      <c r="F18" s="88"/>
      <c r="G18" s="88"/>
      <c r="H18" s="88"/>
      <c r="I18" s="88">
        <v>0.15</v>
      </c>
      <c r="J18" s="88"/>
      <c r="K18" s="88"/>
      <c r="L18" s="88"/>
      <c r="M18" s="88"/>
      <c r="N18" s="88"/>
      <c r="O18" s="89"/>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90"/>
      <c r="AO18" s="90"/>
      <c r="AP18" s="91"/>
    </row>
    <row r="19" spans="1:42" x14ac:dyDescent="0.25">
      <c r="A19" s="92" t="s">
        <v>582</v>
      </c>
      <c r="B19" s="93"/>
      <c r="C19" s="93"/>
      <c r="D19" s="93"/>
      <c r="E19" s="93"/>
      <c r="F19" s="93"/>
      <c r="G19" s="93"/>
      <c r="H19" s="93"/>
      <c r="I19" s="93"/>
      <c r="J19" s="93"/>
      <c r="K19" s="93"/>
      <c r="L19" s="93"/>
      <c r="M19" s="93"/>
      <c r="N19" s="93"/>
      <c r="O19" s="94">
        <v>80</v>
      </c>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5"/>
      <c r="AO19" s="95"/>
      <c r="AP19" s="96"/>
    </row>
    <row r="20" spans="1:42" x14ac:dyDescent="0.25">
      <c r="A20" s="87" t="s">
        <v>583</v>
      </c>
      <c r="B20" s="88"/>
      <c r="C20" s="88"/>
      <c r="D20" s="88"/>
      <c r="E20" s="88"/>
      <c r="F20" s="88"/>
      <c r="G20" s="88"/>
      <c r="H20" s="88"/>
      <c r="I20" s="88"/>
      <c r="J20" s="88"/>
      <c r="K20" s="88"/>
      <c r="L20" s="88">
        <v>0.15</v>
      </c>
      <c r="M20" s="88"/>
      <c r="N20" s="88"/>
      <c r="O20" s="89"/>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90"/>
      <c r="AO20" s="90"/>
      <c r="AP20" s="91"/>
    </row>
    <row r="21" spans="1:42" x14ac:dyDescent="0.25">
      <c r="A21" s="92" t="s">
        <v>584</v>
      </c>
      <c r="B21" s="93"/>
      <c r="C21" s="93"/>
      <c r="D21" s="93"/>
      <c r="E21" s="93"/>
      <c r="F21" s="93"/>
      <c r="G21" s="93"/>
      <c r="H21" s="93"/>
      <c r="I21" s="93"/>
      <c r="J21" s="93"/>
      <c r="K21" s="93"/>
      <c r="L21" s="93"/>
      <c r="M21" s="93">
        <v>0.15</v>
      </c>
      <c r="N21" s="93"/>
      <c r="O21" s="94"/>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5"/>
      <c r="AO21" s="95"/>
      <c r="AP21" s="96"/>
    </row>
    <row r="22" spans="1:42" x14ac:dyDescent="0.25">
      <c r="A22" s="87" t="s">
        <v>585</v>
      </c>
      <c r="B22" s="88"/>
      <c r="C22" s="88"/>
      <c r="D22" s="88"/>
      <c r="E22" s="88"/>
      <c r="F22" s="88"/>
      <c r="G22" s="88"/>
      <c r="H22" s="88">
        <v>0.25</v>
      </c>
      <c r="I22" s="88"/>
      <c r="J22" s="88"/>
      <c r="K22" s="88"/>
      <c r="L22" s="88"/>
      <c r="M22" s="88"/>
      <c r="N22" s="88"/>
      <c r="O22" s="89"/>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90"/>
      <c r="AO22" s="90"/>
      <c r="AP22" s="91"/>
    </row>
    <row r="23" spans="1:42" x14ac:dyDescent="0.25">
      <c r="A23" s="92" t="s">
        <v>586</v>
      </c>
      <c r="B23" s="93"/>
      <c r="C23" s="93"/>
      <c r="D23" s="93">
        <v>0.2</v>
      </c>
      <c r="E23" s="93"/>
      <c r="F23" s="93"/>
      <c r="G23" s="93"/>
      <c r="H23" s="93"/>
      <c r="I23" s="93"/>
      <c r="J23" s="93"/>
      <c r="K23" s="93"/>
      <c r="L23" s="93"/>
      <c r="M23" s="93"/>
      <c r="N23" s="93"/>
      <c r="O23" s="94"/>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5"/>
      <c r="AO23" s="95"/>
      <c r="AP23" s="96"/>
    </row>
    <row r="24" spans="1:42" x14ac:dyDescent="0.25">
      <c r="A24" s="87" t="s">
        <v>587</v>
      </c>
      <c r="B24" s="88">
        <v>0.18</v>
      </c>
      <c r="C24" s="88"/>
      <c r="D24" s="88"/>
      <c r="E24" s="88"/>
      <c r="F24" s="88"/>
      <c r="G24" s="88"/>
      <c r="H24" s="88"/>
      <c r="I24" s="88"/>
      <c r="J24" s="88"/>
      <c r="K24" s="88"/>
      <c r="L24" s="88"/>
      <c r="M24" s="88"/>
      <c r="N24" s="88"/>
      <c r="O24" s="89"/>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90"/>
      <c r="AO24" s="90"/>
      <c r="AP24" s="91"/>
    </row>
    <row r="25" spans="1:42" x14ac:dyDescent="0.25">
      <c r="A25" s="92" t="s">
        <v>588</v>
      </c>
      <c r="B25" s="93"/>
      <c r="C25" s="93"/>
      <c r="D25" s="93"/>
      <c r="E25" s="93"/>
      <c r="F25" s="93"/>
      <c r="G25" s="93">
        <v>0.2</v>
      </c>
      <c r="H25" s="93"/>
      <c r="I25" s="93"/>
      <c r="J25" s="93"/>
      <c r="K25" s="93"/>
      <c r="L25" s="93"/>
      <c r="M25" s="93"/>
      <c r="N25" s="93"/>
      <c r="O25" s="94"/>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5"/>
      <c r="AO25" s="95"/>
      <c r="AP25" s="96"/>
    </row>
    <row r="26" spans="1:42" x14ac:dyDescent="0.25">
      <c r="A26" s="87" t="s">
        <v>589</v>
      </c>
      <c r="B26" s="88"/>
      <c r="C26" s="88"/>
      <c r="D26" s="88"/>
      <c r="E26" s="88"/>
      <c r="F26" s="88"/>
      <c r="G26" s="88"/>
      <c r="H26" s="88"/>
      <c r="I26" s="88"/>
      <c r="J26" s="88"/>
      <c r="K26" s="88"/>
      <c r="L26" s="88"/>
      <c r="M26" s="88"/>
      <c r="N26" s="88"/>
      <c r="O26" s="89"/>
      <c r="P26" s="88"/>
      <c r="Q26" s="88">
        <v>0.15</v>
      </c>
      <c r="R26" s="88"/>
      <c r="S26" s="88"/>
      <c r="T26" s="88"/>
      <c r="U26" s="88"/>
      <c r="V26" s="88"/>
      <c r="W26" s="88"/>
      <c r="X26" s="88"/>
      <c r="Y26" s="88"/>
      <c r="Z26" s="88"/>
      <c r="AA26" s="88"/>
      <c r="AB26" s="88"/>
      <c r="AC26" s="88"/>
      <c r="AD26" s="88"/>
      <c r="AE26" s="88"/>
      <c r="AF26" s="88"/>
      <c r="AG26" s="88"/>
      <c r="AH26" s="88"/>
      <c r="AI26" s="88"/>
      <c r="AJ26" s="88"/>
      <c r="AK26" s="88"/>
      <c r="AL26" s="88"/>
      <c r="AM26" s="88"/>
      <c r="AN26" s="90"/>
      <c r="AO26" s="90"/>
      <c r="AP26" s="91"/>
    </row>
    <row r="27" spans="1:42" x14ac:dyDescent="0.25">
      <c r="A27" s="92" t="s">
        <v>590</v>
      </c>
      <c r="B27" s="93"/>
      <c r="C27" s="93">
        <v>0.3</v>
      </c>
      <c r="D27" s="93"/>
      <c r="E27" s="93"/>
      <c r="F27" s="93"/>
      <c r="G27" s="93"/>
      <c r="H27" s="93"/>
      <c r="I27" s="93"/>
      <c r="J27" s="93"/>
      <c r="K27" s="93"/>
      <c r="L27" s="93"/>
      <c r="M27" s="93"/>
      <c r="N27" s="93"/>
      <c r="O27" s="94"/>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5"/>
      <c r="AO27" s="95"/>
      <c r="AP27" s="96"/>
    </row>
    <row r="28" spans="1:42" x14ac:dyDescent="0.25">
      <c r="A28" s="87" t="s">
        <v>591</v>
      </c>
      <c r="B28" s="88"/>
      <c r="C28" s="88"/>
      <c r="D28" s="88"/>
      <c r="E28" s="88"/>
      <c r="F28" s="88"/>
      <c r="G28" s="88"/>
      <c r="H28" s="88"/>
      <c r="I28" s="88"/>
      <c r="J28" s="88"/>
      <c r="K28" s="88">
        <f>IF(char1ArtiToggle, 35%, 0%)</f>
        <v>0</v>
      </c>
      <c r="L28" s="88">
        <f>IF(char1ArtiToggle, 35%, 0%)</f>
        <v>0</v>
      </c>
      <c r="M28" s="88">
        <f>IF(char1ArtiToggle, 35%, 0%)</f>
        <v>0</v>
      </c>
      <c r="N28" s="88">
        <f>IF(char1ArtiToggle, 35%, 0%)</f>
        <v>0</v>
      </c>
      <c r="O28" s="89"/>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90"/>
      <c r="AO28" s="90"/>
      <c r="AP28" s="91"/>
    </row>
    <row r="29" spans="1:42" x14ac:dyDescent="0.25">
      <c r="A29" s="92" t="s">
        <v>592</v>
      </c>
      <c r="B29" s="93"/>
      <c r="C29" s="93"/>
      <c r="D29" s="93"/>
      <c r="E29" s="93">
        <f>IF(char1ArtiToggle, 24%, 0%)</f>
        <v>0</v>
      </c>
      <c r="F29" s="93"/>
      <c r="G29" s="93"/>
      <c r="H29" s="93"/>
      <c r="I29" s="93"/>
      <c r="J29" s="93"/>
      <c r="K29" s="93"/>
      <c r="L29" s="93"/>
      <c r="M29" s="93"/>
      <c r="N29" s="93"/>
      <c r="O29" s="94"/>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5"/>
      <c r="AO29" s="95"/>
      <c r="AP29" s="96"/>
    </row>
    <row r="30" spans="1:42" x14ac:dyDescent="0.25">
      <c r="A30" s="87" t="s">
        <v>593</v>
      </c>
      <c r="B30" s="88"/>
      <c r="C30" s="88"/>
      <c r="D30" s="88"/>
      <c r="E30" s="88"/>
      <c r="F30" s="88"/>
      <c r="G30" s="88"/>
      <c r="H30" s="88"/>
      <c r="I30" s="88"/>
      <c r="J30" s="88"/>
      <c r="K30" s="88"/>
      <c r="L30" s="88"/>
      <c r="M30" s="88"/>
      <c r="N30" s="88"/>
      <c r="O30" s="89"/>
      <c r="P30" s="88"/>
      <c r="Q30" s="88"/>
      <c r="R30" s="88"/>
      <c r="S30" s="88">
        <f>IF(char1ArtiToggle, 50%, 0%)</f>
        <v>0</v>
      </c>
      <c r="T30" s="88"/>
      <c r="U30" s="88"/>
      <c r="V30" s="88"/>
      <c r="W30" s="88"/>
      <c r="X30" s="88"/>
      <c r="Y30" s="88"/>
      <c r="Z30" s="88"/>
      <c r="AA30" s="88"/>
      <c r="AB30" s="88"/>
      <c r="AC30" s="88"/>
      <c r="AD30" s="88"/>
      <c r="AE30" s="88"/>
      <c r="AF30" s="88"/>
      <c r="AG30" s="88"/>
      <c r="AH30" s="88"/>
      <c r="AI30" s="88"/>
      <c r="AJ30" s="88"/>
      <c r="AK30" s="88"/>
      <c r="AL30" s="88"/>
      <c r="AM30" s="88"/>
      <c r="AN30" s="90"/>
      <c r="AO30" s="90"/>
      <c r="AP30" s="91"/>
    </row>
    <row r="31" spans="1:42" x14ac:dyDescent="0.25">
      <c r="A31" s="92" t="s">
        <v>594</v>
      </c>
      <c r="B31" s="93"/>
      <c r="C31" s="93"/>
      <c r="D31" s="93"/>
      <c r="E31" s="93"/>
      <c r="F31" s="93"/>
      <c r="G31" s="93"/>
      <c r="H31" s="93"/>
      <c r="I31" s="93"/>
      <c r="J31" s="93"/>
      <c r="K31" s="93"/>
      <c r="L31" s="93"/>
      <c r="M31" s="93"/>
      <c r="N31" s="93"/>
      <c r="O31" s="94"/>
      <c r="P31" s="93"/>
      <c r="Q31" s="93"/>
      <c r="R31" s="93"/>
      <c r="S31" s="93"/>
      <c r="T31" s="93"/>
      <c r="U31" s="93"/>
      <c r="V31" s="93"/>
      <c r="W31" s="93">
        <f>IF(char1ArtiToggle, 30%, 0%)</f>
        <v>0</v>
      </c>
      <c r="X31" s="93"/>
      <c r="Y31" s="93"/>
      <c r="Z31" s="93"/>
      <c r="AA31" s="93"/>
      <c r="AB31" s="93"/>
      <c r="AC31" s="93"/>
      <c r="AD31" s="93"/>
      <c r="AE31" s="93"/>
      <c r="AF31" s="93"/>
      <c r="AG31" s="93"/>
      <c r="AH31" s="93"/>
      <c r="AI31" s="93"/>
      <c r="AJ31" s="93"/>
      <c r="AK31" s="93"/>
      <c r="AL31" s="93"/>
      <c r="AM31" s="93"/>
      <c r="AN31" s="95"/>
      <c r="AO31" s="95"/>
      <c r="AP31" s="96"/>
    </row>
    <row r="32" spans="1:42" x14ac:dyDescent="0.25">
      <c r="A32" s="87" t="s">
        <v>595</v>
      </c>
      <c r="B32" s="88"/>
      <c r="C32" s="88"/>
      <c r="D32" s="88"/>
      <c r="E32" s="88"/>
      <c r="F32" s="88"/>
      <c r="G32" s="88"/>
      <c r="H32" s="88"/>
      <c r="I32" s="88"/>
      <c r="J32" s="88"/>
      <c r="K32" s="88">
        <f>char1ArtiStacks*(7.5%)</f>
        <v>0.15</v>
      </c>
      <c r="L32" s="88"/>
      <c r="M32" s="88"/>
      <c r="N32" s="88"/>
      <c r="O32" s="89"/>
      <c r="P32" s="88"/>
      <c r="Q32" s="88"/>
      <c r="R32" s="88"/>
      <c r="S32" s="88"/>
      <c r="T32" s="88"/>
      <c r="U32" s="88"/>
      <c r="V32" s="88"/>
      <c r="W32" s="88"/>
      <c r="X32" s="88"/>
      <c r="Y32" s="88"/>
      <c r="Z32" s="88">
        <v>0.4</v>
      </c>
      <c r="AA32" s="88"/>
      <c r="AB32" s="88"/>
      <c r="AC32" s="88"/>
      <c r="AD32" s="88">
        <v>0.15</v>
      </c>
      <c r="AE32" s="88">
        <v>0.15</v>
      </c>
      <c r="AF32" s="88"/>
      <c r="AG32" s="88"/>
      <c r="AH32" s="88"/>
      <c r="AI32" s="88"/>
      <c r="AJ32" s="88"/>
      <c r="AK32" s="88"/>
      <c r="AL32" s="88"/>
      <c r="AM32" s="88"/>
      <c r="AN32" s="90"/>
      <c r="AO32" s="90"/>
      <c r="AP32" s="91"/>
    </row>
    <row r="33" spans="1:42" x14ac:dyDescent="0.25">
      <c r="A33" s="92" t="s">
        <v>596</v>
      </c>
      <c r="B33" s="93"/>
      <c r="C33" s="93"/>
      <c r="D33" s="93"/>
      <c r="E33" s="93"/>
      <c r="F33" s="93"/>
      <c r="G33" s="93"/>
      <c r="H33" s="93"/>
      <c r="I33" s="93"/>
      <c r="J33" s="93"/>
      <c r="K33" s="93"/>
      <c r="L33" s="93"/>
      <c r="M33" s="93"/>
      <c r="N33" s="93"/>
      <c r="O33" s="94"/>
      <c r="P33" s="93"/>
      <c r="Q33" s="93"/>
      <c r="R33" s="93"/>
      <c r="S33" s="93"/>
      <c r="T33" s="93"/>
      <c r="U33" s="93"/>
      <c r="V33" s="93"/>
      <c r="W33" s="93"/>
      <c r="X33" s="93"/>
      <c r="Y33" s="93"/>
      <c r="Z33" s="93"/>
      <c r="AA33" s="93"/>
      <c r="AB33" s="93"/>
      <c r="AC33" s="93"/>
      <c r="AD33" s="93"/>
      <c r="AE33" s="93"/>
      <c r="AF33" s="93"/>
      <c r="AG33" s="93">
        <v>0.3</v>
      </c>
      <c r="AH33" s="93">
        <v>0.3</v>
      </c>
      <c r="AI33" s="93">
        <v>0.3</v>
      </c>
      <c r="AJ33" s="93">
        <v>0.3</v>
      </c>
      <c r="AK33" s="93">
        <v>0.3</v>
      </c>
      <c r="AL33" s="93">
        <v>0.3</v>
      </c>
      <c r="AM33" s="93"/>
      <c r="AN33" s="95"/>
      <c r="AO33" s="95"/>
      <c r="AP33" s="96"/>
    </row>
    <row r="34" spans="1:42" x14ac:dyDescent="0.25">
      <c r="A34" s="87" t="s">
        <v>597</v>
      </c>
      <c r="B34" s="88"/>
      <c r="C34" s="88"/>
      <c r="D34" s="88"/>
      <c r="E34" s="88"/>
      <c r="F34" s="88"/>
      <c r="G34" s="88"/>
      <c r="H34" s="88"/>
      <c r="I34" s="88"/>
      <c r="J34" s="88"/>
      <c r="K34" s="88"/>
      <c r="L34" s="88"/>
      <c r="M34" s="88"/>
      <c r="N34" s="88"/>
      <c r="O34" s="89"/>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90"/>
      <c r="AO34" s="90"/>
      <c r="AP34" s="91"/>
    </row>
    <row r="35" spans="1:42" x14ac:dyDescent="0.25">
      <c r="A35" s="92" t="s">
        <v>598</v>
      </c>
      <c r="B35" s="93"/>
      <c r="C35" s="93"/>
      <c r="D35" s="93"/>
      <c r="E35" s="93"/>
      <c r="F35" s="93"/>
      <c r="G35" s="93"/>
      <c r="H35" s="93"/>
      <c r="I35" s="93"/>
      <c r="J35" s="93"/>
      <c r="K35" s="93"/>
      <c r="L35" s="93"/>
      <c r="M35" s="93"/>
      <c r="N35" s="93"/>
      <c r="O35" s="94"/>
      <c r="P35" s="93"/>
      <c r="Q35" s="93"/>
      <c r="R35" s="93">
        <v>0.35</v>
      </c>
      <c r="S35" s="93"/>
      <c r="T35" s="93"/>
      <c r="U35" s="93"/>
      <c r="V35" s="93"/>
      <c r="W35" s="93"/>
      <c r="X35" s="93"/>
      <c r="Y35" s="93"/>
      <c r="Z35" s="93"/>
      <c r="AA35" s="93"/>
      <c r="AB35" s="93"/>
      <c r="AC35" s="93"/>
      <c r="AD35" s="93"/>
      <c r="AE35" s="93"/>
      <c r="AF35" s="93"/>
      <c r="AG35" s="93"/>
      <c r="AH35" s="93"/>
      <c r="AI35" s="93"/>
      <c r="AJ35" s="93"/>
      <c r="AK35" s="93"/>
      <c r="AL35" s="93"/>
      <c r="AM35" s="93"/>
      <c r="AN35" s="95"/>
      <c r="AO35" s="95"/>
      <c r="AP35" s="96"/>
    </row>
    <row r="36" spans="1:42" x14ac:dyDescent="0.25">
      <c r="A36" s="87" t="s">
        <v>599</v>
      </c>
      <c r="B36" s="88"/>
      <c r="C36" s="88"/>
      <c r="D36" s="88"/>
      <c r="E36" s="88"/>
      <c r="F36" s="88"/>
      <c r="G36" s="88"/>
      <c r="H36" s="88"/>
      <c r="I36" s="88"/>
      <c r="J36" s="88"/>
      <c r="K36" s="88"/>
      <c r="L36" s="88"/>
      <c r="M36" s="88"/>
      <c r="N36" s="88"/>
      <c r="O36" s="89">
        <f>IF(char1ArtiToggle, 120, 0)</f>
        <v>0</v>
      </c>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90"/>
      <c r="AO36" s="90"/>
      <c r="AP36" s="91"/>
    </row>
    <row r="37" spans="1:42" x14ac:dyDescent="0.25">
      <c r="A37" s="92" t="s">
        <v>600</v>
      </c>
      <c r="B37" s="93"/>
      <c r="C37" s="93"/>
      <c r="D37" s="93"/>
      <c r="E37" s="93"/>
      <c r="F37" s="93"/>
      <c r="G37" s="93"/>
      <c r="H37" s="93">
        <f t="shared" ref="H37:N37" si="0">IF(char1ArtiToggle, 35%, 0)</f>
        <v>0</v>
      </c>
      <c r="I37" s="93">
        <f t="shared" si="0"/>
        <v>0</v>
      </c>
      <c r="J37" s="93">
        <f t="shared" si="0"/>
        <v>0</v>
      </c>
      <c r="K37" s="93">
        <f t="shared" si="0"/>
        <v>0</v>
      </c>
      <c r="L37" s="93">
        <f t="shared" si="0"/>
        <v>0</v>
      </c>
      <c r="M37" s="93">
        <f t="shared" si="0"/>
        <v>0</v>
      </c>
      <c r="N37" s="93">
        <f t="shared" si="0"/>
        <v>0</v>
      </c>
      <c r="O37" s="94"/>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5"/>
      <c r="AO37" s="95"/>
      <c r="AP37" s="96"/>
    </row>
    <row r="38" spans="1:42" x14ac:dyDescent="0.25">
      <c r="A38" s="87" t="s">
        <v>601</v>
      </c>
      <c r="B38" s="88"/>
      <c r="C38" s="88"/>
      <c r="D38" s="88"/>
      <c r="E38" s="88"/>
      <c r="F38" s="88"/>
      <c r="G38" s="88"/>
      <c r="H38" s="88"/>
      <c r="I38" s="88"/>
      <c r="J38" s="88"/>
      <c r="K38" s="88"/>
      <c r="L38" s="88"/>
      <c r="M38" s="88"/>
      <c r="N38" s="88"/>
      <c r="O38" s="89"/>
      <c r="P38" s="88">
        <v>0.2</v>
      </c>
      <c r="Q38" s="88"/>
      <c r="R38" s="88"/>
      <c r="S38" s="88"/>
      <c r="T38" s="88"/>
      <c r="U38" s="88"/>
      <c r="V38" s="88"/>
      <c r="W38" s="88"/>
      <c r="X38" s="88"/>
      <c r="Y38" s="88"/>
      <c r="Z38" s="88"/>
      <c r="AA38" s="88"/>
      <c r="AB38" s="88"/>
      <c r="AC38" s="88"/>
      <c r="AD38" s="88"/>
      <c r="AE38" s="88"/>
      <c r="AF38" s="88"/>
      <c r="AG38" s="88"/>
      <c r="AH38" s="88"/>
      <c r="AI38" s="88"/>
      <c r="AJ38" s="88"/>
      <c r="AK38" s="88"/>
      <c r="AL38" s="88"/>
      <c r="AM38" s="88"/>
      <c r="AN38" s="90"/>
      <c r="AO38" s="90"/>
      <c r="AP38" s="91"/>
    </row>
    <row r="39" spans="1:42" x14ac:dyDescent="0.25">
      <c r="A39" s="92" t="s">
        <v>602</v>
      </c>
      <c r="B39" s="93"/>
      <c r="C39" s="93"/>
      <c r="D39" s="93"/>
      <c r="E39" s="93"/>
      <c r="F39" s="93"/>
      <c r="G39" s="93"/>
      <c r="H39" s="93"/>
      <c r="I39" s="93"/>
      <c r="J39" s="93"/>
      <c r="K39" s="93"/>
      <c r="L39" s="93"/>
      <c r="M39" s="93"/>
      <c r="N39" s="93"/>
      <c r="O39" s="94"/>
      <c r="P39" s="93"/>
      <c r="Q39" s="93"/>
      <c r="R39" s="93">
        <f>IF(char1ArtiToggle, 25%, 0)</f>
        <v>0</v>
      </c>
      <c r="S39" s="93">
        <f>IF(char1ArtiToggle, 25%, 0)</f>
        <v>0</v>
      </c>
      <c r="T39" s="93"/>
      <c r="U39" s="93"/>
      <c r="V39" s="93"/>
      <c r="W39" s="93"/>
      <c r="X39" s="93"/>
      <c r="Y39" s="93"/>
      <c r="Z39" s="93"/>
      <c r="AA39" s="93"/>
      <c r="AB39" s="93"/>
      <c r="AC39" s="93"/>
      <c r="AD39" s="93"/>
      <c r="AE39" s="93"/>
      <c r="AF39" s="93"/>
      <c r="AG39" s="93"/>
      <c r="AH39" s="93"/>
      <c r="AI39" s="93"/>
      <c r="AJ39" s="93"/>
      <c r="AK39" s="93"/>
      <c r="AL39" s="93"/>
      <c r="AM39" s="93"/>
      <c r="AN39" s="95"/>
      <c r="AO39" s="95"/>
      <c r="AP39" s="96"/>
    </row>
    <row r="40" spans="1:42" x14ac:dyDescent="0.25">
      <c r="A40" s="87" t="s">
        <v>603</v>
      </c>
      <c r="B40" s="88">
        <f>IF(char1ArtiToggle, 20%, 0)</f>
        <v>0</v>
      </c>
      <c r="C40" s="88"/>
      <c r="D40" s="88"/>
      <c r="E40" s="88"/>
      <c r="F40" s="88"/>
      <c r="G40" s="88"/>
      <c r="H40" s="88"/>
      <c r="I40" s="88"/>
      <c r="J40" s="88"/>
      <c r="K40" s="88"/>
      <c r="L40" s="88"/>
      <c r="M40" s="88"/>
      <c r="N40" s="88"/>
      <c r="O40" s="89"/>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90"/>
      <c r="AO40" s="90"/>
      <c r="AP40" s="91"/>
    </row>
    <row r="41" spans="1:42" x14ac:dyDescent="0.25">
      <c r="A41" s="92" t="s">
        <v>604</v>
      </c>
      <c r="B41" s="93"/>
      <c r="C41" s="93"/>
      <c r="D41" s="93"/>
      <c r="E41" s="93"/>
      <c r="F41" s="93"/>
      <c r="G41" s="93"/>
      <c r="H41" s="93"/>
      <c r="I41" s="93"/>
      <c r="J41" s="93"/>
      <c r="K41" s="93"/>
      <c r="L41" s="93"/>
      <c r="M41" s="93"/>
      <c r="N41" s="93"/>
      <c r="O41" s="94"/>
      <c r="P41" s="93"/>
      <c r="Q41" s="93"/>
      <c r="R41" s="93">
        <f>IF(char1ArtiToggle, 40%, 0)</f>
        <v>0</v>
      </c>
      <c r="S41" s="93">
        <f>IF(char1ArtiToggle, 40%, 0)</f>
        <v>0</v>
      </c>
      <c r="T41" s="93"/>
      <c r="U41" s="93"/>
      <c r="V41" s="93"/>
      <c r="W41" s="93"/>
      <c r="X41" s="93"/>
      <c r="Y41" s="93"/>
      <c r="Z41" s="93"/>
      <c r="AA41" s="93"/>
      <c r="AB41" s="93"/>
      <c r="AC41" s="93"/>
      <c r="AD41" s="93"/>
      <c r="AE41" s="93"/>
      <c r="AF41" s="93"/>
      <c r="AG41" s="93"/>
      <c r="AH41" s="93"/>
      <c r="AI41" s="93"/>
      <c r="AJ41" s="93"/>
      <c r="AK41" s="93"/>
      <c r="AL41" s="93"/>
      <c r="AM41" s="93"/>
      <c r="AN41" s="95"/>
      <c r="AO41" s="95"/>
      <c r="AP41" s="96"/>
    </row>
    <row r="42" spans="1:42" x14ac:dyDescent="0.25">
      <c r="A42" s="87" t="s">
        <v>605</v>
      </c>
      <c r="B42" s="88" t="s">
        <v>423</v>
      </c>
      <c r="C42" s="88"/>
      <c r="D42" s="88"/>
      <c r="E42" s="88"/>
      <c r="F42" s="88"/>
      <c r="G42" s="88"/>
      <c r="H42" s="88"/>
      <c r="I42" s="88"/>
      <c r="J42" s="88"/>
      <c r="K42" s="88"/>
      <c r="L42" s="88"/>
      <c r="M42" s="88"/>
      <c r="N42" s="88"/>
      <c r="O42" s="89"/>
      <c r="P42" s="88"/>
      <c r="Q42" s="88"/>
      <c r="R42" s="88"/>
      <c r="S42" s="88"/>
      <c r="T42" s="88"/>
      <c r="U42" s="88"/>
      <c r="V42" s="88"/>
      <c r="W42" s="88"/>
      <c r="X42" s="88"/>
      <c r="Y42" s="88"/>
      <c r="Z42" s="88">
        <v>0.4</v>
      </c>
      <c r="AA42" s="88"/>
      <c r="AB42" s="88">
        <v>0.4</v>
      </c>
      <c r="AC42" s="88">
        <v>0.4</v>
      </c>
      <c r="AD42" s="88"/>
      <c r="AE42" s="88"/>
      <c r="AF42" s="88"/>
      <c r="AG42" s="88"/>
      <c r="AH42" s="88"/>
      <c r="AI42" s="88"/>
      <c r="AJ42" s="88"/>
      <c r="AK42" s="88"/>
      <c r="AL42" s="88"/>
      <c r="AM42" s="88"/>
      <c r="AN42" s="90"/>
      <c r="AO42" s="90"/>
      <c r="AP42" s="91"/>
    </row>
    <row r="43" spans="1:42" x14ac:dyDescent="0.25">
      <c r="A43" s="92" t="s">
        <v>606</v>
      </c>
      <c r="B43" s="93"/>
      <c r="C43" s="93"/>
      <c r="D43" s="93"/>
      <c r="E43" s="93"/>
      <c r="F43" s="93"/>
      <c r="G43" s="93"/>
      <c r="H43" s="93"/>
      <c r="I43" s="93"/>
      <c r="J43" s="93"/>
      <c r="K43" s="93"/>
      <c r="L43" s="93"/>
      <c r="M43" s="93"/>
      <c r="N43" s="93"/>
      <c r="O43" s="94"/>
      <c r="P43" s="93"/>
      <c r="Q43" s="93"/>
      <c r="R43" s="93"/>
      <c r="S43" s="93"/>
      <c r="T43" s="93"/>
      <c r="U43" s="93"/>
      <c r="V43" s="93"/>
      <c r="W43" s="93">
        <f>IF(char1ArtiToggle, 35%, 0)</f>
        <v>0</v>
      </c>
      <c r="X43" s="93"/>
      <c r="Y43" s="93"/>
      <c r="Z43" s="93"/>
      <c r="AA43" s="93"/>
      <c r="AB43" s="93"/>
      <c r="AC43" s="93"/>
      <c r="AD43" s="93"/>
      <c r="AE43" s="93"/>
      <c r="AF43" s="93"/>
      <c r="AG43" s="93"/>
      <c r="AH43" s="93"/>
      <c r="AI43" s="93"/>
      <c r="AJ43" s="93"/>
      <c r="AK43" s="93"/>
      <c r="AL43" s="93"/>
      <c r="AM43" s="93"/>
      <c r="AN43" s="95"/>
      <c r="AO43" s="95"/>
      <c r="AP43" s="96"/>
    </row>
    <row r="44" spans="1:42" x14ac:dyDescent="0.25">
      <c r="A44" s="87" t="s">
        <v>607</v>
      </c>
      <c r="B44" s="88"/>
      <c r="C44" s="88"/>
      <c r="D44" s="88"/>
      <c r="E44" s="88"/>
      <c r="F44" s="88"/>
      <c r="G44" s="88"/>
      <c r="H44" s="88"/>
      <c r="I44" s="88"/>
      <c r="J44" s="88"/>
      <c r="K44" s="88"/>
      <c r="L44" s="88"/>
      <c r="M44" s="88"/>
      <c r="N44" s="88"/>
      <c r="O44" s="89"/>
      <c r="P44" s="88"/>
      <c r="Q44" s="88"/>
      <c r="R44" s="88"/>
      <c r="S44" s="88"/>
      <c r="T44" s="88"/>
      <c r="U44" s="88"/>
      <c r="V44" s="88"/>
      <c r="W44" s="88"/>
      <c r="X44" s="88"/>
      <c r="Y44" s="88">
        <v>0.6</v>
      </c>
      <c r="Z44" s="88"/>
      <c r="AA44" s="88"/>
      <c r="AB44" s="88"/>
      <c r="AC44" s="88"/>
      <c r="AD44" s="88"/>
      <c r="AE44" s="88"/>
      <c r="AF44" s="88"/>
      <c r="AG44" s="88"/>
      <c r="AH44" s="88"/>
      <c r="AI44" s="88"/>
      <c r="AJ44" s="88"/>
      <c r="AK44" s="88"/>
      <c r="AL44" s="88"/>
      <c r="AM44" s="88"/>
      <c r="AN44" s="90"/>
      <c r="AO44" s="90"/>
      <c r="AP44" s="91"/>
    </row>
    <row r="45" spans="1:42" x14ac:dyDescent="0.25">
      <c r="A45" s="92" t="s">
        <v>608</v>
      </c>
      <c r="B45" s="93"/>
      <c r="C45" s="93"/>
      <c r="D45" s="93"/>
      <c r="E45" s="93"/>
      <c r="F45" s="93"/>
      <c r="G45" s="93"/>
      <c r="H45" s="93"/>
      <c r="I45" s="93"/>
      <c r="J45" s="93"/>
      <c r="K45" s="93"/>
      <c r="L45" s="93"/>
      <c r="M45" s="93"/>
      <c r="N45" s="93"/>
      <c r="O45" s="94"/>
      <c r="P45" s="93"/>
      <c r="Q45" s="93"/>
      <c r="R45" s="93"/>
      <c r="S45" s="93">
        <f>IF(char1ArtiToggle, 35%, 0)</f>
        <v>0</v>
      </c>
      <c r="T45" s="93"/>
      <c r="U45" s="93"/>
      <c r="V45" s="93"/>
      <c r="W45" s="93"/>
      <c r="X45" s="93"/>
      <c r="Y45" s="93"/>
      <c r="Z45" s="93"/>
      <c r="AA45" s="93"/>
      <c r="AB45" s="93"/>
      <c r="AC45" s="93"/>
      <c r="AD45" s="93"/>
      <c r="AE45" s="93"/>
      <c r="AF45" s="93"/>
      <c r="AG45" s="93"/>
      <c r="AH45" s="93"/>
      <c r="AI45" s="93"/>
      <c r="AJ45" s="93"/>
      <c r="AK45" s="93"/>
      <c r="AL45" s="93"/>
      <c r="AM45" s="93"/>
      <c r="AN45" s="95"/>
      <c r="AO45" s="95"/>
      <c r="AP45" s="96"/>
    </row>
    <row r="46" spans="1:42" x14ac:dyDescent="0.25">
      <c r="A46" s="87" t="s">
        <v>609</v>
      </c>
      <c r="B46" s="88"/>
      <c r="C46" s="88"/>
      <c r="D46" s="88"/>
      <c r="E46" s="88">
        <f>char1ArtiStacks*(20%)</f>
        <v>0.4</v>
      </c>
      <c r="F46" s="88"/>
      <c r="G46" s="88"/>
      <c r="H46" s="88"/>
      <c r="I46" s="88"/>
      <c r="J46" s="88"/>
      <c r="K46" s="88"/>
      <c r="L46" s="88"/>
      <c r="M46" s="88"/>
      <c r="N46" s="88"/>
      <c r="O46" s="89"/>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90"/>
      <c r="AO46" s="90"/>
      <c r="AP46" s="91"/>
    </row>
    <row r="47" spans="1:42" x14ac:dyDescent="0.25">
      <c r="A47" s="92" t="s">
        <v>610</v>
      </c>
      <c r="B47" s="93"/>
      <c r="C47" s="93"/>
      <c r="D47" s="93"/>
      <c r="E47" s="93"/>
      <c r="F47" s="93"/>
      <c r="G47" s="93"/>
      <c r="H47" s="93"/>
      <c r="I47" s="93"/>
      <c r="J47" s="93"/>
      <c r="K47" s="93"/>
      <c r="L47" s="93"/>
      <c r="M47" s="93"/>
      <c r="N47" s="93"/>
      <c r="O47" s="94"/>
      <c r="P47" s="93"/>
      <c r="Q47" s="93"/>
      <c r="R47" s="93">
        <f>IF(char1ArtiToggle, 30%, 0)</f>
        <v>0</v>
      </c>
      <c r="S47" s="93">
        <f>IF(char1ArtiToggle, 30%, 0)</f>
        <v>0</v>
      </c>
      <c r="T47" s="93"/>
      <c r="U47" s="93"/>
      <c r="V47" s="93"/>
      <c r="W47" s="93"/>
      <c r="X47" s="93"/>
      <c r="Y47" s="93"/>
      <c r="Z47" s="93"/>
      <c r="AA47" s="93"/>
      <c r="AB47" s="93"/>
      <c r="AC47" s="93"/>
      <c r="AD47" s="93"/>
      <c r="AE47" s="93"/>
      <c r="AF47" s="93"/>
      <c r="AG47" s="93"/>
      <c r="AH47" s="93"/>
      <c r="AI47" s="93"/>
      <c r="AJ47" s="93"/>
      <c r="AK47" s="93"/>
      <c r="AL47" s="93"/>
      <c r="AM47" s="93"/>
      <c r="AN47" s="95"/>
      <c r="AO47" s="95"/>
      <c r="AP47" s="96"/>
    </row>
    <row r="48" spans="1:42" x14ac:dyDescent="0.25">
      <c r="A48" s="87" t="s">
        <v>611</v>
      </c>
      <c r="B48" s="88">
        <f>char1ArtiStacks*9%</f>
        <v>0.18</v>
      </c>
      <c r="C48" s="88"/>
      <c r="D48" s="88"/>
      <c r="E48" s="88"/>
      <c r="F48" s="88"/>
      <c r="G48" s="88"/>
      <c r="H48" s="88">
        <f>IF(char1ArtiStacks=2, 25%, 0)</f>
        <v>0.25</v>
      </c>
      <c r="I48" s="88"/>
      <c r="J48" s="88"/>
      <c r="K48" s="88"/>
      <c r="L48" s="88"/>
      <c r="M48" s="88"/>
      <c r="N48" s="88"/>
      <c r="O48" s="89"/>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90"/>
      <c r="AO48" s="90"/>
      <c r="AP48" s="91"/>
    </row>
    <row r="49" spans="1:42" x14ac:dyDescent="0.25">
      <c r="A49" s="92" t="s">
        <v>612</v>
      </c>
      <c r="B49" s="93">
        <f>IF(char1ArtiToggle, 20%, 0)</f>
        <v>0</v>
      </c>
      <c r="C49" s="93"/>
      <c r="D49" s="93"/>
      <c r="E49" s="93"/>
      <c r="F49" s="93"/>
      <c r="G49" s="93"/>
      <c r="H49" s="93"/>
      <c r="I49" s="93"/>
      <c r="J49" s="93"/>
      <c r="K49" s="93"/>
      <c r="L49" s="93"/>
      <c r="M49" s="93"/>
      <c r="N49" s="93"/>
      <c r="O49" s="94"/>
      <c r="P49" s="93"/>
      <c r="Q49" s="93"/>
      <c r="R49" s="93"/>
      <c r="S49" s="93"/>
      <c r="T49" s="93"/>
      <c r="U49" s="93"/>
      <c r="V49" s="93"/>
      <c r="W49" s="93"/>
      <c r="X49" s="93">
        <f>IF(char1ArtiToggle, 30%, 0)</f>
        <v>0</v>
      </c>
      <c r="Y49" s="93"/>
      <c r="Z49" s="93"/>
      <c r="AA49" s="93"/>
      <c r="AB49" s="93"/>
      <c r="AC49" s="93"/>
      <c r="AD49" s="93"/>
      <c r="AE49" s="93"/>
      <c r="AF49" s="93"/>
      <c r="AG49" s="93"/>
      <c r="AH49" s="93"/>
      <c r="AI49" s="93"/>
      <c r="AJ49" s="93"/>
      <c r="AK49" s="93"/>
      <c r="AL49" s="93"/>
      <c r="AM49" s="93"/>
      <c r="AN49" s="95"/>
      <c r="AO49" s="95"/>
      <c r="AP49" s="96"/>
    </row>
    <row r="50" spans="1:42" x14ac:dyDescent="0.25">
      <c r="A50" s="87" t="s">
        <v>613</v>
      </c>
      <c r="B50" s="88"/>
      <c r="C50" s="88"/>
      <c r="D50" s="88"/>
      <c r="E50" s="88"/>
      <c r="F50" s="88"/>
      <c r="G50" s="88"/>
      <c r="H50" s="88"/>
      <c r="I50" s="88"/>
      <c r="J50" s="88"/>
      <c r="K50" s="88"/>
      <c r="L50" s="88"/>
      <c r="M50" s="88"/>
      <c r="N50" s="88"/>
      <c r="O50" s="89"/>
      <c r="P50" s="88"/>
      <c r="Q50" s="88"/>
      <c r="R50" s="88">
        <f>IF(char1ArtiToggle, 50%, 0)</f>
        <v>0</v>
      </c>
      <c r="S50" s="88">
        <f>IF(char1ArtiToggle, 50%, 0)</f>
        <v>0</v>
      </c>
      <c r="T50" s="88">
        <f>IF(char1ArtiToggle, 50%, 0)</f>
        <v>0</v>
      </c>
      <c r="U50" s="88"/>
      <c r="V50" s="88"/>
      <c r="W50" s="88"/>
      <c r="X50" s="88"/>
      <c r="Y50" s="88"/>
      <c r="Z50" s="88"/>
      <c r="AA50" s="88"/>
      <c r="AB50" s="88"/>
      <c r="AC50" s="88"/>
      <c r="AD50" s="88"/>
      <c r="AE50" s="88"/>
      <c r="AF50" s="88"/>
      <c r="AG50" s="88"/>
      <c r="AH50" s="88"/>
      <c r="AI50" s="88"/>
      <c r="AJ50" s="88"/>
      <c r="AK50" s="88"/>
      <c r="AL50" s="88"/>
      <c r="AM50" s="88"/>
      <c r="AN50" s="90"/>
      <c r="AO50" s="90"/>
      <c r="AP50" s="91"/>
    </row>
    <row r="51" spans="1:42" x14ac:dyDescent="0.25">
      <c r="A51" s="92" t="s">
        <v>614</v>
      </c>
      <c r="B51" s="93"/>
      <c r="C51" s="93"/>
      <c r="D51" s="93"/>
      <c r="E51" s="93"/>
      <c r="F51" s="93"/>
      <c r="G51" s="93"/>
      <c r="H51" s="93"/>
      <c r="I51" s="93"/>
      <c r="J51" s="93"/>
      <c r="K51" s="93"/>
      <c r="L51" s="93"/>
      <c r="M51" s="93"/>
      <c r="N51" s="93"/>
      <c r="O51" s="94"/>
      <c r="P51" s="93"/>
      <c r="Q51" s="93"/>
      <c r="R51" s="93"/>
      <c r="S51" s="93"/>
      <c r="T51" s="93"/>
      <c r="U51" s="93"/>
      <c r="V51" s="93">
        <f>IF(char1FinalER*25%&gt;75%, 75%,char1FinalER*25%)</f>
        <v>0.40915000000000001</v>
      </c>
      <c r="W51" s="93"/>
      <c r="X51" s="93"/>
      <c r="Y51" s="93"/>
      <c r="Z51" s="93"/>
      <c r="AA51" s="93"/>
      <c r="AB51" s="93"/>
      <c r="AC51" s="93"/>
      <c r="AD51" s="93"/>
      <c r="AE51" s="93"/>
      <c r="AF51" s="93"/>
      <c r="AG51" s="93"/>
      <c r="AH51" s="93"/>
      <c r="AI51" s="93"/>
      <c r="AJ51" s="93"/>
      <c r="AK51" s="93"/>
      <c r="AL51" s="93"/>
      <c r="AM51" s="93"/>
      <c r="AN51" s="95"/>
      <c r="AO51" s="95"/>
      <c r="AP51" s="96"/>
    </row>
    <row r="52" spans="1:42" x14ac:dyDescent="0.25">
      <c r="A52" s="87" t="s">
        <v>615</v>
      </c>
      <c r="B52" s="88"/>
      <c r="C52" s="88"/>
      <c r="D52" s="88"/>
      <c r="E52" s="88"/>
      <c r="F52" s="88"/>
      <c r="G52" s="88"/>
      <c r="H52" s="88"/>
      <c r="I52" s="88"/>
      <c r="J52" s="88"/>
      <c r="K52" s="88"/>
      <c r="L52" s="88"/>
      <c r="M52" s="88"/>
      <c r="N52" s="88"/>
      <c r="O52" s="89"/>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90"/>
      <c r="AO52" s="90"/>
      <c r="AP52" s="91"/>
    </row>
    <row r="53" spans="1:42" x14ac:dyDescent="0.25">
      <c r="A53" s="82" t="s">
        <v>616</v>
      </c>
      <c r="B53" s="97"/>
      <c r="C53" s="97">
        <f>6%*char1ArtiStacks</f>
        <v>0.12</v>
      </c>
      <c r="D53" s="97"/>
      <c r="E53" s="97"/>
      <c r="F53" s="97"/>
      <c r="G53" s="97"/>
      <c r="H53" s="97"/>
      <c r="I53" s="97"/>
      <c r="J53" s="97">
        <f>6%*char1ArtiStacks</f>
        <v>0.12</v>
      </c>
      <c r="K53" s="97"/>
      <c r="L53" s="97"/>
      <c r="M53" s="97"/>
      <c r="N53" s="97"/>
      <c r="O53" s="98"/>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9"/>
      <c r="AO53" s="99"/>
      <c r="AP53" s="100"/>
    </row>
    <row r="55" spans="1:42" x14ac:dyDescent="0.25">
      <c r="A55" s="83" t="s">
        <v>564</v>
      </c>
      <c r="B55" s="84" t="s">
        <v>65</v>
      </c>
      <c r="C55" s="84" t="s">
        <v>66</v>
      </c>
      <c r="D55" s="85" t="s">
        <v>67</v>
      </c>
      <c r="E55" s="84" t="s">
        <v>408</v>
      </c>
      <c r="F55" s="84" t="s">
        <v>409</v>
      </c>
      <c r="G55" s="84" t="s">
        <v>68</v>
      </c>
      <c r="H55" s="84" t="s">
        <v>70</v>
      </c>
      <c r="I55" s="85" t="s">
        <v>71</v>
      </c>
      <c r="J55" s="84" t="s">
        <v>72</v>
      </c>
      <c r="K55" s="85" t="s">
        <v>73</v>
      </c>
      <c r="L55" s="85" t="s">
        <v>74</v>
      </c>
      <c r="M55" s="85" t="s">
        <v>75</v>
      </c>
      <c r="N55" s="85" t="s">
        <v>76</v>
      </c>
      <c r="O55" s="85" t="s">
        <v>69</v>
      </c>
      <c r="P55" s="85" t="s">
        <v>452</v>
      </c>
      <c r="Q55" s="85" t="s">
        <v>422</v>
      </c>
      <c r="R55" s="85" t="s">
        <v>77</v>
      </c>
      <c r="S55" s="85" t="s">
        <v>78</v>
      </c>
      <c r="T55" s="85" t="s">
        <v>79</v>
      </c>
      <c r="U55" s="85" t="s">
        <v>80</v>
      </c>
      <c r="V55" s="85" t="s">
        <v>81</v>
      </c>
      <c r="W55" s="84" t="s">
        <v>82</v>
      </c>
      <c r="X55" s="84" t="s">
        <v>453</v>
      </c>
      <c r="Y55" s="84" t="s">
        <v>83</v>
      </c>
      <c r="Z55" s="84" t="s">
        <v>84</v>
      </c>
      <c r="AA55" s="84" t="s">
        <v>85</v>
      </c>
      <c r="AB55" s="84" t="s">
        <v>87</v>
      </c>
      <c r="AC55" s="84" t="s">
        <v>86</v>
      </c>
      <c r="AD55" s="84" t="s">
        <v>88</v>
      </c>
      <c r="AE55" s="84" t="s">
        <v>89</v>
      </c>
      <c r="AF55" s="84" t="s">
        <v>90</v>
      </c>
      <c r="AG55" s="84" t="s">
        <v>454</v>
      </c>
      <c r="AH55" s="84" t="s">
        <v>455</v>
      </c>
      <c r="AI55" s="84" t="s">
        <v>456</v>
      </c>
      <c r="AJ55" s="84" t="s">
        <v>457</v>
      </c>
      <c r="AK55" s="84" t="s">
        <v>458</v>
      </c>
      <c r="AL55" s="84" t="s">
        <v>459</v>
      </c>
      <c r="AM55" s="84" t="s">
        <v>460</v>
      </c>
      <c r="AN55" s="85" t="s">
        <v>62</v>
      </c>
      <c r="AO55" s="85" t="s">
        <v>64</v>
      </c>
      <c r="AP55" s="86" t="s">
        <v>63</v>
      </c>
    </row>
    <row r="56" spans="1:42" x14ac:dyDescent="0.25">
      <c r="A56" s="87" t="s">
        <v>565</v>
      </c>
      <c r="B56" s="88"/>
      <c r="C56" s="88"/>
      <c r="D56" s="88"/>
      <c r="E56" s="88"/>
      <c r="F56" s="88"/>
      <c r="G56" s="88"/>
      <c r="H56" s="88"/>
      <c r="I56" s="88"/>
      <c r="J56" s="88">
        <v>0.15</v>
      </c>
      <c r="K56" s="88"/>
      <c r="L56" s="88"/>
      <c r="M56" s="88"/>
      <c r="N56" s="88"/>
      <c r="O56" s="89"/>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90"/>
      <c r="AO56" s="90"/>
      <c r="AP56" s="91"/>
    </row>
    <row r="57" spans="1:42" x14ac:dyDescent="0.25">
      <c r="A57" s="92" t="s">
        <v>566</v>
      </c>
      <c r="B57" s="93"/>
      <c r="C57" s="93"/>
      <c r="D57" s="93"/>
      <c r="E57" s="93">
        <v>0.12</v>
      </c>
      <c r="F57" s="93"/>
      <c r="G57" s="93"/>
      <c r="H57" s="93"/>
      <c r="I57" s="93"/>
      <c r="J57" s="93"/>
      <c r="K57" s="93"/>
      <c r="L57" s="93"/>
      <c r="M57" s="93"/>
      <c r="N57" s="93"/>
      <c r="O57" s="94"/>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5"/>
      <c r="AO57" s="95"/>
      <c r="AP57" s="96"/>
    </row>
    <row r="58" spans="1:42" x14ac:dyDescent="0.25">
      <c r="A58" s="87" t="s">
        <v>567</v>
      </c>
      <c r="B58" s="88"/>
      <c r="C58" s="88"/>
      <c r="D58" s="88"/>
      <c r="E58" s="88"/>
      <c r="F58" s="88"/>
      <c r="G58" s="88"/>
      <c r="H58" s="88">
        <v>0.25</v>
      </c>
      <c r="I58" s="88"/>
      <c r="J58" s="88"/>
      <c r="K58" s="88"/>
      <c r="L58" s="88"/>
      <c r="M58" s="88"/>
      <c r="N58" s="88"/>
      <c r="O58" s="89"/>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90"/>
      <c r="AO58" s="90"/>
      <c r="AP58" s="91"/>
    </row>
    <row r="59" spans="1:42" x14ac:dyDescent="0.25">
      <c r="A59" s="92" t="s">
        <v>568</v>
      </c>
      <c r="B59" s="93">
        <v>0.18</v>
      </c>
      <c r="C59" s="93"/>
      <c r="D59" s="93"/>
      <c r="E59" s="93"/>
      <c r="F59" s="93"/>
      <c r="G59" s="93"/>
      <c r="H59" s="93"/>
      <c r="I59" s="93"/>
      <c r="J59" s="93"/>
      <c r="K59" s="93"/>
      <c r="L59" s="93"/>
      <c r="M59" s="93"/>
      <c r="N59" s="93"/>
      <c r="O59" s="94"/>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5"/>
      <c r="AO59" s="95"/>
      <c r="AP59" s="96"/>
    </row>
    <row r="60" spans="1:42" x14ac:dyDescent="0.25">
      <c r="A60" s="87" t="s">
        <v>569</v>
      </c>
      <c r="B60" s="88"/>
      <c r="C60" s="88"/>
      <c r="D60" s="88"/>
      <c r="E60" s="88"/>
      <c r="F60" s="88"/>
      <c r="G60" s="88"/>
      <c r="H60" s="88"/>
      <c r="I60" s="88"/>
      <c r="J60" s="88"/>
      <c r="K60" s="88">
        <v>0.15</v>
      </c>
      <c r="L60" s="88"/>
      <c r="M60" s="88"/>
      <c r="N60" s="88"/>
      <c r="O60" s="89"/>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90"/>
      <c r="AO60" s="90"/>
      <c r="AP60" s="91"/>
    </row>
    <row r="61" spans="1:42" x14ac:dyDescent="0.25">
      <c r="A61" s="92" t="s">
        <v>570</v>
      </c>
      <c r="B61" s="93"/>
      <c r="C61" s="93">
        <v>0.3</v>
      </c>
      <c r="D61" s="93"/>
      <c r="E61" s="93"/>
      <c r="F61" s="93"/>
      <c r="G61" s="93"/>
      <c r="H61" s="93"/>
      <c r="I61" s="93"/>
      <c r="J61" s="93"/>
      <c r="K61" s="93"/>
      <c r="L61" s="93"/>
      <c r="M61" s="93"/>
      <c r="N61" s="93"/>
      <c r="O61" s="94"/>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5"/>
      <c r="AO61" s="95"/>
      <c r="AP61" s="96"/>
    </row>
    <row r="62" spans="1:42" x14ac:dyDescent="0.25">
      <c r="A62" s="87" t="s">
        <v>571</v>
      </c>
      <c r="B62" s="88"/>
      <c r="C62" s="88"/>
      <c r="D62" s="88"/>
      <c r="E62" s="88"/>
      <c r="F62" s="88"/>
      <c r="G62" s="88"/>
      <c r="H62" s="88"/>
      <c r="I62" s="88"/>
      <c r="J62" s="88"/>
      <c r="K62" s="88"/>
      <c r="L62" s="88"/>
      <c r="M62" s="88"/>
      <c r="N62" s="88"/>
      <c r="O62" s="89"/>
      <c r="P62" s="88"/>
      <c r="Q62" s="88"/>
      <c r="R62" s="88"/>
      <c r="S62" s="88"/>
      <c r="T62" s="88"/>
      <c r="U62" s="88">
        <v>0.2</v>
      </c>
      <c r="V62" s="88"/>
      <c r="W62" s="88"/>
      <c r="X62" s="88"/>
      <c r="Y62" s="88"/>
      <c r="Z62" s="88"/>
      <c r="AA62" s="88"/>
      <c r="AB62" s="88"/>
      <c r="AC62" s="88"/>
      <c r="AD62" s="88"/>
      <c r="AE62" s="88"/>
      <c r="AF62" s="88"/>
      <c r="AG62" s="88"/>
      <c r="AH62" s="88"/>
      <c r="AI62" s="88"/>
      <c r="AJ62" s="88"/>
      <c r="AK62" s="88"/>
      <c r="AL62" s="88"/>
      <c r="AM62" s="88"/>
      <c r="AN62" s="90"/>
      <c r="AO62" s="90"/>
      <c r="AP62" s="91"/>
    </row>
    <row r="63" spans="1:42" x14ac:dyDescent="0.25">
      <c r="A63" s="92" t="s">
        <v>572</v>
      </c>
      <c r="B63" s="93">
        <v>0.18</v>
      </c>
      <c r="C63" s="93"/>
      <c r="D63" s="93"/>
      <c r="E63" s="93"/>
      <c r="F63" s="93"/>
      <c r="G63" s="93"/>
      <c r="H63" s="93"/>
      <c r="I63" s="93"/>
      <c r="J63" s="93"/>
      <c r="K63" s="93"/>
      <c r="L63" s="93"/>
      <c r="M63" s="93"/>
      <c r="N63" s="93"/>
      <c r="O63" s="94"/>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5"/>
      <c r="AO63" s="95"/>
      <c r="AP63" s="96"/>
    </row>
    <row r="64" spans="1:42" x14ac:dyDescent="0.25">
      <c r="A64" s="87" t="s">
        <v>573</v>
      </c>
      <c r="B64" s="88"/>
      <c r="C64" s="88"/>
      <c r="D64" s="88"/>
      <c r="E64" s="88"/>
      <c r="F64" s="88"/>
      <c r="G64" s="88"/>
      <c r="H64" s="88"/>
      <c r="I64" s="88"/>
      <c r="J64" s="88"/>
      <c r="K64" s="88"/>
      <c r="L64" s="88"/>
      <c r="M64" s="88"/>
      <c r="N64" s="88"/>
      <c r="O64" s="89">
        <v>80</v>
      </c>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90"/>
      <c r="AO64" s="90"/>
      <c r="AP64" s="91"/>
    </row>
    <row r="65" spans="1:42" x14ac:dyDescent="0.25">
      <c r="A65" s="92" t="s">
        <v>574</v>
      </c>
      <c r="B65" s="93"/>
      <c r="C65" s="93"/>
      <c r="D65" s="93"/>
      <c r="E65" s="93"/>
      <c r="F65" s="93"/>
      <c r="G65" s="93"/>
      <c r="H65" s="93"/>
      <c r="I65" s="93"/>
      <c r="J65" s="93"/>
      <c r="K65" s="93"/>
      <c r="L65" s="93"/>
      <c r="M65" s="93"/>
      <c r="N65" s="93"/>
      <c r="O65" s="94"/>
      <c r="P65" s="93"/>
      <c r="Q65" s="93"/>
      <c r="R65" s="93"/>
      <c r="S65" s="93"/>
      <c r="T65" s="93"/>
      <c r="U65" s="93"/>
      <c r="V65" s="93"/>
      <c r="W65" s="93"/>
      <c r="X65" s="93"/>
      <c r="Y65" s="93"/>
      <c r="Z65" s="93"/>
      <c r="AA65" s="93"/>
      <c r="AB65" s="93"/>
      <c r="AC65" s="93"/>
      <c r="AD65" s="93"/>
      <c r="AE65" s="93"/>
      <c r="AF65" s="93"/>
      <c r="AG65" s="93"/>
      <c r="AH65" s="93"/>
      <c r="AI65" s="93">
        <v>0.4</v>
      </c>
      <c r="AJ65" s="93"/>
      <c r="AK65" s="93"/>
      <c r="AL65" s="93"/>
      <c r="AM65" s="93"/>
      <c r="AN65" s="95"/>
      <c r="AO65" s="95"/>
      <c r="AP65" s="96"/>
    </row>
    <row r="66" spans="1:42" x14ac:dyDescent="0.25">
      <c r="A66" s="87" t="s">
        <v>575</v>
      </c>
      <c r="B66" s="88"/>
      <c r="C66" s="88"/>
      <c r="D66" s="88"/>
      <c r="E66" s="88"/>
      <c r="F66" s="88"/>
      <c r="G66" s="88"/>
      <c r="H66" s="88"/>
      <c r="I66" s="88"/>
      <c r="J66" s="88"/>
      <c r="K66" s="88"/>
      <c r="L66" s="88"/>
      <c r="M66" s="88"/>
      <c r="N66" s="88"/>
      <c r="O66" s="89"/>
      <c r="P66" s="88"/>
      <c r="Q66" s="88">
        <v>0.15</v>
      </c>
      <c r="R66" s="88"/>
      <c r="S66" s="88"/>
      <c r="T66" s="88"/>
      <c r="U66" s="88"/>
      <c r="V66" s="88"/>
      <c r="W66" s="88"/>
      <c r="X66" s="88"/>
      <c r="Y66" s="88"/>
      <c r="Z66" s="88"/>
      <c r="AA66" s="88"/>
      <c r="AB66" s="88"/>
      <c r="AC66" s="88"/>
      <c r="AD66" s="88"/>
      <c r="AE66" s="88"/>
      <c r="AF66" s="88"/>
      <c r="AG66" s="88"/>
      <c r="AH66" s="88"/>
      <c r="AI66" s="88"/>
      <c r="AJ66" s="88"/>
      <c r="AK66" s="88"/>
      <c r="AL66" s="88"/>
      <c r="AM66" s="88"/>
      <c r="AN66" s="90"/>
      <c r="AO66" s="90"/>
      <c r="AP66" s="91"/>
    </row>
    <row r="67" spans="1:42" x14ac:dyDescent="0.25">
      <c r="A67" s="92" t="s">
        <v>576</v>
      </c>
      <c r="B67" s="93"/>
      <c r="C67" s="93"/>
      <c r="D67" s="93"/>
      <c r="E67" s="93"/>
      <c r="F67" s="93"/>
      <c r="G67" s="93"/>
      <c r="H67" s="93"/>
      <c r="I67" s="93"/>
      <c r="J67" s="93"/>
      <c r="K67" s="93"/>
      <c r="L67" s="93"/>
      <c r="M67" s="93"/>
      <c r="N67" s="93"/>
      <c r="O67" s="94"/>
      <c r="P67" s="93"/>
      <c r="Q67" s="93"/>
      <c r="R67" s="93">
        <v>0.15</v>
      </c>
      <c r="S67" s="93">
        <v>0.15</v>
      </c>
      <c r="T67" s="93"/>
      <c r="U67" s="93"/>
      <c r="V67" s="93"/>
      <c r="W67" s="93"/>
      <c r="X67" s="93"/>
      <c r="Y67" s="93"/>
      <c r="Z67" s="93"/>
      <c r="AA67" s="93"/>
      <c r="AB67" s="93"/>
      <c r="AC67" s="93"/>
      <c r="AD67" s="93"/>
      <c r="AE67" s="93"/>
      <c r="AF67" s="93"/>
      <c r="AG67" s="93"/>
      <c r="AH67" s="93"/>
      <c r="AI67" s="93"/>
      <c r="AJ67" s="93"/>
      <c r="AK67" s="93"/>
      <c r="AL67" s="93"/>
      <c r="AM67" s="93"/>
      <c r="AN67" s="95"/>
      <c r="AO67" s="95"/>
      <c r="AP67" s="96"/>
    </row>
    <row r="68" spans="1:42" x14ac:dyDescent="0.25">
      <c r="A68" s="87" t="s">
        <v>577</v>
      </c>
      <c r="B68" s="88"/>
      <c r="C68" s="88"/>
      <c r="D68" s="88"/>
      <c r="E68" s="88"/>
      <c r="F68" s="88"/>
      <c r="G68" s="88"/>
      <c r="H68" s="88"/>
      <c r="I68" s="88"/>
      <c r="J68" s="88"/>
      <c r="K68" s="88"/>
      <c r="L68" s="88"/>
      <c r="M68" s="88"/>
      <c r="N68" s="88"/>
      <c r="O68" s="89"/>
      <c r="P68" s="88"/>
      <c r="Q68" s="88"/>
      <c r="R68" s="88"/>
      <c r="S68" s="88"/>
      <c r="T68" s="88"/>
      <c r="U68" s="88"/>
      <c r="V68" s="88">
        <v>0.2</v>
      </c>
      <c r="W68" s="88"/>
      <c r="X68" s="88"/>
      <c r="Y68" s="88"/>
      <c r="Z68" s="88"/>
      <c r="AA68" s="88"/>
      <c r="AB68" s="88"/>
      <c r="AC68" s="88"/>
      <c r="AD68" s="88"/>
      <c r="AE68" s="88"/>
      <c r="AF68" s="88"/>
      <c r="AG68" s="88"/>
      <c r="AH68" s="88"/>
      <c r="AI68" s="88"/>
      <c r="AJ68" s="88"/>
      <c r="AK68" s="88"/>
      <c r="AL68" s="88"/>
      <c r="AM68" s="88"/>
      <c r="AN68" s="90"/>
      <c r="AO68" s="90"/>
      <c r="AP68" s="91"/>
    </row>
    <row r="69" spans="1:42" x14ac:dyDescent="0.25">
      <c r="A69" s="92" t="s">
        <v>578</v>
      </c>
      <c r="B69" s="93"/>
      <c r="C69" s="93"/>
      <c r="D69" s="93"/>
      <c r="E69" s="93"/>
      <c r="F69" s="93"/>
      <c r="G69" s="93"/>
      <c r="H69" s="93"/>
      <c r="I69" s="93"/>
      <c r="J69" s="93"/>
      <c r="K69" s="93"/>
      <c r="L69" s="93"/>
      <c r="M69" s="93"/>
      <c r="N69" s="93"/>
      <c r="O69" s="94"/>
      <c r="P69" s="93"/>
      <c r="Q69" s="93"/>
      <c r="R69" s="93"/>
      <c r="S69" s="93"/>
      <c r="T69" s="93"/>
      <c r="U69" s="93"/>
      <c r="V69" s="93"/>
      <c r="W69" s="93"/>
      <c r="X69" s="93">
        <v>0.35</v>
      </c>
      <c r="Y69" s="93"/>
      <c r="Z69" s="93"/>
      <c r="AA69" s="93"/>
      <c r="AB69" s="93"/>
      <c r="AC69" s="93"/>
      <c r="AD69" s="93"/>
      <c r="AE69" s="93"/>
      <c r="AF69" s="93"/>
      <c r="AG69" s="93"/>
      <c r="AH69" s="93"/>
      <c r="AI69" s="93"/>
      <c r="AJ69" s="93"/>
      <c r="AK69" s="93"/>
      <c r="AL69" s="93"/>
      <c r="AM69" s="93"/>
      <c r="AN69" s="95"/>
      <c r="AO69" s="95"/>
      <c r="AP69" s="96"/>
    </row>
    <row r="70" spans="1:42" x14ac:dyDescent="0.25">
      <c r="A70" s="87" t="s">
        <v>579</v>
      </c>
      <c r="B70" s="88"/>
      <c r="C70" s="88"/>
      <c r="D70" s="88"/>
      <c r="E70" s="88"/>
      <c r="F70" s="88"/>
      <c r="G70" s="88"/>
      <c r="H70" s="88"/>
      <c r="I70" s="88"/>
      <c r="J70" s="88"/>
      <c r="K70" s="88"/>
      <c r="L70" s="88"/>
      <c r="M70" s="88"/>
      <c r="N70" s="88">
        <v>0.15</v>
      </c>
      <c r="O70" s="89"/>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90"/>
      <c r="AO70" s="90"/>
      <c r="AP70" s="91"/>
    </row>
    <row r="71" spans="1:42" x14ac:dyDescent="0.25">
      <c r="A71" s="92" t="s">
        <v>580</v>
      </c>
      <c r="B71" s="93"/>
      <c r="C71" s="93"/>
      <c r="D71" s="93"/>
      <c r="E71" s="93"/>
      <c r="F71" s="93"/>
      <c r="G71" s="93"/>
      <c r="H71" s="93"/>
      <c r="I71" s="93"/>
      <c r="J71" s="93"/>
      <c r="K71" s="93"/>
      <c r="L71" s="93"/>
      <c r="M71" s="93"/>
      <c r="N71" s="93"/>
      <c r="O71" s="94"/>
      <c r="P71" s="93"/>
      <c r="Q71" s="93"/>
      <c r="R71" s="93"/>
      <c r="S71" s="93"/>
      <c r="T71" s="93"/>
      <c r="U71" s="93"/>
      <c r="V71" s="93"/>
      <c r="W71" s="93"/>
      <c r="X71" s="93"/>
      <c r="Y71" s="93"/>
      <c r="Z71" s="93"/>
      <c r="AA71" s="93"/>
      <c r="AB71" s="93"/>
      <c r="AC71" s="93"/>
      <c r="AD71" s="93"/>
      <c r="AE71" s="93"/>
      <c r="AF71" s="93"/>
      <c r="AG71" s="93"/>
      <c r="AH71" s="93"/>
      <c r="AI71" s="93"/>
      <c r="AJ71" s="93"/>
      <c r="AK71" s="93"/>
      <c r="AL71" s="93">
        <v>0.4</v>
      </c>
      <c r="AM71" s="93"/>
      <c r="AN71" s="95"/>
      <c r="AO71" s="95"/>
      <c r="AP71" s="96"/>
    </row>
    <row r="72" spans="1:42" x14ac:dyDescent="0.25">
      <c r="A72" s="87" t="s">
        <v>581</v>
      </c>
      <c r="B72" s="88"/>
      <c r="C72" s="88"/>
      <c r="D72" s="88"/>
      <c r="E72" s="88"/>
      <c r="F72" s="88"/>
      <c r="G72" s="88"/>
      <c r="H72" s="88"/>
      <c r="I72" s="88">
        <v>0.15</v>
      </c>
      <c r="J72" s="88"/>
      <c r="K72" s="88"/>
      <c r="L72" s="88"/>
      <c r="M72" s="88"/>
      <c r="N72" s="88"/>
      <c r="O72" s="89"/>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90"/>
      <c r="AO72" s="90"/>
      <c r="AP72" s="91"/>
    </row>
    <row r="73" spans="1:42" x14ac:dyDescent="0.25">
      <c r="A73" s="92" t="s">
        <v>582</v>
      </c>
      <c r="B73" s="93"/>
      <c r="C73" s="93"/>
      <c r="D73" s="93"/>
      <c r="E73" s="93"/>
      <c r="F73" s="93"/>
      <c r="G73" s="93"/>
      <c r="H73" s="93"/>
      <c r="I73" s="93"/>
      <c r="J73" s="93"/>
      <c r="K73" s="93"/>
      <c r="L73" s="93"/>
      <c r="M73" s="93"/>
      <c r="N73" s="93"/>
      <c r="O73" s="94">
        <v>80</v>
      </c>
      <c r="P73" s="93"/>
      <c r="Q73" s="93"/>
      <c r="R73" s="93"/>
      <c r="S73" s="93"/>
      <c r="T73" s="93"/>
      <c r="U73" s="93"/>
      <c r="V73" s="93"/>
      <c r="W73" s="93"/>
      <c r="X73" s="93"/>
      <c r="Y73" s="93"/>
      <c r="Z73" s="93"/>
      <c r="AA73" s="93"/>
      <c r="AB73" s="93"/>
      <c r="AC73" s="93"/>
      <c r="AD73" s="93"/>
      <c r="AE73" s="93"/>
      <c r="AF73" s="93"/>
      <c r="AG73" s="93"/>
      <c r="AH73" s="93"/>
      <c r="AI73" s="93"/>
      <c r="AJ73" s="93"/>
      <c r="AK73" s="93"/>
      <c r="AL73" s="93"/>
      <c r="AM73" s="93"/>
      <c r="AN73" s="95"/>
      <c r="AO73" s="95"/>
      <c r="AP73" s="96"/>
    </row>
    <row r="74" spans="1:42" x14ac:dyDescent="0.25">
      <c r="A74" s="87" t="s">
        <v>583</v>
      </c>
      <c r="B74" s="88"/>
      <c r="C74" s="88"/>
      <c r="D74" s="88"/>
      <c r="E74" s="88"/>
      <c r="F74" s="88"/>
      <c r="G74" s="88"/>
      <c r="H74" s="88"/>
      <c r="I74" s="88"/>
      <c r="J74" s="88"/>
      <c r="K74" s="88"/>
      <c r="L74" s="88">
        <v>0.15</v>
      </c>
      <c r="M74" s="88"/>
      <c r="N74" s="88"/>
      <c r="O74" s="89"/>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90"/>
      <c r="AO74" s="90"/>
      <c r="AP74" s="91"/>
    </row>
    <row r="75" spans="1:42" x14ac:dyDescent="0.25">
      <c r="A75" s="92" t="s">
        <v>584</v>
      </c>
      <c r="B75" s="93"/>
      <c r="C75" s="93"/>
      <c r="D75" s="93"/>
      <c r="E75" s="93"/>
      <c r="F75" s="93"/>
      <c r="G75" s="93"/>
      <c r="H75" s="93"/>
      <c r="I75" s="93"/>
      <c r="J75" s="93"/>
      <c r="K75" s="93"/>
      <c r="L75" s="93"/>
      <c r="M75" s="93">
        <v>0.15</v>
      </c>
      <c r="N75" s="93"/>
      <c r="O75" s="94"/>
      <c r="P75" s="93"/>
      <c r="Q75" s="93"/>
      <c r="R75" s="93"/>
      <c r="S75" s="93"/>
      <c r="T75" s="93"/>
      <c r="U75" s="93"/>
      <c r="V75" s="93"/>
      <c r="W75" s="93"/>
      <c r="X75" s="93"/>
      <c r="Y75" s="93"/>
      <c r="Z75" s="93"/>
      <c r="AA75" s="93"/>
      <c r="AB75" s="93"/>
      <c r="AC75" s="93"/>
      <c r="AD75" s="93"/>
      <c r="AE75" s="93"/>
      <c r="AF75" s="93"/>
      <c r="AG75" s="93"/>
      <c r="AH75" s="93"/>
      <c r="AI75" s="93"/>
      <c r="AJ75" s="93"/>
      <c r="AK75" s="93"/>
      <c r="AL75" s="93"/>
      <c r="AM75" s="93"/>
      <c r="AN75" s="95"/>
      <c r="AO75" s="95"/>
      <c r="AP75" s="96"/>
    </row>
    <row r="76" spans="1:42" x14ac:dyDescent="0.25">
      <c r="A76" s="87" t="s">
        <v>585</v>
      </c>
      <c r="B76" s="88"/>
      <c r="C76" s="88"/>
      <c r="D76" s="88"/>
      <c r="E76" s="88"/>
      <c r="F76" s="88"/>
      <c r="G76" s="88"/>
      <c r="H76" s="88">
        <v>0.25</v>
      </c>
      <c r="I76" s="88"/>
      <c r="J76" s="88"/>
      <c r="K76" s="88"/>
      <c r="L76" s="88"/>
      <c r="M76" s="88"/>
      <c r="N76" s="88"/>
      <c r="O76" s="89"/>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90"/>
      <c r="AO76" s="90"/>
      <c r="AP76" s="91"/>
    </row>
    <row r="77" spans="1:42" x14ac:dyDescent="0.25">
      <c r="A77" s="92" t="s">
        <v>586</v>
      </c>
      <c r="B77" s="93"/>
      <c r="C77" s="93"/>
      <c r="D77" s="93">
        <v>0.2</v>
      </c>
      <c r="E77" s="93"/>
      <c r="F77" s="93"/>
      <c r="G77" s="93"/>
      <c r="H77" s="93"/>
      <c r="I77" s="93"/>
      <c r="J77" s="93"/>
      <c r="K77" s="93"/>
      <c r="L77" s="93"/>
      <c r="M77" s="93"/>
      <c r="N77" s="93"/>
      <c r="O77" s="94"/>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5"/>
      <c r="AO77" s="95"/>
      <c r="AP77" s="96"/>
    </row>
    <row r="78" spans="1:42" x14ac:dyDescent="0.25">
      <c r="A78" s="87" t="s">
        <v>587</v>
      </c>
      <c r="B78" s="88">
        <v>0.18</v>
      </c>
      <c r="C78" s="88"/>
      <c r="D78" s="88"/>
      <c r="E78" s="88"/>
      <c r="F78" s="88"/>
      <c r="G78" s="88"/>
      <c r="H78" s="88"/>
      <c r="I78" s="88"/>
      <c r="J78" s="88"/>
      <c r="K78" s="88"/>
      <c r="L78" s="88"/>
      <c r="M78" s="88"/>
      <c r="N78" s="88"/>
      <c r="O78" s="89"/>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90"/>
      <c r="AO78" s="90"/>
      <c r="AP78" s="91"/>
    </row>
    <row r="79" spans="1:42" x14ac:dyDescent="0.25">
      <c r="A79" s="92" t="s">
        <v>588</v>
      </c>
      <c r="B79" s="93"/>
      <c r="C79" s="93"/>
      <c r="D79" s="93"/>
      <c r="E79" s="93"/>
      <c r="F79" s="93"/>
      <c r="G79" s="93">
        <v>0.2</v>
      </c>
      <c r="H79" s="93"/>
      <c r="I79" s="93"/>
      <c r="J79" s="93"/>
      <c r="K79" s="93"/>
      <c r="L79" s="93"/>
      <c r="M79" s="93"/>
      <c r="N79" s="93"/>
      <c r="O79" s="94"/>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5"/>
      <c r="AO79" s="95"/>
      <c r="AP79" s="96"/>
    </row>
    <row r="80" spans="1:42" x14ac:dyDescent="0.25">
      <c r="A80" s="87" t="s">
        <v>589</v>
      </c>
      <c r="B80" s="88"/>
      <c r="C80" s="88"/>
      <c r="D80" s="88"/>
      <c r="E80" s="88"/>
      <c r="F80" s="88"/>
      <c r="G80" s="88"/>
      <c r="H80" s="88"/>
      <c r="I80" s="88"/>
      <c r="J80" s="88"/>
      <c r="K80" s="88"/>
      <c r="L80" s="88"/>
      <c r="M80" s="88"/>
      <c r="N80" s="88"/>
      <c r="O80" s="89"/>
      <c r="P80" s="88"/>
      <c r="Q80" s="88">
        <v>0.15</v>
      </c>
      <c r="R80" s="88"/>
      <c r="S80" s="88"/>
      <c r="T80" s="88"/>
      <c r="U80" s="88"/>
      <c r="V80" s="88"/>
      <c r="W80" s="88"/>
      <c r="X80" s="88"/>
      <c r="Y80" s="88"/>
      <c r="Z80" s="88"/>
      <c r="AA80" s="88"/>
      <c r="AB80" s="88"/>
      <c r="AC80" s="88"/>
      <c r="AD80" s="88"/>
      <c r="AE80" s="88"/>
      <c r="AF80" s="88"/>
      <c r="AG80" s="88"/>
      <c r="AH80" s="88"/>
      <c r="AI80" s="88"/>
      <c r="AJ80" s="88"/>
      <c r="AK80" s="88"/>
      <c r="AL80" s="88"/>
      <c r="AM80" s="88"/>
      <c r="AN80" s="90"/>
      <c r="AO80" s="90"/>
      <c r="AP80" s="91"/>
    </row>
    <row r="81" spans="1:42" x14ac:dyDescent="0.25">
      <c r="A81" s="92" t="s">
        <v>590</v>
      </c>
      <c r="B81" s="93"/>
      <c r="C81" s="93">
        <v>0.3</v>
      </c>
      <c r="D81" s="93"/>
      <c r="E81" s="93"/>
      <c r="F81" s="93"/>
      <c r="G81" s="93"/>
      <c r="H81" s="93"/>
      <c r="I81" s="93"/>
      <c r="J81" s="93"/>
      <c r="K81" s="93"/>
      <c r="L81" s="93"/>
      <c r="M81" s="93"/>
      <c r="N81" s="93"/>
      <c r="O81" s="94"/>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5"/>
      <c r="AO81" s="95"/>
      <c r="AP81" s="96"/>
    </row>
    <row r="82" spans="1:42" x14ac:dyDescent="0.25">
      <c r="A82" s="87" t="s">
        <v>591</v>
      </c>
      <c r="B82" s="88"/>
      <c r="C82" s="88"/>
      <c r="D82" s="88"/>
      <c r="E82" s="88"/>
      <c r="F82" s="88"/>
      <c r="G82" s="88"/>
      <c r="H82" s="88"/>
      <c r="I82" s="88"/>
      <c r="J82" s="88"/>
      <c r="K82" s="88">
        <f>IF(char2ArtiToggle, 35%, 0%)</f>
        <v>0</v>
      </c>
      <c r="L82" s="88">
        <f>IF(char2ArtiToggle, 35%, 0%)</f>
        <v>0</v>
      </c>
      <c r="M82" s="88">
        <f>IF(char2ArtiToggle, 35%, 0%)</f>
        <v>0</v>
      </c>
      <c r="N82" s="88">
        <f>IF(char2ArtiToggle, 35%, 0%)</f>
        <v>0</v>
      </c>
      <c r="O82" s="89"/>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90"/>
      <c r="AO82" s="90"/>
      <c r="AP82" s="91"/>
    </row>
    <row r="83" spans="1:42" x14ac:dyDescent="0.25">
      <c r="A83" s="92" t="s">
        <v>592</v>
      </c>
      <c r="B83" s="93"/>
      <c r="C83" s="93"/>
      <c r="D83" s="93"/>
      <c r="E83" s="93">
        <f>IF(char2ArtiToggle, 24%, 0%)</f>
        <v>0</v>
      </c>
      <c r="F83" s="93"/>
      <c r="G83" s="93"/>
      <c r="H83" s="93"/>
      <c r="I83" s="93"/>
      <c r="J83" s="93"/>
      <c r="K83" s="93"/>
      <c r="L83" s="93"/>
      <c r="M83" s="93"/>
      <c r="N83" s="93"/>
      <c r="O83" s="94"/>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5"/>
      <c r="AO83" s="95"/>
      <c r="AP83" s="96"/>
    </row>
    <row r="84" spans="1:42" x14ac:dyDescent="0.25">
      <c r="A84" s="87" t="s">
        <v>593</v>
      </c>
      <c r="B84" s="88"/>
      <c r="C84" s="88"/>
      <c r="D84" s="88"/>
      <c r="E84" s="88"/>
      <c r="F84" s="88"/>
      <c r="G84" s="88"/>
      <c r="H84" s="88"/>
      <c r="I84" s="88"/>
      <c r="J84" s="88"/>
      <c r="K84" s="88"/>
      <c r="L84" s="88"/>
      <c r="M84" s="88"/>
      <c r="N84" s="88"/>
      <c r="O84" s="89"/>
      <c r="P84" s="88"/>
      <c r="Q84" s="88"/>
      <c r="R84" s="88"/>
      <c r="S84" s="88">
        <f>IF(char2ArtiToggle, 50%, 0%)</f>
        <v>0</v>
      </c>
      <c r="T84" s="88"/>
      <c r="U84" s="88"/>
      <c r="V84" s="88"/>
      <c r="W84" s="88"/>
      <c r="X84" s="88"/>
      <c r="Y84" s="88"/>
      <c r="Z84" s="88"/>
      <c r="AA84" s="88"/>
      <c r="AB84" s="88"/>
      <c r="AC84" s="88"/>
      <c r="AD84" s="88"/>
      <c r="AE84" s="88"/>
      <c r="AF84" s="88"/>
      <c r="AG84" s="88"/>
      <c r="AH84" s="88"/>
      <c r="AI84" s="88"/>
      <c r="AJ84" s="88"/>
      <c r="AK84" s="88"/>
      <c r="AL84" s="88"/>
      <c r="AM84" s="88"/>
      <c r="AN84" s="90"/>
      <c r="AO84" s="90"/>
      <c r="AP84" s="91"/>
    </row>
    <row r="85" spans="1:42" x14ac:dyDescent="0.25">
      <c r="A85" s="92" t="s">
        <v>594</v>
      </c>
      <c r="B85" s="93"/>
      <c r="C85" s="93"/>
      <c r="D85" s="93"/>
      <c r="E85" s="93"/>
      <c r="F85" s="93"/>
      <c r="G85" s="93"/>
      <c r="H85" s="93"/>
      <c r="I85" s="93"/>
      <c r="J85" s="93"/>
      <c r="K85" s="93"/>
      <c r="L85" s="93"/>
      <c r="M85" s="93"/>
      <c r="N85" s="93"/>
      <c r="O85" s="94"/>
      <c r="P85" s="93"/>
      <c r="Q85" s="93"/>
      <c r="R85" s="93"/>
      <c r="S85" s="93"/>
      <c r="T85" s="93"/>
      <c r="U85" s="93"/>
      <c r="V85" s="93"/>
      <c r="W85" s="93">
        <f>IF(char2ArtiToggle, 30%, 0%)</f>
        <v>0</v>
      </c>
      <c r="X85" s="93"/>
      <c r="Y85" s="93"/>
      <c r="Z85" s="93"/>
      <c r="AA85" s="93"/>
      <c r="AB85" s="93"/>
      <c r="AC85" s="93"/>
      <c r="AD85" s="93"/>
      <c r="AE85" s="93"/>
      <c r="AF85" s="93"/>
      <c r="AG85" s="93"/>
      <c r="AH85" s="93"/>
      <c r="AI85" s="93"/>
      <c r="AJ85" s="93"/>
      <c r="AK85" s="93"/>
      <c r="AL85" s="93"/>
      <c r="AM85" s="93"/>
      <c r="AN85" s="95"/>
      <c r="AO85" s="95"/>
      <c r="AP85" s="96"/>
    </row>
    <row r="86" spans="1:42" x14ac:dyDescent="0.25">
      <c r="A86" s="87" t="s">
        <v>595</v>
      </c>
      <c r="B86" s="88"/>
      <c r="C86" s="88"/>
      <c r="D86" s="88"/>
      <c r="E86" s="88"/>
      <c r="F86" s="88"/>
      <c r="G86" s="88"/>
      <c r="H86" s="88"/>
      <c r="I86" s="88"/>
      <c r="J86" s="88"/>
      <c r="K86" s="88">
        <f>char2ArtiStacks*(7.5%)</f>
        <v>0</v>
      </c>
      <c r="L86" s="88"/>
      <c r="M86" s="88"/>
      <c r="N86" s="88"/>
      <c r="O86" s="89"/>
      <c r="P86" s="88"/>
      <c r="Q86" s="88"/>
      <c r="R86" s="88"/>
      <c r="S86" s="88"/>
      <c r="T86" s="88"/>
      <c r="U86" s="88"/>
      <c r="V86" s="88"/>
      <c r="W86" s="88"/>
      <c r="X86" s="88"/>
      <c r="Y86" s="88"/>
      <c r="Z86" s="88">
        <v>0.4</v>
      </c>
      <c r="AA86" s="88"/>
      <c r="AB86" s="88"/>
      <c r="AC86" s="88"/>
      <c r="AD86" s="88">
        <v>0.15</v>
      </c>
      <c r="AE86" s="88">
        <v>0.15</v>
      </c>
      <c r="AF86" s="88"/>
      <c r="AG86" s="88"/>
      <c r="AH86" s="88"/>
      <c r="AI86" s="88"/>
      <c r="AJ86" s="88"/>
      <c r="AK86" s="88"/>
      <c r="AL86" s="88"/>
      <c r="AM86" s="88"/>
      <c r="AN86" s="90"/>
      <c r="AO86" s="90"/>
      <c r="AP86" s="91"/>
    </row>
    <row r="87" spans="1:42" x14ac:dyDescent="0.25">
      <c r="A87" s="92" t="s">
        <v>596</v>
      </c>
      <c r="B87" s="93"/>
      <c r="C87" s="93"/>
      <c r="D87" s="93"/>
      <c r="E87" s="93"/>
      <c r="F87" s="93"/>
      <c r="G87" s="93"/>
      <c r="H87" s="93"/>
      <c r="I87" s="93"/>
      <c r="J87" s="93"/>
      <c r="K87" s="93"/>
      <c r="L87" s="93"/>
      <c r="M87" s="93"/>
      <c r="N87" s="93"/>
      <c r="O87" s="94"/>
      <c r="P87" s="93"/>
      <c r="Q87" s="93"/>
      <c r="R87" s="93"/>
      <c r="S87" s="93"/>
      <c r="T87" s="93"/>
      <c r="U87" s="93"/>
      <c r="V87" s="93"/>
      <c r="W87" s="93"/>
      <c r="X87" s="93"/>
      <c r="Y87" s="93"/>
      <c r="Z87" s="93"/>
      <c r="AA87" s="93"/>
      <c r="AB87" s="93"/>
      <c r="AC87" s="93"/>
      <c r="AD87" s="93"/>
      <c r="AE87" s="93"/>
      <c r="AF87" s="93"/>
      <c r="AG87" s="93">
        <v>0.3</v>
      </c>
      <c r="AH87" s="93">
        <v>0.3</v>
      </c>
      <c r="AI87" s="93">
        <v>0.3</v>
      </c>
      <c r="AJ87" s="93">
        <v>0.3</v>
      </c>
      <c r="AK87" s="93">
        <v>0.3</v>
      </c>
      <c r="AL87" s="93">
        <v>0.3</v>
      </c>
      <c r="AM87" s="93"/>
      <c r="AN87" s="95"/>
      <c r="AO87" s="95"/>
      <c r="AP87" s="96"/>
    </row>
    <row r="88" spans="1:42" x14ac:dyDescent="0.25">
      <c r="A88" s="87" t="s">
        <v>597</v>
      </c>
      <c r="B88" s="88"/>
      <c r="C88" s="88"/>
      <c r="D88" s="88"/>
      <c r="E88" s="88"/>
      <c r="F88" s="88"/>
      <c r="G88" s="88"/>
      <c r="H88" s="88"/>
      <c r="I88" s="88"/>
      <c r="J88" s="88"/>
      <c r="K88" s="88"/>
      <c r="L88" s="88"/>
      <c r="M88" s="88"/>
      <c r="N88" s="88"/>
      <c r="O88" s="89"/>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90"/>
      <c r="AO88" s="90"/>
      <c r="AP88" s="91"/>
    </row>
    <row r="89" spans="1:42" x14ac:dyDescent="0.25">
      <c r="A89" s="92" t="s">
        <v>598</v>
      </c>
      <c r="B89" s="93"/>
      <c r="C89" s="93"/>
      <c r="D89" s="93"/>
      <c r="E89" s="93"/>
      <c r="F89" s="93"/>
      <c r="G89" s="93"/>
      <c r="H89" s="93"/>
      <c r="I89" s="93"/>
      <c r="J89" s="93"/>
      <c r="K89" s="93"/>
      <c r="L89" s="93"/>
      <c r="M89" s="93"/>
      <c r="N89" s="93"/>
      <c r="O89" s="94"/>
      <c r="P89" s="93"/>
      <c r="Q89" s="93"/>
      <c r="R89" s="93">
        <v>0.35</v>
      </c>
      <c r="S89" s="93"/>
      <c r="T89" s="93"/>
      <c r="U89" s="93"/>
      <c r="V89" s="93"/>
      <c r="W89" s="93"/>
      <c r="X89" s="93"/>
      <c r="Y89" s="93"/>
      <c r="Z89" s="93"/>
      <c r="AA89" s="93"/>
      <c r="AB89" s="93"/>
      <c r="AC89" s="93"/>
      <c r="AD89" s="93"/>
      <c r="AE89" s="93"/>
      <c r="AF89" s="93"/>
      <c r="AG89" s="93"/>
      <c r="AH89" s="93"/>
      <c r="AI89" s="93"/>
      <c r="AJ89" s="93"/>
      <c r="AK89" s="93"/>
      <c r="AL89" s="93"/>
      <c r="AM89" s="93"/>
      <c r="AN89" s="95"/>
      <c r="AO89" s="95"/>
      <c r="AP89" s="96"/>
    </row>
    <row r="90" spans="1:42" x14ac:dyDescent="0.25">
      <c r="A90" s="87" t="s">
        <v>599</v>
      </c>
      <c r="B90" s="88"/>
      <c r="C90" s="88"/>
      <c r="D90" s="88"/>
      <c r="E90" s="88"/>
      <c r="F90" s="88"/>
      <c r="G90" s="88"/>
      <c r="H90" s="88"/>
      <c r="I90" s="88"/>
      <c r="J90" s="88"/>
      <c r="K90" s="88"/>
      <c r="L90" s="88"/>
      <c r="M90" s="88"/>
      <c r="N90" s="88"/>
      <c r="O90" s="89">
        <f>IF(char2ArtiToggle, 120, 0)</f>
        <v>0</v>
      </c>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90"/>
      <c r="AO90" s="90"/>
      <c r="AP90" s="91"/>
    </row>
    <row r="91" spans="1:42" x14ac:dyDescent="0.25">
      <c r="A91" s="92" t="s">
        <v>600</v>
      </c>
      <c r="B91" s="93"/>
      <c r="C91" s="93"/>
      <c r="D91" s="93"/>
      <c r="E91" s="93"/>
      <c r="F91" s="93"/>
      <c r="G91" s="93"/>
      <c r="H91" s="93">
        <f t="shared" ref="H91:N91" si="1">IF(char2ArtiToggle, 35%, 0)</f>
        <v>0</v>
      </c>
      <c r="I91" s="93">
        <f t="shared" si="1"/>
        <v>0</v>
      </c>
      <c r="J91" s="93">
        <f t="shared" si="1"/>
        <v>0</v>
      </c>
      <c r="K91" s="93">
        <f t="shared" si="1"/>
        <v>0</v>
      </c>
      <c r="L91" s="93">
        <f t="shared" si="1"/>
        <v>0</v>
      </c>
      <c r="M91" s="93">
        <f t="shared" si="1"/>
        <v>0</v>
      </c>
      <c r="N91" s="93">
        <f t="shared" si="1"/>
        <v>0</v>
      </c>
      <c r="O91" s="94"/>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5"/>
      <c r="AO91" s="95"/>
      <c r="AP91" s="96"/>
    </row>
    <row r="92" spans="1:42" x14ac:dyDescent="0.25">
      <c r="A92" s="87" t="s">
        <v>601</v>
      </c>
      <c r="B92" s="88"/>
      <c r="C92" s="88"/>
      <c r="D92" s="88"/>
      <c r="E92" s="88"/>
      <c r="F92" s="88"/>
      <c r="G92" s="88"/>
      <c r="H92" s="88"/>
      <c r="I92" s="88"/>
      <c r="J92" s="88"/>
      <c r="K92" s="88"/>
      <c r="L92" s="88"/>
      <c r="M92" s="88"/>
      <c r="N92" s="88"/>
      <c r="O92" s="89"/>
      <c r="P92" s="88">
        <v>0.2</v>
      </c>
      <c r="Q92" s="88"/>
      <c r="R92" s="88"/>
      <c r="S92" s="88"/>
      <c r="T92" s="88"/>
      <c r="U92" s="88"/>
      <c r="V92" s="88"/>
      <c r="W92" s="88"/>
      <c r="X92" s="88"/>
      <c r="Y92" s="88"/>
      <c r="Z92" s="88"/>
      <c r="AA92" s="88"/>
      <c r="AB92" s="88"/>
      <c r="AC92" s="88"/>
      <c r="AD92" s="88"/>
      <c r="AE92" s="88"/>
      <c r="AF92" s="88"/>
      <c r="AG92" s="88"/>
      <c r="AH92" s="88"/>
      <c r="AI92" s="88"/>
      <c r="AJ92" s="88"/>
      <c r="AK92" s="88"/>
      <c r="AL92" s="88"/>
      <c r="AM92" s="88"/>
      <c r="AN92" s="90"/>
      <c r="AO92" s="90"/>
      <c r="AP92" s="91"/>
    </row>
    <row r="93" spans="1:42" x14ac:dyDescent="0.25">
      <c r="A93" s="92" t="s">
        <v>602</v>
      </c>
      <c r="B93" s="93"/>
      <c r="C93" s="93"/>
      <c r="D93" s="93"/>
      <c r="E93" s="93"/>
      <c r="F93" s="93"/>
      <c r="G93" s="93"/>
      <c r="H93" s="93"/>
      <c r="I93" s="93"/>
      <c r="J93" s="93"/>
      <c r="K93" s="93"/>
      <c r="L93" s="93"/>
      <c r="M93" s="93"/>
      <c r="N93" s="93"/>
      <c r="O93" s="94"/>
      <c r="P93" s="93"/>
      <c r="Q93" s="93"/>
      <c r="R93" s="93">
        <f>IF(char2ArtiToggle, 25%, 0)</f>
        <v>0</v>
      </c>
      <c r="S93" s="93">
        <f>IF(char2ArtiToggle, 25%, 0)</f>
        <v>0</v>
      </c>
      <c r="T93" s="93"/>
      <c r="U93" s="93"/>
      <c r="V93" s="93"/>
      <c r="W93" s="93"/>
      <c r="X93" s="93"/>
      <c r="Y93" s="93"/>
      <c r="Z93" s="93"/>
      <c r="AA93" s="93"/>
      <c r="AB93" s="93"/>
      <c r="AC93" s="93"/>
      <c r="AD93" s="93"/>
      <c r="AE93" s="93"/>
      <c r="AF93" s="93"/>
      <c r="AG93" s="93"/>
      <c r="AH93" s="93"/>
      <c r="AI93" s="93"/>
      <c r="AJ93" s="93"/>
      <c r="AK93" s="93"/>
      <c r="AL93" s="93"/>
      <c r="AM93" s="93"/>
      <c r="AN93" s="95"/>
      <c r="AO93" s="95"/>
      <c r="AP93" s="96"/>
    </row>
    <row r="94" spans="1:42" x14ac:dyDescent="0.25">
      <c r="A94" s="87" t="s">
        <v>603</v>
      </c>
      <c r="B94" s="88">
        <f>IF(char2ArtiToggle, 20%, 0)</f>
        <v>0</v>
      </c>
      <c r="C94" s="88"/>
      <c r="D94" s="88"/>
      <c r="E94" s="88"/>
      <c r="F94" s="88"/>
      <c r="G94" s="88"/>
      <c r="H94" s="88"/>
      <c r="I94" s="88"/>
      <c r="J94" s="88"/>
      <c r="K94" s="88"/>
      <c r="L94" s="88"/>
      <c r="M94" s="88"/>
      <c r="N94" s="88"/>
      <c r="O94" s="89"/>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90"/>
      <c r="AO94" s="90"/>
      <c r="AP94" s="91"/>
    </row>
    <row r="95" spans="1:42" x14ac:dyDescent="0.25">
      <c r="A95" s="92" t="s">
        <v>604</v>
      </c>
      <c r="B95" s="93"/>
      <c r="C95" s="93"/>
      <c r="D95" s="93"/>
      <c r="E95" s="93"/>
      <c r="F95" s="93"/>
      <c r="G95" s="93"/>
      <c r="H95" s="93"/>
      <c r="I95" s="93"/>
      <c r="J95" s="93"/>
      <c r="K95" s="93"/>
      <c r="L95" s="93"/>
      <c r="M95" s="93"/>
      <c r="N95" s="93"/>
      <c r="O95" s="94"/>
      <c r="P95" s="93"/>
      <c r="Q95" s="93"/>
      <c r="R95" s="93">
        <f>IF(char2ArtiToggle, 40%, 0)</f>
        <v>0</v>
      </c>
      <c r="S95" s="93">
        <f>IF(char2ArtiToggle, 40%, 0)</f>
        <v>0</v>
      </c>
      <c r="T95" s="93"/>
      <c r="U95" s="93"/>
      <c r="V95" s="93"/>
      <c r="W95" s="93"/>
      <c r="X95" s="93"/>
      <c r="Y95" s="93"/>
      <c r="Z95" s="93"/>
      <c r="AA95" s="93"/>
      <c r="AB95" s="93"/>
      <c r="AC95" s="93"/>
      <c r="AD95" s="93"/>
      <c r="AE95" s="93"/>
      <c r="AF95" s="93"/>
      <c r="AG95" s="93"/>
      <c r="AH95" s="93"/>
      <c r="AI95" s="93"/>
      <c r="AJ95" s="93"/>
      <c r="AK95" s="93"/>
      <c r="AL95" s="93"/>
      <c r="AM95" s="93"/>
      <c r="AN95" s="95"/>
      <c r="AO95" s="95"/>
      <c r="AP95" s="96"/>
    </row>
    <row r="96" spans="1:42" x14ac:dyDescent="0.25">
      <c r="A96" s="87" t="s">
        <v>605</v>
      </c>
      <c r="B96" s="88" t="s">
        <v>423</v>
      </c>
      <c r="C96" s="88"/>
      <c r="D96" s="88"/>
      <c r="E96" s="88"/>
      <c r="F96" s="88"/>
      <c r="G96" s="88"/>
      <c r="H96" s="88"/>
      <c r="I96" s="88"/>
      <c r="J96" s="88"/>
      <c r="K96" s="88"/>
      <c r="L96" s="88"/>
      <c r="M96" s="88"/>
      <c r="N96" s="88"/>
      <c r="O96" s="89"/>
      <c r="P96" s="88"/>
      <c r="Q96" s="88"/>
      <c r="R96" s="88"/>
      <c r="S96" s="88"/>
      <c r="T96" s="88"/>
      <c r="U96" s="88"/>
      <c r="V96" s="88"/>
      <c r="W96" s="88"/>
      <c r="X96" s="88"/>
      <c r="Y96" s="88"/>
      <c r="Z96" s="88">
        <v>0.4</v>
      </c>
      <c r="AA96" s="88"/>
      <c r="AB96" s="88">
        <v>0.4</v>
      </c>
      <c r="AC96" s="88">
        <v>0.4</v>
      </c>
      <c r="AD96" s="88"/>
      <c r="AE96" s="88"/>
      <c r="AF96" s="88"/>
      <c r="AG96" s="88"/>
      <c r="AH96" s="88"/>
      <c r="AI96" s="88"/>
      <c r="AJ96" s="88"/>
      <c r="AK96" s="88"/>
      <c r="AL96" s="88"/>
      <c r="AM96" s="88"/>
      <c r="AN96" s="90"/>
      <c r="AO96" s="90"/>
      <c r="AP96" s="91"/>
    </row>
    <row r="97" spans="1:42" x14ac:dyDescent="0.25">
      <c r="A97" s="92" t="s">
        <v>606</v>
      </c>
      <c r="B97" s="93"/>
      <c r="C97" s="93"/>
      <c r="D97" s="93"/>
      <c r="E97" s="93"/>
      <c r="F97" s="93"/>
      <c r="G97" s="93"/>
      <c r="H97" s="93"/>
      <c r="I97" s="93"/>
      <c r="J97" s="93"/>
      <c r="K97" s="93"/>
      <c r="L97" s="93"/>
      <c r="M97" s="93"/>
      <c r="N97" s="93"/>
      <c r="O97" s="94"/>
      <c r="P97" s="93"/>
      <c r="Q97" s="93"/>
      <c r="R97" s="93"/>
      <c r="S97" s="93"/>
      <c r="T97" s="93"/>
      <c r="U97" s="93"/>
      <c r="V97" s="93"/>
      <c r="W97" s="93">
        <f>IF(char2ArtiToggle, 35%, 0)</f>
        <v>0</v>
      </c>
      <c r="X97" s="93"/>
      <c r="Y97" s="93"/>
      <c r="Z97" s="93"/>
      <c r="AA97" s="93"/>
      <c r="AB97" s="93"/>
      <c r="AC97" s="93"/>
      <c r="AD97" s="93"/>
      <c r="AE97" s="93"/>
      <c r="AF97" s="93"/>
      <c r="AG97" s="93"/>
      <c r="AH97" s="93"/>
      <c r="AI97" s="93"/>
      <c r="AJ97" s="93"/>
      <c r="AK97" s="93"/>
      <c r="AL97" s="93"/>
      <c r="AM97" s="93"/>
      <c r="AN97" s="95"/>
      <c r="AO97" s="95"/>
      <c r="AP97" s="96"/>
    </row>
    <row r="98" spans="1:42" x14ac:dyDescent="0.25">
      <c r="A98" s="87" t="s">
        <v>607</v>
      </c>
      <c r="B98" s="88"/>
      <c r="C98" s="88"/>
      <c r="D98" s="88"/>
      <c r="E98" s="88"/>
      <c r="F98" s="88"/>
      <c r="G98" s="88"/>
      <c r="H98" s="88"/>
      <c r="I98" s="88"/>
      <c r="J98" s="88"/>
      <c r="K98" s="88"/>
      <c r="L98" s="88"/>
      <c r="M98" s="88"/>
      <c r="N98" s="88"/>
      <c r="O98" s="89"/>
      <c r="P98" s="88"/>
      <c r="Q98" s="88"/>
      <c r="R98" s="88"/>
      <c r="S98" s="88"/>
      <c r="T98" s="88"/>
      <c r="U98" s="88"/>
      <c r="V98" s="88"/>
      <c r="W98" s="88"/>
      <c r="X98" s="88"/>
      <c r="Y98" s="88">
        <v>0.6</v>
      </c>
      <c r="Z98" s="88"/>
      <c r="AA98" s="88"/>
      <c r="AB98" s="88"/>
      <c r="AC98" s="88"/>
      <c r="AD98" s="88"/>
      <c r="AE98" s="88"/>
      <c r="AF98" s="88"/>
      <c r="AG98" s="88"/>
      <c r="AH98" s="88"/>
      <c r="AI98" s="88"/>
      <c r="AJ98" s="88"/>
      <c r="AK98" s="88"/>
      <c r="AL98" s="88"/>
      <c r="AM98" s="88"/>
      <c r="AN98" s="90"/>
      <c r="AO98" s="90"/>
      <c r="AP98" s="91"/>
    </row>
    <row r="99" spans="1:42" x14ac:dyDescent="0.25">
      <c r="A99" s="92" t="s">
        <v>608</v>
      </c>
      <c r="B99" s="93"/>
      <c r="C99" s="93"/>
      <c r="D99" s="93"/>
      <c r="E99" s="93"/>
      <c r="F99" s="93"/>
      <c r="G99" s="93"/>
      <c r="H99" s="93"/>
      <c r="I99" s="93"/>
      <c r="J99" s="93"/>
      <c r="K99" s="93"/>
      <c r="L99" s="93"/>
      <c r="M99" s="93"/>
      <c r="N99" s="93"/>
      <c r="O99" s="94"/>
      <c r="P99" s="93"/>
      <c r="Q99" s="93"/>
      <c r="R99" s="93"/>
      <c r="S99" s="93">
        <f>IF(char2ArtiToggle, 35%, 0)</f>
        <v>0</v>
      </c>
      <c r="T99" s="93"/>
      <c r="U99" s="93"/>
      <c r="V99" s="93"/>
      <c r="W99" s="93"/>
      <c r="X99" s="93"/>
      <c r="Y99" s="93"/>
      <c r="Z99" s="93"/>
      <c r="AA99" s="93"/>
      <c r="AB99" s="93"/>
      <c r="AC99" s="93"/>
      <c r="AD99" s="93"/>
      <c r="AE99" s="93"/>
      <c r="AF99" s="93"/>
      <c r="AG99" s="93"/>
      <c r="AH99" s="93"/>
      <c r="AI99" s="93"/>
      <c r="AJ99" s="93"/>
      <c r="AK99" s="93"/>
      <c r="AL99" s="93"/>
      <c r="AM99" s="93"/>
      <c r="AN99" s="95"/>
      <c r="AO99" s="95"/>
      <c r="AP99" s="96"/>
    </row>
    <row r="100" spans="1:42" x14ac:dyDescent="0.25">
      <c r="A100" s="87" t="s">
        <v>609</v>
      </c>
      <c r="B100" s="88"/>
      <c r="C100" s="88"/>
      <c r="D100" s="88"/>
      <c r="E100" s="88">
        <f>char2ArtiStacks*(20%)</f>
        <v>0</v>
      </c>
      <c r="F100" s="88"/>
      <c r="G100" s="88"/>
      <c r="H100" s="88"/>
      <c r="I100" s="88"/>
      <c r="J100" s="88"/>
      <c r="K100" s="88"/>
      <c r="L100" s="88"/>
      <c r="M100" s="88"/>
      <c r="N100" s="88"/>
      <c r="O100" s="89"/>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90"/>
      <c r="AO100" s="90"/>
      <c r="AP100" s="91"/>
    </row>
    <row r="101" spans="1:42" x14ac:dyDescent="0.25">
      <c r="A101" s="92" t="s">
        <v>610</v>
      </c>
      <c r="B101" s="93"/>
      <c r="C101" s="93"/>
      <c r="D101" s="93"/>
      <c r="E101" s="93"/>
      <c r="F101" s="93"/>
      <c r="G101" s="93"/>
      <c r="H101" s="93"/>
      <c r="I101" s="93"/>
      <c r="J101" s="93"/>
      <c r="K101" s="93"/>
      <c r="L101" s="93"/>
      <c r="M101" s="93"/>
      <c r="N101" s="93"/>
      <c r="O101" s="94"/>
      <c r="P101" s="93"/>
      <c r="Q101" s="93"/>
      <c r="R101" s="93">
        <f>IF(char2ArtiToggle, 30%, 0)</f>
        <v>0</v>
      </c>
      <c r="S101" s="93">
        <f>IF(char2ArtiToggle, 30%, 0)</f>
        <v>0</v>
      </c>
      <c r="T101" s="93"/>
      <c r="U101" s="93"/>
      <c r="V101" s="93"/>
      <c r="W101" s="93"/>
      <c r="X101" s="93"/>
      <c r="Y101" s="93"/>
      <c r="Z101" s="93"/>
      <c r="AA101" s="93"/>
      <c r="AB101" s="93"/>
      <c r="AC101" s="93"/>
      <c r="AD101" s="93"/>
      <c r="AE101" s="93"/>
      <c r="AF101" s="93"/>
      <c r="AG101" s="93"/>
      <c r="AH101" s="93"/>
      <c r="AI101" s="93"/>
      <c r="AJ101" s="93"/>
      <c r="AK101" s="93"/>
      <c r="AL101" s="93"/>
      <c r="AM101" s="93"/>
      <c r="AN101" s="95"/>
      <c r="AO101" s="95"/>
      <c r="AP101" s="96"/>
    </row>
    <row r="102" spans="1:42" x14ac:dyDescent="0.25">
      <c r="A102" s="87" t="s">
        <v>611</v>
      </c>
      <c r="B102" s="88">
        <f>char2ArtiStacks*9%</f>
        <v>0</v>
      </c>
      <c r="C102" s="88"/>
      <c r="D102" s="88"/>
      <c r="E102" s="88"/>
      <c r="F102" s="88"/>
      <c r="G102" s="88"/>
      <c r="H102" s="88">
        <f>IF(char2ArtiStacks=2, 25%, 0)</f>
        <v>0</v>
      </c>
      <c r="I102" s="88"/>
      <c r="J102" s="88"/>
      <c r="K102" s="88"/>
      <c r="L102" s="88"/>
      <c r="M102" s="88"/>
      <c r="N102" s="88"/>
      <c r="O102" s="89"/>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90"/>
      <c r="AO102" s="90"/>
      <c r="AP102" s="91"/>
    </row>
    <row r="103" spans="1:42" x14ac:dyDescent="0.25">
      <c r="A103" s="92" t="s">
        <v>612</v>
      </c>
      <c r="B103" s="93">
        <f>IF(char2ArtiToggle, 20%, 0)</f>
        <v>0</v>
      </c>
      <c r="C103" s="93"/>
      <c r="D103" s="93"/>
      <c r="E103" s="93"/>
      <c r="F103" s="93"/>
      <c r="G103" s="93"/>
      <c r="H103" s="93"/>
      <c r="I103" s="93"/>
      <c r="J103" s="93"/>
      <c r="K103" s="93"/>
      <c r="L103" s="93"/>
      <c r="M103" s="93"/>
      <c r="N103" s="93"/>
      <c r="O103" s="94"/>
      <c r="P103" s="93"/>
      <c r="Q103" s="93"/>
      <c r="R103" s="93"/>
      <c r="S103" s="93"/>
      <c r="T103" s="93"/>
      <c r="U103" s="93"/>
      <c r="V103" s="93"/>
      <c r="W103" s="93"/>
      <c r="X103" s="93">
        <f>IF(char2ArtiToggle, 30%, 0)</f>
        <v>0</v>
      </c>
      <c r="Y103" s="93"/>
      <c r="Z103" s="93"/>
      <c r="AA103" s="93"/>
      <c r="AB103" s="93"/>
      <c r="AC103" s="93"/>
      <c r="AD103" s="93"/>
      <c r="AE103" s="93"/>
      <c r="AF103" s="93"/>
      <c r="AG103" s="93"/>
      <c r="AH103" s="93"/>
      <c r="AI103" s="93"/>
      <c r="AJ103" s="93"/>
      <c r="AK103" s="93"/>
      <c r="AL103" s="93"/>
      <c r="AM103" s="93"/>
      <c r="AN103" s="95"/>
      <c r="AO103" s="95"/>
      <c r="AP103" s="96"/>
    </row>
    <row r="104" spans="1:42" x14ac:dyDescent="0.25">
      <c r="A104" s="87" t="s">
        <v>613</v>
      </c>
      <c r="B104" s="88"/>
      <c r="C104" s="88"/>
      <c r="D104" s="88"/>
      <c r="E104" s="88"/>
      <c r="F104" s="88"/>
      <c r="G104" s="88"/>
      <c r="H104" s="88"/>
      <c r="I104" s="88"/>
      <c r="J104" s="88"/>
      <c r="K104" s="88"/>
      <c r="L104" s="88"/>
      <c r="M104" s="88"/>
      <c r="N104" s="88"/>
      <c r="O104" s="89"/>
      <c r="P104" s="88"/>
      <c r="Q104" s="88"/>
      <c r="R104" s="88">
        <f>IF(char2ArtiToggle, 50%, 0)</f>
        <v>0</v>
      </c>
      <c r="S104" s="88">
        <f>IF(char2ArtiToggle, 50%, 0)</f>
        <v>0</v>
      </c>
      <c r="T104" s="88">
        <f>IF(char2ArtiToggle, 50%, 0)</f>
        <v>0</v>
      </c>
      <c r="U104" s="88"/>
      <c r="V104" s="88"/>
      <c r="W104" s="88"/>
      <c r="X104" s="88"/>
      <c r="Y104" s="88"/>
      <c r="Z104" s="88"/>
      <c r="AA104" s="88"/>
      <c r="AB104" s="88"/>
      <c r="AC104" s="88"/>
      <c r="AD104" s="88"/>
      <c r="AE104" s="88"/>
      <c r="AF104" s="88"/>
      <c r="AG104" s="88"/>
      <c r="AH104" s="88"/>
      <c r="AI104" s="88"/>
      <c r="AJ104" s="88"/>
      <c r="AK104" s="88"/>
      <c r="AL104" s="88"/>
      <c r="AM104" s="88"/>
      <c r="AN104" s="90"/>
      <c r="AO104" s="90"/>
      <c r="AP104" s="91"/>
    </row>
    <row r="105" spans="1:42" x14ac:dyDescent="0.25">
      <c r="A105" s="92" t="s">
        <v>614</v>
      </c>
      <c r="B105" s="93"/>
      <c r="C105" s="93"/>
      <c r="D105" s="93"/>
      <c r="E105" s="93"/>
      <c r="F105" s="93"/>
      <c r="G105" s="93"/>
      <c r="H105" s="93"/>
      <c r="I105" s="93"/>
      <c r="J105" s="93"/>
      <c r="K105" s="93"/>
      <c r="L105" s="93"/>
      <c r="M105" s="93"/>
      <c r="N105" s="93"/>
      <c r="O105" s="94"/>
      <c r="P105" s="93"/>
      <c r="Q105" s="93"/>
      <c r="R105" s="93"/>
      <c r="S105" s="93"/>
      <c r="T105" s="93"/>
      <c r="U105" s="93"/>
      <c r="V105" s="93">
        <f>IF(char2FinalER*25%&gt;75%, 75%,char2FinalER*25%)</f>
        <v>0.27755000000000002</v>
      </c>
      <c r="W105" s="93"/>
      <c r="X105" s="93"/>
      <c r="Y105" s="93"/>
      <c r="Z105" s="93"/>
      <c r="AA105" s="93"/>
      <c r="AB105" s="93"/>
      <c r="AC105" s="93"/>
      <c r="AD105" s="93"/>
      <c r="AE105" s="93"/>
      <c r="AF105" s="93"/>
      <c r="AG105" s="93"/>
      <c r="AH105" s="93"/>
      <c r="AI105" s="93"/>
      <c r="AJ105" s="93"/>
      <c r="AK105" s="93"/>
      <c r="AL105" s="93"/>
      <c r="AM105" s="93"/>
      <c r="AN105" s="95"/>
      <c r="AO105" s="95"/>
      <c r="AP105" s="96"/>
    </row>
    <row r="106" spans="1:42" x14ac:dyDescent="0.25">
      <c r="A106" s="87" t="s">
        <v>615</v>
      </c>
      <c r="B106" s="88"/>
      <c r="C106" s="88"/>
      <c r="D106" s="88"/>
      <c r="E106" s="88"/>
      <c r="F106" s="88"/>
      <c r="G106" s="88"/>
      <c r="H106" s="88"/>
      <c r="I106" s="88"/>
      <c r="J106" s="88"/>
      <c r="K106" s="88"/>
      <c r="L106" s="88"/>
      <c r="M106" s="88"/>
      <c r="N106" s="88"/>
      <c r="O106" s="89"/>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90"/>
      <c r="AO106" s="90"/>
      <c r="AP106" s="91"/>
    </row>
    <row r="107" spans="1:42" x14ac:dyDescent="0.25">
      <c r="A107" s="82" t="s">
        <v>616</v>
      </c>
      <c r="B107" s="97"/>
      <c r="C107" s="97">
        <f>6%*char2ArtiStacks</f>
        <v>0</v>
      </c>
      <c r="D107" s="97"/>
      <c r="E107" s="97"/>
      <c r="F107" s="97"/>
      <c r="G107" s="97"/>
      <c r="H107" s="97"/>
      <c r="I107" s="97"/>
      <c r="J107" s="97">
        <f>6%*char2ArtiStacks</f>
        <v>0</v>
      </c>
      <c r="K107" s="97"/>
      <c r="L107" s="97"/>
      <c r="M107" s="97"/>
      <c r="N107" s="97"/>
      <c r="O107" s="98"/>
      <c r="P107" s="97"/>
      <c r="Q107" s="97"/>
      <c r="R107" s="97"/>
      <c r="S107" s="97"/>
      <c r="T107" s="97"/>
      <c r="U107" s="97"/>
      <c r="V107" s="97"/>
      <c r="W107" s="97"/>
      <c r="X107" s="97"/>
      <c r="Y107" s="97"/>
      <c r="Z107" s="97"/>
      <c r="AA107" s="97"/>
      <c r="AB107" s="97"/>
      <c r="AC107" s="97"/>
      <c r="AD107" s="97"/>
      <c r="AE107" s="97"/>
      <c r="AF107" s="97"/>
      <c r="AG107" s="97"/>
      <c r="AH107" s="97"/>
      <c r="AI107" s="97"/>
      <c r="AJ107" s="97"/>
      <c r="AK107" s="97"/>
      <c r="AL107" s="97"/>
      <c r="AM107" s="97"/>
      <c r="AN107" s="99"/>
      <c r="AO107" s="99"/>
      <c r="AP107" s="100"/>
    </row>
    <row r="109" spans="1:42" x14ac:dyDescent="0.25">
      <c r="A109" s="83" t="s">
        <v>564</v>
      </c>
      <c r="B109" s="84" t="s">
        <v>65</v>
      </c>
      <c r="C109" s="84" t="s">
        <v>66</v>
      </c>
      <c r="D109" s="85" t="s">
        <v>67</v>
      </c>
      <c r="E109" s="84" t="s">
        <v>408</v>
      </c>
      <c r="F109" s="84" t="s">
        <v>409</v>
      </c>
      <c r="G109" s="84" t="s">
        <v>68</v>
      </c>
      <c r="H109" s="84" t="s">
        <v>70</v>
      </c>
      <c r="I109" s="85" t="s">
        <v>71</v>
      </c>
      <c r="J109" s="84" t="s">
        <v>72</v>
      </c>
      <c r="K109" s="85" t="s">
        <v>73</v>
      </c>
      <c r="L109" s="85" t="s">
        <v>74</v>
      </c>
      <c r="M109" s="85" t="s">
        <v>75</v>
      </c>
      <c r="N109" s="85" t="s">
        <v>76</v>
      </c>
      <c r="O109" s="85" t="s">
        <v>69</v>
      </c>
      <c r="P109" s="85" t="s">
        <v>452</v>
      </c>
      <c r="Q109" s="85" t="s">
        <v>422</v>
      </c>
      <c r="R109" s="85" t="s">
        <v>77</v>
      </c>
      <c r="S109" s="85" t="s">
        <v>78</v>
      </c>
      <c r="T109" s="85" t="s">
        <v>79</v>
      </c>
      <c r="U109" s="85" t="s">
        <v>80</v>
      </c>
      <c r="V109" s="85" t="s">
        <v>81</v>
      </c>
      <c r="W109" s="84" t="s">
        <v>82</v>
      </c>
      <c r="X109" s="84" t="s">
        <v>453</v>
      </c>
      <c r="Y109" s="84" t="s">
        <v>83</v>
      </c>
      <c r="Z109" s="84" t="s">
        <v>84</v>
      </c>
      <c r="AA109" s="84" t="s">
        <v>85</v>
      </c>
      <c r="AB109" s="84" t="s">
        <v>87</v>
      </c>
      <c r="AC109" s="84" t="s">
        <v>86</v>
      </c>
      <c r="AD109" s="84" t="s">
        <v>88</v>
      </c>
      <c r="AE109" s="84" t="s">
        <v>89</v>
      </c>
      <c r="AF109" s="84" t="s">
        <v>90</v>
      </c>
      <c r="AG109" s="84" t="s">
        <v>454</v>
      </c>
      <c r="AH109" s="84" t="s">
        <v>455</v>
      </c>
      <c r="AI109" s="84" t="s">
        <v>456</v>
      </c>
      <c r="AJ109" s="84" t="s">
        <v>457</v>
      </c>
      <c r="AK109" s="84" t="s">
        <v>458</v>
      </c>
      <c r="AL109" s="84" t="s">
        <v>459</v>
      </c>
      <c r="AM109" s="84" t="s">
        <v>460</v>
      </c>
      <c r="AN109" s="85" t="s">
        <v>62</v>
      </c>
      <c r="AO109" s="85" t="s">
        <v>64</v>
      </c>
      <c r="AP109" s="86" t="s">
        <v>63</v>
      </c>
    </row>
    <row r="110" spans="1:42" x14ac:dyDescent="0.25">
      <c r="A110" s="87" t="s">
        <v>565</v>
      </c>
      <c r="B110" s="88"/>
      <c r="C110" s="88"/>
      <c r="D110" s="88"/>
      <c r="E110" s="88"/>
      <c r="F110" s="88"/>
      <c r="G110" s="88"/>
      <c r="H110" s="88"/>
      <c r="I110" s="88"/>
      <c r="J110" s="88">
        <v>0.15</v>
      </c>
      <c r="K110" s="88"/>
      <c r="L110" s="88"/>
      <c r="M110" s="88"/>
      <c r="N110" s="88"/>
      <c r="O110" s="89"/>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90"/>
      <c r="AO110" s="90"/>
      <c r="AP110" s="91"/>
    </row>
    <row r="111" spans="1:42" x14ac:dyDescent="0.25">
      <c r="A111" s="92" t="s">
        <v>566</v>
      </c>
      <c r="B111" s="93"/>
      <c r="C111" s="93"/>
      <c r="D111" s="93"/>
      <c r="E111" s="93">
        <v>0.12</v>
      </c>
      <c r="F111" s="93"/>
      <c r="G111" s="93"/>
      <c r="H111" s="93"/>
      <c r="I111" s="93"/>
      <c r="J111" s="93"/>
      <c r="K111" s="93"/>
      <c r="L111" s="93"/>
      <c r="M111" s="93"/>
      <c r="N111" s="93"/>
      <c r="O111" s="94"/>
      <c r="P111" s="93"/>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5"/>
      <c r="AO111" s="95"/>
      <c r="AP111" s="96"/>
    </row>
    <row r="112" spans="1:42" x14ac:dyDescent="0.25">
      <c r="A112" s="87" t="s">
        <v>567</v>
      </c>
      <c r="B112" s="88"/>
      <c r="C112" s="88"/>
      <c r="D112" s="88"/>
      <c r="E112" s="88"/>
      <c r="F112" s="88"/>
      <c r="G112" s="88"/>
      <c r="H112" s="88">
        <v>0.25</v>
      </c>
      <c r="I112" s="88"/>
      <c r="J112" s="88"/>
      <c r="K112" s="88"/>
      <c r="L112" s="88"/>
      <c r="M112" s="88"/>
      <c r="N112" s="88"/>
      <c r="O112" s="89"/>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90"/>
      <c r="AO112" s="90"/>
      <c r="AP112" s="91"/>
    </row>
    <row r="113" spans="1:42" x14ac:dyDescent="0.25">
      <c r="A113" s="92" t="s">
        <v>568</v>
      </c>
      <c r="B113" s="93">
        <v>0.18</v>
      </c>
      <c r="C113" s="93"/>
      <c r="D113" s="93"/>
      <c r="E113" s="93"/>
      <c r="F113" s="93"/>
      <c r="G113" s="93"/>
      <c r="H113" s="93"/>
      <c r="I113" s="93"/>
      <c r="J113" s="93"/>
      <c r="K113" s="93"/>
      <c r="L113" s="93"/>
      <c r="M113" s="93"/>
      <c r="N113" s="93"/>
      <c r="O113" s="94"/>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5"/>
      <c r="AO113" s="95"/>
      <c r="AP113" s="96"/>
    </row>
    <row r="114" spans="1:42" x14ac:dyDescent="0.25">
      <c r="A114" s="87" t="s">
        <v>569</v>
      </c>
      <c r="B114" s="88"/>
      <c r="C114" s="88"/>
      <c r="D114" s="88"/>
      <c r="E114" s="88"/>
      <c r="F114" s="88"/>
      <c r="G114" s="88"/>
      <c r="H114" s="88"/>
      <c r="I114" s="88"/>
      <c r="J114" s="88"/>
      <c r="K114" s="88">
        <v>0.15</v>
      </c>
      <c r="L114" s="88"/>
      <c r="M114" s="88"/>
      <c r="N114" s="88"/>
      <c r="O114" s="89"/>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90"/>
      <c r="AO114" s="90"/>
      <c r="AP114" s="91"/>
    </row>
    <row r="115" spans="1:42" x14ac:dyDescent="0.25">
      <c r="A115" s="92" t="s">
        <v>570</v>
      </c>
      <c r="B115" s="93"/>
      <c r="C115" s="93">
        <v>0.3</v>
      </c>
      <c r="D115" s="93"/>
      <c r="E115" s="93"/>
      <c r="F115" s="93"/>
      <c r="G115" s="93"/>
      <c r="H115" s="93"/>
      <c r="I115" s="93"/>
      <c r="J115" s="93"/>
      <c r="K115" s="93"/>
      <c r="L115" s="93"/>
      <c r="M115" s="93"/>
      <c r="N115" s="93"/>
      <c r="O115" s="94"/>
      <c r="P115" s="93"/>
      <c r="Q115" s="93"/>
      <c r="R115" s="93"/>
      <c r="S115" s="93"/>
      <c r="T115" s="93"/>
      <c r="U115" s="93"/>
      <c r="V115" s="93"/>
      <c r="W115" s="93"/>
      <c r="X115" s="93"/>
      <c r="Y115" s="93"/>
      <c r="Z115" s="93"/>
      <c r="AA115" s="93"/>
      <c r="AB115" s="93"/>
      <c r="AC115" s="93"/>
      <c r="AD115" s="93"/>
      <c r="AE115" s="93"/>
      <c r="AF115" s="93"/>
      <c r="AG115" s="93"/>
      <c r="AH115" s="93"/>
      <c r="AI115" s="93"/>
      <c r="AJ115" s="93"/>
      <c r="AK115" s="93"/>
      <c r="AL115" s="93"/>
      <c r="AM115" s="93"/>
      <c r="AN115" s="95"/>
      <c r="AO115" s="95"/>
      <c r="AP115" s="96"/>
    </row>
    <row r="116" spans="1:42" x14ac:dyDescent="0.25">
      <c r="A116" s="87" t="s">
        <v>571</v>
      </c>
      <c r="B116" s="88"/>
      <c r="C116" s="88"/>
      <c r="D116" s="88"/>
      <c r="E116" s="88"/>
      <c r="F116" s="88"/>
      <c r="G116" s="88"/>
      <c r="H116" s="88"/>
      <c r="I116" s="88"/>
      <c r="J116" s="88"/>
      <c r="K116" s="88"/>
      <c r="L116" s="88"/>
      <c r="M116" s="88"/>
      <c r="N116" s="88"/>
      <c r="O116" s="89"/>
      <c r="P116" s="88"/>
      <c r="Q116" s="88"/>
      <c r="R116" s="88"/>
      <c r="S116" s="88"/>
      <c r="T116" s="88"/>
      <c r="U116" s="88">
        <v>0.2</v>
      </c>
      <c r="V116" s="88"/>
      <c r="W116" s="88"/>
      <c r="X116" s="88"/>
      <c r="Y116" s="88"/>
      <c r="Z116" s="88"/>
      <c r="AA116" s="88"/>
      <c r="AB116" s="88"/>
      <c r="AC116" s="88"/>
      <c r="AD116" s="88"/>
      <c r="AE116" s="88"/>
      <c r="AF116" s="88"/>
      <c r="AG116" s="88"/>
      <c r="AH116" s="88"/>
      <c r="AI116" s="88"/>
      <c r="AJ116" s="88"/>
      <c r="AK116" s="88"/>
      <c r="AL116" s="88"/>
      <c r="AM116" s="88"/>
      <c r="AN116" s="90"/>
      <c r="AO116" s="90"/>
      <c r="AP116" s="91"/>
    </row>
    <row r="117" spans="1:42" x14ac:dyDescent="0.25">
      <c r="A117" s="92" t="s">
        <v>572</v>
      </c>
      <c r="B117" s="93">
        <v>0.18</v>
      </c>
      <c r="C117" s="93"/>
      <c r="D117" s="93"/>
      <c r="E117" s="93"/>
      <c r="F117" s="93"/>
      <c r="G117" s="93"/>
      <c r="H117" s="93"/>
      <c r="I117" s="93"/>
      <c r="J117" s="93"/>
      <c r="K117" s="93"/>
      <c r="L117" s="93"/>
      <c r="M117" s="93"/>
      <c r="N117" s="93"/>
      <c r="O117" s="94"/>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5"/>
      <c r="AO117" s="95"/>
      <c r="AP117" s="96"/>
    </row>
    <row r="118" spans="1:42" x14ac:dyDescent="0.25">
      <c r="A118" s="87" t="s">
        <v>573</v>
      </c>
      <c r="B118" s="88"/>
      <c r="C118" s="88"/>
      <c r="D118" s="88"/>
      <c r="E118" s="88"/>
      <c r="F118" s="88"/>
      <c r="G118" s="88"/>
      <c r="H118" s="88"/>
      <c r="I118" s="88"/>
      <c r="J118" s="88"/>
      <c r="K118" s="88"/>
      <c r="L118" s="88"/>
      <c r="M118" s="88"/>
      <c r="N118" s="88"/>
      <c r="O118" s="89">
        <v>80</v>
      </c>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90"/>
      <c r="AO118" s="90"/>
      <c r="AP118" s="91"/>
    </row>
    <row r="119" spans="1:42" x14ac:dyDescent="0.25">
      <c r="A119" s="92" t="s">
        <v>574</v>
      </c>
      <c r="B119" s="93"/>
      <c r="C119" s="93"/>
      <c r="D119" s="93"/>
      <c r="E119" s="93"/>
      <c r="F119" s="93"/>
      <c r="G119" s="93"/>
      <c r="H119" s="93"/>
      <c r="I119" s="93"/>
      <c r="J119" s="93"/>
      <c r="K119" s="93"/>
      <c r="L119" s="93"/>
      <c r="M119" s="93"/>
      <c r="N119" s="93"/>
      <c r="O119" s="94"/>
      <c r="P119" s="93"/>
      <c r="Q119" s="93"/>
      <c r="R119" s="93"/>
      <c r="S119" s="93"/>
      <c r="T119" s="93"/>
      <c r="U119" s="93"/>
      <c r="V119" s="93"/>
      <c r="W119" s="93"/>
      <c r="X119" s="93"/>
      <c r="Y119" s="93"/>
      <c r="Z119" s="93"/>
      <c r="AA119" s="93"/>
      <c r="AB119" s="93"/>
      <c r="AC119" s="93"/>
      <c r="AD119" s="93"/>
      <c r="AE119" s="93"/>
      <c r="AF119" s="93"/>
      <c r="AG119" s="93"/>
      <c r="AH119" s="93"/>
      <c r="AI119" s="93">
        <v>0.4</v>
      </c>
      <c r="AJ119" s="93"/>
      <c r="AK119" s="93"/>
      <c r="AL119" s="93"/>
      <c r="AM119" s="93"/>
      <c r="AN119" s="95"/>
      <c r="AO119" s="95"/>
      <c r="AP119" s="96"/>
    </row>
    <row r="120" spans="1:42" x14ac:dyDescent="0.25">
      <c r="A120" s="87" t="s">
        <v>575</v>
      </c>
      <c r="B120" s="88"/>
      <c r="C120" s="88"/>
      <c r="D120" s="88"/>
      <c r="E120" s="88"/>
      <c r="F120" s="88"/>
      <c r="G120" s="88"/>
      <c r="H120" s="88"/>
      <c r="I120" s="88"/>
      <c r="J120" s="88"/>
      <c r="K120" s="88"/>
      <c r="L120" s="88"/>
      <c r="M120" s="88"/>
      <c r="N120" s="88"/>
      <c r="O120" s="89"/>
      <c r="P120" s="88"/>
      <c r="Q120" s="88">
        <v>0.15</v>
      </c>
      <c r="R120" s="88"/>
      <c r="S120" s="88"/>
      <c r="T120" s="88"/>
      <c r="U120" s="88"/>
      <c r="V120" s="88"/>
      <c r="W120" s="88"/>
      <c r="X120" s="88"/>
      <c r="Y120" s="88"/>
      <c r="Z120" s="88"/>
      <c r="AA120" s="88"/>
      <c r="AB120" s="88"/>
      <c r="AC120" s="88"/>
      <c r="AD120" s="88"/>
      <c r="AE120" s="88"/>
      <c r="AF120" s="88"/>
      <c r="AG120" s="88"/>
      <c r="AH120" s="88"/>
      <c r="AI120" s="88"/>
      <c r="AJ120" s="88"/>
      <c r="AK120" s="88"/>
      <c r="AL120" s="88"/>
      <c r="AM120" s="88"/>
      <c r="AN120" s="90"/>
      <c r="AO120" s="90"/>
      <c r="AP120" s="91"/>
    </row>
    <row r="121" spans="1:42" x14ac:dyDescent="0.25">
      <c r="A121" s="92" t="s">
        <v>576</v>
      </c>
      <c r="B121" s="93"/>
      <c r="C121" s="93"/>
      <c r="D121" s="93"/>
      <c r="E121" s="93"/>
      <c r="F121" s="93"/>
      <c r="G121" s="93"/>
      <c r="H121" s="93"/>
      <c r="I121" s="93"/>
      <c r="J121" s="93"/>
      <c r="K121" s="93"/>
      <c r="L121" s="93"/>
      <c r="M121" s="93"/>
      <c r="N121" s="93"/>
      <c r="O121" s="94"/>
      <c r="P121" s="93"/>
      <c r="Q121" s="93"/>
      <c r="R121" s="93">
        <v>0.15</v>
      </c>
      <c r="S121" s="93">
        <v>0.15</v>
      </c>
      <c r="T121" s="93"/>
      <c r="U121" s="93"/>
      <c r="V121" s="93"/>
      <c r="W121" s="93"/>
      <c r="X121" s="93"/>
      <c r="Y121" s="93"/>
      <c r="Z121" s="93"/>
      <c r="AA121" s="93"/>
      <c r="AB121" s="93"/>
      <c r="AC121" s="93"/>
      <c r="AD121" s="93"/>
      <c r="AE121" s="93"/>
      <c r="AF121" s="93"/>
      <c r="AG121" s="93"/>
      <c r="AH121" s="93"/>
      <c r="AI121" s="93"/>
      <c r="AJ121" s="93"/>
      <c r="AK121" s="93"/>
      <c r="AL121" s="93"/>
      <c r="AM121" s="93"/>
      <c r="AN121" s="95"/>
      <c r="AO121" s="95"/>
      <c r="AP121" s="96"/>
    </row>
    <row r="122" spans="1:42" x14ac:dyDescent="0.25">
      <c r="A122" s="87" t="s">
        <v>577</v>
      </c>
      <c r="B122" s="88"/>
      <c r="C122" s="88"/>
      <c r="D122" s="88"/>
      <c r="E122" s="88"/>
      <c r="F122" s="88"/>
      <c r="G122" s="88"/>
      <c r="H122" s="88"/>
      <c r="I122" s="88"/>
      <c r="J122" s="88"/>
      <c r="K122" s="88"/>
      <c r="L122" s="88"/>
      <c r="M122" s="88"/>
      <c r="N122" s="88"/>
      <c r="O122" s="89"/>
      <c r="P122" s="88"/>
      <c r="Q122" s="88"/>
      <c r="R122" s="88"/>
      <c r="S122" s="88"/>
      <c r="T122" s="88"/>
      <c r="U122" s="88"/>
      <c r="V122" s="88">
        <v>0.2</v>
      </c>
      <c r="W122" s="88"/>
      <c r="X122" s="88"/>
      <c r="Y122" s="88"/>
      <c r="Z122" s="88"/>
      <c r="AA122" s="88"/>
      <c r="AB122" s="88"/>
      <c r="AC122" s="88"/>
      <c r="AD122" s="88"/>
      <c r="AE122" s="88"/>
      <c r="AF122" s="88"/>
      <c r="AG122" s="88"/>
      <c r="AH122" s="88"/>
      <c r="AI122" s="88"/>
      <c r="AJ122" s="88"/>
      <c r="AK122" s="88"/>
      <c r="AL122" s="88"/>
      <c r="AM122" s="88"/>
      <c r="AN122" s="90"/>
      <c r="AO122" s="90"/>
      <c r="AP122" s="91"/>
    </row>
    <row r="123" spans="1:42" x14ac:dyDescent="0.25">
      <c r="A123" s="92" t="s">
        <v>578</v>
      </c>
      <c r="B123" s="93"/>
      <c r="C123" s="93"/>
      <c r="D123" s="93"/>
      <c r="E123" s="93"/>
      <c r="F123" s="93"/>
      <c r="G123" s="93"/>
      <c r="H123" s="93"/>
      <c r="I123" s="93"/>
      <c r="J123" s="93"/>
      <c r="K123" s="93"/>
      <c r="L123" s="93"/>
      <c r="M123" s="93"/>
      <c r="N123" s="93"/>
      <c r="O123" s="94"/>
      <c r="P123" s="93"/>
      <c r="Q123" s="93"/>
      <c r="R123" s="93"/>
      <c r="S123" s="93"/>
      <c r="T123" s="93"/>
      <c r="U123" s="93"/>
      <c r="V123" s="93"/>
      <c r="W123" s="93"/>
      <c r="X123" s="93">
        <v>0.35</v>
      </c>
      <c r="Y123" s="93"/>
      <c r="Z123" s="93"/>
      <c r="AA123" s="93"/>
      <c r="AB123" s="93"/>
      <c r="AC123" s="93"/>
      <c r="AD123" s="93"/>
      <c r="AE123" s="93"/>
      <c r="AF123" s="93"/>
      <c r="AG123" s="93"/>
      <c r="AH123" s="93"/>
      <c r="AI123" s="93"/>
      <c r="AJ123" s="93"/>
      <c r="AK123" s="93"/>
      <c r="AL123" s="93"/>
      <c r="AM123" s="93"/>
      <c r="AN123" s="95"/>
      <c r="AO123" s="95"/>
      <c r="AP123" s="96"/>
    </row>
    <row r="124" spans="1:42" x14ac:dyDescent="0.25">
      <c r="A124" s="87" t="s">
        <v>579</v>
      </c>
      <c r="B124" s="88"/>
      <c r="C124" s="88"/>
      <c r="D124" s="88"/>
      <c r="E124" s="88"/>
      <c r="F124" s="88"/>
      <c r="G124" s="88"/>
      <c r="H124" s="88"/>
      <c r="I124" s="88"/>
      <c r="J124" s="88"/>
      <c r="K124" s="88"/>
      <c r="L124" s="88"/>
      <c r="M124" s="88"/>
      <c r="N124" s="88">
        <v>0.15</v>
      </c>
      <c r="O124" s="89"/>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90"/>
      <c r="AO124" s="90"/>
      <c r="AP124" s="91"/>
    </row>
    <row r="125" spans="1:42" x14ac:dyDescent="0.25">
      <c r="A125" s="92" t="s">
        <v>580</v>
      </c>
      <c r="B125" s="93"/>
      <c r="C125" s="93"/>
      <c r="D125" s="93"/>
      <c r="E125" s="93"/>
      <c r="F125" s="93"/>
      <c r="G125" s="93"/>
      <c r="H125" s="93"/>
      <c r="I125" s="93"/>
      <c r="J125" s="93"/>
      <c r="K125" s="93"/>
      <c r="L125" s="93"/>
      <c r="M125" s="93"/>
      <c r="N125" s="93"/>
      <c r="O125" s="94"/>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v>0.4</v>
      </c>
      <c r="AM125" s="93"/>
      <c r="AN125" s="95"/>
      <c r="AO125" s="95"/>
      <c r="AP125" s="96"/>
    </row>
    <row r="126" spans="1:42" x14ac:dyDescent="0.25">
      <c r="A126" s="87" t="s">
        <v>581</v>
      </c>
      <c r="B126" s="88"/>
      <c r="C126" s="88"/>
      <c r="D126" s="88"/>
      <c r="E126" s="88"/>
      <c r="F126" s="88"/>
      <c r="G126" s="88"/>
      <c r="H126" s="88"/>
      <c r="I126" s="88">
        <v>0.15</v>
      </c>
      <c r="J126" s="88"/>
      <c r="K126" s="88"/>
      <c r="L126" s="88"/>
      <c r="M126" s="88"/>
      <c r="N126" s="88"/>
      <c r="O126" s="89"/>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90"/>
      <c r="AO126" s="90"/>
      <c r="AP126" s="91"/>
    </row>
    <row r="127" spans="1:42" x14ac:dyDescent="0.25">
      <c r="A127" s="92" t="s">
        <v>582</v>
      </c>
      <c r="B127" s="93"/>
      <c r="C127" s="93"/>
      <c r="D127" s="93"/>
      <c r="E127" s="93"/>
      <c r="F127" s="93"/>
      <c r="G127" s="93"/>
      <c r="H127" s="93"/>
      <c r="I127" s="93"/>
      <c r="J127" s="93"/>
      <c r="K127" s="93"/>
      <c r="L127" s="93"/>
      <c r="M127" s="93"/>
      <c r="N127" s="93"/>
      <c r="O127" s="94">
        <v>80</v>
      </c>
      <c r="P127" s="93"/>
      <c r="Q127" s="93"/>
      <c r="R127" s="93"/>
      <c r="S127" s="93"/>
      <c r="T127" s="93"/>
      <c r="U127" s="93"/>
      <c r="V127" s="93"/>
      <c r="W127" s="93"/>
      <c r="X127" s="93"/>
      <c r="Y127" s="93"/>
      <c r="Z127" s="93"/>
      <c r="AA127" s="93"/>
      <c r="AB127" s="93"/>
      <c r="AC127" s="93"/>
      <c r="AD127" s="93"/>
      <c r="AE127" s="93"/>
      <c r="AF127" s="93"/>
      <c r="AG127" s="93"/>
      <c r="AH127" s="93"/>
      <c r="AI127" s="93"/>
      <c r="AJ127" s="93"/>
      <c r="AK127" s="93"/>
      <c r="AL127" s="93"/>
      <c r="AM127" s="93"/>
      <c r="AN127" s="95"/>
      <c r="AO127" s="95"/>
      <c r="AP127" s="96"/>
    </row>
    <row r="128" spans="1:42" x14ac:dyDescent="0.25">
      <c r="A128" s="87" t="s">
        <v>583</v>
      </c>
      <c r="B128" s="88"/>
      <c r="C128" s="88"/>
      <c r="D128" s="88"/>
      <c r="E128" s="88"/>
      <c r="F128" s="88"/>
      <c r="G128" s="88"/>
      <c r="H128" s="88"/>
      <c r="I128" s="88"/>
      <c r="J128" s="88"/>
      <c r="K128" s="88"/>
      <c r="L128" s="88">
        <v>0.15</v>
      </c>
      <c r="M128" s="88"/>
      <c r="N128" s="88"/>
      <c r="O128" s="89"/>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90"/>
      <c r="AO128" s="90"/>
      <c r="AP128" s="91"/>
    </row>
    <row r="129" spans="1:42" x14ac:dyDescent="0.25">
      <c r="A129" s="92" t="s">
        <v>584</v>
      </c>
      <c r="B129" s="93"/>
      <c r="C129" s="93"/>
      <c r="D129" s="93"/>
      <c r="E129" s="93"/>
      <c r="F129" s="93"/>
      <c r="G129" s="93"/>
      <c r="H129" s="93"/>
      <c r="I129" s="93"/>
      <c r="J129" s="93"/>
      <c r="K129" s="93"/>
      <c r="L129" s="93"/>
      <c r="M129" s="93">
        <v>0.15</v>
      </c>
      <c r="N129" s="93"/>
      <c r="O129" s="94"/>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5"/>
      <c r="AO129" s="95"/>
      <c r="AP129" s="96"/>
    </row>
    <row r="130" spans="1:42" x14ac:dyDescent="0.25">
      <c r="A130" s="87" t="s">
        <v>585</v>
      </c>
      <c r="B130" s="88"/>
      <c r="C130" s="88"/>
      <c r="D130" s="88"/>
      <c r="E130" s="88"/>
      <c r="F130" s="88"/>
      <c r="G130" s="88"/>
      <c r="H130" s="88">
        <v>0.25</v>
      </c>
      <c r="I130" s="88"/>
      <c r="J130" s="88"/>
      <c r="K130" s="88"/>
      <c r="L130" s="88"/>
      <c r="M130" s="88"/>
      <c r="N130" s="88"/>
      <c r="O130" s="89"/>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90"/>
      <c r="AO130" s="90"/>
      <c r="AP130" s="91"/>
    </row>
    <row r="131" spans="1:42" x14ac:dyDescent="0.25">
      <c r="A131" s="92" t="s">
        <v>586</v>
      </c>
      <c r="B131" s="93"/>
      <c r="C131" s="93"/>
      <c r="D131" s="93">
        <v>0.2</v>
      </c>
      <c r="E131" s="93"/>
      <c r="F131" s="93"/>
      <c r="G131" s="93"/>
      <c r="H131" s="93"/>
      <c r="I131" s="93"/>
      <c r="J131" s="93"/>
      <c r="K131" s="93"/>
      <c r="L131" s="93"/>
      <c r="M131" s="93"/>
      <c r="N131" s="93"/>
      <c r="O131" s="94"/>
      <c r="P131" s="93"/>
      <c r="Q131" s="93"/>
      <c r="R131" s="93"/>
      <c r="S131" s="93"/>
      <c r="T131" s="93"/>
      <c r="U131" s="93"/>
      <c r="V131" s="93"/>
      <c r="W131" s="93"/>
      <c r="X131" s="93"/>
      <c r="Y131" s="93"/>
      <c r="Z131" s="93"/>
      <c r="AA131" s="93"/>
      <c r="AB131" s="93"/>
      <c r="AC131" s="93"/>
      <c r="AD131" s="93"/>
      <c r="AE131" s="93"/>
      <c r="AF131" s="93"/>
      <c r="AG131" s="93"/>
      <c r="AH131" s="93"/>
      <c r="AI131" s="93"/>
      <c r="AJ131" s="93"/>
      <c r="AK131" s="93"/>
      <c r="AL131" s="93"/>
      <c r="AM131" s="93"/>
      <c r="AN131" s="95"/>
      <c r="AO131" s="95"/>
      <c r="AP131" s="96"/>
    </row>
    <row r="132" spans="1:42" x14ac:dyDescent="0.25">
      <c r="A132" s="87" t="s">
        <v>587</v>
      </c>
      <c r="B132" s="88">
        <v>0.18</v>
      </c>
      <c r="C132" s="88"/>
      <c r="D132" s="88"/>
      <c r="E132" s="88"/>
      <c r="F132" s="88"/>
      <c r="G132" s="88"/>
      <c r="H132" s="88"/>
      <c r="I132" s="88"/>
      <c r="J132" s="88"/>
      <c r="K132" s="88"/>
      <c r="L132" s="88"/>
      <c r="M132" s="88"/>
      <c r="N132" s="88"/>
      <c r="O132" s="89"/>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90"/>
      <c r="AO132" s="90"/>
      <c r="AP132" s="91"/>
    </row>
    <row r="133" spans="1:42" x14ac:dyDescent="0.25">
      <c r="A133" s="92" t="s">
        <v>588</v>
      </c>
      <c r="B133" s="93"/>
      <c r="C133" s="93"/>
      <c r="D133" s="93"/>
      <c r="E133" s="93"/>
      <c r="F133" s="93"/>
      <c r="G133" s="93">
        <v>0.2</v>
      </c>
      <c r="H133" s="93"/>
      <c r="I133" s="93"/>
      <c r="J133" s="93"/>
      <c r="K133" s="93"/>
      <c r="L133" s="93"/>
      <c r="M133" s="93"/>
      <c r="N133" s="93"/>
      <c r="O133" s="94"/>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5"/>
      <c r="AO133" s="95"/>
      <c r="AP133" s="96"/>
    </row>
    <row r="134" spans="1:42" x14ac:dyDescent="0.25">
      <c r="A134" s="87" t="s">
        <v>589</v>
      </c>
      <c r="B134" s="88"/>
      <c r="C134" s="88"/>
      <c r="D134" s="88"/>
      <c r="E134" s="88"/>
      <c r="F134" s="88"/>
      <c r="G134" s="88"/>
      <c r="H134" s="88"/>
      <c r="I134" s="88"/>
      <c r="J134" s="88"/>
      <c r="K134" s="88"/>
      <c r="L134" s="88"/>
      <c r="M134" s="88"/>
      <c r="N134" s="88"/>
      <c r="O134" s="89"/>
      <c r="P134" s="88"/>
      <c r="Q134" s="88">
        <v>0.15</v>
      </c>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90"/>
      <c r="AO134" s="90"/>
      <c r="AP134" s="91"/>
    </row>
    <row r="135" spans="1:42" x14ac:dyDescent="0.25">
      <c r="A135" s="92" t="s">
        <v>590</v>
      </c>
      <c r="B135" s="93"/>
      <c r="C135" s="93">
        <v>0.3</v>
      </c>
      <c r="D135" s="93"/>
      <c r="E135" s="93"/>
      <c r="F135" s="93"/>
      <c r="G135" s="93"/>
      <c r="H135" s="93"/>
      <c r="I135" s="93"/>
      <c r="J135" s="93"/>
      <c r="K135" s="93"/>
      <c r="L135" s="93"/>
      <c r="M135" s="93"/>
      <c r="N135" s="93"/>
      <c r="O135" s="94"/>
      <c r="P135" s="93"/>
      <c r="Q135" s="93"/>
      <c r="R135" s="93"/>
      <c r="S135" s="93"/>
      <c r="T135" s="93"/>
      <c r="U135" s="93"/>
      <c r="V135" s="93"/>
      <c r="W135" s="93"/>
      <c r="X135" s="93"/>
      <c r="Y135" s="93"/>
      <c r="Z135" s="93"/>
      <c r="AA135" s="93"/>
      <c r="AB135" s="93"/>
      <c r="AC135" s="93"/>
      <c r="AD135" s="93"/>
      <c r="AE135" s="93"/>
      <c r="AF135" s="93"/>
      <c r="AG135" s="93"/>
      <c r="AH135" s="93"/>
      <c r="AI135" s="93"/>
      <c r="AJ135" s="93"/>
      <c r="AK135" s="93"/>
      <c r="AL135" s="93"/>
      <c r="AM135" s="93"/>
      <c r="AN135" s="95"/>
      <c r="AO135" s="95"/>
      <c r="AP135" s="96"/>
    </row>
    <row r="136" spans="1:42" x14ac:dyDescent="0.25">
      <c r="A136" s="87" t="s">
        <v>591</v>
      </c>
      <c r="B136" s="88"/>
      <c r="C136" s="88"/>
      <c r="D136" s="88"/>
      <c r="E136" s="88"/>
      <c r="F136" s="88"/>
      <c r="G136" s="88"/>
      <c r="H136" s="88"/>
      <c r="I136" s="88"/>
      <c r="J136" s="88"/>
      <c r="K136" s="88">
        <f>IF(char3ArtiToggle, 35%, 0%)</f>
        <v>0</v>
      </c>
      <c r="L136" s="88">
        <f>IF(char3ArtiToggle, 35%, 0%)</f>
        <v>0</v>
      </c>
      <c r="M136" s="88">
        <f>IF(char3ArtiToggle, 35%, 0%)</f>
        <v>0</v>
      </c>
      <c r="N136" s="88">
        <f>IF(char3ArtiToggle, 35%, 0%)</f>
        <v>0</v>
      </c>
      <c r="O136" s="89"/>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90"/>
      <c r="AO136" s="90"/>
      <c r="AP136" s="91"/>
    </row>
    <row r="137" spans="1:42" x14ac:dyDescent="0.25">
      <c r="A137" s="92" t="s">
        <v>592</v>
      </c>
      <c r="B137" s="93"/>
      <c r="C137" s="93"/>
      <c r="D137" s="93"/>
      <c r="E137" s="93">
        <f>IF(char3ArtiToggle, 24%, 0%)</f>
        <v>0</v>
      </c>
      <c r="F137" s="93"/>
      <c r="G137" s="93"/>
      <c r="H137" s="93"/>
      <c r="I137" s="93"/>
      <c r="J137" s="93"/>
      <c r="K137" s="93"/>
      <c r="L137" s="93"/>
      <c r="M137" s="93"/>
      <c r="N137" s="93"/>
      <c r="O137" s="94"/>
      <c r="P137" s="93"/>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5"/>
      <c r="AO137" s="95"/>
      <c r="AP137" s="96"/>
    </row>
    <row r="138" spans="1:42" x14ac:dyDescent="0.25">
      <c r="A138" s="87" t="s">
        <v>593</v>
      </c>
      <c r="B138" s="88"/>
      <c r="C138" s="88"/>
      <c r="D138" s="88"/>
      <c r="E138" s="88"/>
      <c r="F138" s="88"/>
      <c r="G138" s="88"/>
      <c r="H138" s="88"/>
      <c r="I138" s="88"/>
      <c r="J138" s="88"/>
      <c r="K138" s="88"/>
      <c r="L138" s="88"/>
      <c r="M138" s="88"/>
      <c r="N138" s="88"/>
      <c r="O138" s="89"/>
      <c r="P138" s="88"/>
      <c r="Q138" s="88"/>
      <c r="R138" s="88"/>
      <c r="S138" s="88">
        <f>IF(char3ArtiToggle, 50%, 0%)</f>
        <v>0</v>
      </c>
      <c r="T138" s="88"/>
      <c r="U138" s="88"/>
      <c r="V138" s="88"/>
      <c r="W138" s="88"/>
      <c r="X138" s="88"/>
      <c r="Y138" s="88"/>
      <c r="Z138" s="88"/>
      <c r="AA138" s="88"/>
      <c r="AB138" s="88"/>
      <c r="AC138" s="88"/>
      <c r="AD138" s="88"/>
      <c r="AE138" s="88"/>
      <c r="AF138" s="88"/>
      <c r="AG138" s="88"/>
      <c r="AH138" s="88"/>
      <c r="AI138" s="88"/>
      <c r="AJ138" s="88"/>
      <c r="AK138" s="88"/>
      <c r="AL138" s="88"/>
      <c r="AM138" s="88"/>
      <c r="AN138" s="90"/>
      <c r="AO138" s="90"/>
      <c r="AP138" s="91"/>
    </row>
    <row r="139" spans="1:42" x14ac:dyDescent="0.25">
      <c r="A139" s="92" t="s">
        <v>594</v>
      </c>
      <c r="B139" s="93"/>
      <c r="C139" s="93"/>
      <c r="D139" s="93"/>
      <c r="E139" s="93"/>
      <c r="F139" s="93"/>
      <c r="G139" s="93"/>
      <c r="H139" s="93"/>
      <c r="I139" s="93"/>
      <c r="J139" s="93"/>
      <c r="K139" s="93"/>
      <c r="L139" s="93"/>
      <c r="M139" s="93"/>
      <c r="N139" s="93"/>
      <c r="O139" s="94"/>
      <c r="P139" s="93"/>
      <c r="Q139" s="93"/>
      <c r="R139" s="93"/>
      <c r="S139" s="93"/>
      <c r="T139" s="93"/>
      <c r="U139" s="93"/>
      <c r="V139" s="93"/>
      <c r="W139" s="93">
        <f>IF(char3ArtiToggle, 30%, 0%)</f>
        <v>0</v>
      </c>
      <c r="X139" s="93"/>
      <c r="Y139" s="93"/>
      <c r="Z139" s="93"/>
      <c r="AA139" s="93"/>
      <c r="AB139" s="93"/>
      <c r="AC139" s="93"/>
      <c r="AD139" s="93"/>
      <c r="AE139" s="93"/>
      <c r="AF139" s="93"/>
      <c r="AG139" s="93"/>
      <c r="AH139" s="93"/>
      <c r="AI139" s="93"/>
      <c r="AJ139" s="93"/>
      <c r="AK139" s="93"/>
      <c r="AL139" s="93"/>
      <c r="AM139" s="93"/>
      <c r="AN139" s="95"/>
      <c r="AO139" s="95"/>
      <c r="AP139" s="96"/>
    </row>
    <row r="140" spans="1:42" x14ac:dyDescent="0.25">
      <c r="A140" s="87" t="s">
        <v>595</v>
      </c>
      <c r="B140" s="88"/>
      <c r="C140" s="88"/>
      <c r="D140" s="88"/>
      <c r="E140" s="88"/>
      <c r="F140" s="88"/>
      <c r="G140" s="88"/>
      <c r="H140" s="88"/>
      <c r="I140" s="88"/>
      <c r="J140" s="88"/>
      <c r="K140" s="88">
        <f>char3ArtiStacks*(7.5%)</f>
        <v>0</v>
      </c>
      <c r="L140" s="88"/>
      <c r="M140" s="88"/>
      <c r="N140" s="88"/>
      <c r="O140" s="89"/>
      <c r="P140" s="88"/>
      <c r="Q140" s="88"/>
      <c r="R140" s="88"/>
      <c r="S140" s="88"/>
      <c r="T140" s="88"/>
      <c r="U140" s="88"/>
      <c r="V140" s="88"/>
      <c r="W140" s="88"/>
      <c r="X140" s="88"/>
      <c r="Y140" s="88"/>
      <c r="Z140" s="88">
        <v>0.4</v>
      </c>
      <c r="AA140" s="88"/>
      <c r="AB140" s="88"/>
      <c r="AC140" s="88"/>
      <c r="AD140" s="88">
        <v>0.15</v>
      </c>
      <c r="AE140" s="88">
        <v>0.15</v>
      </c>
      <c r="AF140" s="88"/>
      <c r="AG140" s="88"/>
      <c r="AH140" s="88"/>
      <c r="AI140" s="88"/>
      <c r="AJ140" s="88"/>
      <c r="AK140" s="88"/>
      <c r="AL140" s="88"/>
      <c r="AM140" s="88"/>
      <c r="AN140" s="90"/>
      <c r="AO140" s="90"/>
      <c r="AP140" s="91"/>
    </row>
    <row r="141" spans="1:42" x14ac:dyDescent="0.25">
      <c r="A141" s="92" t="s">
        <v>596</v>
      </c>
      <c r="B141" s="93"/>
      <c r="C141" s="93"/>
      <c r="D141" s="93"/>
      <c r="E141" s="93"/>
      <c r="F141" s="93"/>
      <c r="G141" s="93"/>
      <c r="H141" s="93"/>
      <c r="I141" s="93"/>
      <c r="J141" s="93"/>
      <c r="K141" s="93"/>
      <c r="L141" s="93"/>
      <c r="M141" s="93"/>
      <c r="N141" s="93"/>
      <c r="O141" s="94"/>
      <c r="P141" s="93"/>
      <c r="Q141" s="93"/>
      <c r="R141" s="93"/>
      <c r="S141" s="93"/>
      <c r="T141" s="93"/>
      <c r="U141" s="93"/>
      <c r="V141" s="93"/>
      <c r="W141" s="93"/>
      <c r="X141" s="93"/>
      <c r="Y141" s="93"/>
      <c r="Z141" s="93"/>
      <c r="AA141" s="93"/>
      <c r="AB141" s="93"/>
      <c r="AC141" s="93"/>
      <c r="AD141" s="93"/>
      <c r="AE141" s="93"/>
      <c r="AF141" s="93"/>
      <c r="AG141" s="93">
        <v>0.3</v>
      </c>
      <c r="AH141" s="93">
        <v>0.3</v>
      </c>
      <c r="AI141" s="93">
        <v>0.3</v>
      </c>
      <c r="AJ141" s="93">
        <v>0.3</v>
      </c>
      <c r="AK141" s="93">
        <v>0.3</v>
      </c>
      <c r="AL141" s="93">
        <v>0.3</v>
      </c>
      <c r="AM141" s="93"/>
      <c r="AN141" s="95"/>
      <c r="AO141" s="95"/>
      <c r="AP141" s="96"/>
    </row>
    <row r="142" spans="1:42" x14ac:dyDescent="0.25">
      <c r="A142" s="87" t="s">
        <v>597</v>
      </c>
      <c r="B142" s="88"/>
      <c r="C142" s="88"/>
      <c r="D142" s="88"/>
      <c r="E142" s="88"/>
      <c r="F142" s="88"/>
      <c r="G142" s="88"/>
      <c r="H142" s="88"/>
      <c r="I142" s="88"/>
      <c r="J142" s="88"/>
      <c r="K142" s="88"/>
      <c r="L142" s="88"/>
      <c r="M142" s="88"/>
      <c r="N142" s="88"/>
      <c r="O142" s="89"/>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90"/>
      <c r="AO142" s="90"/>
      <c r="AP142" s="91"/>
    </row>
    <row r="143" spans="1:42" x14ac:dyDescent="0.25">
      <c r="A143" s="92" t="s">
        <v>598</v>
      </c>
      <c r="B143" s="93"/>
      <c r="C143" s="93"/>
      <c r="D143" s="93"/>
      <c r="E143" s="93"/>
      <c r="F143" s="93"/>
      <c r="G143" s="93"/>
      <c r="H143" s="93"/>
      <c r="I143" s="93"/>
      <c r="J143" s="93"/>
      <c r="K143" s="93"/>
      <c r="L143" s="93"/>
      <c r="M143" s="93"/>
      <c r="N143" s="93"/>
      <c r="O143" s="94"/>
      <c r="P143" s="93"/>
      <c r="Q143" s="93"/>
      <c r="R143" s="93">
        <v>0.35</v>
      </c>
      <c r="S143" s="93"/>
      <c r="T143" s="93"/>
      <c r="U143" s="93"/>
      <c r="V143" s="93"/>
      <c r="W143" s="93"/>
      <c r="X143" s="93"/>
      <c r="Y143" s="93"/>
      <c r="Z143" s="93"/>
      <c r="AA143" s="93"/>
      <c r="AB143" s="93"/>
      <c r="AC143" s="93"/>
      <c r="AD143" s="93"/>
      <c r="AE143" s="93"/>
      <c r="AF143" s="93"/>
      <c r="AG143" s="93"/>
      <c r="AH143" s="93"/>
      <c r="AI143" s="93"/>
      <c r="AJ143" s="93"/>
      <c r="AK143" s="93"/>
      <c r="AL143" s="93"/>
      <c r="AM143" s="93"/>
      <c r="AN143" s="95"/>
      <c r="AO143" s="95"/>
      <c r="AP143" s="96"/>
    </row>
    <row r="144" spans="1:42" x14ac:dyDescent="0.25">
      <c r="A144" s="87" t="s">
        <v>599</v>
      </c>
      <c r="B144" s="88"/>
      <c r="C144" s="88"/>
      <c r="D144" s="88"/>
      <c r="E144" s="88"/>
      <c r="F144" s="88"/>
      <c r="G144" s="88"/>
      <c r="H144" s="88"/>
      <c r="I144" s="88"/>
      <c r="J144" s="88"/>
      <c r="K144" s="88"/>
      <c r="L144" s="88"/>
      <c r="M144" s="88"/>
      <c r="N144" s="88"/>
      <c r="O144" s="89">
        <f>IF(char3ArtiToggle, 120, 0)</f>
        <v>0</v>
      </c>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90"/>
      <c r="AO144" s="90"/>
      <c r="AP144" s="91"/>
    </row>
    <row r="145" spans="1:42" x14ac:dyDescent="0.25">
      <c r="A145" s="92" t="s">
        <v>600</v>
      </c>
      <c r="B145" s="93"/>
      <c r="C145" s="93"/>
      <c r="D145" s="93"/>
      <c r="E145" s="93"/>
      <c r="F145" s="93"/>
      <c r="G145" s="93"/>
      <c r="H145" s="93">
        <f t="shared" ref="H145:N145" si="2">IF(char3ArtiToggle, 35%, 0)</f>
        <v>0</v>
      </c>
      <c r="I145" s="93">
        <f t="shared" si="2"/>
        <v>0</v>
      </c>
      <c r="J145" s="93">
        <f t="shared" si="2"/>
        <v>0</v>
      </c>
      <c r="K145" s="93">
        <f t="shared" si="2"/>
        <v>0</v>
      </c>
      <c r="L145" s="93">
        <f t="shared" si="2"/>
        <v>0</v>
      </c>
      <c r="M145" s="93">
        <f t="shared" si="2"/>
        <v>0</v>
      </c>
      <c r="N145" s="93">
        <f t="shared" si="2"/>
        <v>0</v>
      </c>
      <c r="O145" s="94"/>
      <c r="P145" s="93"/>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5"/>
      <c r="AO145" s="95"/>
      <c r="AP145" s="96"/>
    </row>
    <row r="146" spans="1:42" x14ac:dyDescent="0.25">
      <c r="A146" s="87" t="s">
        <v>601</v>
      </c>
      <c r="B146" s="88"/>
      <c r="C146" s="88"/>
      <c r="D146" s="88"/>
      <c r="E146" s="88"/>
      <c r="F146" s="88"/>
      <c r="G146" s="88"/>
      <c r="H146" s="88"/>
      <c r="I146" s="88"/>
      <c r="J146" s="88"/>
      <c r="K146" s="88"/>
      <c r="L146" s="88"/>
      <c r="M146" s="88"/>
      <c r="N146" s="88"/>
      <c r="O146" s="89"/>
      <c r="P146" s="88">
        <v>0.2</v>
      </c>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90"/>
      <c r="AO146" s="90"/>
      <c r="AP146" s="91"/>
    </row>
    <row r="147" spans="1:42" x14ac:dyDescent="0.25">
      <c r="A147" s="92" t="s">
        <v>602</v>
      </c>
      <c r="B147" s="93"/>
      <c r="C147" s="93"/>
      <c r="D147" s="93"/>
      <c r="E147" s="93"/>
      <c r="F147" s="93"/>
      <c r="G147" s="93"/>
      <c r="H147" s="93"/>
      <c r="I147" s="93"/>
      <c r="J147" s="93"/>
      <c r="K147" s="93"/>
      <c r="L147" s="93"/>
      <c r="M147" s="93"/>
      <c r="N147" s="93"/>
      <c r="O147" s="94"/>
      <c r="P147" s="93"/>
      <c r="Q147" s="93"/>
      <c r="R147" s="93">
        <f>IF(char3ArtiToggle, 25%, 0)</f>
        <v>0</v>
      </c>
      <c r="S147" s="93">
        <f>IF(char3ArtiToggle, 25%, 0)</f>
        <v>0</v>
      </c>
      <c r="T147" s="93"/>
      <c r="U147" s="93"/>
      <c r="V147" s="93"/>
      <c r="W147" s="93"/>
      <c r="X147" s="93"/>
      <c r="Y147" s="93"/>
      <c r="Z147" s="93"/>
      <c r="AA147" s="93"/>
      <c r="AB147" s="93"/>
      <c r="AC147" s="93"/>
      <c r="AD147" s="93"/>
      <c r="AE147" s="93"/>
      <c r="AF147" s="93"/>
      <c r="AG147" s="93"/>
      <c r="AH147" s="93"/>
      <c r="AI147" s="93"/>
      <c r="AJ147" s="93"/>
      <c r="AK147" s="93"/>
      <c r="AL147" s="93"/>
      <c r="AM147" s="93"/>
      <c r="AN147" s="95"/>
      <c r="AO147" s="95"/>
      <c r="AP147" s="96"/>
    </row>
    <row r="148" spans="1:42" x14ac:dyDescent="0.25">
      <c r="A148" s="87" t="s">
        <v>603</v>
      </c>
      <c r="B148" s="88">
        <f>IF(char3ArtiToggle, 20%, 0)</f>
        <v>0</v>
      </c>
      <c r="C148" s="88"/>
      <c r="D148" s="88"/>
      <c r="E148" s="88"/>
      <c r="F148" s="88"/>
      <c r="G148" s="88"/>
      <c r="H148" s="88"/>
      <c r="I148" s="88"/>
      <c r="J148" s="88"/>
      <c r="K148" s="88"/>
      <c r="L148" s="88"/>
      <c r="M148" s="88"/>
      <c r="N148" s="88"/>
      <c r="O148" s="89"/>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90"/>
      <c r="AO148" s="90"/>
      <c r="AP148" s="91"/>
    </row>
    <row r="149" spans="1:42" x14ac:dyDescent="0.25">
      <c r="A149" s="92" t="s">
        <v>604</v>
      </c>
      <c r="B149" s="93"/>
      <c r="C149" s="93"/>
      <c r="D149" s="93"/>
      <c r="E149" s="93"/>
      <c r="F149" s="93"/>
      <c r="G149" s="93"/>
      <c r="H149" s="93"/>
      <c r="I149" s="93"/>
      <c r="J149" s="93"/>
      <c r="K149" s="93"/>
      <c r="L149" s="93"/>
      <c r="M149" s="93"/>
      <c r="N149" s="93"/>
      <c r="O149" s="94"/>
      <c r="P149" s="93"/>
      <c r="Q149" s="93"/>
      <c r="R149" s="93">
        <f>IF(char3ArtiToggle, 40%, 0)</f>
        <v>0</v>
      </c>
      <c r="S149" s="93">
        <f>IF(char3ArtiToggle, 40%, 0)</f>
        <v>0</v>
      </c>
      <c r="T149" s="93"/>
      <c r="U149" s="93"/>
      <c r="V149" s="93"/>
      <c r="W149" s="93"/>
      <c r="X149" s="93"/>
      <c r="Y149" s="93"/>
      <c r="Z149" s="93"/>
      <c r="AA149" s="93"/>
      <c r="AB149" s="93"/>
      <c r="AC149" s="93"/>
      <c r="AD149" s="93"/>
      <c r="AE149" s="93"/>
      <c r="AF149" s="93"/>
      <c r="AG149" s="93"/>
      <c r="AH149" s="93"/>
      <c r="AI149" s="93"/>
      <c r="AJ149" s="93"/>
      <c r="AK149" s="93"/>
      <c r="AL149" s="93"/>
      <c r="AM149" s="93"/>
      <c r="AN149" s="95"/>
      <c r="AO149" s="95"/>
      <c r="AP149" s="96"/>
    </row>
    <row r="150" spans="1:42" x14ac:dyDescent="0.25">
      <c r="A150" s="87" t="s">
        <v>605</v>
      </c>
      <c r="B150" s="88" t="s">
        <v>423</v>
      </c>
      <c r="C150" s="88"/>
      <c r="D150" s="88"/>
      <c r="E150" s="88"/>
      <c r="F150" s="88"/>
      <c r="G150" s="88"/>
      <c r="H150" s="88"/>
      <c r="I150" s="88"/>
      <c r="J150" s="88"/>
      <c r="K150" s="88"/>
      <c r="L150" s="88"/>
      <c r="M150" s="88"/>
      <c r="N150" s="88"/>
      <c r="O150" s="89"/>
      <c r="P150" s="88"/>
      <c r="Q150" s="88"/>
      <c r="R150" s="88"/>
      <c r="S150" s="88"/>
      <c r="T150" s="88"/>
      <c r="U150" s="88"/>
      <c r="V150" s="88"/>
      <c r="W150" s="88"/>
      <c r="X150" s="88"/>
      <c r="Y150" s="88"/>
      <c r="Z150" s="88">
        <v>0.4</v>
      </c>
      <c r="AA150" s="88"/>
      <c r="AB150" s="88">
        <v>0.4</v>
      </c>
      <c r="AC150" s="88">
        <v>0.4</v>
      </c>
      <c r="AD150" s="88"/>
      <c r="AE150" s="88"/>
      <c r="AF150" s="88"/>
      <c r="AG150" s="88"/>
      <c r="AH150" s="88"/>
      <c r="AI150" s="88"/>
      <c r="AJ150" s="88"/>
      <c r="AK150" s="88"/>
      <c r="AL150" s="88"/>
      <c r="AM150" s="88"/>
      <c r="AN150" s="90"/>
      <c r="AO150" s="90"/>
      <c r="AP150" s="91"/>
    </row>
    <row r="151" spans="1:42" x14ac:dyDescent="0.25">
      <c r="A151" s="92" t="s">
        <v>606</v>
      </c>
      <c r="B151" s="93"/>
      <c r="C151" s="93"/>
      <c r="D151" s="93"/>
      <c r="E151" s="93"/>
      <c r="F151" s="93"/>
      <c r="G151" s="93"/>
      <c r="H151" s="93"/>
      <c r="I151" s="93"/>
      <c r="J151" s="93"/>
      <c r="K151" s="93"/>
      <c r="L151" s="93"/>
      <c r="M151" s="93"/>
      <c r="N151" s="93"/>
      <c r="O151" s="94"/>
      <c r="P151" s="93"/>
      <c r="Q151" s="93"/>
      <c r="R151" s="93"/>
      <c r="S151" s="93"/>
      <c r="T151" s="93"/>
      <c r="U151" s="93"/>
      <c r="V151" s="93"/>
      <c r="W151" s="93">
        <f>IF(char3ArtiToggle, 35%, 0)</f>
        <v>0</v>
      </c>
      <c r="X151" s="93"/>
      <c r="Y151" s="93"/>
      <c r="Z151" s="93"/>
      <c r="AA151" s="93"/>
      <c r="AB151" s="93"/>
      <c r="AC151" s="93"/>
      <c r="AD151" s="93"/>
      <c r="AE151" s="93"/>
      <c r="AF151" s="93"/>
      <c r="AG151" s="93"/>
      <c r="AH151" s="93"/>
      <c r="AI151" s="93"/>
      <c r="AJ151" s="93"/>
      <c r="AK151" s="93"/>
      <c r="AL151" s="93"/>
      <c r="AM151" s="93"/>
      <c r="AN151" s="95"/>
      <c r="AO151" s="95"/>
      <c r="AP151" s="96"/>
    </row>
    <row r="152" spans="1:42" x14ac:dyDescent="0.25">
      <c r="A152" s="87" t="s">
        <v>607</v>
      </c>
      <c r="B152" s="88"/>
      <c r="C152" s="88"/>
      <c r="D152" s="88"/>
      <c r="E152" s="88"/>
      <c r="F152" s="88"/>
      <c r="G152" s="88"/>
      <c r="H152" s="88"/>
      <c r="I152" s="88"/>
      <c r="J152" s="88"/>
      <c r="K152" s="88"/>
      <c r="L152" s="88"/>
      <c r="M152" s="88"/>
      <c r="N152" s="88"/>
      <c r="O152" s="89"/>
      <c r="P152" s="88"/>
      <c r="Q152" s="88"/>
      <c r="R152" s="88"/>
      <c r="S152" s="88"/>
      <c r="T152" s="88"/>
      <c r="U152" s="88"/>
      <c r="V152" s="88"/>
      <c r="W152" s="88"/>
      <c r="X152" s="88"/>
      <c r="Y152" s="88">
        <v>0.6</v>
      </c>
      <c r="Z152" s="88"/>
      <c r="AA152" s="88"/>
      <c r="AB152" s="88"/>
      <c r="AC152" s="88"/>
      <c r="AD152" s="88"/>
      <c r="AE152" s="88"/>
      <c r="AF152" s="88"/>
      <c r="AG152" s="88"/>
      <c r="AH152" s="88"/>
      <c r="AI152" s="88"/>
      <c r="AJ152" s="88"/>
      <c r="AK152" s="88"/>
      <c r="AL152" s="88"/>
      <c r="AM152" s="88"/>
      <c r="AN152" s="90"/>
      <c r="AO152" s="90"/>
      <c r="AP152" s="91"/>
    </row>
    <row r="153" spans="1:42" x14ac:dyDescent="0.25">
      <c r="A153" s="92" t="s">
        <v>608</v>
      </c>
      <c r="B153" s="93"/>
      <c r="C153" s="93"/>
      <c r="D153" s="93"/>
      <c r="E153" s="93"/>
      <c r="F153" s="93"/>
      <c r="G153" s="93"/>
      <c r="H153" s="93"/>
      <c r="I153" s="93"/>
      <c r="J153" s="93"/>
      <c r="K153" s="93"/>
      <c r="L153" s="93"/>
      <c r="M153" s="93"/>
      <c r="N153" s="93"/>
      <c r="O153" s="94"/>
      <c r="P153" s="93"/>
      <c r="Q153" s="93"/>
      <c r="R153" s="93"/>
      <c r="S153" s="93">
        <f>IF(char3ArtiToggle, 35%, 0)</f>
        <v>0</v>
      </c>
      <c r="T153" s="93"/>
      <c r="U153" s="93"/>
      <c r="V153" s="93"/>
      <c r="W153" s="93"/>
      <c r="X153" s="93"/>
      <c r="Y153" s="93"/>
      <c r="Z153" s="93"/>
      <c r="AA153" s="93"/>
      <c r="AB153" s="93"/>
      <c r="AC153" s="93"/>
      <c r="AD153" s="93"/>
      <c r="AE153" s="93"/>
      <c r="AF153" s="93"/>
      <c r="AG153" s="93"/>
      <c r="AH153" s="93"/>
      <c r="AI153" s="93"/>
      <c r="AJ153" s="93"/>
      <c r="AK153" s="93"/>
      <c r="AL153" s="93"/>
      <c r="AM153" s="93"/>
      <c r="AN153" s="95"/>
      <c r="AO153" s="95"/>
      <c r="AP153" s="96"/>
    </row>
    <row r="154" spans="1:42" x14ac:dyDescent="0.25">
      <c r="A154" s="87" t="s">
        <v>609</v>
      </c>
      <c r="B154" s="88"/>
      <c r="C154" s="88"/>
      <c r="D154" s="88"/>
      <c r="E154" s="88">
        <f>char3ArtiStacks*(20%)</f>
        <v>0</v>
      </c>
      <c r="F154" s="88"/>
      <c r="G154" s="88"/>
      <c r="H154" s="88"/>
      <c r="I154" s="88"/>
      <c r="J154" s="88"/>
      <c r="K154" s="88"/>
      <c r="L154" s="88"/>
      <c r="M154" s="88"/>
      <c r="N154" s="88"/>
      <c r="O154" s="89"/>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90"/>
      <c r="AO154" s="90"/>
      <c r="AP154" s="91"/>
    </row>
    <row r="155" spans="1:42" x14ac:dyDescent="0.25">
      <c r="A155" s="92" t="s">
        <v>610</v>
      </c>
      <c r="B155" s="93"/>
      <c r="C155" s="93"/>
      <c r="D155" s="93"/>
      <c r="E155" s="93"/>
      <c r="F155" s="93"/>
      <c r="G155" s="93"/>
      <c r="H155" s="93"/>
      <c r="I155" s="93"/>
      <c r="J155" s="93"/>
      <c r="K155" s="93"/>
      <c r="L155" s="93"/>
      <c r="M155" s="93"/>
      <c r="N155" s="93"/>
      <c r="O155" s="94"/>
      <c r="P155" s="93"/>
      <c r="Q155" s="93"/>
      <c r="R155" s="93">
        <f>IF(char3ArtiToggle, 30%, 0)</f>
        <v>0</v>
      </c>
      <c r="S155" s="93">
        <f>IF(char3ArtiToggle, 30%, 0)</f>
        <v>0</v>
      </c>
      <c r="T155" s="93"/>
      <c r="U155" s="93"/>
      <c r="V155" s="93"/>
      <c r="W155" s="93"/>
      <c r="X155" s="93"/>
      <c r="Y155" s="93"/>
      <c r="Z155" s="93"/>
      <c r="AA155" s="93"/>
      <c r="AB155" s="93"/>
      <c r="AC155" s="93"/>
      <c r="AD155" s="93"/>
      <c r="AE155" s="93"/>
      <c r="AF155" s="93"/>
      <c r="AG155" s="93"/>
      <c r="AH155" s="93"/>
      <c r="AI155" s="93"/>
      <c r="AJ155" s="93"/>
      <c r="AK155" s="93"/>
      <c r="AL155" s="93"/>
      <c r="AM155" s="93"/>
      <c r="AN155" s="95"/>
      <c r="AO155" s="95"/>
      <c r="AP155" s="96"/>
    </row>
    <row r="156" spans="1:42" x14ac:dyDescent="0.25">
      <c r="A156" s="87" t="s">
        <v>611</v>
      </c>
      <c r="B156" s="88">
        <f>char3ArtiStacks*9%</f>
        <v>0</v>
      </c>
      <c r="C156" s="88"/>
      <c r="D156" s="88"/>
      <c r="E156" s="88"/>
      <c r="F156" s="88"/>
      <c r="G156" s="88"/>
      <c r="H156" s="88">
        <f>IF(char3ArtiStacks=2, 25%, 0)</f>
        <v>0</v>
      </c>
      <c r="I156" s="88"/>
      <c r="J156" s="88"/>
      <c r="K156" s="88"/>
      <c r="L156" s="88"/>
      <c r="M156" s="88"/>
      <c r="N156" s="88"/>
      <c r="O156" s="89"/>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90"/>
      <c r="AO156" s="90"/>
      <c r="AP156" s="91"/>
    </row>
    <row r="157" spans="1:42" x14ac:dyDescent="0.25">
      <c r="A157" s="92" t="s">
        <v>612</v>
      </c>
      <c r="B157" s="93">
        <f>IF(char3ArtiToggle, 20%, 0)</f>
        <v>0</v>
      </c>
      <c r="C157" s="93"/>
      <c r="D157" s="93"/>
      <c r="E157" s="93"/>
      <c r="F157" s="93"/>
      <c r="G157" s="93"/>
      <c r="H157" s="93"/>
      <c r="I157" s="93"/>
      <c r="J157" s="93"/>
      <c r="K157" s="93"/>
      <c r="L157" s="93"/>
      <c r="M157" s="93"/>
      <c r="N157" s="93"/>
      <c r="O157" s="94"/>
      <c r="P157" s="93"/>
      <c r="Q157" s="93"/>
      <c r="R157" s="93"/>
      <c r="S157" s="93"/>
      <c r="T157" s="93"/>
      <c r="U157" s="93"/>
      <c r="V157" s="93"/>
      <c r="W157" s="93"/>
      <c r="X157" s="93">
        <f>IF(char3ArtiToggle, 30%, 0)</f>
        <v>0</v>
      </c>
      <c r="Y157" s="93"/>
      <c r="Z157" s="93"/>
      <c r="AA157" s="93"/>
      <c r="AB157" s="93"/>
      <c r="AC157" s="93"/>
      <c r="AD157" s="93"/>
      <c r="AE157" s="93"/>
      <c r="AF157" s="93"/>
      <c r="AG157" s="93"/>
      <c r="AH157" s="93"/>
      <c r="AI157" s="93"/>
      <c r="AJ157" s="93"/>
      <c r="AK157" s="93"/>
      <c r="AL157" s="93"/>
      <c r="AM157" s="93"/>
      <c r="AN157" s="95"/>
      <c r="AO157" s="95"/>
      <c r="AP157" s="96"/>
    </row>
    <row r="158" spans="1:42" x14ac:dyDescent="0.25">
      <c r="A158" s="87" t="s">
        <v>613</v>
      </c>
      <c r="B158" s="88"/>
      <c r="C158" s="88"/>
      <c r="D158" s="88"/>
      <c r="E158" s="88"/>
      <c r="F158" s="88"/>
      <c r="G158" s="88"/>
      <c r="H158" s="88"/>
      <c r="I158" s="88"/>
      <c r="J158" s="88"/>
      <c r="K158" s="88"/>
      <c r="L158" s="88"/>
      <c r="M158" s="88"/>
      <c r="N158" s="88"/>
      <c r="O158" s="89"/>
      <c r="P158" s="88"/>
      <c r="Q158" s="88"/>
      <c r="R158" s="88">
        <f>IF(char3ArtiToggle, 50%, 0)</f>
        <v>0</v>
      </c>
      <c r="S158" s="88">
        <f>IF(char3ArtiToggle, 50%, 0)</f>
        <v>0</v>
      </c>
      <c r="T158" s="88">
        <f>IF(char3ArtiToggle, 50%, 0)</f>
        <v>0</v>
      </c>
      <c r="U158" s="88"/>
      <c r="V158" s="88"/>
      <c r="W158" s="88"/>
      <c r="X158" s="88"/>
      <c r="Y158" s="88"/>
      <c r="Z158" s="88"/>
      <c r="AA158" s="88"/>
      <c r="AB158" s="88"/>
      <c r="AC158" s="88"/>
      <c r="AD158" s="88"/>
      <c r="AE158" s="88"/>
      <c r="AF158" s="88"/>
      <c r="AG158" s="88"/>
      <c r="AH158" s="88"/>
      <c r="AI158" s="88"/>
      <c r="AJ158" s="88"/>
      <c r="AK158" s="88"/>
      <c r="AL158" s="88"/>
      <c r="AM158" s="88"/>
      <c r="AN158" s="90"/>
      <c r="AO158" s="90"/>
      <c r="AP158" s="91"/>
    </row>
    <row r="159" spans="1:42" x14ac:dyDescent="0.25">
      <c r="A159" s="92" t="s">
        <v>614</v>
      </c>
      <c r="B159" s="93"/>
      <c r="C159" s="93"/>
      <c r="D159" s="93"/>
      <c r="E159" s="93"/>
      <c r="F159" s="93"/>
      <c r="G159" s="93"/>
      <c r="H159" s="93"/>
      <c r="I159" s="93"/>
      <c r="J159" s="93"/>
      <c r="K159" s="93"/>
      <c r="L159" s="93"/>
      <c r="M159" s="93"/>
      <c r="N159" s="93"/>
      <c r="O159" s="94"/>
      <c r="P159" s="93"/>
      <c r="Q159" s="93"/>
      <c r="R159" s="93"/>
      <c r="S159" s="93"/>
      <c r="T159" s="93"/>
      <c r="U159" s="93"/>
      <c r="V159" s="93">
        <f ca="1">IF(char3FinalER*25%&gt;75%, 75%,char3FinalER*25%)</f>
        <v>0.426425</v>
      </c>
      <c r="W159" s="93"/>
      <c r="X159" s="93"/>
      <c r="Y159" s="93"/>
      <c r="Z159" s="93"/>
      <c r="AA159" s="93"/>
      <c r="AB159" s="93"/>
      <c r="AC159" s="93"/>
      <c r="AD159" s="93"/>
      <c r="AE159" s="93"/>
      <c r="AF159" s="93"/>
      <c r="AG159" s="93"/>
      <c r="AH159" s="93"/>
      <c r="AI159" s="93"/>
      <c r="AJ159" s="93"/>
      <c r="AK159" s="93"/>
      <c r="AL159" s="93"/>
      <c r="AM159" s="93"/>
      <c r="AN159" s="95"/>
      <c r="AO159" s="95"/>
      <c r="AP159" s="96"/>
    </row>
    <row r="160" spans="1:42" x14ac:dyDescent="0.25">
      <c r="A160" s="87" t="s">
        <v>615</v>
      </c>
      <c r="B160" s="88"/>
      <c r="C160" s="88"/>
      <c r="D160" s="88"/>
      <c r="E160" s="88"/>
      <c r="F160" s="88"/>
      <c r="G160" s="88"/>
      <c r="H160" s="88"/>
      <c r="I160" s="88"/>
      <c r="J160" s="88"/>
      <c r="K160" s="88"/>
      <c r="L160" s="88"/>
      <c r="M160" s="88"/>
      <c r="N160" s="88"/>
      <c r="O160" s="89"/>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90"/>
      <c r="AO160" s="90"/>
      <c r="AP160" s="91"/>
    </row>
    <row r="161" spans="1:42" x14ac:dyDescent="0.25">
      <c r="A161" s="82" t="s">
        <v>616</v>
      </c>
      <c r="B161" s="97"/>
      <c r="C161" s="97">
        <f>6%*char3ArtiStacks</f>
        <v>0</v>
      </c>
      <c r="D161" s="97"/>
      <c r="E161" s="97"/>
      <c r="F161" s="97"/>
      <c r="G161" s="97"/>
      <c r="H161" s="97"/>
      <c r="I161" s="97"/>
      <c r="J161" s="97">
        <f>6%*char3ArtiStacks</f>
        <v>0</v>
      </c>
      <c r="K161" s="97"/>
      <c r="L161" s="97"/>
      <c r="M161" s="97"/>
      <c r="N161" s="97"/>
      <c r="O161" s="98"/>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c r="AM161" s="97"/>
      <c r="AN161" s="99"/>
      <c r="AO161" s="99"/>
      <c r="AP161" s="100"/>
    </row>
    <row r="163" spans="1:42" x14ac:dyDescent="0.25">
      <c r="A163" s="83" t="s">
        <v>564</v>
      </c>
      <c r="B163" s="84" t="s">
        <v>65</v>
      </c>
      <c r="C163" s="84" t="s">
        <v>66</v>
      </c>
      <c r="D163" s="85" t="s">
        <v>67</v>
      </c>
      <c r="E163" s="84" t="s">
        <v>408</v>
      </c>
      <c r="F163" s="84" t="s">
        <v>409</v>
      </c>
      <c r="G163" s="84" t="s">
        <v>68</v>
      </c>
      <c r="H163" s="84" t="s">
        <v>70</v>
      </c>
      <c r="I163" s="85" t="s">
        <v>71</v>
      </c>
      <c r="J163" s="84" t="s">
        <v>72</v>
      </c>
      <c r="K163" s="85" t="s">
        <v>73</v>
      </c>
      <c r="L163" s="85" t="s">
        <v>74</v>
      </c>
      <c r="M163" s="85" t="s">
        <v>75</v>
      </c>
      <c r="N163" s="85" t="s">
        <v>76</v>
      </c>
      <c r="O163" s="85" t="s">
        <v>69</v>
      </c>
      <c r="P163" s="85" t="s">
        <v>452</v>
      </c>
      <c r="Q163" s="85" t="s">
        <v>422</v>
      </c>
      <c r="R163" s="85" t="s">
        <v>77</v>
      </c>
      <c r="S163" s="85" t="s">
        <v>78</v>
      </c>
      <c r="T163" s="85" t="s">
        <v>79</v>
      </c>
      <c r="U163" s="85" t="s">
        <v>80</v>
      </c>
      <c r="V163" s="85" t="s">
        <v>81</v>
      </c>
      <c r="W163" s="84" t="s">
        <v>82</v>
      </c>
      <c r="X163" s="84" t="s">
        <v>453</v>
      </c>
      <c r="Y163" s="84" t="s">
        <v>83</v>
      </c>
      <c r="Z163" s="84" t="s">
        <v>84</v>
      </c>
      <c r="AA163" s="84" t="s">
        <v>85</v>
      </c>
      <c r="AB163" s="84" t="s">
        <v>87</v>
      </c>
      <c r="AC163" s="84" t="s">
        <v>86</v>
      </c>
      <c r="AD163" s="84" t="s">
        <v>88</v>
      </c>
      <c r="AE163" s="84" t="s">
        <v>89</v>
      </c>
      <c r="AF163" s="84" t="s">
        <v>90</v>
      </c>
      <c r="AG163" s="84" t="s">
        <v>454</v>
      </c>
      <c r="AH163" s="84" t="s">
        <v>455</v>
      </c>
      <c r="AI163" s="84" t="s">
        <v>456</v>
      </c>
      <c r="AJ163" s="84" t="s">
        <v>457</v>
      </c>
      <c r="AK163" s="84" t="s">
        <v>458</v>
      </c>
      <c r="AL163" s="84" t="s">
        <v>459</v>
      </c>
      <c r="AM163" s="84" t="s">
        <v>460</v>
      </c>
      <c r="AN163" s="85" t="s">
        <v>62</v>
      </c>
      <c r="AO163" s="85" t="s">
        <v>64</v>
      </c>
      <c r="AP163" s="86" t="s">
        <v>63</v>
      </c>
    </row>
    <row r="164" spans="1:42" x14ac:dyDescent="0.25">
      <c r="A164" s="87" t="s">
        <v>565</v>
      </c>
      <c r="B164" s="88"/>
      <c r="C164" s="88"/>
      <c r="D164" s="88"/>
      <c r="E164" s="88"/>
      <c r="F164" s="88"/>
      <c r="G164" s="88"/>
      <c r="H164" s="88"/>
      <c r="I164" s="88"/>
      <c r="J164" s="88">
        <v>0.15</v>
      </c>
      <c r="K164" s="88"/>
      <c r="L164" s="88"/>
      <c r="M164" s="88"/>
      <c r="N164" s="88"/>
      <c r="O164" s="89"/>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90"/>
      <c r="AO164" s="90"/>
      <c r="AP164" s="91"/>
    </row>
    <row r="165" spans="1:42" x14ac:dyDescent="0.25">
      <c r="A165" s="92" t="s">
        <v>566</v>
      </c>
      <c r="B165" s="93"/>
      <c r="C165" s="93"/>
      <c r="D165" s="93"/>
      <c r="E165" s="93">
        <v>0.12</v>
      </c>
      <c r="F165" s="93"/>
      <c r="G165" s="93"/>
      <c r="H165" s="93"/>
      <c r="I165" s="93"/>
      <c r="J165" s="93"/>
      <c r="K165" s="93"/>
      <c r="L165" s="93"/>
      <c r="M165" s="93"/>
      <c r="N165" s="93"/>
      <c r="O165" s="94"/>
      <c r="P165" s="93"/>
      <c r="Q165" s="93"/>
      <c r="R165" s="93"/>
      <c r="S165" s="93"/>
      <c r="T165" s="93"/>
      <c r="U165" s="93"/>
      <c r="V165" s="93"/>
      <c r="W165" s="93"/>
      <c r="X165" s="93"/>
      <c r="Y165" s="93"/>
      <c r="Z165" s="93"/>
      <c r="AA165" s="93"/>
      <c r="AB165" s="93"/>
      <c r="AC165" s="93"/>
      <c r="AD165" s="93"/>
      <c r="AE165" s="93"/>
      <c r="AF165" s="93"/>
      <c r="AG165" s="93"/>
      <c r="AH165" s="93"/>
      <c r="AI165" s="93"/>
      <c r="AJ165" s="93"/>
      <c r="AK165" s="93"/>
      <c r="AL165" s="93"/>
      <c r="AM165" s="93"/>
      <c r="AN165" s="95"/>
      <c r="AO165" s="95"/>
      <c r="AP165" s="96"/>
    </row>
    <row r="166" spans="1:42" x14ac:dyDescent="0.25">
      <c r="A166" s="87" t="s">
        <v>567</v>
      </c>
      <c r="B166" s="88"/>
      <c r="C166" s="88"/>
      <c r="D166" s="88"/>
      <c r="E166" s="88"/>
      <c r="F166" s="88"/>
      <c r="G166" s="88"/>
      <c r="H166" s="88">
        <v>0.25</v>
      </c>
      <c r="I166" s="88"/>
      <c r="J166" s="88"/>
      <c r="K166" s="88"/>
      <c r="L166" s="88"/>
      <c r="M166" s="88"/>
      <c r="N166" s="88"/>
      <c r="O166" s="89"/>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90"/>
      <c r="AO166" s="90"/>
      <c r="AP166" s="91"/>
    </row>
    <row r="167" spans="1:42" x14ac:dyDescent="0.25">
      <c r="A167" s="92" t="s">
        <v>568</v>
      </c>
      <c r="B167" s="93">
        <v>0.18</v>
      </c>
      <c r="C167" s="93"/>
      <c r="D167" s="93"/>
      <c r="E167" s="93"/>
      <c r="F167" s="93"/>
      <c r="G167" s="93"/>
      <c r="H167" s="93"/>
      <c r="I167" s="93"/>
      <c r="J167" s="93"/>
      <c r="K167" s="93"/>
      <c r="L167" s="93"/>
      <c r="M167" s="93"/>
      <c r="N167" s="93"/>
      <c r="O167" s="94"/>
      <c r="P167" s="93"/>
      <c r="Q167" s="93"/>
      <c r="R167" s="93"/>
      <c r="S167" s="93"/>
      <c r="T167" s="93"/>
      <c r="U167" s="93"/>
      <c r="V167" s="93"/>
      <c r="W167" s="93"/>
      <c r="X167" s="93"/>
      <c r="Y167" s="93"/>
      <c r="Z167" s="93"/>
      <c r="AA167" s="93"/>
      <c r="AB167" s="93"/>
      <c r="AC167" s="93"/>
      <c r="AD167" s="93"/>
      <c r="AE167" s="93"/>
      <c r="AF167" s="93"/>
      <c r="AG167" s="93"/>
      <c r="AH167" s="93"/>
      <c r="AI167" s="93"/>
      <c r="AJ167" s="93"/>
      <c r="AK167" s="93"/>
      <c r="AL167" s="93"/>
      <c r="AM167" s="93"/>
      <c r="AN167" s="95"/>
      <c r="AO167" s="95"/>
      <c r="AP167" s="96"/>
    </row>
    <row r="168" spans="1:42" x14ac:dyDescent="0.25">
      <c r="A168" s="87" t="s">
        <v>569</v>
      </c>
      <c r="B168" s="88"/>
      <c r="C168" s="88"/>
      <c r="D168" s="88"/>
      <c r="E168" s="88"/>
      <c r="F168" s="88"/>
      <c r="G168" s="88"/>
      <c r="H168" s="88"/>
      <c r="I168" s="88"/>
      <c r="J168" s="88"/>
      <c r="K168" s="88">
        <v>0.15</v>
      </c>
      <c r="L168" s="88"/>
      <c r="M168" s="88"/>
      <c r="N168" s="88"/>
      <c r="O168" s="89"/>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90"/>
      <c r="AO168" s="90"/>
      <c r="AP168" s="91"/>
    </row>
    <row r="169" spans="1:42" x14ac:dyDescent="0.25">
      <c r="A169" s="92" t="s">
        <v>570</v>
      </c>
      <c r="B169" s="93"/>
      <c r="C169" s="93">
        <v>0.3</v>
      </c>
      <c r="D169" s="93"/>
      <c r="E169" s="93"/>
      <c r="F169" s="93"/>
      <c r="G169" s="93"/>
      <c r="H169" s="93"/>
      <c r="I169" s="93"/>
      <c r="J169" s="93"/>
      <c r="K169" s="93"/>
      <c r="L169" s="93"/>
      <c r="M169" s="93"/>
      <c r="N169" s="93"/>
      <c r="O169" s="94"/>
      <c r="P169" s="93"/>
      <c r="Q169" s="93"/>
      <c r="R169" s="93"/>
      <c r="S169" s="93"/>
      <c r="T169" s="93"/>
      <c r="U169" s="93"/>
      <c r="V169" s="93"/>
      <c r="W169" s="93"/>
      <c r="X169" s="93"/>
      <c r="Y169" s="93"/>
      <c r="Z169" s="93"/>
      <c r="AA169" s="93"/>
      <c r="AB169" s="93"/>
      <c r="AC169" s="93"/>
      <c r="AD169" s="93"/>
      <c r="AE169" s="93"/>
      <c r="AF169" s="93"/>
      <c r="AG169" s="93"/>
      <c r="AH169" s="93"/>
      <c r="AI169" s="93"/>
      <c r="AJ169" s="93"/>
      <c r="AK169" s="93"/>
      <c r="AL169" s="93"/>
      <c r="AM169" s="93"/>
      <c r="AN169" s="95"/>
      <c r="AO169" s="95"/>
      <c r="AP169" s="96"/>
    </row>
    <row r="170" spans="1:42" x14ac:dyDescent="0.25">
      <c r="A170" s="87" t="s">
        <v>571</v>
      </c>
      <c r="B170" s="88"/>
      <c r="C170" s="88"/>
      <c r="D170" s="88"/>
      <c r="E170" s="88"/>
      <c r="F170" s="88"/>
      <c r="G170" s="88"/>
      <c r="H170" s="88"/>
      <c r="I170" s="88"/>
      <c r="J170" s="88"/>
      <c r="K170" s="88"/>
      <c r="L170" s="88"/>
      <c r="M170" s="88"/>
      <c r="N170" s="88"/>
      <c r="O170" s="89"/>
      <c r="P170" s="88"/>
      <c r="Q170" s="88"/>
      <c r="R170" s="88"/>
      <c r="S170" s="88"/>
      <c r="T170" s="88"/>
      <c r="U170" s="88">
        <v>0.2</v>
      </c>
      <c r="V170" s="88"/>
      <c r="W170" s="88"/>
      <c r="X170" s="88"/>
      <c r="Y170" s="88"/>
      <c r="Z170" s="88"/>
      <c r="AA170" s="88"/>
      <c r="AB170" s="88"/>
      <c r="AC170" s="88"/>
      <c r="AD170" s="88"/>
      <c r="AE170" s="88"/>
      <c r="AF170" s="88"/>
      <c r="AG170" s="88"/>
      <c r="AH170" s="88"/>
      <c r="AI170" s="88"/>
      <c r="AJ170" s="88"/>
      <c r="AK170" s="88"/>
      <c r="AL170" s="88"/>
      <c r="AM170" s="88"/>
      <c r="AN170" s="90"/>
      <c r="AO170" s="90"/>
      <c r="AP170" s="91"/>
    </row>
    <row r="171" spans="1:42" x14ac:dyDescent="0.25">
      <c r="A171" s="92" t="s">
        <v>572</v>
      </c>
      <c r="B171" s="93">
        <v>0.18</v>
      </c>
      <c r="C171" s="93"/>
      <c r="D171" s="93"/>
      <c r="E171" s="93"/>
      <c r="F171" s="93"/>
      <c r="G171" s="93"/>
      <c r="H171" s="93"/>
      <c r="I171" s="93"/>
      <c r="J171" s="93"/>
      <c r="K171" s="93"/>
      <c r="L171" s="93"/>
      <c r="M171" s="93"/>
      <c r="N171" s="93"/>
      <c r="O171" s="94"/>
      <c r="P171" s="93"/>
      <c r="Q171" s="93"/>
      <c r="R171" s="93"/>
      <c r="S171" s="93"/>
      <c r="T171" s="93"/>
      <c r="U171" s="93"/>
      <c r="V171" s="93"/>
      <c r="W171" s="93"/>
      <c r="X171" s="93"/>
      <c r="Y171" s="93"/>
      <c r="Z171" s="93"/>
      <c r="AA171" s="93"/>
      <c r="AB171" s="93"/>
      <c r="AC171" s="93"/>
      <c r="AD171" s="93"/>
      <c r="AE171" s="93"/>
      <c r="AF171" s="93"/>
      <c r="AG171" s="93"/>
      <c r="AH171" s="93"/>
      <c r="AI171" s="93"/>
      <c r="AJ171" s="93"/>
      <c r="AK171" s="93"/>
      <c r="AL171" s="93"/>
      <c r="AM171" s="93"/>
      <c r="AN171" s="95"/>
      <c r="AO171" s="95"/>
      <c r="AP171" s="96"/>
    </row>
    <row r="172" spans="1:42" x14ac:dyDescent="0.25">
      <c r="A172" s="87" t="s">
        <v>573</v>
      </c>
      <c r="B172" s="88"/>
      <c r="C172" s="88"/>
      <c r="D172" s="88"/>
      <c r="E172" s="88"/>
      <c r="F172" s="88"/>
      <c r="G172" s="88"/>
      <c r="H172" s="88"/>
      <c r="I172" s="88"/>
      <c r="J172" s="88"/>
      <c r="K172" s="88"/>
      <c r="L172" s="88"/>
      <c r="M172" s="88"/>
      <c r="N172" s="88"/>
      <c r="O172" s="89">
        <v>80</v>
      </c>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90"/>
      <c r="AO172" s="90"/>
      <c r="AP172" s="91"/>
    </row>
    <row r="173" spans="1:42" x14ac:dyDescent="0.25">
      <c r="A173" s="92" t="s">
        <v>574</v>
      </c>
      <c r="B173" s="93"/>
      <c r="C173" s="93"/>
      <c r="D173" s="93"/>
      <c r="E173" s="93"/>
      <c r="F173" s="93"/>
      <c r="G173" s="93"/>
      <c r="H173" s="93"/>
      <c r="I173" s="93"/>
      <c r="J173" s="93"/>
      <c r="K173" s="93"/>
      <c r="L173" s="93"/>
      <c r="M173" s="93"/>
      <c r="N173" s="93"/>
      <c r="O173" s="94"/>
      <c r="P173" s="93"/>
      <c r="Q173" s="93"/>
      <c r="R173" s="93"/>
      <c r="S173" s="93"/>
      <c r="T173" s="93"/>
      <c r="U173" s="93"/>
      <c r="V173" s="93"/>
      <c r="W173" s="93"/>
      <c r="X173" s="93"/>
      <c r="Y173" s="93"/>
      <c r="Z173" s="93"/>
      <c r="AA173" s="93"/>
      <c r="AB173" s="93"/>
      <c r="AC173" s="93"/>
      <c r="AD173" s="93"/>
      <c r="AE173" s="93"/>
      <c r="AF173" s="93"/>
      <c r="AG173" s="93"/>
      <c r="AH173" s="93"/>
      <c r="AI173" s="93">
        <v>0.4</v>
      </c>
      <c r="AJ173" s="93"/>
      <c r="AK173" s="93"/>
      <c r="AL173" s="93"/>
      <c r="AM173" s="93"/>
      <c r="AN173" s="95"/>
      <c r="AO173" s="95"/>
      <c r="AP173" s="96"/>
    </row>
    <row r="174" spans="1:42" x14ac:dyDescent="0.25">
      <c r="A174" s="87" t="s">
        <v>575</v>
      </c>
      <c r="B174" s="88"/>
      <c r="C174" s="88"/>
      <c r="D174" s="88"/>
      <c r="E174" s="88"/>
      <c r="F174" s="88"/>
      <c r="G174" s="88"/>
      <c r="H174" s="88"/>
      <c r="I174" s="88"/>
      <c r="J174" s="88"/>
      <c r="K174" s="88"/>
      <c r="L174" s="88"/>
      <c r="M174" s="88"/>
      <c r="N174" s="88"/>
      <c r="O174" s="89"/>
      <c r="P174" s="88"/>
      <c r="Q174" s="88">
        <v>0.15</v>
      </c>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90"/>
      <c r="AO174" s="90"/>
      <c r="AP174" s="91"/>
    </row>
    <row r="175" spans="1:42" x14ac:dyDescent="0.25">
      <c r="A175" s="92" t="s">
        <v>576</v>
      </c>
      <c r="B175" s="93"/>
      <c r="C175" s="93"/>
      <c r="D175" s="93"/>
      <c r="E175" s="93"/>
      <c r="F175" s="93"/>
      <c r="G175" s="93"/>
      <c r="H175" s="93"/>
      <c r="I175" s="93"/>
      <c r="J175" s="93"/>
      <c r="K175" s="93"/>
      <c r="L175" s="93"/>
      <c r="M175" s="93"/>
      <c r="N175" s="93"/>
      <c r="O175" s="94"/>
      <c r="P175" s="93"/>
      <c r="Q175" s="93"/>
      <c r="R175" s="93">
        <v>0.15</v>
      </c>
      <c r="S175" s="93">
        <v>0.15</v>
      </c>
      <c r="T175" s="93"/>
      <c r="U175" s="93"/>
      <c r="V175" s="93"/>
      <c r="W175" s="93"/>
      <c r="X175" s="93"/>
      <c r="Y175" s="93"/>
      <c r="Z175" s="93"/>
      <c r="AA175" s="93"/>
      <c r="AB175" s="93"/>
      <c r="AC175" s="93"/>
      <c r="AD175" s="93"/>
      <c r="AE175" s="93"/>
      <c r="AF175" s="93"/>
      <c r="AG175" s="93"/>
      <c r="AH175" s="93"/>
      <c r="AI175" s="93"/>
      <c r="AJ175" s="93"/>
      <c r="AK175" s="93"/>
      <c r="AL175" s="93"/>
      <c r="AM175" s="93"/>
      <c r="AN175" s="95"/>
      <c r="AO175" s="95"/>
      <c r="AP175" s="96"/>
    </row>
    <row r="176" spans="1:42" x14ac:dyDescent="0.25">
      <c r="A176" s="87" t="s">
        <v>577</v>
      </c>
      <c r="B176" s="88"/>
      <c r="C176" s="88"/>
      <c r="D176" s="88"/>
      <c r="E176" s="88"/>
      <c r="F176" s="88"/>
      <c r="G176" s="88"/>
      <c r="H176" s="88"/>
      <c r="I176" s="88"/>
      <c r="J176" s="88"/>
      <c r="K176" s="88"/>
      <c r="L176" s="88"/>
      <c r="M176" s="88"/>
      <c r="N176" s="88"/>
      <c r="O176" s="89"/>
      <c r="P176" s="88"/>
      <c r="Q176" s="88"/>
      <c r="R176" s="88"/>
      <c r="S176" s="88"/>
      <c r="T176" s="88"/>
      <c r="U176" s="88"/>
      <c r="V176" s="88">
        <v>0.2</v>
      </c>
      <c r="W176" s="88"/>
      <c r="X176" s="88"/>
      <c r="Y176" s="88"/>
      <c r="Z176" s="88"/>
      <c r="AA176" s="88"/>
      <c r="AB176" s="88"/>
      <c r="AC176" s="88"/>
      <c r="AD176" s="88"/>
      <c r="AE176" s="88"/>
      <c r="AF176" s="88"/>
      <c r="AG176" s="88"/>
      <c r="AH176" s="88"/>
      <c r="AI176" s="88"/>
      <c r="AJ176" s="88"/>
      <c r="AK176" s="88"/>
      <c r="AL176" s="88"/>
      <c r="AM176" s="88"/>
      <c r="AN176" s="90"/>
      <c r="AO176" s="90"/>
      <c r="AP176" s="91"/>
    </row>
    <row r="177" spans="1:42" x14ac:dyDescent="0.25">
      <c r="A177" s="92" t="s">
        <v>578</v>
      </c>
      <c r="B177" s="93"/>
      <c r="C177" s="93"/>
      <c r="D177" s="93"/>
      <c r="E177" s="93"/>
      <c r="F177" s="93"/>
      <c r="G177" s="93"/>
      <c r="H177" s="93"/>
      <c r="I177" s="93"/>
      <c r="J177" s="93"/>
      <c r="K177" s="93"/>
      <c r="L177" s="93"/>
      <c r="M177" s="93"/>
      <c r="N177" s="93"/>
      <c r="O177" s="94"/>
      <c r="P177" s="93"/>
      <c r="Q177" s="93"/>
      <c r="R177" s="93"/>
      <c r="S177" s="93"/>
      <c r="T177" s="93"/>
      <c r="U177" s="93"/>
      <c r="V177" s="93"/>
      <c r="W177" s="93"/>
      <c r="X177" s="93">
        <v>0.35</v>
      </c>
      <c r="Y177" s="93"/>
      <c r="Z177" s="93"/>
      <c r="AA177" s="93"/>
      <c r="AB177" s="93"/>
      <c r="AC177" s="93"/>
      <c r="AD177" s="93"/>
      <c r="AE177" s="93"/>
      <c r="AF177" s="93"/>
      <c r="AG177" s="93"/>
      <c r="AH177" s="93"/>
      <c r="AI177" s="93"/>
      <c r="AJ177" s="93"/>
      <c r="AK177" s="93"/>
      <c r="AL177" s="93"/>
      <c r="AM177" s="93"/>
      <c r="AN177" s="95"/>
      <c r="AO177" s="95"/>
      <c r="AP177" s="96"/>
    </row>
    <row r="178" spans="1:42" x14ac:dyDescent="0.25">
      <c r="A178" s="87" t="s">
        <v>579</v>
      </c>
      <c r="B178" s="88"/>
      <c r="C178" s="88"/>
      <c r="D178" s="88"/>
      <c r="E178" s="88"/>
      <c r="F178" s="88"/>
      <c r="G178" s="88"/>
      <c r="H178" s="88"/>
      <c r="I178" s="88"/>
      <c r="J178" s="88"/>
      <c r="K178" s="88"/>
      <c r="L178" s="88"/>
      <c r="M178" s="88"/>
      <c r="N178" s="88">
        <v>0.15</v>
      </c>
      <c r="O178" s="89"/>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90"/>
      <c r="AO178" s="90"/>
      <c r="AP178" s="91"/>
    </row>
    <row r="179" spans="1:42" x14ac:dyDescent="0.25">
      <c r="A179" s="92" t="s">
        <v>580</v>
      </c>
      <c r="B179" s="93"/>
      <c r="C179" s="93"/>
      <c r="D179" s="93"/>
      <c r="E179" s="93"/>
      <c r="F179" s="93"/>
      <c r="G179" s="93"/>
      <c r="H179" s="93"/>
      <c r="I179" s="93"/>
      <c r="J179" s="93"/>
      <c r="K179" s="93"/>
      <c r="L179" s="93"/>
      <c r="M179" s="93"/>
      <c r="N179" s="93"/>
      <c r="O179" s="94"/>
      <c r="P179" s="93"/>
      <c r="Q179" s="93"/>
      <c r="R179" s="93"/>
      <c r="S179" s="93"/>
      <c r="T179" s="93"/>
      <c r="U179" s="93"/>
      <c r="V179" s="93"/>
      <c r="W179" s="93"/>
      <c r="X179" s="93"/>
      <c r="Y179" s="93"/>
      <c r="Z179" s="93"/>
      <c r="AA179" s="93"/>
      <c r="AB179" s="93"/>
      <c r="AC179" s="93"/>
      <c r="AD179" s="93"/>
      <c r="AE179" s="93"/>
      <c r="AF179" s="93"/>
      <c r="AG179" s="93"/>
      <c r="AH179" s="93"/>
      <c r="AI179" s="93"/>
      <c r="AJ179" s="93"/>
      <c r="AK179" s="93"/>
      <c r="AL179" s="93">
        <v>0.4</v>
      </c>
      <c r="AM179" s="93"/>
      <c r="AN179" s="95"/>
      <c r="AO179" s="95"/>
      <c r="AP179" s="96"/>
    </row>
    <row r="180" spans="1:42" x14ac:dyDescent="0.25">
      <c r="A180" s="87" t="s">
        <v>581</v>
      </c>
      <c r="B180" s="88"/>
      <c r="C180" s="88"/>
      <c r="D180" s="88"/>
      <c r="E180" s="88"/>
      <c r="F180" s="88"/>
      <c r="G180" s="88"/>
      <c r="H180" s="88"/>
      <c r="I180" s="88">
        <v>0.15</v>
      </c>
      <c r="J180" s="88"/>
      <c r="K180" s="88"/>
      <c r="L180" s="88"/>
      <c r="M180" s="88"/>
      <c r="N180" s="88"/>
      <c r="O180" s="89"/>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90"/>
      <c r="AO180" s="90"/>
      <c r="AP180" s="91"/>
    </row>
    <row r="181" spans="1:42" x14ac:dyDescent="0.25">
      <c r="A181" s="92" t="s">
        <v>582</v>
      </c>
      <c r="B181" s="93"/>
      <c r="C181" s="93"/>
      <c r="D181" s="93"/>
      <c r="E181" s="93"/>
      <c r="F181" s="93"/>
      <c r="G181" s="93"/>
      <c r="H181" s="93"/>
      <c r="I181" s="93"/>
      <c r="J181" s="93"/>
      <c r="K181" s="93"/>
      <c r="L181" s="93"/>
      <c r="M181" s="93"/>
      <c r="N181" s="93"/>
      <c r="O181" s="94">
        <v>80</v>
      </c>
      <c r="P181" s="93"/>
      <c r="Q181" s="93"/>
      <c r="R181" s="93"/>
      <c r="S181" s="93"/>
      <c r="T181" s="93"/>
      <c r="U181" s="93"/>
      <c r="V181" s="93"/>
      <c r="W181" s="93"/>
      <c r="X181" s="93"/>
      <c r="Y181" s="93"/>
      <c r="Z181" s="93"/>
      <c r="AA181" s="93"/>
      <c r="AB181" s="93"/>
      <c r="AC181" s="93"/>
      <c r="AD181" s="93"/>
      <c r="AE181" s="93"/>
      <c r="AF181" s="93"/>
      <c r="AG181" s="93"/>
      <c r="AH181" s="93"/>
      <c r="AI181" s="93"/>
      <c r="AJ181" s="93"/>
      <c r="AK181" s="93"/>
      <c r="AL181" s="93"/>
      <c r="AM181" s="93"/>
      <c r="AN181" s="95"/>
      <c r="AO181" s="95"/>
      <c r="AP181" s="96"/>
    </row>
    <row r="182" spans="1:42" x14ac:dyDescent="0.25">
      <c r="A182" s="87" t="s">
        <v>583</v>
      </c>
      <c r="B182" s="88"/>
      <c r="C182" s="88"/>
      <c r="D182" s="88"/>
      <c r="E182" s="88"/>
      <c r="F182" s="88"/>
      <c r="G182" s="88"/>
      <c r="H182" s="88"/>
      <c r="I182" s="88"/>
      <c r="J182" s="88"/>
      <c r="K182" s="88"/>
      <c r="L182" s="88">
        <v>0.15</v>
      </c>
      <c r="M182" s="88"/>
      <c r="N182" s="88"/>
      <c r="O182" s="89"/>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90"/>
      <c r="AO182" s="90"/>
      <c r="AP182" s="91"/>
    </row>
    <row r="183" spans="1:42" x14ac:dyDescent="0.25">
      <c r="A183" s="92" t="s">
        <v>584</v>
      </c>
      <c r="B183" s="93"/>
      <c r="C183" s="93"/>
      <c r="D183" s="93"/>
      <c r="E183" s="93"/>
      <c r="F183" s="93"/>
      <c r="G183" s="93"/>
      <c r="H183" s="93"/>
      <c r="I183" s="93"/>
      <c r="J183" s="93"/>
      <c r="K183" s="93"/>
      <c r="L183" s="93"/>
      <c r="M183" s="93">
        <v>0.15</v>
      </c>
      <c r="N183" s="93"/>
      <c r="O183" s="94"/>
      <c r="P183" s="93"/>
      <c r="Q183" s="93"/>
      <c r="R183" s="93"/>
      <c r="S183" s="93"/>
      <c r="T183" s="93"/>
      <c r="U183" s="93"/>
      <c r="V183" s="93"/>
      <c r="W183" s="93"/>
      <c r="X183" s="93"/>
      <c r="Y183" s="93"/>
      <c r="Z183" s="93"/>
      <c r="AA183" s="93"/>
      <c r="AB183" s="93"/>
      <c r="AC183" s="93"/>
      <c r="AD183" s="93"/>
      <c r="AE183" s="93"/>
      <c r="AF183" s="93"/>
      <c r="AG183" s="93"/>
      <c r="AH183" s="93"/>
      <c r="AI183" s="93"/>
      <c r="AJ183" s="93"/>
      <c r="AK183" s="93"/>
      <c r="AL183" s="93"/>
      <c r="AM183" s="93"/>
      <c r="AN183" s="95"/>
      <c r="AO183" s="95"/>
      <c r="AP183" s="96"/>
    </row>
    <row r="184" spans="1:42" x14ac:dyDescent="0.25">
      <c r="A184" s="87" t="s">
        <v>585</v>
      </c>
      <c r="B184" s="88"/>
      <c r="C184" s="88"/>
      <c r="D184" s="88"/>
      <c r="E184" s="88"/>
      <c r="F184" s="88"/>
      <c r="G184" s="88"/>
      <c r="H184" s="88">
        <v>0.25</v>
      </c>
      <c r="I184" s="88"/>
      <c r="J184" s="88"/>
      <c r="K184" s="88"/>
      <c r="L184" s="88"/>
      <c r="M184" s="88"/>
      <c r="N184" s="88"/>
      <c r="O184" s="89"/>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90"/>
      <c r="AO184" s="90"/>
      <c r="AP184" s="91"/>
    </row>
    <row r="185" spans="1:42" x14ac:dyDescent="0.25">
      <c r="A185" s="92" t="s">
        <v>586</v>
      </c>
      <c r="B185" s="93"/>
      <c r="C185" s="93"/>
      <c r="D185" s="93">
        <v>0.2</v>
      </c>
      <c r="E185" s="93"/>
      <c r="F185" s="93"/>
      <c r="G185" s="93"/>
      <c r="H185" s="93"/>
      <c r="I185" s="93"/>
      <c r="J185" s="93"/>
      <c r="K185" s="93"/>
      <c r="L185" s="93"/>
      <c r="M185" s="93"/>
      <c r="N185" s="93"/>
      <c r="O185" s="94"/>
      <c r="P185" s="93"/>
      <c r="Q185" s="93"/>
      <c r="R185" s="93"/>
      <c r="S185" s="93"/>
      <c r="T185" s="93"/>
      <c r="U185" s="93"/>
      <c r="V185" s="93"/>
      <c r="W185" s="93"/>
      <c r="X185" s="93"/>
      <c r="Y185" s="93"/>
      <c r="Z185" s="93"/>
      <c r="AA185" s="93"/>
      <c r="AB185" s="93"/>
      <c r="AC185" s="93"/>
      <c r="AD185" s="93"/>
      <c r="AE185" s="93"/>
      <c r="AF185" s="93"/>
      <c r="AG185" s="93"/>
      <c r="AH185" s="93"/>
      <c r="AI185" s="93"/>
      <c r="AJ185" s="93"/>
      <c r="AK185" s="93"/>
      <c r="AL185" s="93"/>
      <c r="AM185" s="93"/>
      <c r="AN185" s="95"/>
      <c r="AO185" s="95"/>
      <c r="AP185" s="96"/>
    </row>
    <row r="186" spans="1:42" x14ac:dyDescent="0.25">
      <c r="A186" s="87" t="s">
        <v>587</v>
      </c>
      <c r="B186" s="88">
        <v>0.18</v>
      </c>
      <c r="C186" s="88"/>
      <c r="D186" s="88"/>
      <c r="E186" s="88"/>
      <c r="F186" s="88"/>
      <c r="G186" s="88"/>
      <c r="H186" s="88"/>
      <c r="I186" s="88"/>
      <c r="J186" s="88"/>
      <c r="K186" s="88"/>
      <c r="L186" s="88"/>
      <c r="M186" s="88"/>
      <c r="N186" s="88"/>
      <c r="O186" s="89"/>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90"/>
      <c r="AO186" s="90"/>
      <c r="AP186" s="91"/>
    </row>
    <row r="187" spans="1:42" x14ac:dyDescent="0.25">
      <c r="A187" s="92" t="s">
        <v>588</v>
      </c>
      <c r="B187" s="93"/>
      <c r="C187" s="93"/>
      <c r="D187" s="93"/>
      <c r="E187" s="93"/>
      <c r="F187" s="93"/>
      <c r="G187" s="93">
        <v>0.2</v>
      </c>
      <c r="H187" s="93"/>
      <c r="I187" s="93"/>
      <c r="J187" s="93"/>
      <c r="K187" s="93"/>
      <c r="L187" s="93"/>
      <c r="M187" s="93"/>
      <c r="N187" s="93"/>
      <c r="O187" s="94"/>
      <c r="P187" s="93"/>
      <c r="Q187" s="93"/>
      <c r="R187" s="93"/>
      <c r="S187" s="93"/>
      <c r="T187" s="93"/>
      <c r="U187" s="93"/>
      <c r="V187" s="93"/>
      <c r="W187" s="93"/>
      <c r="X187" s="93"/>
      <c r="Y187" s="93"/>
      <c r="Z187" s="93"/>
      <c r="AA187" s="93"/>
      <c r="AB187" s="93"/>
      <c r="AC187" s="93"/>
      <c r="AD187" s="93"/>
      <c r="AE187" s="93"/>
      <c r="AF187" s="93"/>
      <c r="AG187" s="93"/>
      <c r="AH187" s="93"/>
      <c r="AI187" s="93"/>
      <c r="AJ187" s="93"/>
      <c r="AK187" s="93"/>
      <c r="AL187" s="93"/>
      <c r="AM187" s="93"/>
      <c r="AN187" s="95"/>
      <c r="AO187" s="95"/>
      <c r="AP187" s="96"/>
    </row>
    <row r="188" spans="1:42" x14ac:dyDescent="0.25">
      <c r="A188" s="87" t="s">
        <v>589</v>
      </c>
      <c r="B188" s="88"/>
      <c r="C188" s="88"/>
      <c r="D188" s="88"/>
      <c r="E188" s="88"/>
      <c r="F188" s="88"/>
      <c r="G188" s="88"/>
      <c r="H188" s="88"/>
      <c r="I188" s="88"/>
      <c r="J188" s="88"/>
      <c r="K188" s="88"/>
      <c r="L188" s="88"/>
      <c r="M188" s="88"/>
      <c r="N188" s="88"/>
      <c r="O188" s="89"/>
      <c r="P188" s="88"/>
      <c r="Q188" s="88">
        <v>0.15</v>
      </c>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90"/>
      <c r="AO188" s="90"/>
      <c r="AP188" s="91"/>
    </row>
    <row r="189" spans="1:42" x14ac:dyDescent="0.25">
      <c r="A189" s="92" t="s">
        <v>590</v>
      </c>
      <c r="B189" s="93"/>
      <c r="C189" s="93">
        <v>0.3</v>
      </c>
      <c r="D189" s="93"/>
      <c r="E189" s="93"/>
      <c r="F189" s="93"/>
      <c r="G189" s="93"/>
      <c r="H189" s="93"/>
      <c r="I189" s="93"/>
      <c r="J189" s="93"/>
      <c r="K189" s="93"/>
      <c r="L189" s="93"/>
      <c r="M189" s="93"/>
      <c r="N189" s="93"/>
      <c r="O189" s="94"/>
      <c r="P189" s="93"/>
      <c r="Q189" s="93"/>
      <c r="R189" s="93"/>
      <c r="S189" s="93"/>
      <c r="T189" s="93"/>
      <c r="U189" s="93"/>
      <c r="V189" s="93"/>
      <c r="W189" s="93"/>
      <c r="X189" s="93"/>
      <c r="Y189" s="93"/>
      <c r="Z189" s="93"/>
      <c r="AA189" s="93"/>
      <c r="AB189" s="93"/>
      <c r="AC189" s="93"/>
      <c r="AD189" s="93"/>
      <c r="AE189" s="93"/>
      <c r="AF189" s="93"/>
      <c r="AG189" s="93"/>
      <c r="AH189" s="93"/>
      <c r="AI189" s="93"/>
      <c r="AJ189" s="93"/>
      <c r="AK189" s="93"/>
      <c r="AL189" s="93"/>
      <c r="AM189" s="93"/>
      <c r="AN189" s="95"/>
      <c r="AO189" s="95"/>
      <c r="AP189" s="96"/>
    </row>
    <row r="190" spans="1:42" x14ac:dyDescent="0.25">
      <c r="A190" s="87" t="s">
        <v>591</v>
      </c>
      <c r="B190" s="88"/>
      <c r="C190" s="88"/>
      <c r="D190" s="88"/>
      <c r="E190" s="88"/>
      <c r="F190" s="88"/>
      <c r="G190" s="88"/>
      <c r="H190" s="88"/>
      <c r="I190" s="88"/>
      <c r="J190" s="88"/>
      <c r="K190" s="88">
        <f>IF(char4ArtiToggle, 35%, 0%)</f>
        <v>0.35</v>
      </c>
      <c r="L190" s="88">
        <f>IF(char4ArtiToggle, 35%, 0%)</f>
        <v>0.35</v>
      </c>
      <c r="M190" s="88">
        <f>IF(char4ArtiToggle, 35%, 0%)</f>
        <v>0.35</v>
      </c>
      <c r="N190" s="88">
        <f>IF(char4ArtiToggle, 35%, 0%)</f>
        <v>0.35</v>
      </c>
      <c r="O190" s="89"/>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90"/>
      <c r="AO190" s="90"/>
      <c r="AP190" s="91"/>
    </row>
    <row r="191" spans="1:42" x14ac:dyDescent="0.25">
      <c r="A191" s="92" t="s">
        <v>592</v>
      </c>
      <c r="B191" s="93"/>
      <c r="C191" s="93"/>
      <c r="D191" s="93"/>
      <c r="E191" s="93">
        <f>IF(char4ArtiToggle, 24%, 0%)</f>
        <v>0.24</v>
      </c>
      <c r="F191" s="93"/>
      <c r="G191" s="93"/>
      <c r="H191" s="93"/>
      <c r="I191" s="93"/>
      <c r="J191" s="93"/>
      <c r="K191" s="93"/>
      <c r="L191" s="93"/>
      <c r="M191" s="93"/>
      <c r="N191" s="93"/>
      <c r="O191" s="94"/>
      <c r="P191" s="93"/>
      <c r="Q191" s="93"/>
      <c r="R191" s="93"/>
      <c r="S191" s="93"/>
      <c r="T191" s="93"/>
      <c r="U191" s="93"/>
      <c r="V191" s="93"/>
      <c r="W191" s="93"/>
      <c r="X191" s="93"/>
      <c r="Y191" s="93"/>
      <c r="Z191" s="93"/>
      <c r="AA191" s="93"/>
      <c r="AB191" s="93"/>
      <c r="AC191" s="93"/>
      <c r="AD191" s="93"/>
      <c r="AE191" s="93"/>
      <c r="AF191" s="93"/>
      <c r="AG191" s="93"/>
      <c r="AH191" s="93"/>
      <c r="AI191" s="93"/>
      <c r="AJ191" s="93"/>
      <c r="AK191" s="93"/>
      <c r="AL191" s="93"/>
      <c r="AM191" s="93"/>
      <c r="AN191" s="95"/>
      <c r="AO191" s="95"/>
      <c r="AP191" s="96"/>
    </row>
    <row r="192" spans="1:42" x14ac:dyDescent="0.25">
      <c r="A192" s="87" t="s">
        <v>593</v>
      </c>
      <c r="B192" s="88"/>
      <c r="C192" s="88"/>
      <c r="D192" s="88"/>
      <c r="E192" s="88"/>
      <c r="F192" s="88"/>
      <c r="G192" s="88"/>
      <c r="H192" s="88"/>
      <c r="I192" s="88"/>
      <c r="J192" s="88"/>
      <c r="K192" s="88"/>
      <c r="L192" s="88"/>
      <c r="M192" s="88"/>
      <c r="N192" s="88"/>
      <c r="O192" s="89"/>
      <c r="P192" s="88"/>
      <c r="Q192" s="88"/>
      <c r="R192" s="88"/>
      <c r="S192" s="88">
        <f>IF(char4ArtiToggle, 50%, 0%)</f>
        <v>0.5</v>
      </c>
      <c r="T192" s="88"/>
      <c r="U192" s="88"/>
      <c r="V192" s="88"/>
      <c r="W192" s="88"/>
      <c r="X192" s="88"/>
      <c r="Y192" s="88"/>
      <c r="Z192" s="88"/>
      <c r="AA192" s="88"/>
      <c r="AB192" s="88"/>
      <c r="AC192" s="88"/>
      <c r="AD192" s="88"/>
      <c r="AE192" s="88"/>
      <c r="AF192" s="88"/>
      <c r="AG192" s="88"/>
      <c r="AH192" s="88"/>
      <c r="AI192" s="88"/>
      <c r="AJ192" s="88"/>
      <c r="AK192" s="88"/>
      <c r="AL192" s="88"/>
      <c r="AM192" s="88"/>
      <c r="AN192" s="90"/>
      <c r="AO192" s="90"/>
      <c r="AP192" s="91"/>
    </row>
    <row r="193" spans="1:42" x14ac:dyDescent="0.25">
      <c r="A193" s="92" t="s">
        <v>594</v>
      </c>
      <c r="B193" s="93"/>
      <c r="C193" s="93"/>
      <c r="D193" s="93"/>
      <c r="E193" s="93"/>
      <c r="F193" s="93"/>
      <c r="G193" s="93"/>
      <c r="H193" s="93"/>
      <c r="I193" s="93"/>
      <c r="J193" s="93"/>
      <c r="K193" s="93"/>
      <c r="L193" s="93"/>
      <c r="M193" s="93"/>
      <c r="N193" s="93"/>
      <c r="O193" s="94"/>
      <c r="P193" s="93"/>
      <c r="Q193" s="93"/>
      <c r="R193" s="93"/>
      <c r="S193" s="93"/>
      <c r="T193" s="93"/>
      <c r="U193" s="93"/>
      <c r="V193" s="93"/>
      <c r="W193" s="93">
        <f>IF(char4ArtiToggle, 30%, 0%)</f>
        <v>0.3</v>
      </c>
      <c r="X193" s="93"/>
      <c r="Y193" s="93"/>
      <c r="Z193" s="93"/>
      <c r="AA193" s="93"/>
      <c r="AB193" s="93"/>
      <c r="AC193" s="93"/>
      <c r="AD193" s="93"/>
      <c r="AE193" s="93"/>
      <c r="AF193" s="93"/>
      <c r="AG193" s="93"/>
      <c r="AH193" s="93"/>
      <c r="AI193" s="93"/>
      <c r="AJ193" s="93"/>
      <c r="AK193" s="93"/>
      <c r="AL193" s="93"/>
      <c r="AM193" s="93"/>
      <c r="AN193" s="95"/>
      <c r="AO193" s="95"/>
      <c r="AP193" s="96"/>
    </row>
    <row r="194" spans="1:42" x14ac:dyDescent="0.25">
      <c r="A194" s="87" t="s">
        <v>595</v>
      </c>
      <c r="B194" s="88"/>
      <c r="C194" s="88"/>
      <c r="D194" s="88"/>
      <c r="E194" s="88"/>
      <c r="F194" s="88"/>
      <c r="G194" s="88"/>
      <c r="H194" s="88"/>
      <c r="I194" s="88"/>
      <c r="J194" s="88"/>
      <c r="K194" s="88">
        <f>char4ArtiStacks*(7.5%)</f>
        <v>0</v>
      </c>
      <c r="L194" s="88"/>
      <c r="M194" s="88"/>
      <c r="N194" s="88"/>
      <c r="O194" s="89"/>
      <c r="P194" s="88"/>
      <c r="Q194" s="88"/>
      <c r="R194" s="88"/>
      <c r="S194" s="88"/>
      <c r="T194" s="88"/>
      <c r="U194" s="88"/>
      <c r="V194" s="88"/>
      <c r="W194" s="88"/>
      <c r="X194" s="88"/>
      <c r="Y194" s="88"/>
      <c r="Z194" s="88">
        <v>0.4</v>
      </c>
      <c r="AA194" s="88"/>
      <c r="AB194" s="88"/>
      <c r="AC194" s="88"/>
      <c r="AD194" s="88">
        <v>0.15</v>
      </c>
      <c r="AE194" s="88">
        <v>0.15</v>
      </c>
      <c r="AF194" s="88"/>
      <c r="AG194" s="88"/>
      <c r="AH194" s="88"/>
      <c r="AI194" s="88"/>
      <c r="AJ194" s="88"/>
      <c r="AK194" s="88"/>
      <c r="AL194" s="88"/>
      <c r="AM194" s="88"/>
      <c r="AN194" s="90"/>
      <c r="AO194" s="90"/>
      <c r="AP194" s="91"/>
    </row>
    <row r="195" spans="1:42" x14ac:dyDescent="0.25">
      <c r="A195" s="92" t="s">
        <v>596</v>
      </c>
      <c r="B195" s="93"/>
      <c r="C195" s="93"/>
      <c r="D195" s="93"/>
      <c r="E195" s="93"/>
      <c r="F195" s="93"/>
      <c r="G195" s="93"/>
      <c r="H195" s="93"/>
      <c r="I195" s="93"/>
      <c r="J195" s="93"/>
      <c r="K195" s="93"/>
      <c r="L195" s="93"/>
      <c r="M195" s="93"/>
      <c r="N195" s="93"/>
      <c r="O195" s="94"/>
      <c r="P195" s="93"/>
      <c r="Q195" s="93"/>
      <c r="R195" s="93"/>
      <c r="S195" s="93"/>
      <c r="T195" s="93"/>
      <c r="U195" s="93"/>
      <c r="V195" s="93"/>
      <c r="W195" s="93"/>
      <c r="X195" s="93"/>
      <c r="Y195" s="93"/>
      <c r="Z195" s="93"/>
      <c r="AA195" s="93"/>
      <c r="AB195" s="93"/>
      <c r="AC195" s="93"/>
      <c r="AD195" s="93"/>
      <c r="AE195" s="93"/>
      <c r="AF195" s="93"/>
      <c r="AG195" s="93">
        <v>0.3</v>
      </c>
      <c r="AH195" s="93">
        <v>0.3</v>
      </c>
      <c r="AI195" s="93">
        <v>0.3</v>
      </c>
      <c r="AJ195" s="93">
        <v>0.3</v>
      </c>
      <c r="AK195" s="93">
        <v>0.3</v>
      </c>
      <c r="AL195" s="93">
        <v>0.3</v>
      </c>
      <c r="AM195" s="93"/>
      <c r="AN195" s="95"/>
      <c r="AO195" s="95"/>
      <c r="AP195" s="96"/>
    </row>
    <row r="196" spans="1:42" x14ac:dyDescent="0.25">
      <c r="A196" s="87" t="s">
        <v>597</v>
      </c>
      <c r="B196" s="88"/>
      <c r="C196" s="88"/>
      <c r="D196" s="88"/>
      <c r="E196" s="88"/>
      <c r="F196" s="88"/>
      <c r="G196" s="88"/>
      <c r="H196" s="88"/>
      <c r="I196" s="88"/>
      <c r="J196" s="88"/>
      <c r="K196" s="88"/>
      <c r="L196" s="88"/>
      <c r="M196" s="88"/>
      <c r="N196" s="88"/>
      <c r="O196" s="89"/>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90"/>
      <c r="AO196" s="90"/>
      <c r="AP196" s="91"/>
    </row>
    <row r="197" spans="1:42" x14ac:dyDescent="0.25">
      <c r="A197" s="92" t="s">
        <v>598</v>
      </c>
      <c r="B197" s="93"/>
      <c r="C197" s="93"/>
      <c r="D197" s="93"/>
      <c r="E197" s="93"/>
      <c r="F197" s="93"/>
      <c r="G197" s="93"/>
      <c r="H197" s="93"/>
      <c r="I197" s="93"/>
      <c r="J197" s="93"/>
      <c r="K197" s="93"/>
      <c r="L197" s="93"/>
      <c r="M197" s="93"/>
      <c r="N197" s="93"/>
      <c r="O197" s="94"/>
      <c r="P197" s="93"/>
      <c r="Q197" s="93"/>
      <c r="R197" s="93">
        <v>0.35</v>
      </c>
      <c r="S197" s="93"/>
      <c r="T197" s="93"/>
      <c r="U197" s="93"/>
      <c r="V197" s="93"/>
      <c r="W197" s="93"/>
      <c r="X197" s="93"/>
      <c r="Y197" s="93"/>
      <c r="Z197" s="93"/>
      <c r="AA197" s="93"/>
      <c r="AB197" s="93"/>
      <c r="AC197" s="93"/>
      <c r="AD197" s="93"/>
      <c r="AE197" s="93"/>
      <c r="AF197" s="93"/>
      <c r="AG197" s="93"/>
      <c r="AH197" s="93"/>
      <c r="AI197" s="93"/>
      <c r="AJ197" s="93"/>
      <c r="AK197" s="93"/>
      <c r="AL197" s="93"/>
      <c r="AM197" s="93"/>
      <c r="AN197" s="95"/>
      <c r="AO197" s="95"/>
      <c r="AP197" s="96"/>
    </row>
    <row r="198" spans="1:42" x14ac:dyDescent="0.25">
      <c r="A198" s="87" t="s">
        <v>599</v>
      </c>
      <c r="B198" s="88"/>
      <c r="C198" s="88"/>
      <c r="D198" s="88"/>
      <c r="E198" s="88"/>
      <c r="F198" s="88"/>
      <c r="G198" s="88"/>
      <c r="H198" s="88"/>
      <c r="I198" s="88"/>
      <c r="J198" s="88"/>
      <c r="K198" s="88"/>
      <c r="L198" s="88"/>
      <c r="M198" s="88"/>
      <c r="N198" s="88"/>
      <c r="O198" s="89">
        <f>IF(char4ArtiToggle, 120, 0)</f>
        <v>120</v>
      </c>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90"/>
      <c r="AO198" s="90"/>
      <c r="AP198" s="91"/>
    </row>
    <row r="199" spans="1:42" x14ac:dyDescent="0.25">
      <c r="A199" s="92" t="s">
        <v>600</v>
      </c>
      <c r="B199" s="93"/>
      <c r="C199" s="93"/>
      <c r="D199" s="93"/>
      <c r="E199" s="93"/>
      <c r="F199" s="93"/>
      <c r="G199" s="93"/>
      <c r="H199" s="93">
        <f t="shared" ref="H199:N199" si="3">IF(char4ArtiToggle, 35%, 0)</f>
        <v>0.35</v>
      </c>
      <c r="I199" s="93">
        <f t="shared" si="3"/>
        <v>0.35</v>
      </c>
      <c r="J199" s="93">
        <f t="shared" si="3"/>
        <v>0.35</v>
      </c>
      <c r="K199" s="93">
        <f t="shared" si="3"/>
        <v>0.35</v>
      </c>
      <c r="L199" s="93">
        <f t="shared" si="3"/>
        <v>0.35</v>
      </c>
      <c r="M199" s="93">
        <f t="shared" si="3"/>
        <v>0.35</v>
      </c>
      <c r="N199" s="93">
        <f t="shared" si="3"/>
        <v>0.35</v>
      </c>
      <c r="O199" s="94"/>
      <c r="P199" s="93"/>
      <c r="Q199" s="93"/>
      <c r="R199" s="93"/>
      <c r="S199" s="93"/>
      <c r="T199" s="93"/>
      <c r="U199" s="93"/>
      <c r="V199" s="93"/>
      <c r="W199" s="93"/>
      <c r="X199" s="93"/>
      <c r="Y199" s="93"/>
      <c r="Z199" s="93"/>
      <c r="AA199" s="93"/>
      <c r="AB199" s="93"/>
      <c r="AC199" s="93"/>
      <c r="AD199" s="93"/>
      <c r="AE199" s="93"/>
      <c r="AF199" s="93"/>
      <c r="AG199" s="93"/>
      <c r="AH199" s="93"/>
      <c r="AI199" s="93"/>
      <c r="AJ199" s="93"/>
      <c r="AK199" s="93"/>
      <c r="AL199" s="93"/>
      <c r="AM199" s="93"/>
      <c r="AN199" s="95"/>
      <c r="AO199" s="95"/>
      <c r="AP199" s="96"/>
    </row>
    <row r="200" spans="1:42" x14ac:dyDescent="0.25">
      <c r="A200" s="87" t="s">
        <v>601</v>
      </c>
      <c r="B200" s="88"/>
      <c r="C200" s="88"/>
      <c r="D200" s="88"/>
      <c r="E200" s="88"/>
      <c r="F200" s="88"/>
      <c r="G200" s="88"/>
      <c r="H200" s="88"/>
      <c r="I200" s="88"/>
      <c r="J200" s="88"/>
      <c r="K200" s="88"/>
      <c r="L200" s="88"/>
      <c r="M200" s="88"/>
      <c r="N200" s="88"/>
      <c r="O200" s="89"/>
      <c r="P200" s="88">
        <v>0.2</v>
      </c>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90"/>
      <c r="AO200" s="90"/>
      <c r="AP200" s="91"/>
    </row>
    <row r="201" spans="1:42" x14ac:dyDescent="0.25">
      <c r="A201" s="92" t="s">
        <v>602</v>
      </c>
      <c r="B201" s="93"/>
      <c r="C201" s="93"/>
      <c r="D201" s="93"/>
      <c r="E201" s="93"/>
      <c r="F201" s="93"/>
      <c r="G201" s="93"/>
      <c r="H201" s="93"/>
      <c r="I201" s="93"/>
      <c r="J201" s="93"/>
      <c r="K201" s="93"/>
      <c r="L201" s="93"/>
      <c r="M201" s="93"/>
      <c r="N201" s="93"/>
      <c r="O201" s="94"/>
      <c r="P201" s="93"/>
      <c r="Q201" s="93"/>
      <c r="R201" s="93">
        <f>IF(char4ArtiToggle, 25%, 0)</f>
        <v>0.25</v>
      </c>
      <c r="S201" s="93">
        <f>IF(char4ArtiToggle, 25%, 0)</f>
        <v>0.25</v>
      </c>
      <c r="T201" s="93"/>
      <c r="U201" s="93"/>
      <c r="V201" s="93"/>
      <c r="W201" s="93"/>
      <c r="X201" s="93"/>
      <c r="Y201" s="93"/>
      <c r="Z201" s="93"/>
      <c r="AA201" s="93"/>
      <c r="AB201" s="93"/>
      <c r="AC201" s="93"/>
      <c r="AD201" s="93"/>
      <c r="AE201" s="93"/>
      <c r="AF201" s="93"/>
      <c r="AG201" s="93"/>
      <c r="AH201" s="93"/>
      <c r="AI201" s="93"/>
      <c r="AJ201" s="93"/>
      <c r="AK201" s="93"/>
      <c r="AL201" s="93"/>
      <c r="AM201" s="93"/>
      <c r="AN201" s="95"/>
      <c r="AO201" s="95"/>
      <c r="AP201" s="96"/>
    </row>
    <row r="202" spans="1:42" x14ac:dyDescent="0.25">
      <c r="A202" s="87" t="s">
        <v>603</v>
      </c>
      <c r="B202" s="88">
        <f>IF(char4ArtiToggle, 20%, 0)</f>
        <v>0.2</v>
      </c>
      <c r="C202" s="88"/>
      <c r="D202" s="88"/>
      <c r="E202" s="88"/>
      <c r="F202" s="88"/>
      <c r="G202" s="88"/>
      <c r="H202" s="88"/>
      <c r="I202" s="88"/>
      <c r="J202" s="88"/>
      <c r="K202" s="88"/>
      <c r="L202" s="88"/>
      <c r="M202" s="88"/>
      <c r="N202" s="88"/>
      <c r="O202" s="89"/>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90"/>
      <c r="AO202" s="90"/>
      <c r="AP202" s="91"/>
    </row>
    <row r="203" spans="1:42" x14ac:dyDescent="0.25">
      <c r="A203" s="92" t="s">
        <v>604</v>
      </c>
      <c r="B203" s="93"/>
      <c r="C203" s="93"/>
      <c r="D203" s="93"/>
      <c r="E203" s="93"/>
      <c r="F203" s="93"/>
      <c r="G203" s="93"/>
      <c r="H203" s="93"/>
      <c r="I203" s="93"/>
      <c r="J203" s="93"/>
      <c r="K203" s="93"/>
      <c r="L203" s="93"/>
      <c r="M203" s="93"/>
      <c r="N203" s="93"/>
      <c r="O203" s="94"/>
      <c r="P203" s="93"/>
      <c r="Q203" s="93"/>
      <c r="R203" s="93">
        <f>IF(char4ArtiToggle, 40%, 0)</f>
        <v>0.4</v>
      </c>
      <c r="S203" s="93">
        <f>IF(char4ArtiToggle, 40%, 0)</f>
        <v>0.4</v>
      </c>
      <c r="T203" s="93"/>
      <c r="U203" s="93"/>
      <c r="V203" s="93"/>
      <c r="W203" s="93"/>
      <c r="X203" s="93"/>
      <c r="Y203" s="93"/>
      <c r="Z203" s="93"/>
      <c r="AA203" s="93"/>
      <c r="AB203" s="93"/>
      <c r="AC203" s="93"/>
      <c r="AD203" s="93"/>
      <c r="AE203" s="93"/>
      <c r="AF203" s="93"/>
      <c r="AG203" s="93"/>
      <c r="AH203" s="93"/>
      <c r="AI203" s="93"/>
      <c r="AJ203" s="93"/>
      <c r="AK203" s="93"/>
      <c r="AL203" s="93"/>
      <c r="AM203" s="93"/>
      <c r="AN203" s="95"/>
      <c r="AO203" s="95"/>
      <c r="AP203" s="96"/>
    </row>
    <row r="204" spans="1:42" x14ac:dyDescent="0.25">
      <c r="A204" s="87" t="s">
        <v>605</v>
      </c>
      <c r="B204" s="88" t="s">
        <v>423</v>
      </c>
      <c r="C204" s="88"/>
      <c r="D204" s="88"/>
      <c r="E204" s="88"/>
      <c r="F204" s="88"/>
      <c r="G204" s="88"/>
      <c r="H204" s="88"/>
      <c r="I204" s="88"/>
      <c r="J204" s="88"/>
      <c r="K204" s="88"/>
      <c r="L204" s="88"/>
      <c r="M204" s="88"/>
      <c r="N204" s="88"/>
      <c r="O204" s="89"/>
      <c r="P204" s="88"/>
      <c r="Q204" s="88"/>
      <c r="R204" s="88"/>
      <c r="S204" s="88"/>
      <c r="T204" s="88"/>
      <c r="U204" s="88"/>
      <c r="V204" s="88"/>
      <c r="W204" s="88"/>
      <c r="X204" s="88"/>
      <c r="Y204" s="88"/>
      <c r="Z204" s="88">
        <v>0.4</v>
      </c>
      <c r="AA204" s="88"/>
      <c r="AB204" s="88">
        <v>0.4</v>
      </c>
      <c r="AC204" s="88">
        <v>0.4</v>
      </c>
      <c r="AD204" s="88"/>
      <c r="AE204" s="88"/>
      <c r="AF204" s="88"/>
      <c r="AG204" s="88"/>
      <c r="AH204" s="88"/>
      <c r="AI204" s="88"/>
      <c r="AJ204" s="88"/>
      <c r="AK204" s="88"/>
      <c r="AL204" s="88"/>
      <c r="AM204" s="88"/>
      <c r="AN204" s="90"/>
      <c r="AO204" s="90"/>
      <c r="AP204" s="91"/>
    </row>
    <row r="205" spans="1:42" x14ac:dyDescent="0.25">
      <c r="A205" s="92" t="s">
        <v>606</v>
      </c>
      <c r="B205" s="93"/>
      <c r="C205" s="93"/>
      <c r="D205" s="93"/>
      <c r="E205" s="93"/>
      <c r="F205" s="93"/>
      <c r="G205" s="93"/>
      <c r="H205" s="93"/>
      <c r="I205" s="93"/>
      <c r="J205" s="93"/>
      <c r="K205" s="93"/>
      <c r="L205" s="93"/>
      <c r="M205" s="93"/>
      <c r="N205" s="93"/>
      <c r="O205" s="94"/>
      <c r="P205" s="93"/>
      <c r="Q205" s="93"/>
      <c r="R205" s="93"/>
      <c r="S205" s="93"/>
      <c r="T205" s="93"/>
      <c r="U205" s="93"/>
      <c r="V205" s="93"/>
      <c r="W205" s="93">
        <f>IF(char4ArtiToggle, 35%, 0)</f>
        <v>0.35</v>
      </c>
      <c r="X205" s="93"/>
      <c r="Y205" s="93"/>
      <c r="Z205" s="93"/>
      <c r="AA205" s="93"/>
      <c r="AB205" s="93"/>
      <c r="AC205" s="93"/>
      <c r="AD205" s="93"/>
      <c r="AE205" s="93"/>
      <c r="AF205" s="93"/>
      <c r="AG205" s="93"/>
      <c r="AH205" s="93"/>
      <c r="AI205" s="93"/>
      <c r="AJ205" s="93"/>
      <c r="AK205" s="93"/>
      <c r="AL205" s="93"/>
      <c r="AM205" s="93"/>
      <c r="AN205" s="95"/>
      <c r="AO205" s="95"/>
      <c r="AP205" s="96"/>
    </row>
    <row r="206" spans="1:42" x14ac:dyDescent="0.25">
      <c r="A206" s="87" t="s">
        <v>607</v>
      </c>
      <c r="B206" s="88"/>
      <c r="C206" s="88"/>
      <c r="D206" s="88"/>
      <c r="E206" s="88"/>
      <c r="F206" s="88"/>
      <c r="G206" s="88"/>
      <c r="H206" s="88"/>
      <c r="I206" s="88"/>
      <c r="J206" s="88"/>
      <c r="K206" s="88"/>
      <c r="L206" s="88"/>
      <c r="M206" s="88"/>
      <c r="N206" s="88"/>
      <c r="O206" s="89"/>
      <c r="P206" s="88"/>
      <c r="Q206" s="88"/>
      <c r="R206" s="88"/>
      <c r="S206" s="88"/>
      <c r="T206" s="88"/>
      <c r="U206" s="88"/>
      <c r="V206" s="88"/>
      <c r="W206" s="88"/>
      <c r="X206" s="88"/>
      <c r="Y206" s="88">
        <v>0.6</v>
      </c>
      <c r="Z206" s="88"/>
      <c r="AA206" s="88"/>
      <c r="AB206" s="88"/>
      <c r="AC206" s="88"/>
      <c r="AD206" s="88"/>
      <c r="AE206" s="88"/>
      <c r="AF206" s="88"/>
      <c r="AG206" s="88"/>
      <c r="AH206" s="88"/>
      <c r="AI206" s="88"/>
      <c r="AJ206" s="88"/>
      <c r="AK206" s="88"/>
      <c r="AL206" s="88"/>
      <c r="AM206" s="88"/>
      <c r="AN206" s="90"/>
      <c r="AO206" s="90"/>
      <c r="AP206" s="91"/>
    </row>
    <row r="207" spans="1:42" x14ac:dyDescent="0.25">
      <c r="A207" s="92" t="s">
        <v>608</v>
      </c>
      <c r="B207" s="93"/>
      <c r="C207" s="93"/>
      <c r="D207" s="93"/>
      <c r="E207" s="93"/>
      <c r="F207" s="93"/>
      <c r="G207" s="93"/>
      <c r="H207" s="93"/>
      <c r="I207" s="93"/>
      <c r="J207" s="93"/>
      <c r="K207" s="93"/>
      <c r="L207" s="93"/>
      <c r="M207" s="93"/>
      <c r="N207" s="93"/>
      <c r="O207" s="94"/>
      <c r="P207" s="93"/>
      <c r="Q207" s="93"/>
      <c r="R207" s="93"/>
      <c r="S207" s="93">
        <f>IF(char4ArtiToggle, 35%, 0)</f>
        <v>0.35</v>
      </c>
      <c r="T207" s="93"/>
      <c r="U207" s="93"/>
      <c r="V207" s="93"/>
      <c r="W207" s="93"/>
      <c r="X207" s="93"/>
      <c r="Y207" s="93"/>
      <c r="Z207" s="93"/>
      <c r="AA207" s="93"/>
      <c r="AB207" s="93"/>
      <c r="AC207" s="93"/>
      <c r="AD207" s="93"/>
      <c r="AE207" s="93"/>
      <c r="AF207" s="93"/>
      <c r="AG207" s="93"/>
      <c r="AH207" s="93"/>
      <c r="AI207" s="93"/>
      <c r="AJ207" s="93"/>
      <c r="AK207" s="93"/>
      <c r="AL207" s="93"/>
      <c r="AM207" s="93"/>
      <c r="AN207" s="95"/>
      <c r="AO207" s="95"/>
      <c r="AP207" s="96"/>
    </row>
    <row r="208" spans="1:42" x14ac:dyDescent="0.25">
      <c r="A208" s="87" t="s">
        <v>609</v>
      </c>
      <c r="B208" s="88"/>
      <c r="C208" s="88"/>
      <c r="D208" s="88"/>
      <c r="E208" s="88">
        <f>char4ArtiStacks*(20%)</f>
        <v>0</v>
      </c>
      <c r="F208" s="88"/>
      <c r="G208" s="88"/>
      <c r="H208" s="88"/>
      <c r="I208" s="88"/>
      <c r="J208" s="88"/>
      <c r="K208" s="88"/>
      <c r="L208" s="88"/>
      <c r="M208" s="88"/>
      <c r="N208" s="88"/>
      <c r="O208" s="89"/>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90"/>
      <c r="AO208" s="90"/>
      <c r="AP208" s="91"/>
    </row>
    <row r="209" spans="1:42" x14ac:dyDescent="0.25">
      <c r="A209" s="92" t="s">
        <v>610</v>
      </c>
      <c r="B209" s="93"/>
      <c r="C209" s="93"/>
      <c r="D209" s="93"/>
      <c r="E209" s="93"/>
      <c r="F209" s="93"/>
      <c r="G209" s="93"/>
      <c r="H209" s="93"/>
      <c r="I209" s="93"/>
      <c r="J209" s="93"/>
      <c r="K209" s="93"/>
      <c r="L209" s="93"/>
      <c r="M209" s="93"/>
      <c r="N209" s="93"/>
      <c r="O209" s="94"/>
      <c r="P209" s="93"/>
      <c r="Q209" s="93"/>
      <c r="R209" s="93">
        <f>IF(char4ArtiToggle, 30%, 0)</f>
        <v>0.3</v>
      </c>
      <c r="S209" s="93">
        <f>IF(char4ArtiToggle, 30%, 0)</f>
        <v>0.3</v>
      </c>
      <c r="T209" s="93"/>
      <c r="U209" s="93"/>
      <c r="V209" s="93"/>
      <c r="W209" s="93"/>
      <c r="X209" s="93"/>
      <c r="Y209" s="93"/>
      <c r="Z209" s="93"/>
      <c r="AA209" s="93"/>
      <c r="AB209" s="93"/>
      <c r="AC209" s="93"/>
      <c r="AD209" s="93"/>
      <c r="AE209" s="93"/>
      <c r="AF209" s="93"/>
      <c r="AG209" s="93"/>
      <c r="AH209" s="93"/>
      <c r="AI209" s="93"/>
      <c r="AJ209" s="93"/>
      <c r="AK209" s="93"/>
      <c r="AL209" s="93"/>
      <c r="AM209" s="93"/>
      <c r="AN209" s="95"/>
      <c r="AO209" s="95"/>
      <c r="AP209" s="96"/>
    </row>
    <row r="210" spans="1:42" x14ac:dyDescent="0.25">
      <c r="A210" s="87" t="s">
        <v>611</v>
      </c>
      <c r="B210" s="88">
        <f>char4ArtiStacks*9%</f>
        <v>0</v>
      </c>
      <c r="C210" s="88"/>
      <c r="D210" s="88"/>
      <c r="E210" s="88"/>
      <c r="F210" s="88"/>
      <c r="G210" s="88"/>
      <c r="H210" s="88">
        <f>IF(char4ArtiStacks=2, 25%, 0)</f>
        <v>0</v>
      </c>
      <c r="I210" s="88"/>
      <c r="J210" s="88"/>
      <c r="K210" s="88"/>
      <c r="L210" s="88"/>
      <c r="M210" s="88"/>
      <c r="N210" s="88"/>
      <c r="O210" s="89"/>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90"/>
      <c r="AO210" s="90"/>
      <c r="AP210" s="91"/>
    </row>
    <row r="211" spans="1:42" x14ac:dyDescent="0.25">
      <c r="A211" s="92" t="s">
        <v>612</v>
      </c>
      <c r="B211" s="93">
        <f>IF(char4ArtiToggle, 20%, 0)</f>
        <v>0.2</v>
      </c>
      <c r="C211" s="93"/>
      <c r="D211" s="93"/>
      <c r="E211" s="93"/>
      <c r="F211" s="93"/>
      <c r="G211" s="93"/>
      <c r="H211" s="93"/>
      <c r="I211" s="93"/>
      <c r="J211" s="93"/>
      <c r="K211" s="93"/>
      <c r="L211" s="93"/>
      <c r="M211" s="93"/>
      <c r="N211" s="93"/>
      <c r="O211" s="94"/>
      <c r="P211" s="93"/>
      <c r="Q211" s="93"/>
      <c r="R211" s="93"/>
      <c r="S211" s="93"/>
      <c r="T211" s="93"/>
      <c r="U211" s="93"/>
      <c r="V211" s="93"/>
      <c r="W211" s="93"/>
      <c r="X211" s="93">
        <f>IF(char4ArtiToggle, 30%, 0)</f>
        <v>0.3</v>
      </c>
      <c r="Y211" s="93"/>
      <c r="Z211" s="93"/>
      <c r="AA211" s="93"/>
      <c r="AB211" s="93"/>
      <c r="AC211" s="93"/>
      <c r="AD211" s="93"/>
      <c r="AE211" s="93"/>
      <c r="AF211" s="93"/>
      <c r="AG211" s="93"/>
      <c r="AH211" s="93"/>
      <c r="AI211" s="93"/>
      <c r="AJ211" s="93"/>
      <c r="AK211" s="93"/>
      <c r="AL211" s="93"/>
      <c r="AM211" s="93"/>
      <c r="AN211" s="95"/>
      <c r="AO211" s="95"/>
      <c r="AP211" s="96"/>
    </row>
    <row r="212" spans="1:42" x14ac:dyDescent="0.25">
      <c r="A212" s="87" t="s">
        <v>613</v>
      </c>
      <c r="B212" s="88"/>
      <c r="C212" s="88"/>
      <c r="D212" s="88"/>
      <c r="E212" s="88"/>
      <c r="F212" s="88"/>
      <c r="G212" s="88"/>
      <c r="H212" s="88"/>
      <c r="I212" s="88"/>
      <c r="J212" s="88"/>
      <c r="K212" s="88"/>
      <c r="L212" s="88"/>
      <c r="M212" s="88"/>
      <c r="N212" s="88"/>
      <c r="O212" s="89"/>
      <c r="P212" s="88"/>
      <c r="Q212" s="88"/>
      <c r="R212" s="88">
        <f>IF(char4ArtiToggle, 50%, 0)</f>
        <v>0.5</v>
      </c>
      <c r="S212" s="88">
        <f>IF(char4ArtiToggle, 50%, 0)</f>
        <v>0.5</v>
      </c>
      <c r="T212" s="88">
        <f>IF(char4ArtiToggle, 50%, 0)</f>
        <v>0.5</v>
      </c>
      <c r="U212" s="88"/>
      <c r="V212" s="88"/>
      <c r="W212" s="88"/>
      <c r="X212" s="88"/>
      <c r="Y212" s="88"/>
      <c r="Z212" s="88"/>
      <c r="AA212" s="88"/>
      <c r="AB212" s="88"/>
      <c r="AC212" s="88"/>
      <c r="AD212" s="88"/>
      <c r="AE212" s="88"/>
      <c r="AF212" s="88"/>
      <c r="AG212" s="88"/>
      <c r="AH212" s="88"/>
      <c r="AI212" s="88"/>
      <c r="AJ212" s="88"/>
      <c r="AK212" s="88"/>
      <c r="AL212" s="88"/>
      <c r="AM212" s="88"/>
      <c r="AN212" s="90"/>
      <c r="AO212" s="90"/>
      <c r="AP212" s="91"/>
    </row>
    <row r="213" spans="1:42" x14ac:dyDescent="0.25">
      <c r="A213" s="92" t="s">
        <v>614</v>
      </c>
      <c r="B213" s="93"/>
      <c r="C213" s="93"/>
      <c r="D213" s="93"/>
      <c r="E213" s="93"/>
      <c r="F213" s="93"/>
      <c r="G213" s="93"/>
      <c r="H213" s="93"/>
      <c r="I213" s="93"/>
      <c r="J213" s="93"/>
      <c r="K213" s="93"/>
      <c r="L213" s="93"/>
      <c r="M213" s="93"/>
      <c r="N213" s="93"/>
      <c r="O213" s="94"/>
      <c r="P213" s="93"/>
      <c r="Q213" s="93"/>
      <c r="R213" s="93"/>
      <c r="S213" s="93"/>
      <c r="T213" s="93"/>
      <c r="U213" s="93"/>
      <c r="V213" s="93">
        <f ca="1">IF(char4FinalER*25%&gt;75%, 75%,char4FinalER*25%)</f>
        <v>0.51080000000000003</v>
      </c>
      <c r="W213" s="93"/>
      <c r="X213" s="93"/>
      <c r="Y213" s="93"/>
      <c r="Z213" s="93"/>
      <c r="AA213" s="93"/>
      <c r="AB213" s="93"/>
      <c r="AC213" s="93"/>
      <c r="AD213" s="93"/>
      <c r="AE213" s="93"/>
      <c r="AF213" s="93"/>
      <c r="AG213" s="93"/>
      <c r="AH213" s="93"/>
      <c r="AI213" s="93"/>
      <c r="AJ213" s="93"/>
      <c r="AK213" s="93"/>
      <c r="AL213" s="93"/>
      <c r="AM213" s="93"/>
      <c r="AN213" s="95"/>
      <c r="AO213" s="95"/>
      <c r="AP213" s="96"/>
    </row>
    <row r="214" spans="1:42" x14ac:dyDescent="0.25">
      <c r="A214" s="87" t="s">
        <v>615</v>
      </c>
      <c r="B214" s="88"/>
      <c r="C214" s="88"/>
      <c r="D214" s="88"/>
      <c r="E214" s="88"/>
      <c r="F214" s="88"/>
      <c r="G214" s="88"/>
      <c r="H214" s="88"/>
      <c r="I214" s="88"/>
      <c r="J214" s="88"/>
      <c r="K214" s="88"/>
      <c r="L214" s="88"/>
      <c r="M214" s="88"/>
      <c r="N214" s="88"/>
      <c r="O214" s="89"/>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90"/>
      <c r="AO214" s="90"/>
      <c r="AP214" s="91"/>
    </row>
    <row r="215" spans="1:42" x14ac:dyDescent="0.25">
      <c r="A215" s="82" t="s">
        <v>616</v>
      </c>
      <c r="B215" s="97"/>
      <c r="C215" s="97">
        <f>6%*char4ArtiStacks</f>
        <v>0</v>
      </c>
      <c r="D215" s="97"/>
      <c r="E215" s="97"/>
      <c r="F215" s="97"/>
      <c r="G215" s="97"/>
      <c r="H215" s="97"/>
      <c r="I215" s="97"/>
      <c r="J215" s="97">
        <f>6%*char4ArtiStacks</f>
        <v>0</v>
      </c>
      <c r="K215" s="97"/>
      <c r="L215" s="97"/>
      <c r="M215" s="97"/>
      <c r="N215" s="97"/>
      <c r="O215" s="98"/>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c r="AM215" s="97"/>
      <c r="AN215" s="99"/>
      <c r="AO215" s="99"/>
      <c r="AP215" s="10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08AB7-0DA8-4109-A8AE-35A80E5C0AD4}">
  <sheetPr codeName="Sheet14"/>
  <dimension ref="A1:AD66"/>
  <sheetViews>
    <sheetView topLeftCell="F41" workbookViewId="0">
      <selection activeCell="Z65" sqref="Z65"/>
    </sheetView>
  </sheetViews>
  <sheetFormatPr defaultRowHeight="15" x14ac:dyDescent="0.25"/>
  <sheetData>
    <row r="1" spans="1:29" x14ac:dyDescent="0.25">
      <c r="A1" t="s">
        <v>102</v>
      </c>
      <c r="B1" t="s">
        <v>430</v>
      </c>
      <c r="C1" t="s">
        <v>431</v>
      </c>
      <c r="D1" t="s">
        <v>432</v>
      </c>
      <c r="F1" t="s">
        <v>786</v>
      </c>
      <c r="G1" t="s">
        <v>64</v>
      </c>
      <c r="H1" t="s">
        <v>62</v>
      </c>
      <c r="I1" t="s">
        <v>67</v>
      </c>
      <c r="J1" t="s">
        <v>65</v>
      </c>
      <c r="K1" t="s">
        <v>66</v>
      </c>
      <c r="L1" t="s">
        <v>70</v>
      </c>
      <c r="M1" t="s">
        <v>73</v>
      </c>
      <c r="N1" t="s">
        <v>74</v>
      </c>
      <c r="O1" t="s">
        <v>75</v>
      </c>
      <c r="P1" t="s">
        <v>71</v>
      </c>
      <c r="Q1" t="s">
        <v>72</v>
      </c>
      <c r="R1" t="s">
        <v>76</v>
      </c>
      <c r="S1" t="s">
        <v>69</v>
      </c>
      <c r="T1" t="s">
        <v>68</v>
      </c>
      <c r="U1" t="s">
        <v>408</v>
      </c>
      <c r="V1" t="s">
        <v>409</v>
      </c>
      <c r="W1" t="s">
        <v>422</v>
      </c>
      <c r="Y1" t="s">
        <v>434</v>
      </c>
    </row>
    <row r="2" spans="1:29" x14ac:dyDescent="0.25">
      <c r="A2" t="s">
        <v>65</v>
      </c>
      <c r="B2" s="42">
        <v>4.9599999999999998E-2</v>
      </c>
      <c r="C2" s="42">
        <v>5.8299999999999998E-2</v>
      </c>
      <c r="D2" s="42">
        <v>4.9749999999999996E-2</v>
      </c>
      <c r="F2">
        <v>0</v>
      </c>
      <c r="G2">
        <v>717</v>
      </c>
      <c r="H2">
        <v>47</v>
      </c>
      <c r="I2">
        <v>7</v>
      </c>
      <c r="J2">
        <v>7</v>
      </c>
      <c r="K2">
        <v>8.6999999999999993</v>
      </c>
      <c r="L2">
        <v>8.6999999999999993</v>
      </c>
      <c r="M2">
        <v>7</v>
      </c>
      <c r="N2">
        <v>7</v>
      </c>
      <c r="O2">
        <v>7</v>
      </c>
      <c r="P2">
        <v>7</v>
      </c>
      <c r="Q2">
        <v>7</v>
      </c>
      <c r="R2">
        <v>7</v>
      </c>
      <c r="S2">
        <v>28</v>
      </c>
      <c r="T2">
        <v>7.8</v>
      </c>
      <c r="U2">
        <v>4.7</v>
      </c>
      <c r="V2">
        <v>9.3000000000000007</v>
      </c>
      <c r="W2">
        <v>5.4</v>
      </c>
      <c r="Y2" t="s">
        <v>436</v>
      </c>
      <c r="Z2" t="s">
        <v>435</v>
      </c>
      <c r="AA2" t="s">
        <v>437</v>
      </c>
    </row>
    <row r="3" spans="1:29" x14ac:dyDescent="0.25">
      <c r="A3" t="s">
        <v>409</v>
      </c>
      <c r="B3" s="42">
        <v>6.6199999999999995E-2</v>
      </c>
      <c r="C3" s="42">
        <v>7.7699999999999991E-2</v>
      </c>
      <c r="D3" s="42">
        <v>6.6000000000000003E-2</v>
      </c>
      <c r="F3">
        <v>1</v>
      </c>
      <c r="G3">
        <v>920</v>
      </c>
      <c r="H3">
        <v>60</v>
      </c>
      <c r="I3">
        <v>9</v>
      </c>
      <c r="J3">
        <v>9</v>
      </c>
      <c r="K3">
        <v>11.2</v>
      </c>
      <c r="L3">
        <v>11.2</v>
      </c>
      <c r="M3">
        <v>9</v>
      </c>
      <c r="N3">
        <v>9</v>
      </c>
      <c r="O3">
        <v>9</v>
      </c>
      <c r="P3">
        <v>9</v>
      </c>
      <c r="Q3">
        <v>9</v>
      </c>
      <c r="R3">
        <v>9</v>
      </c>
      <c r="S3">
        <v>36</v>
      </c>
      <c r="T3">
        <v>10</v>
      </c>
      <c r="U3">
        <v>6</v>
      </c>
      <c r="V3">
        <v>11.9</v>
      </c>
      <c r="W3">
        <v>6.9</v>
      </c>
      <c r="Y3" t="s">
        <v>67</v>
      </c>
      <c r="Z3" t="s">
        <v>67</v>
      </c>
      <c r="AA3" t="s">
        <v>67</v>
      </c>
    </row>
    <row r="4" spans="1:29" x14ac:dyDescent="0.25">
      <c r="A4" t="s">
        <v>408</v>
      </c>
      <c r="B4" s="42">
        <v>3.3099999999999997E-2</v>
      </c>
      <c r="C4" s="42">
        <v>3.8900000000000004E-2</v>
      </c>
      <c r="D4" s="42">
        <v>3.3000000000000002E-2</v>
      </c>
      <c r="F4">
        <v>2</v>
      </c>
      <c r="G4">
        <v>1123</v>
      </c>
      <c r="H4">
        <v>73</v>
      </c>
      <c r="I4">
        <v>11</v>
      </c>
      <c r="J4">
        <v>11</v>
      </c>
      <c r="K4">
        <v>13.7</v>
      </c>
      <c r="L4">
        <v>13.7</v>
      </c>
      <c r="M4">
        <v>11</v>
      </c>
      <c r="N4">
        <v>11</v>
      </c>
      <c r="O4">
        <v>11</v>
      </c>
      <c r="P4">
        <v>11</v>
      </c>
      <c r="Q4">
        <v>11</v>
      </c>
      <c r="R4">
        <v>11</v>
      </c>
      <c r="S4">
        <v>44</v>
      </c>
      <c r="T4">
        <v>12.2</v>
      </c>
      <c r="U4">
        <v>7.4</v>
      </c>
      <c r="V4">
        <v>14.6</v>
      </c>
      <c r="W4">
        <v>8.4</v>
      </c>
      <c r="Y4" t="s">
        <v>65</v>
      </c>
      <c r="Z4" t="s">
        <v>65</v>
      </c>
      <c r="AA4" t="s">
        <v>65</v>
      </c>
    </row>
    <row r="5" spans="1:29" x14ac:dyDescent="0.25">
      <c r="A5" t="s">
        <v>66</v>
      </c>
      <c r="B5" s="29">
        <v>6.2E-2</v>
      </c>
      <c r="C5" s="29">
        <v>7.2900000000000006E-2</v>
      </c>
      <c r="D5" s="42">
        <v>6.2E-2</v>
      </c>
      <c r="F5">
        <v>3</v>
      </c>
      <c r="G5">
        <v>1326</v>
      </c>
      <c r="H5">
        <v>86</v>
      </c>
      <c r="I5">
        <v>12.9</v>
      </c>
      <c r="J5">
        <v>12.9</v>
      </c>
      <c r="K5">
        <v>16.2</v>
      </c>
      <c r="L5">
        <v>16.2</v>
      </c>
      <c r="M5">
        <v>12.9</v>
      </c>
      <c r="N5">
        <v>12.9</v>
      </c>
      <c r="O5">
        <v>12.9</v>
      </c>
      <c r="P5">
        <v>12.9</v>
      </c>
      <c r="Q5">
        <v>12.9</v>
      </c>
      <c r="R5">
        <v>12.9</v>
      </c>
      <c r="S5">
        <v>52</v>
      </c>
      <c r="T5">
        <v>14.4</v>
      </c>
      <c r="U5">
        <v>8.6999999999999993</v>
      </c>
      <c r="V5">
        <v>17.2</v>
      </c>
      <c r="W5">
        <v>10</v>
      </c>
      <c r="Y5" t="s">
        <v>66</v>
      </c>
      <c r="Z5" t="s">
        <v>66</v>
      </c>
      <c r="AA5" t="s">
        <v>66</v>
      </c>
    </row>
    <row r="6" spans="1:29" x14ac:dyDescent="0.25">
      <c r="A6" t="s">
        <v>67</v>
      </c>
      <c r="B6" s="29">
        <v>4.9599999999999998E-2</v>
      </c>
      <c r="C6" s="29">
        <v>5.8299999999999998E-2</v>
      </c>
      <c r="D6" s="42">
        <v>0.05</v>
      </c>
      <c r="F6">
        <v>4</v>
      </c>
      <c r="G6">
        <v>1530</v>
      </c>
      <c r="H6">
        <v>100</v>
      </c>
      <c r="I6">
        <v>14.9</v>
      </c>
      <c r="J6">
        <v>14.9</v>
      </c>
      <c r="K6">
        <v>18.600000000000001</v>
      </c>
      <c r="L6">
        <v>16.2</v>
      </c>
      <c r="M6">
        <v>14.9</v>
      </c>
      <c r="N6">
        <v>14.9</v>
      </c>
      <c r="O6">
        <v>14.9</v>
      </c>
      <c r="P6">
        <v>14.9</v>
      </c>
      <c r="Q6">
        <v>14.9</v>
      </c>
      <c r="R6">
        <v>14.9</v>
      </c>
      <c r="S6">
        <v>60</v>
      </c>
      <c r="T6">
        <v>16.600000000000001</v>
      </c>
      <c r="U6">
        <v>10</v>
      </c>
      <c r="V6">
        <v>19.899999999999999</v>
      </c>
      <c r="W6">
        <v>11.5</v>
      </c>
      <c r="Y6" t="s">
        <v>69</v>
      </c>
      <c r="Z6" t="s">
        <v>69</v>
      </c>
      <c r="AA6" t="s">
        <v>69</v>
      </c>
    </row>
    <row r="7" spans="1:29" x14ac:dyDescent="0.25">
      <c r="A7" t="s">
        <v>68</v>
      </c>
      <c r="B7" s="29">
        <v>5.5100000000000003E-2</v>
      </c>
      <c r="C7" s="29">
        <v>6.4799999999999996E-2</v>
      </c>
      <c r="D7" s="42">
        <v>5.5E-2</v>
      </c>
      <c r="F7">
        <v>5</v>
      </c>
      <c r="G7">
        <v>1733</v>
      </c>
      <c r="H7">
        <v>113</v>
      </c>
      <c r="I7">
        <v>16.899999999999999</v>
      </c>
      <c r="J7">
        <v>16.899999999999999</v>
      </c>
      <c r="K7">
        <v>21.1</v>
      </c>
      <c r="L7">
        <v>21.1</v>
      </c>
      <c r="M7">
        <v>16.899999999999999</v>
      </c>
      <c r="N7">
        <v>16.899999999999999</v>
      </c>
      <c r="O7">
        <v>16.899999999999999</v>
      </c>
      <c r="P7">
        <v>16.899999999999999</v>
      </c>
      <c r="Q7">
        <v>16.899999999999999</v>
      </c>
      <c r="R7">
        <v>16.899999999999999</v>
      </c>
      <c r="S7">
        <v>68</v>
      </c>
      <c r="T7">
        <v>18.8</v>
      </c>
      <c r="U7">
        <v>11.4</v>
      </c>
      <c r="V7">
        <v>22.5</v>
      </c>
      <c r="W7">
        <v>13</v>
      </c>
      <c r="Y7" t="s">
        <v>68</v>
      </c>
      <c r="Z7" t="s">
        <v>70</v>
      </c>
      <c r="AA7" t="s">
        <v>408</v>
      </c>
    </row>
    <row r="8" spans="1:29" x14ac:dyDescent="0.25">
      <c r="A8" t="s">
        <v>62</v>
      </c>
      <c r="B8">
        <v>16.54</v>
      </c>
      <c r="C8">
        <v>19.45</v>
      </c>
      <c r="D8">
        <v>17</v>
      </c>
      <c r="F8">
        <v>6</v>
      </c>
      <c r="G8">
        <v>1936</v>
      </c>
      <c r="H8">
        <v>126</v>
      </c>
      <c r="I8">
        <v>18.899999999999999</v>
      </c>
      <c r="J8">
        <v>18.899999999999999</v>
      </c>
      <c r="K8">
        <v>23.6</v>
      </c>
      <c r="L8">
        <v>23.6</v>
      </c>
      <c r="M8">
        <v>18.899999999999999</v>
      </c>
      <c r="N8">
        <v>18.899999999999999</v>
      </c>
      <c r="O8">
        <v>18.899999999999999</v>
      </c>
      <c r="P8">
        <v>18.899999999999999</v>
      </c>
      <c r="Q8">
        <v>18.899999999999999</v>
      </c>
      <c r="R8">
        <v>18.899999999999999</v>
      </c>
      <c r="S8">
        <v>76</v>
      </c>
      <c r="T8">
        <v>21</v>
      </c>
      <c r="U8">
        <v>12.7</v>
      </c>
      <c r="V8">
        <v>25.2</v>
      </c>
      <c r="W8">
        <v>14.5</v>
      </c>
      <c r="Z8" t="s">
        <v>73</v>
      </c>
      <c r="AA8" t="s">
        <v>409</v>
      </c>
    </row>
    <row r="9" spans="1:29" x14ac:dyDescent="0.25">
      <c r="A9" t="s">
        <v>63</v>
      </c>
      <c r="B9">
        <v>19.68</v>
      </c>
      <c r="C9">
        <v>23.15</v>
      </c>
      <c r="D9">
        <v>20</v>
      </c>
      <c r="F9">
        <v>7</v>
      </c>
      <c r="G9">
        <v>2139</v>
      </c>
      <c r="H9">
        <v>139</v>
      </c>
      <c r="I9">
        <v>20.9</v>
      </c>
      <c r="J9">
        <v>20.9</v>
      </c>
      <c r="K9">
        <v>26.1</v>
      </c>
      <c r="L9">
        <v>26.1</v>
      </c>
      <c r="M9">
        <v>20.9</v>
      </c>
      <c r="N9">
        <v>20.9</v>
      </c>
      <c r="O9">
        <v>20.9</v>
      </c>
      <c r="P9">
        <v>20.9</v>
      </c>
      <c r="Q9">
        <v>20.9</v>
      </c>
      <c r="R9">
        <v>20.9</v>
      </c>
      <c r="S9">
        <v>84</v>
      </c>
      <c r="T9">
        <v>23.2</v>
      </c>
      <c r="U9">
        <v>14</v>
      </c>
      <c r="V9">
        <v>27.8</v>
      </c>
      <c r="W9">
        <v>16.100000000000001</v>
      </c>
      <c r="Z9" t="s">
        <v>74</v>
      </c>
      <c r="AA9" t="s">
        <v>422</v>
      </c>
    </row>
    <row r="10" spans="1:29" x14ac:dyDescent="0.25">
      <c r="A10" t="s">
        <v>64</v>
      </c>
      <c r="B10">
        <v>253.94</v>
      </c>
      <c r="C10">
        <v>298.75</v>
      </c>
      <c r="D10">
        <v>254</v>
      </c>
      <c r="F10">
        <v>8</v>
      </c>
      <c r="G10">
        <v>2342</v>
      </c>
      <c r="H10">
        <v>152</v>
      </c>
      <c r="I10">
        <v>22.8</v>
      </c>
      <c r="J10">
        <v>22.8</v>
      </c>
      <c r="K10">
        <v>28.6</v>
      </c>
      <c r="L10">
        <v>28.6</v>
      </c>
      <c r="M10">
        <v>22.8</v>
      </c>
      <c r="N10">
        <v>22.8</v>
      </c>
      <c r="O10">
        <v>22.8</v>
      </c>
      <c r="P10">
        <v>22.8</v>
      </c>
      <c r="Q10">
        <v>22.8</v>
      </c>
      <c r="R10">
        <v>22.8</v>
      </c>
      <c r="S10">
        <v>91</v>
      </c>
      <c r="T10">
        <v>25.4</v>
      </c>
      <c r="U10">
        <v>15.4</v>
      </c>
      <c r="V10">
        <v>30.5</v>
      </c>
      <c r="W10">
        <v>17.600000000000001</v>
      </c>
      <c r="Z10" t="s">
        <v>75</v>
      </c>
    </row>
    <row r="11" spans="1:29" x14ac:dyDescent="0.25">
      <c r="A11" t="s">
        <v>69</v>
      </c>
      <c r="B11">
        <v>19.82</v>
      </c>
      <c r="C11">
        <v>23.31</v>
      </c>
      <c r="D11">
        <v>19.75</v>
      </c>
      <c r="F11">
        <v>9</v>
      </c>
      <c r="G11">
        <v>2545</v>
      </c>
      <c r="H11">
        <v>166</v>
      </c>
      <c r="I11">
        <v>24.8</v>
      </c>
      <c r="J11">
        <v>24.8</v>
      </c>
      <c r="K11">
        <v>31</v>
      </c>
      <c r="L11">
        <v>31</v>
      </c>
      <c r="M11">
        <v>24.8</v>
      </c>
      <c r="N11">
        <v>24.8</v>
      </c>
      <c r="O11">
        <v>24.8</v>
      </c>
      <c r="P11">
        <v>24.8</v>
      </c>
      <c r="Q11">
        <v>24.8</v>
      </c>
      <c r="R11">
        <v>24.8</v>
      </c>
      <c r="S11">
        <v>99</v>
      </c>
      <c r="T11">
        <v>27.6</v>
      </c>
      <c r="U11">
        <v>16.7</v>
      </c>
      <c r="V11">
        <v>33.1</v>
      </c>
      <c r="W11">
        <v>19.100000000000001</v>
      </c>
      <c r="Z11" t="s">
        <v>76</v>
      </c>
    </row>
    <row r="12" spans="1:29" x14ac:dyDescent="0.25">
      <c r="F12">
        <v>10</v>
      </c>
      <c r="G12">
        <v>2749</v>
      </c>
      <c r="H12">
        <v>179</v>
      </c>
      <c r="I12">
        <v>26.8</v>
      </c>
      <c r="J12">
        <v>26.8</v>
      </c>
      <c r="K12">
        <v>33.5</v>
      </c>
      <c r="L12">
        <v>33.5</v>
      </c>
      <c r="M12">
        <v>26.8</v>
      </c>
      <c r="N12">
        <v>26.8</v>
      </c>
      <c r="O12">
        <v>26.8</v>
      </c>
      <c r="P12">
        <v>26.8</v>
      </c>
      <c r="Q12">
        <v>26.8</v>
      </c>
      <c r="R12">
        <v>26.8</v>
      </c>
      <c r="S12">
        <v>107</v>
      </c>
      <c r="T12">
        <v>29.8</v>
      </c>
      <c r="U12">
        <v>18</v>
      </c>
      <c r="V12">
        <v>35.799999999999997</v>
      </c>
      <c r="W12">
        <v>20.6</v>
      </c>
      <c r="Z12" t="s">
        <v>71</v>
      </c>
    </row>
    <row r="13" spans="1:29" x14ac:dyDescent="0.25">
      <c r="F13">
        <v>11</v>
      </c>
      <c r="G13">
        <v>2952</v>
      </c>
      <c r="H13">
        <v>192</v>
      </c>
      <c r="I13">
        <v>28.8</v>
      </c>
      <c r="J13">
        <v>28.8</v>
      </c>
      <c r="K13">
        <v>36</v>
      </c>
      <c r="L13">
        <v>36</v>
      </c>
      <c r="M13">
        <v>28.8</v>
      </c>
      <c r="N13">
        <v>28.8</v>
      </c>
      <c r="O13">
        <v>28.8</v>
      </c>
      <c r="P13">
        <v>28.8</v>
      </c>
      <c r="Q13">
        <v>28.8</v>
      </c>
      <c r="R13">
        <v>28.8</v>
      </c>
      <c r="S13">
        <v>115</v>
      </c>
      <c r="T13">
        <v>32</v>
      </c>
      <c r="U13">
        <v>19.3</v>
      </c>
      <c r="V13">
        <v>38.4</v>
      </c>
      <c r="W13">
        <v>22.2</v>
      </c>
      <c r="Z13" t="s">
        <v>72</v>
      </c>
    </row>
    <row r="14" spans="1:29" x14ac:dyDescent="0.25">
      <c r="F14">
        <v>12</v>
      </c>
      <c r="G14">
        <v>3155</v>
      </c>
      <c r="H14">
        <v>205</v>
      </c>
      <c r="I14">
        <v>30.8</v>
      </c>
      <c r="J14">
        <v>30.8</v>
      </c>
      <c r="K14">
        <v>38.5</v>
      </c>
      <c r="L14">
        <v>38.5</v>
      </c>
      <c r="M14">
        <v>30.8</v>
      </c>
      <c r="N14">
        <v>30.8</v>
      </c>
      <c r="O14">
        <v>30.8</v>
      </c>
      <c r="P14">
        <v>30.8</v>
      </c>
      <c r="Q14">
        <v>30.8</v>
      </c>
      <c r="R14">
        <v>30.8</v>
      </c>
      <c r="S14">
        <v>123</v>
      </c>
      <c r="T14">
        <v>34.200000000000003</v>
      </c>
      <c r="U14">
        <v>20.7</v>
      </c>
      <c r="V14">
        <v>41.1</v>
      </c>
      <c r="W14">
        <v>23.7</v>
      </c>
    </row>
    <row r="15" spans="1:29" x14ac:dyDescent="0.25">
      <c r="F15">
        <v>13</v>
      </c>
      <c r="G15">
        <v>3358</v>
      </c>
      <c r="H15">
        <v>219</v>
      </c>
      <c r="I15">
        <v>32.799999999999997</v>
      </c>
      <c r="J15">
        <v>32.799999999999997</v>
      </c>
      <c r="K15">
        <v>40.9</v>
      </c>
      <c r="L15">
        <v>40.9</v>
      </c>
      <c r="M15">
        <v>32.799999999999997</v>
      </c>
      <c r="N15">
        <v>32.799999999999997</v>
      </c>
      <c r="O15">
        <v>32.799999999999997</v>
      </c>
      <c r="P15">
        <v>32.799999999999997</v>
      </c>
      <c r="Q15">
        <v>32.799999999999997</v>
      </c>
      <c r="R15">
        <v>32.799999999999997</v>
      </c>
      <c r="S15">
        <v>131</v>
      </c>
      <c r="T15">
        <v>36.4</v>
      </c>
      <c r="U15">
        <v>22</v>
      </c>
      <c r="V15">
        <v>43.7</v>
      </c>
      <c r="W15">
        <v>25.2</v>
      </c>
      <c r="Y15" t="s">
        <v>438</v>
      </c>
    </row>
    <row r="16" spans="1:29" x14ac:dyDescent="0.25">
      <c r="F16">
        <v>14</v>
      </c>
      <c r="G16">
        <v>3561</v>
      </c>
      <c r="H16">
        <v>232</v>
      </c>
      <c r="I16">
        <v>34.700000000000003</v>
      </c>
      <c r="J16">
        <v>34.700000000000003</v>
      </c>
      <c r="K16">
        <v>43.4</v>
      </c>
      <c r="L16">
        <v>43.4</v>
      </c>
      <c r="M16">
        <v>34.700000000000003</v>
      </c>
      <c r="N16">
        <v>34.700000000000003</v>
      </c>
      <c r="O16">
        <v>34.700000000000003</v>
      </c>
      <c r="P16">
        <v>34.700000000000003</v>
      </c>
      <c r="Q16">
        <v>34.700000000000003</v>
      </c>
      <c r="R16">
        <v>34.700000000000003</v>
      </c>
      <c r="S16">
        <v>139</v>
      </c>
      <c r="T16">
        <v>38.6</v>
      </c>
      <c r="U16">
        <v>23.3</v>
      </c>
      <c r="V16">
        <v>46.3</v>
      </c>
      <c r="W16">
        <v>26.7</v>
      </c>
      <c r="Y16" t="s">
        <v>791</v>
      </c>
      <c r="Z16" t="s">
        <v>792</v>
      </c>
      <c r="AA16" t="s">
        <v>793</v>
      </c>
      <c r="AB16" t="s">
        <v>794</v>
      </c>
      <c r="AC16" t="s">
        <v>795</v>
      </c>
    </row>
    <row r="17" spans="6:29" x14ac:dyDescent="0.25">
      <c r="F17">
        <v>15</v>
      </c>
      <c r="G17">
        <v>3764</v>
      </c>
      <c r="H17">
        <v>245</v>
      </c>
      <c r="I17">
        <v>36.700000000000003</v>
      </c>
      <c r="J17">
        <v>36.700000000000003</v>
      </c>
      <c r="K17">
        <v>45.9</v>
      </c>
      <c r="L17">
        <v>45.9</v>
      </c>
      <c r="M17">
        <v>36.700000000000003</v>
      </c>
      <c r="N17">
        <v>36.700000000000003</v>
      </c>
      <c r="O17">
        <v>36.700000000000003</v>
      </c>
      <c r="P17">
        <v>36.700000000000003</v>
      </c>
      <c r="Q17">
        <v>36.700000000000003</v>
      </c>
      <c r="R17">
        <v>36.700000000000003</v>
      </c>
      <c r="S17">
        <v>147</v>
      </c>
      <c r="T17">
        <v>40.799999999999997</v>
      </c>
      <c r="U17">
        <v>24.7</v>
      </c>
      <c r="V17">
        <v>49</v>
      </c>
      <c r="W17">
        <v>28.3</v>
      </c>
      <c r="Y17">
        <v>1</v>
      </c>
      <c r="Z17">
        <v>1</v>
      </c>
      <c r="AA17">
        <v>1</v>
      </c>
      <c r="AB17">
        <v>1</v>
      </c>
      <c r="AC17">
        <v>1</v>
      </c>
    </row>
    <row r="18" spans="6:29" x14ac:dyDescent="0.25">
      <c r="F18">
        <v>16</v>
      </c>
      <c r="G18">
        <v>3967</v>
      </c>
      <c r="H18">
        <v>258</v>
      </c>
      <c r="I18">
        <v>38.700000000000003</v>
      </c>
      <c r="J18">
        <v>38.700000000000003</v>
      </c>
      <c r="K18">
        <v>48.4</v>
      </c>
      <c r="L18">
        <v>48.4</v>
      </c>
      <c r="M18">
        <v>38.700000000000003</v>
      </c>
      <c r="N18">
        <v>38.700000000000003</v>
      </c>
      <c r="O18">
        <v>38.700000000000003</v>
      </c>
      <c r="P18">
        <v>38.700000000000003</v>
      </c>
      <c r="Q18">
        <v>38.700000000000003</v>
      </c>
      <c r="R18">
        <v>38.700000000000003</v>
      </c>
      <c r="S18">
        <v>155</v>
      </c>
      <c r="T18">
        <v>43</v>
      </c>
      <c r="U18">
        <v>26</v>
      </c>
      <c r="V18">
        <v>51.6</v>
      </c>
      <c r="W18">
        <v>29.8</v>
      </c>
      <c r="Y18">
        <v>2</v>
      </c>
      <c r="Z18">
        <v>2</v>
      </c>
      <c r="AA18">
        <v>2</v>
      </c>
      <c r="AB18">
        <v>2</v>
      </c>
      <c r="AC18">
        <v>2</v>
      </c>
    </row>
    <row r="19" spans="6:29" x14ac:dyDescent="0.25">
      <c r="F19">
        <v>17</v>
      </c>
      <c r="G19">
        <v>4171</v>
      </c>
      <c r="H19">
        <v>272</v>
      </c>
      <c r="I19">
        <v>40.700000000000003</v>
      </c>
      <c r="J19">
        <v>40.700000000000003</v>
      </c>
      <c r="K19">
        <v>50.8</v>
      </c>
      <c r="L19">
        <v>50.8</v>
      </c>
      <c r="M19">
        <v>40.700000000000003</v>
      </c>
      <c r="N19">
        <v>40.700000000000003</v>
      </c>
      <c r="O19">
        <v>40.700000000000003</v>
      </c>
      <c r="P19">
        <v>40.700000000000003</v>
      </c>
      <c r="Q19">
        <v>40.700000000000003</v>
      </c>
      <c r="R19">
        <v>40.700000000000003</v>
      </c>
      <c r="S19">
        <v>163</v>
      </c>
      <c r="T19">
        <v>45.2</v>
      </c>
      <c r="U19">
        <v>27.3</v>
      </c>
      <c r="V19">
        <v>54.3</v>
      </c>
      <c r="W19">
        <v>31.3</v>
      </c>
      <c r="Y19">
        <v>3</v>
      </c>
      <c r="Z19">
        <v>3</v>
      </c>
      <c r="AA19">
        <v>3</v>
      </c>
      <c r="AB19">
        <v>3</v>
      </c>
      <c r="AC19">
        <v>3</v>
      </c>
    </row>
    <row r="20" spans="6:29" x14ac:dyDescent="0.25">
      <c r="F20">
        <v>18</v>
      </c>
      <c r="G20">
        <v>4374</v>
      </c>
      <c r="H20">
        <v>285</v>
      </c>
      <c r="I20">
        <v>42.7</v>
      </c>
      <c r="J20">
        <v>42.7</v>
      </c>
      <c r="K20">
        <v>53.3</v>
      </c>
      <c r="L20">
        <v>53.3</v>
      </c>
      <c r="M20">
        <v>42.7</v>
      </c>
      <c r="N20">
        <v>42.7</v>
      </c>
      <c r="O20">
        <v>42.7</v>
      </c>
      <c r="P20">
        <v>42.7</v>
      </c>
      <c r="Q20">
        <v>42.7</v>
      </c>
      <c r="R20">
        <v>42.7</v>
      </c>
      <c r="S20">
        <v>171</v>
      </c>
      <c r="T20">
        <v>47.4</v>
      </c>
      <c r="U20">
        <v>28.7</v>
      </c>
      <c r="V20">
        <v>56.9</v>
      </c>
      <c r="W20">
        <v>32.799999999999997</v>
      </c>
      <c r="Y20">
        <v>4</v>
      </c>
      <c r="Z20">
        <v>4</v>
      </c>
      <c r="AA20">
        <v>4</v>
      </c>
      <c r="AB20">
        <v>4</v>
      </c>
      <c r="AC20">
        <v>4</v>
      </c>
    </row>
    <row r="21" spans="6:29" x14ac:dyDescent="0.25">
      <c r="F21">
        <v>19</v>
      </c>
      <c r="G21">
        <v>4577</v>
      </c>
      <c r="H21">
        <v>298</v>
      </c>
      <c r="I21">
        <v>44.6</v>
      </c>
      <c r="J21">
        <v>44.6</v>
      </c>
      <c r="K21">
        <v>55.8</v>
      </c>
      <c r="L21">
        <v>55.8</v>
      </c>
      <c r="M21">
        <v>44.6</v>
      </c>
      <c r="N21">
        <v>44.6</v>
      </c>
      <c r="O21">
        <v>44.6</v>
      </c>
      <c r="P21">
        <v>44.6</v>
      </c>
      <c r="Q21">
        <v>44.6</v>
      </c>
      <c r="R21">
        <v>44.6</v>
      </c>
      <c r="S21">
        <v>179</v>
      </c>
      <c r="T21">
        <v>49.6</v>
      </c>
      <c r="U21">
        <v>30</v>
      </c>
      <c r="V21">
        <v>59.6</v>
      </c>
      <c r="W21">
        <v>34.4</v>
      </c>
      <c r="Y21">
        <v>5</v>
      </c>
      <c r="Z21">
        <v>5</v>
      </c>
      <c r="AA21">
        <v>5</v>
      </c>
    </row>
    <row r="22" spans="6:29" x14ac:dyDescent="0.25">
      <c r="F22">
        <v>20</v>
      </c>
      <c r="G22">
        <v>4780</v>
      </c>
      <c r="H22">
        <v>311</v>
      </c>
      <c r="I22">
        <v>46.6</v>
      </c>
      <c r="J22">
        <v>46.6</v>
      </c>
      <c r="K22">
        <v>58.3</v>
      </c>
      <c r="L22">
        <v>58.3</v>
      </c>
      <c r="M22">
        <v>46.6</v>
      </c>
      <c r="N22">
        <v>46.6</v>
      </c>
      <c r="O22">
        <v>46.6</v>
      </c>
      <c r="P22">
        <v>46.6</v>
      </c>
      <c r="Q22">
        <v>46.6</v>
      </c>
      <c r="R22">
        <v>46.6</v>
      </c>
      <c r="S22">
        <v>187</v>
      </c>
      <c r="T22">
        <v>51.8</v>
      </c>
      <c r="U22">
        <v>31.1</v>
      </c>
      <c r="V22">
        <v>62.2</v>
      </c>
      <c r="W22">
        <v>35.9</v>
      </c>
      <c r="Y22">
        <v>6</v>
      </c>
      <c r="Z22">
        <v>6</v>
      </c>
      <c r="AA22">
        <v>6</v>
      </c>
    </row>
    <row r="23" spans="6:29" x14ac:dyDescent="0.25">
      <c r="F23" t="s">
        <v>787</v>
      </c>
      <c r="G23" t="s">
        <v>223</v>
      </c>
      <c r="H23" t="s">
        <v>125</v>
      </c>
      <c r="I23" t="s">
        <v>67</v>
      </c>
      <c r="J23" t="s">
        <v>65</v>
      </c>
      <c r="K23" t="s">
        <v>66</v>
      </c>
      <c r="L23" t="s">
        <v>70</v>
      </c>
      <c r="M23" t="s">
        <v>73</v>
      </c>
      <c r="N23" t="s">
        <v>74</v>
      </c>
      <c r="O23" t="s">
        <v>75</v>
      </c>
      <c r="P23" t="s">
        <v>71</v>
      </c>
      <c r="Q23" t="s">
        <v>72</v>
      </c>
      <c r="R23" t="s">
        <v>76</v>
      </c>
      <c r="S23" t="s">
        <v>69</v>
      </c>
      <c r="T23" t="s">
        <v>68</v>
      </c>
      <c r="U23" t="s">
        <v>408</v>
      </c>
      <c r="V23" t="s">
        <v>409</v>
      </c>
      <c r="W23" t="s">
        <v>422</v>
      </c>
      <c r="Y23">
        <v>7</v>
      </c>
      <c r="Z23">
        <v>7</v>
      </c>
      <c r="AA23">
        <v>7</v>
      </c>
    </row>
    <row r="24" spans="6:29" x14ac:dyDescent="0.25">
      <c r="F24">
        <v>0</v>
      </c>
      <c r="G24">
        <v>645</v>
      </c>
      <c r="H24">
        <v>42</v>
      </c>
      <c r="I24">
        <v>6.3</v>
      </c>
      <c r="J24">
        <v>6.3</v>
      </c>
      <c r="K24">
        <v>7.9</v>
      </c>
      <c r="L24">
        <v>7.9</v>
      </c>
      <c r="M24">
        <v>6.3</v>
      </c>
      <c r="N24">
        <v>6.3</v>
      </c>
      <c r="O24">
        <v>6.3</v>
      </c>
      <c r="P24">
        <v>6.3</v>
      </c>
      <c r="Q24">
        <v>6.3</v>
      </c>
      <c r="R24">
        <v>6.3</v>
      </c>
      <c r="S24">
        <v>25</v>
      </c>
      <c r="T24">
        <v>7</v>
      </c>
      <c r="U24">
        <v>4.2</v>
      </c>
      <c r="V24">
        <v>8.4</v>
      </c>
      <c r="W24">
        <v>4.8</v>
      </c>
      <c r="Y24">
        <v>8</v>
      </c>
      <c r="Z24">
        <v>8</v>
      </c>
      <c r="AA24">
        <v>8</v>
      </c>
    </row>
    <row r="25" spans="6:29" x14ac:dyDescent="0.25">
      <c r="F25">
        <v>1</v>
      </c>
      <c r="G25">
        <v>828</v>
      </c>
      <c r="H25">
        <v>54</v>
      </c>
      <c r="I25">
        <v>8.1</v>
      </c>
      <c r="J25">
        <v>8.1</v>
      </c>
      <c r="K25">
        <v>10.1</v>
      </c>
      <c r="L25">
        <v>10.1</v>
      </c>
      <c r="M25">
        <v>8.1</v>
      </c>
      <c r="N25">
        <v>8.1</v>
      </c>
      <c r="O25">
        <v>8.1</v>
      </c>
      <c r="P25">
        <v>8.1</v>
      </c>
      <c r="Q25">
        <v>8.1</v>
      </c>
      <c r="R25">
        <v>8.1</v>
      </c>
      <c r="S25">
        <v>32</v>
      </c>
      <c r="T25">
        <v>9</v>
      </c>
      <c r="U25">
        <v>5.4</v>
      </c>
      <c r="V25">
        <v>10.8</v>
      </c>
      <c r="W25">
        <v>6.2</v>
      </c>
      <c r="Y25">
        <v>9</v>
      </c>
      <c r="Z25">
        <v>9</v>
      </c>
      <c r="AA25">
        <v>9</v>
      </c>
    </row>
    <row r="26" spans="6:29" x14ac:dyDescent="0.25">
      <c r="F26">
        <v>2</v>
      </c>
      <c r="G26">
        <v>1011</v>
      </c>
      <c r="H26">
        <v>66</v>
      </c>
      <c r="I26">
        <v>9.9</v>
      </c>
      <c r="J26">
        <v>9.9</v>
      </c>
      <c r="K26">
        <v>12.3</v>
      </c>
      <c r="L26">
        <v>12.3</v>
      </c>
      <c r="M26">
        <v>9.9</v>
      </c>
      <c r="N26">
        <v>9.9</v>
      </c>
      <c r="O26">
        <v>9.9</v>
      </c>
      <c r="P26">
        <v>9.9</v>
      </c>
      <c r="Q26">
        <v>9.9</v>
      </c>
      <c r="R26">
        <v>9.9</v>
      </c>
      <c r="S26">
        <v>39</v>
      </c>
      <c r="T26">
        <v>11</v>
      </c>
      <c r="U26">
        <v>6.6</v>
      </c>
      <c r="V26">
        <v>13.1</v>
      </c>
      <c r="W26">
        <v>7.6</v>
      </c>
      <c r="Y26">
        <v>10</v>
      </c>
      <c r="Z26">
        <v>10</v>
      </c>
      <c r="AA26">
        <v>10</v>
      </c>
    </row>
    <row r="27" spans="6:29" x14ac:dyDescent="0.25">
      <c r="F27">
        <v>3</v>
      </c>
      <c r="G27">
        <v>1194</v>
      </c>
      <c r="H27">
        <v>78</v>
      </c>
      <c r="I27">
        <v>11.6</v>
      </c>
      <c r="J27">
        <v>11.6</v>
      </c>
      <c r="K27">
        <v>14.6</v>
      </c>
      <c r="L27">
        <v>14.6</v>
      </c>
      <c r="M27">
        <v>11.6</v>
      </c>
      <c r="N27">
        <v>11.6</v>
      </c>
      <c r="O27">
        <v>11.6</v>
      </c>
      <c r="P27">
        <v>11.6</v>
      </c>
      <c r="Q27">
        <v>11.6</v>
      </c>
      <c r="R27">
        <v>11.6</v>
      </c>
      <c r="S27">
        <v>47</v>
      </c>
      <c r="T27">
        <v>12.9</v>
      </c>
      <c r="U27">
        <v>7.8</v>
      </c>
      <c r="V27">
        <v>15.5</v>
      </c>
      <c r="W27">
        <v>9</v>
      </c>
      <c r="Y27">
        <v>11</v>
      </c>
      <c r="Z27">
        <v>11</v>
      </c>
      <c r="AA27">
        <v>11</v>
      </c>
    </row>
    <row r="28" spans="6:29" x14ac:dyDescent="0.25">
      <c r="F28">
        <v>4</v>
      </c>
      <c r="G28">
        <v>1377</v>
      </c>
      <c r="H28">
        <v>90</v>
      </c>
      <c r="I28">
        <v>13.4</v>
      </c>
      <c r="J28">
        <v>13.4</v>
      </c>
      <c r="K28">
        <v>16.8</v>
      </c>
      <c r="L28">
        <v>16.8</v>
      </c>
      <c r="M28">
        <v>13.4</v>
      </c>
      <c r="N28">
        <v>13.4</v>
      </c>
      <c r="O28">
        <v>13.4</v>
      </c>
      <c r="P28">
        <v>13.4</v>
      </c>
      <c r="Q28">
        <v>13.4</v>
      </c>
      <c r="R28">
        <v>13.4</v>
      </c>
      <c r="S28">
        <v>54</v>
      </c>
      <c r="T28">
        <v>14.9</v>
      </c>
      <c r="U28">
        <v>9</v>
      </c>
      <c r="V28">
        <v>17.899999999999999</v>
      </c>
      <c r="W28">
        <v>10.3</v>
      </c>
      <c r="Y28">
        <v>12</v>
      </c>
      <c r="Z28">
        <v>12</v>
      </c>
      <c r="AA28">
        <v>12</v>
      </c>
    </row>
    <row r="29" spans="6:29" x14ac:dyDescent="0.25">
      <c r="F29">
        <v>5</v>
      </c>
      <c r="G29">
        <v>1559</v>
      </c>
      <c r="H29">
        <v>102</v>
      </c>
      <c r="I29">
        <v>15.2</v>
      </c>
      <c r="J29">
        <v>15.2</v>
      </c>
      <c r="K29">
        <v>19</v>
      </c>
      <c r="L29">
        <v>19</v>
      </c>
      <c r="M29">
        <v>15.2</v>
      </c>
      <c r="N29">
        <v>15.2</v>
      </c>
      <c r="O29">
        <v>15.2</v>
      </c>
      <c r="P29">
        <v>15.2</v>
      </c>
      <c r="Q29">
        <v>15.2</v>
      </c>
      <c r="R29">
        <v>15.2</v>
      </c>
      <c r="S29">
        <v>61</v>
      </c>
      <c r="T29">
        <v>16.899999999999999</v>
      </c>
      <c r="U29">
        <v>10.1</v>
      </c>
      <c r="V29">
        <v>20.3</v>
      </c>
      <c r="W29">
        <v>11.7</v>
      </c>
      <c r="Y29">
        <v>13</v>
      </c>
      <c r="Z29">
        <v>13</v>
      </c>
    </row>
    <row r="30" spans="6:29" x14ac:dyDescent="0.25">
      <c r="F30">
        <v>6</v>
      </c>
      <c r="G30">
        <v>1742</v>
      </c>
      <c r="H30">
        <v>113</v>
      </c>
      <c r="I30">
        <v>17</v>
      </c>
      <c r="J30">
        <v>17</v>
      </c>
      <c r="K30">
        <v>21.2</v>
      </c>
      <c r="L30">
        <v>21.2</v>
      </c>
      <c r="M30">
        <v>17</v>
      </c>
      <c r="N30">
        <v>17</v>
      </c>
      <c r="O30">
        <v>17</v>
      </c>
      <c r="P30">
        <v>17</v>
      </c>
      <c r="Q30">
        <v>17</v>
      </c>
      <c r="R30">
        <v>17</v>
      </c>
      <c r="S30">
        <v>68</v>
      </c>
      <c r="T30">
        <v>18.899999999999999</v>
      </c>
      <c r="U30">
        <v>11.3</v>
      </c>
      <c r="V30">
        <v>22.7</v>
      </c>
      <c r="W30">
        <v>13.1</v>
      </c>
      <c r="Y30">
        <v>14</v>
      </c>
      <c r="Z30">
        <v>14</v>
      </c>
    </row>
    <row r="31" spans="6:29" x14ac:dyDescent="0.25">
      <c r="F31">
        <v>7</v>
      </c>
      <c r="G31">
        <v>1925</v>
      </c>
      <c r="H31">
        <v>125</v>
      </c>
      <c r="I31">
        <v>18.8</v>
      </c>
      <c r="J31">
        <v>18.8</v>
      </c>
      <c r="K31">
        <v>23.5</v>
      </c>
      <c r="L31">
        <v>23.5</v>
      </c>
      <c r="M31">
        <v>18.8</v>
      </c>
      <c r="N31">
        <v>18.8</v>
      </c>
      <c r="O31">
        <v>18.8</v>
      </c>
      <c r="P31">
        <v>18.8</v>
      </c>
      <c r="Q31">
        <v>18.8</v>
      </c>
      <c r="R31">
        <v>18.8</v>
      </c>
      <c r="S31">
        <v>75</v>
      </c>
      <c r="T31">
        <v>20.9</v>
      </c>
      <c r="U31">
        <v>12.5</v>
      </c>
      <c r="V31">
        <v>25</v>
      </c>
      <c r="W31">
        <v>14.4</v>
      </c>
      <c r="Y31">
        <v>15</v>
      </c>
      <c r="Z31">
        <v>15</v>
      </c>
    </row>
    <row r="32" spans="6:29" x14ac:dyDescent="0.25">
      <c r="F32">
        <v>8</v>
      </c>
      <c r="G32">
        <v>2108</v>
      </c>
      <c r="H32">
        <v>137</v>
      </c>
      <c r="I32">
        <v>20.6</v>
      </c>
      <c r="J32">
        <v>20.6</v>
      </c>
      <c r="K32">
        <v>25.7</v>
      </c>
      <c r="L32">
        <v>25.7</v>
      </c>
      <c r="M32">
        <v>20.6</v>
      </c>
      <c r="N32">
        <v>20.6</v>
      </c>
      <c r="O32">
        <v>20.6</v>
      </c>
      <c r="P32">
        <v>20.6</v>
      </c>
      <c r="Q32">
        <v>20.6</v>
      </c>
      <c r="R32">
        <v>20.6</v>
      </c>
      <c r="S32">
        <v>82</v>
      </c>
      <c r="T32">
        <v>22.8</v>
      </c>
      <c r="U32">
        <v>13.7</v>
      </c>
      <c r="V32">
        <v>27.4</v>
      </c>
      <c r="W32">
        <v>15.8</v>
      </c>
      <c r="Y32">
        <v>16</v>
      </c>
      <c r="Z32">
        <v>16</v>
      </c>
    </row>
    <row r="33" spans="6:26" x14ac:dyDescent="0.25">
      <c r="F33">
        <v>9</v>
      </c>
      <c r="G33">
        <v>2291</v>
      </c>
      <c r="H33">
        <v>149</v>
      </c>
      <c r="I33">
        <v>22.3</v>
      </c>
      <c r="J33">
        <v>22.3</v>
      </c>
      <c r="K33">
        <v>27.9</v>
      </c>
      <c r="L33">
        <v>27.9</v>
      </c>
      <c r="M33">
        <v>22.3</v>
      </c>
      <c r="N33">
        <v>22.3</v>
      </c>
      <c r="O33">
        <v>22.3</v>
      </c>
      <c r="P33">
        <v>22.3</v>
      </c>
      <c r="Q33">
        <v>22.3</v>
      </c>
      <c r="R33">
        <v>22.3</v>
      </c>
      <c r="S33">
        <v>89</v>
      </c>
      <c r="T33">
        <v>24.8</v>
      </c>
      <c r="U33">
        <v>14.9</v>
      </c>
      <c r="V33">
        <v>29.8</v>
      </c>
      <c r="W33">
        <v>17.2</v>
      </c>
      <c r="Y33">
        <v>17</v>
      </c>
    </row>
    <row r="34" spans="6:26" x14ac:dyDescent="0.25">
      <c r="F34">
        <v>10</v>
      </c>
      <c r="G34">
        <v>2474</v>
      </c>
      <c r="H34">
        <v>161</v>
      </c>
      <c r="I34">
        <v>24.1</v>
      </c>
      <c r="J34">
        <v>24.1</v>
      </c>
      <c r="K34">
        <v>30.2</v>
      </c>
      <c r="L34">
        <v>30.2</v>
      </c>
      <c r="M34">
        <v>24.1</v>
      </c>
      <c r="N34">
        <v>24.1</v>
      </c>
      <c r="O34">
        <v>24.1</v>
      </c>
      <c r="P34">
        <v>24.1</v>
      </c>
      <c r="Q34">
        <v>24.1</v>
      </c>
      <c r="R34">
        <v>24.1</v>
      </c>
      <c r="S34">
        <v>97</v>
      </c>
      <c r="T34">
        <v>26.8</v>
      </c>
      <c r="U34">
        <v>16.100000000000001</v>
      </c>
      <c r="V34">
        <v>32.200000000000003</v>
      </c>
      <c r="W34">
        <v>18.600000000000001</v>
      </c>
      <c r="Y34">
        <v>18</v>
      </c>
    </row>
    <row r="35" spans="6:26" x14ac:dyDescent="0.25">
      <c r="F35">
        <v>11</v>
      </c>
      <c r="G35">
        <v>2657</v>
      </c>
      <c r="H35">
        <v>173</v>
      </c>
      <c r="I35">
        <v>25.9</v>
      </c>
      <c r="J35">
        <v>25.9</v>
      </c>
      <c r="K35">
        <v>32.4</v>
      </c>
      <c r="L35">
        <v>32.4</v>
      </c>
      <c r="M35">
        <v>25.9</v>
      </c>
      <c r="N35">
        <v>25.9</v>
      </c>
      <c r="O35">
        <v>25.9</v>
      </c>
      <c r="P35">
        <v>25.9</v>
      </c>
      <c r="Q35">
        <v>25.9</v>
      </c>
      <c r="R35">
        <v>25.9</v>
      </c>
      <c r="S35">
        <v>104</v>
      </c>
      <c r="T35">
        <v>28.8</v>
      </c>
      <c r="U35">
        <v>17.3</v>
      </c>
      <c r="V35">
        <v>34.5</v>
      </c>
      <c r="W35">
        <v>19.899999999999999</v>
      </c>
      <c r="Y35">
        <v>19</v>
      </c>
    </row>
    <row r="36" spans="6:26" x14ac:dyDescent="0.25">
      <c r="F36">
        <v>12</v>
      </c>
      <c r="G36">
        <v>2839</v>
      </c>
      <c r="H36">
        <v>185</v>
      </c>
      <c r="I36">
        <v>27.7</v>
      </c>
      <c r="J36">
        <v>27.7</v>
      </c>
      <c r="K36">
        <v>34.6</v>
      </c>
      <c r="L36">
        <v>34.6</v>
      </c>
      <c r="M36">
        <v>27.7</v>
      </c>
      <c r="N36">
        <v>27.7</v>
      </c>
      <c r="O36">
        <v>27.7</v>
      </c>
      <c r="P36">
        <v>27.7</v>
      </c>
      <c r="Q36">
        <v>27.7</v>
      </c>
      <c r="R36">
        <v>27.7</v>
      </c>
      <c r="S36">
        <v>111</v>
      </c>
      <c r="T36">
        <v>30.8</v>
      </c>
      <c r="U36">
        <v>18.5</v>
      </c>
      <c r="V36">
        <v>36.9</v>
      </c>
      <c r="W36">
        <v>21.3</v>
      </c>
      <c r="Y36">
        <v>20</v>
      </c>
    </row>
    <row r="37" spans="6:26" x14ac:dyDescent="0.25">
      <c r="F37">
        <v>13</v>
      </c>
      <c r="G37">
        <v>3022</v>
      </c>
      <c r="H37">
        <v>197</v>
      </c>
      <c r="I37">
        <v>29.5</v>
      </c>
      <c r="J37">
        <v>29.5</v>
      </c>
      <c r="K37">
        <v>36.799999999999997</v>
      </c>
      <c r="L37">
        <v>36.799999999999997</v>
      </c>
      <c r="M37">
        <v>29.5</v>
      </c>
      <c r="N37">
        <v>29.5</v>
      </c>
      <c r="O37">
        <v>29.5</v>
      </c>
      <c r="P37">
        <v>29.5</v>
      </c>
      <c r="Q37">
        <v>29.5</v>
      </c>
      <c r="R37">
        <v>29.5</v>
      </c>
      <c r="S37">
        <v>118</v>
      </c>
      <c r="T37">
        <v>32.799999999999997</v>
      </c>
      <c r="U37">
        <v>19.7</v>
      </c>
      <c r="V37">
        <v>39.299999999999997</v>
      </c>
      <c r="W37">
        <v>22.7</v>
      </c>
    </row>
    <row r="38" spans="6:26" x14ac:dyDescent="0.25">
      <c r="F38">
        <v>14</v>
      </c>
      <c r="G38">
        <v>3205</v>
      </c>
      <c r="H38">
        <v>209</v>
      </c>
      <c r="I38">
        <v>31.3</v>
      </c>
      <c r="J38">
        <v>31.3</v>
      </c>
      <c r="K38">
        <v>39.1</v>
      </c>
      <c r="L38">
        <v>39.1</v>
      </c>
      <c r="M38">
        <v>31.3</v>
      </c>
      <c r="N38">
        <v>31.3</v>
      </c>
      <c r="O38">
        <v>31.3</v>
      </c>
      <c r="P38">
        <v>31.3</v>
      </c>
      <c r="Q38">
        <v>31.3</v>
      </c>
      <c r="R38">
        <v>31.3</v>
      </c>
      <c r="S38">
        <v>125</v>
      </c>
      <c r="T38">
        <v>34.700000000000003</v>
      </c>
      <c r="U38">
        <v>20.8</v>
      </c>
      <c r="V38">
        <v>41.7</v>
      </c>
      <c r="W38">
        <v>24</v>
      </c>
      <c r="Y38" t="s">
        <v>446</v>
      </c>
    </row>
    <row r="39" spans="6:26" x14ac:dyDescent="0.25">
      <c r="F39">
        <v>15</v>
      </c>
      <c r="G39">
        <v>3388</v>
      </c>
      <c r="H39">
        <v>221</v>
      </c>
      <c r="I39">
        <v>33</v>
      </c>
      <c r="J39">
        <v>33</v>
      </c>
      <c r="K39">
        <v>41.3</v>
      </c>
      <c r="L39">
        <v>41.3</v>
      </c>
      <c r="M39">
        <v>33</v>
      </c>
      <c r="N39">
        <v>33</v>
      </c>
      <c r="O39">
        <v>33</v>
      </c>
      <c r="P39">
        <v>33</v>
      </c>
      <c r="Q39">
        <v>33</v>
      </c>
      <c r="R39">
        <v>33</v>
      </c>
      <c r="S39">
        <v>132</v>
      </c>
      <c r="T39">
        <v>36.700000000000003</v>
      </c>
      <c r="U39">
        <v>22</v>
      </c>
      <c r="V39">
        <v>44.1</v>
      </c>
      <c r="W39">
        <v>25.4</v>
      </c>
      <c r="Y39" t="s">
        <v>795</v>
      </c>
      <c r="Z39" t="s">
        <v>447</v>
      </c>
    </row>
    <row r="40" spans="6:26" x14ac:dyDescent="0.25">
      <c r="F40">
        <v>16</v>
      </c>
      <c r="G40">
        <v>3571</v>
      </c>
      <c r="H40">
        <v>232</v>
      </c>
      <c r="I40">
        <v>34.799999999999997</v>
      </c>
      <c r="J40">
        <v>34.799999999999997</v>
      </c>
      <c r="K40">
        <v>43.5</v>
      </c>
      <c r="L40">
        <v>43.5</v>
      </c>
      <c r="M40">
        <v>34.799999999999997</v>
      </c>
      <c r="N40">
        <v>34.799999999999997</v>
      </c>
      <c r="O40">
        <v>34.799999999999997</v>
      </c>
      <c r="P40">
        <v>34.799999999999997</v>
      </c>
      <c r="Q40">
        <v>34.799999999999997</v>
      </c>
      <c r="R40">
        <v>34.799999999999997</v>
      </c>
      <c r="S40">
        <v>139</v>
      </c>
      <c r="T40">
        <v>38.700000000000003</v>
      </c>
      <c r="U40">
        <v>23.2</v>
      </c>
      <c r="V40">
        <v>46.4</v>
      </c>
      <c r="W40">
        <v>26.8</v>
      </c>
      <c r="Y40" t="s">
        <v>794</v>
      </c>
      <c r="Z40" t="s">
        <v>448</v>
      </c>
    </row>
    <row r="41" spans="6:26" x14ac:dyDescent="0.25">
      <c r="F41" t="s">
        <v>788</v>
      </c>
      <c r="G41" t="s">
        <v>223</v>
      </c>
      <c r="H41" t="s">
        <v>125</v>
      </c>
      <c r="I41" t="s">
        <v>67</v>
      </c>
      <c r="J41" t="s">
        <v>65</v>
      </c>
      <c r="K41" t="s">
        <v>66</v>
      </c>
      <c r="L41" t="s">
        <v>439</v>
      </c>
      <c r="M41" t="s">
        <v>73</v>
      </c>
      <c r="N41" t="s">
        <v>74</v>
      </c>
      <c r="O41" t="s">
        <v>75</v>
      </c>
      <c r="P41" t="s">
        <v>71</v>
      </c>
      <c r="Q41" t="s">
        <v>72</v>
      </c>
      <c r="R41" t="s">
        <v>76</v>
      </c>
      <c r="S41" t="s">
        <v>440</v>
      </c>
      <c r="T41" t="s">
        <v>441</v>
      </c>
      <c r="U41" t="s">
        <v>442</v>
      </c>
      <c r="V41" t="s">
        <v>443</v>
      </c>
      <c r="W41" t="s">
        <v>422</v>
      </c>
      <c r="Y41" t="s">
        <v>793</v>
      </c>
      <c r="Z41" t="s">
        <v>449</v>
      </c>
    </row>
    <row r="42" spans="6:26" x14ac:dyDescent="0.25">
      <c r="F42">
        <v>0</v>
      </c>
      <c r="G42">
        <v>430</v>
      </c>
      <c r="H42">
        <v>28</v>
      </c>
      <c r="I42">
        <v>5.2</v>
      </c>
      <c r="J42">
        <v>5.2</v>
      </c>
      <c r="K42">
        <v>6.6</v>
      </c>
      <c r="L42">
        <v>6.6</v>
      </c>
      <c r="M42">
        <v>5.2</v>
      </c>
      <c r="N42">
        <v>5.2</v>
      </c>
      <c r="O42">
        <v>5.2</v>
      </c>
      <c r="P42">
        <v>5.2</v>
      </c>
      <c r="Q42">
        <v>5.2</v>
      </c>
      <c r="R42">
        <v>5.2</v>
      </c>
      <c r="S42">
        <v>21</v>
      </c>
      <c r="T42">
        <v>5.8</v>
      </c>
      <c r="U42">
        <v>3.5</v>
      </c>
      <c r="V42">
        <v>7</v>
      </c>
      <c r="W42">
        <v>4</v>
      </c>
      <c r="Y42" t="s">
        <v>792</v>
      </c>
      <c r="Z42" t="s">
        <v>450</v>
      </c>
    </row>
    <row r="43" spans="6:26" x14ac:dyDescent="0.25">
      <c r="F43">
        <v>1</v>
      </c>
      <c r="G43">
        <v>552</v>
      </c>
      <c r="H43">
        <v>36</v>
      </c>
      <c r="I43">
        <v>6.7</v>
      </c>
      <c r="J43">
        <v>6.7</v>
      </c>
      <c r="K43">
        <v>8.4</v>
      </c>
      <c r="L43">
        <v>8.4</v>
      </c>
      <c r="M43">
        <v>6.7</v>
      </c>
      <c r="N43">
        <v>6.7</v>
      </c>
      <c r="O43">
        <v>6.7</v>
      </c>
      <c r="P43">
        <v>6.7</v>
      </c>
      <c r="Q43">
        <v>6.7</v>
      </c>
      <c r="R43">
        <v>6.7</v>
      </c>
      <c r="S43">
        <v>27</v>
      </c>
      <c r="T43">
        <v>7.5</v>
      </c>
      <c r="U43">
        <v>4.5</v>
      </c>
      <c r="V43">
        <v>9</v>
      </c>
      <c r="W43">
        <v>5.2</v>
      </c>
      <c r="Y43" t="s">
        <v>791</v>
      </c>
      <c r="Z43" t="s">
        <v>451</v>
      </c>
    </row>
    <row r="44" spans="6:26" x14ac:dyDescent="0.25">
      <c r="F44">
        <v>2</v>
      </c>
      <c r="G44">
        <v>674</v>
      </c>
      <c r="H44">
        <v>44</v>
      </c>
      <c r="I44">
        <v>8.1999999999999993</v>
      </c>
      <c r="J44">
        <v>8.1999999999999993</v>
      </c>
      <c r="K44">
        <v>10.3</v>
      </c>
      <c r="L44">
        <v>10.3</v>
      </c>
      <c r="M44">
        <v>8.1999999999999993</v>
      </c>
      <c r="N44">
        <v>8.1999999999999993</v>
      </c>
      <c r="O44">
        <v>8.1999999999999993</v>
      </c>
      <c r="P44">
        <v>8.1999999999999993</v>
      </c>
      <c r="Q44">
        <v>8.1999999999999993</v>
      </c>
      <c r="R44">
        <v>8.1999999999999993</v>
      </c>
      <c r="S44">
        <v>33</v>
      </c>
      <c r="T44">
        <v>9.1</v>
      </c>
      <c r="U44">
        <v>5.5</v>
      </c>
      <c r="V44">
        <v>11</v>
      </c>
      <c r="W44">
        <v>6.3</v>
      </c>
    </row>
    <row r="45" spans="6:26" x14ac:dyDescent="0.25">
      <c r="F45">
        <v>3</v>
      </c>
      <c r="G45">
        <v>796</v>
      </c>
      <c r="H45">
        <v>52</v>
      </c>
      <c r="I45">
        <v>9.6999999999999993</v>
      </c>
      <c r="J45">
        <v>9.6999999999999993</v>
      </c>
      <c r="K45">
        <v>12.1</v>
      </c>
      <c r="L45">
        <v>12.1</v>
      </c>
      <c r="M45">
        <v>9.6999999999999993</v>
      </c>
      <c r="N45">
        <v>9.6999999999999993</v>
      </c>
      <c r="O45">
        <v>9.6999999999999993</v>
      </c>
      <c r="P45">
        <v>9.6999999999999993</v>
      </c>
      <c r="Q45">
        <v>9.6999999999999993</v>
      </c>
      <c r="R45">
        <v>9.6999999999999993</v>
      </c>
      <c r="S45">
        <v>39</v>
      </c>
      <c r="T45">
        <v>10.8</v>
      </c>
      <c r="U45">
        <v>6.5</v>
      </c>
      <c r="V45">
        <v>12.9</v>
      </c>
      <c r="W45">
        <v>7.5</v>
      </c>
      <c r="Y45" t="s">
        <v>557</v>
      </c>
    </row>
    <row r="46" spans="6:26" x14ac:dyDescent="0.25">
      <c r="F46">
        <v>4</v>
      </c>
      <c r="G46">
        <v>918</v>
      </c>
      <c r="H46">
        <v>60</v>
      </c>
      <c r="I46">
        <v>11.2</v>
      </c>
      <c r="J46">
        <v>11.2</v>
      </c>
      <c r="K46">
        <v>14</v>
      </c>
      <c r="L46">
        <v>14</v>
      </c>
      <c r="M46">
        <v>11.2</v>
      </c>
      <c r="N46">
        <v>11.2</v>
      </c>
      <c r="O46">
        <v>11.2</v>
      </c>
      <c r="P46">
        <v>11.2</v>
      </c>
      <c r="Q46">
        <v>11.2</v>
      </c>
      <c r="R46">
        <v>11.2</v>
      </c>
      <c r="S46">
        <v>45</v>
      </c>
      <c r="T46">
        <v>12.4</v>
      </c>
      <c r="U46">
        <v>7.5</v>
      </c>
      <c r="V46">
        <v>14.9</v>
      </c>
      <c r="W46">
        <v>8.6</v>
      </c>
      <c r="Y46" t="s">
        <v>795</v>
      </c>
      <c r="Z46" t="s">
        <v>558</v>
      </c>
    </row>
    <row r="47" spans="6:26" x14ac:dyDescent="0.25">
      <c r="F47">
        <v>5</v>
      </c>
      <c r="G47">
        <v>1040</v>
      </c>
      <c r="H47">
        <v>68</v>
      </c>
      <c r="I47">
        <v>12.7</v>
      </c>
      <c r="J47">
        <v>12.7</v>
      </c>
      <c r="K47">
        <v>15.8</v>
      </c>
      <c r="L47">
        <v>15.8</v>
      </c>
      <c r="M47">
        <v>12.7</v>
      </c>
      <c r="N47">
        <v>12.7</v>
      </c>
      <c r="O47">
        <v>12.7</v>
      </c>
      <c r="P47">
        <v>12.7</v>
      </c>
      <c r="Q47">
        <v>12.7</v>
      </c>
      <c r="R47">
        <v>12.7</v>
      </c>
      <c r="S47">
        <v>51</v>
      </c>
      <c r="T47">
        <v>14.1</v>
      </c>
      <c r="U47">
        <v>8.4</v>
      </c>
      <c r="V47">
        <v>16.899999999999999</v>
      </c>
      <c r="W47">
        <v>9.8000000000000007</v>
      </c>
      <c r="Y47" t="s">
        <v>794</v>
      </c>
      <c r="Z47" t="s">
        <v>559</v>
      </c>
    </row>
    <row r="48" spans="6:26" x14ac:dyDescent="0.25">
      <c r="F48">
        <v>6</v>
      </c>
      <c r="G48">
        <v>1162</v>
      </c>
      <c r="H48">
        <v>76</v>
      </c>
      <c r="I48">
        <v>14.2</v>
      </c>
      <c r="J48">
        <v>14.2</v>
      </c>
      <c r="K48">
        <v>17.7</v>
      </c>
      <c r="L48">
        <v>17.7</v>
      </c>
      <c r="M48">
        <v>14.2</v>
      </c>
      <c r="N48">
        <v>14.2</v>
      </c>
      <c r="O48">
        <v>14.2</v>
      </c>
      <c r="P48">
        <v>14.2</v>
      </c>
      <c r="Q48">
        <v>14.2</v>
      </c>
      <c r="R48">
        <v>14.2</v>
      </c>
      <c r="S48">
        <v>57</v>
      </c>
      <c r="T48">
        <v>15.7</v>
      </c>
      <c r="U48">
        <v>9.4</v>
      </c>
      <c r="V48">
        <v>18.899999999999999</v>
      </c>
      <c r="W48">
        <v>10.9</v>
      </c>
      <c r="Y48" t="s">
        <v>793</v>
      </c>
      <c r="Z48" t="s">
        <v>560</v>
      </c>
    </row>
    <row r="49" spans="6:30" x14ac:dyDescent="0.25">
      <c r="F49">
        <v>7</v>
      </c>
      <c r="G49">
        <v>1283</v>
      </c>
      <c r="H49">
        <v>84</v>
      </c>
      <c r="I49">
        <v>15.6</v>
      </c>
      <c r="J49">
        <v>15.6</v>
      </c>
      <c r="K49">
        <v>19.600000000000001</v>
      </c>
      <c r="L49">
        <v>19.600000000000001</v>
      </c>
      <c r="M49">
        <v>15.6</v>
      </c>
      <c r="N49">
        <v>15.6</v>
      </c>
      <c r="O49">
        <v>15.6</v>
      </c>
      <c r="P49">
        <v>15.6</v>
      </c>
      <c r="Q49">
        <v>15.6</v>
      </c>
      <c r="R49">
        <v>15.6</v>
      </c>
      <c r="S49">
        <v>63</v>
      </c>
      <c r="T49">
        <v>17.399999999999999</v>
      </c>
      <c r="U49">
        <v>10.4</v>
      </c>
      <c r="V49">
        <v>20.9</v>
      </c>
      <c r="W49">
        <v>12</v>
      </c>
      <c r="Y49" t="s">
        <v>792</v>
      </c>
      <c r="Z49" t="s">
        <v>561</v>
      </c>
    </row>
    <row r="50" spans="6:30" x14ac:dyDescent="0.25">
      <c r="F50">
        <v>8</v>
      </c>
      <c r="G50">
        <v>1405</v>
      </c>
      <c r="H50">
        <v>91</v>
      </c>
      <c r="I50">
        <v>17.100000000000001</v>
      </c>
      <c r="J50">
        <v>17.100000000000001</v>
      </c>
      <c r="K50">
        <v>21.4</v>
      </c>
      <c r="L50">
        <v>21.4</v>
      </c>
      <c r="M50">
        <v>17.100000000000001</v>
      </c>
      <c r="N50">
        <v>17.100000000000001</v>
      </c>
      <c r="O50">
        <v>17.100000000000001</v>
      </c>
      <c r="P50">
        <v>17.100000000000001</v>
      </c>
      <c r="Q50">
        <v>17.100000000000001</v>
      </c>
      <c r="R50">
        <v>17.100000000000001</v>
      </c>
      <c r="S50">
        <v>69</v>
      </c>
      <c r="T50">
        <v>19</v>
      </c>
      <c r="U50">
        <v>11.4</v>
      </c>
      <c r="V50">
        <v>22.8</v>
      </c>
      <c r="W50">
        <v>13.2</v>
      </c>
      <c r="Y50" t="s">
        <v>791</v>
      </c>
      <c r="Z50" t="s">
        <v>562</v>
      </c>
    </row>
    <row r="51" spans="6:30" x14ac:dyDescent="0.25">
      <c r="F51">
        <v>9</v>
      </c>
      <c r="G51">
        <v>1527</v>
      </c>
      <c r="H51">
        <v>99</v>
      </c>
      <c r="I51">
        <v>18.600000000000001</v>
      </c>
      <c r="J51">
        <v>18.600000000000001</v>
      </c>
      <c r="K51">
        <v>23.3</v>
      </c>
      <c r="L51">
        <v>23.3</v>
      </c>
      <c r="M51">
        <v>18.600000000000001</v>
      </c>
      <c r="N51">
        <v>18.600000000000001</v>
      </c>
      <c r="O51">
        <v>18.600000000000001</v>
      </c>
      <c r="P51">
        <v>18.600000000000001</v>
      </c>
      <c r="Q51">
        <v>18.600000000000001</v>
      </c>
      <c r="R51">
        <v>18.600000000000001</v>
      </c>
      <c r="S51">
        <v>75</v>
      </c>
      <c r="T51">
        <v>20.7</v>
      </c>
      <c r="U51">
        <v>12.4</v>
      </c>
      <c r="V51">
        <v>24.8</v>
      </c>
      <c r="W51">
        <v>14.3</v>
      </c>
    </row>
    <row r="52" spans="6:30" x14ac:dyDescent="0.25">
      <c r="F52">
        <v>10</v>
      </c>
      <c r="G52">
        <v>1649</v>
      </c>
      <c r="H52">
        <v>107</v>
      </c>
      <c r="I52">
        <v>20.100000000000001</v>
      </c>
      <c r="J52">
        <v>20.100000000000001</v>
      </c>
      <c r="K52">
        <v>25.1</v>
      </c>
      <c r="L52">
        <v>25.1</v>
      </c>
      <c r="M52">
        <v>20.100000000000001</v>
      </c>
      <c r="N52">
        <v>20.100000000000001</v>
      </c>
      <c r="O52">
        <v>20.100000000000001</v>
      </c>
      <c r="P52">
        <v>20.100000000000001</v>
      </c>
      <c r="Q52">
        <v>20.100000000000001</v>
      </c>
      <c r="R52">
        <v>20.100000000000001</v>
      </c>
      <c r="S52">
        <v>80</v>
      </c>
      <c r="T52">
        <v>22.3</v>
      </c>
      <c r="U52">
        <v>13.4</v>
      </c>
      <c r="V52">
        <v>26.8</v>
      </c>
      <c r="W52">
        <v>15.5</v>
      </c>
    </row>
    <row r="53" spans="6:30" x14ac:dyDescent="0.25">
      <c r="F53">
        <v>11</v>
      </c>
      <c r="G53">
        <v>1771</v>
      </c>
      <c r="H53">
        <v>115</v>
      </c>
      <c r="I53">
        <v>21.6</v>
      </c>
      <c r="J53">
        <v>21.6</v>
      </c>
      <c r="K53">
        <v>27</v>
      </c>
      <c r="L53">
        <v>27</v>
      </c>
      <c r="M53">
        <v>21.6</v>
      </c>
      <c r="N53">
        <v>21.6</v>
      </c>
      <c r="O53">
        <v>21.6</v>
      </c>
      <c r="P53">
        <v>21.6</v>
      </c>
      <c r="Q53">
        <v>21.6</v>
      </c>
      <c r="R53">
        <v>21.6</v>
      </c>
      <c r="S53">
        <v>86</v>
      </c>
      <c r="T53">
        <v>24</v>
      </c>
      <c r="U53">
        <v>14.4</v>
      </c>
      <c r="V53">
        <v>28.8</v>
      </c>
      <c r="W53">
        <v>16.600000000000001</v>
      </c>
      <c r="Y53" t="s">
        <v>799</v>
      </c>
    </row>
    <row r="54" spans="6:30" x14ac:dyDescent="0.25">
      <c r="F54">
        <v>12</v>
      </c>
      <c r="G54">
        <v>1893</v>
      </c>
      <c r="H54">
        <v>123</v>
      </c>
      <c r="I54">
        <v>23.1</v>
      </c>
      <c r="J54">
        <v>23.1</v>
      </c>
      <c r="K54">
        <v>28.8</v>
      </c>
      <c r="L54">
        <v>28.8</v>
      </c>
      <c r="M54">
        <v>23.1</v>
      </c>
      <c r="N54">
        <v>23.1</v>
      </c>
      <c r="O54">
        <v>23.1</v>
      </c>
      <c r="P54">
        <v>23.1</v>
      </c>
      <c r="Q54">
        <v>23.1</v>
      </c>
      <c r="R54">
        <v>23.1</v>
      </c>
      <c r="S54">
        <v>92</v>
      </c>
      <c r="T54">
        <v>25.6</v>
      </c>
      <c r="U54">
        <v>15.4</v>
      </c>
      <c r="V54">
        <v>30.8</v>
      </c>
      <c r="W54">
        <v>17.8</v>
      </c>
      <c r="Y54" t="s">
        <v>791</v>
      </c>
      <c r="Z54">
        <v>20</v>
      </c>
    </row>
    <row r="55" spans="6:30" x14ac:dyDescent="0.25">
      <c r="F55" t="s">
        <v>789</v>
      </c>
      <c r="G55" t="s">
        <v>223</v>
      </c>
      <c r="H55" t="s">
        <v>125</v>
      </c>
      <c r="I55" t="s">
        <v>67</v>
      </c>
      <c r="J55" t="s">
        <v>65</v>
      </c>
      <c r="K55" t="s">
        <v>66</v>
      </c>
      <c r="L55" t="s">
        <v>439</v>
      </c>
      <c r="M55" t="s">
        <v>73</v>
      </c>
      <c r="N55" t="s">
        <v>74</v>
      </c>
      <c r="O55" t="s">
        <v>75</v>
      </c>
      <c r="P55" t="s">
        <v>71</v>
      </c>
      <c r="Q55" t="s">
        <v>72</v>
      </c>
      <c r="R55" t="s">
        <v>76</v>
      </c>
      <c r="S55" t="s">
        <v>440</v>
      </c>
      <c r="T55" t="s">
        <v>441</v>
      </c>
      <c r="U55" t="s">
        <v>444</v>
      </c>
      <c r="V55" t="s">
        <v>445</v>
      </c>
      <c r="W55" t="s">
        <v>422</v>
      </c>
      <c r="Y55" t="s">
        <v>792</v>
      </c>
      <c r="Z55">
        <v>16</v>
      </c>
    </row>
    <row r="56" spans="6:30" x14ac:dyDescent="0.25">
      <c r="F56">
        <v>0</v>
      </c>
      <c r="G56">
        <v>258</v>
      </c>
      <c r="H56">
        <v>17</v>
      </c>
      <c r="I56">
        <v>4.2</v>
      </c>
      <c r="J56">
        <v>4.2</v>
      </c>
      <c r="K56">
        <v>5.2</v>
      </c>
      <c r="L56">
        <v>5.2</v>
      </c>
      <c r="M56">
        <v>4.2</v>
      </c>
      <c r="N56">
        <v>4.2</v>
      </c>
      <c r="O56">
        <v>4.2</v>
      </c>
      <c r="P56">
        <v>4.2</v>
      </c>
      <c r="Q56">
        <v>4.2</v>
      </c>
      <c r="R56">
        <v>4.2</v>
      </c>
      <c r="S56">
        <v>17</v>
      </c>
      <c r="T56">
        <v>4.7</v>
      </c>
      <c r="U56">
        <v>2.8</v>
      </c>
      <c r="V56">
        <v>5.6</v>
      </c>
      <c r="W56">
        <v>3.2</v>
      </c>
      <c r="Y56" t="s">
        <v>793</v>
      </c>
      <c r="Z56">
        <v>12</v>
      </c>
    </row>
    <row r="57" spans="6:30" x14ac:dyDescent="0.25">
      <c r="F57">
        <v>1</v>
      </c>
      <c r="G57">
        <v>331</v>
      </c>
      <c r="H57">
        <v>22</v>
      </c>
      <c r="I57">
        <v>5.4</v>
      </c>
      <c r="J57">
        <v>5.4</v>
      </c>
      <c r="K57">
        <v>6.7</v>
      </c>
      <c r="L57">
        <v>6.7</v>
      </c>
      <c r="M57">
        <v>5.4</v>
      </c>
      <c r="N57">
        <v>5.4</v>
      </c>
      <c r="O57">
        <v>5.4</v>
      </c>
      <c r="P57">
        <v>5.4</v>
      </c>
      <c r="Q57">
        <v>5.4</v>
      </c>
      <c r="R57">
        <v>5.4</v>
      </c>
      <c r="S57">
        <v>22</v>
      </c>
      <c r="T57">
        <v>6</v>
      </c>
      <c r="U57">
        <v>3.6</v>
      </c>
      <c r="V57">
        <v>7.2</v>
      </c>
      <c r="W57">
        <v>4.0999999999999996</v>
      </c>
      <c r="Y57" t="s">
        <v>794</v>
      </c>
      <c r="Z57">
        <v>4</v>
      </c>
    </row>
    <row r="58" spans="6:30" x14ac:dyDescent="0.25">
      <c r="F58">
        <v>2</v>
      </c>
      <c r="G58">
        <v>404</v>
      </c>
      <c r="H58">
        <v>26</v>
      </c>
      <c r="I58">
        <v>6.6</v>
      </c>
      <c r="J58">
        <v>6.6</v>
      </c>
      <c r="K58">
        <v>8.1999999999999993</v>
      </c>
      <c r="L58">
        <v>8.1999999999999993</v>
      </c>
      <c r="M58">
        <v>6.6</v>
      </c>
      <c r="N58">
        <v>6.6</v>
      </c>
      <c r="O58">
        <v>6.6</v>
      </c>
      <c r="P58">
        <v>6.6</v>
      </c>
      <c r="Q58">
        <v>6.6</v>
      </c>
      <c r="R58">
        <v>6.6</v>
      </c>
      <c r="S58">
        <v>26</v>
      </c>
      <c r="T58">
        <v>7.3</v>
      </c>
      <c r="U58">
        <v>4.4000000000000004</v>
      </c>
      <c r="V58">
        <v>8.8000000000000007</v>
      </c>
      <c r="W58">
        <v>5.0999999999999996</v>
      </c>
      <c r="Y58" t="s">
        <v>795</v>
      </c>
      <c r="Z58">
        <v>4</v>
      </c>
    </row>
    <row r="59" spans="6:30" x14ac:dyDescent="0.25">
      <c r="F59">
        <v>3</v>
      </c>
      <c r="G59">
        <v>478</v>
      </c>
      <c r="H59">
        <v>31</v>
      </c>
      <c r="I59">
        <v>7.8</v>
      </c>
      <c r="J59">
        <v>7.8</v>
      </c>
      <c r="K59">
        <v>9.6999999999999993</v>
      </c>
      <c r="L59">
        <v>9.6999999999999993</v>
      </c>
      <c r="M59">
        <v>7.8</v>
      </c>
      <c r="N59">
        <v>7.8</v>
      </c>
      <c r="O59">
        <v>7.8</v>
      </c>
      <c r="P59">
        <v>7.8</v>
      </c>
      <c r="Q59">
        <v>7.8</v>
      </c>
      <c r="R59">
        <v>7.8</v>
      </c>
      <c r="S59">
        <v>31</v>
      </c>
      <c r="T59">
        <v>8.6</v>
      </c>
      <c r="U59">
        <v>5.2</v>
      </c>
      <c r="V59">
        <v>10.4</v>
      </c>
      <c r="W59">
        <v>6</v>
      </c>
    </row>
    <row r="60" spans="6:30" x14ac:dyDescent="0.25">
      <c r="F60">
        <v>4</v>
      </c>
      <c r="G60">
        <v>551</v>
      </c>
      <c r="H60">
        <v>36</v>
      </c>
      <c r="I60">
        <v>9</v>
      </c>
      <c r="J60">
        <v>9</v>
      </c>
      <c r="K60">
        <v>11.2</v>
      </c>
      <c r="L60">
        <v>11.2</v>
      </c>
      <c r="M60">
        <v>9</v>
      </c>
      <c r="N60">
        <v>9</v>
      </c>
      <c r="O60">
        <v>9</v>
      </c>
      <c r="P60">
        <v>9</v>
      </c>
      <c r="Q60">
        <v>9</v>
      </c>
      <c r="R60">
        <v>9</v>
      </c>
      <c r="S60">
        <v>36</v>
      </c>
      <c r="T60">
        <v>9.9</v>
      </c>
      <c r="U60">
        <v>6</v>
      </c>
      <c r="V60">
        <v>11.9</v>
      </c>
      <c r="W60">
        <v>6.9</v>
      </c>
      <c r="Y60" t="s">
        <v>798</v>
      </c>
      <c r="Z60" t="s">
        <v>783</v>
      </c>
      <c r="AA60" t="s">
        <v>784</v>
      </c>
      <c r="AB60" t="s">
        <v>436</v>
      </c>
      <c r="AC60" t="s">
        <v>435</v>
      </c>
      <c r="AD60" t="s">
        <v>437</v>
      </c>
    </row>
    <row r="61" spans="6:30" x14ac:dyDescent="0.25">
      <c r="F61" t="s">
        <v>790</v>
      </c>
      <c r="G61" t="s">
        <v>223</v>
      </c>
      <c r="H61" t="s">
        <v>125</v>
      </c>
      <c r="I61" t="s">
        <v>67</v>
      </c>
      <c r="J61" t="s">
        <v>65</v>
      </c>
      <c r="K61" t="s">
        <v>66</v>
      </c>
      <c r="L61" t="s">
        <v>439</v>
      </c>
      <c r="M61" t="s">
        <v>73</v>
      </c>
      <c r="N61" t="s">
        <v>74</v>
      </c>
      <c r="O61" t="s">
        <v>75</v>
      </c>
      <c r="P61" t="s">
        <v>71</v>
      </c>
      <c r="Q61" t="s">
        <v>72</v>
      </c>
      <c r="R61" t="s">
        <v>76</v>
      </c>
      <c r="S61" t="s">
        <v>440</v>
      </c>
      <c r="T61" t="s">
        <v>441</v>
      </c>
      <c r="U61" t="s">
        <v>444</v>
      </c>
      <c r="V61" t="s">
        <v>445</v>
      </c>
      <c r="W61" t="s">
        <v>422</v>
      </c>
      <c r="Y61" t="s">
        <v>624</v>
      </c>
      <c r="Z61">
        <f>VLOOKUP('Char 1'!$L$24, 'Artifact Database'!$Y$54:$Z$58, 2, 0)</f>
        <v>20</v>
      </c>
      <c r="AA61">
        <f>VLOOKUP('Char 1'!$L$26, 'Artifact Database'!$Y$54:$Z$58, 2, 0)</f>
        <v>20</v>
      </c>
      <c r="AB61">
        <f>VLOOKUP('Char 1'!$L$29, 'Artifact Database'!$Y$54:$Z$58, 2, 0)</f>
        <v>20</v>
      </c>
      <c r="AC61">
        <f>VLOOKUP('Char 1'!$L$32, 'Artifact Database'!$Y$54:$Z$58, 2, 0)</f>
        <v>20</v>
      </c>
      <c r="AD61">
        <f>VLOOKUP('Char 1'!$L$35, 'Artifact Database'!$Y$54:$Z$58, 2, 0)</f>
        <v>20</v>
      </c>
    </row>
    <row r="62" spans="6:30" x14ac:dyDescent="0.25">
      <c r="F62">
        <v>0</v>
      </c>
      <c r="G62">
        <v>129</v>
      </c>
      <c r="H62">
        <v>8</v>
      </c>
      <c r="I62">
        <v>3.1</v>
      </c>
      <c r="J62">
        <v>3.1</v>
      </c>
      <c r="K62">
        <v>3.9</v>
      </c>
      <c r="L62">
        <v>3.9</v>
      </c>
      <c r="M62">
        <v>3.1</v>
      </c>
      <c r="N62">
        <v>3.1</v>
      </c>
      <c r="O62">
        <v>3.1</v>
      </c>
      <c r="P62">
        <v>3.1</v>
      </c>
      <c r="Q62">
        <v>3.1</v>
      </c>
      <c r="R62">
        <v>3.1</v>
      </c>
      <c r="S62">
        <v>13</v>
      </c>
      <c r="T62">
        <v>3.5</v>
      </c>
      <c r="U62">
        <v>2.1</v>
      </c>
      <c r="V62">
        <v>4.2</v>
      </c>
      <c r="W62">
        <v>2.4</v>
      </c>
      <c r="Y62" t="s">
        <v>625</v>
      </c>
      <c r="Z62">
        <f>VLOOKUP('Char 2'!$L$24, 'Artifact Database'!$Y$54:$Z$58, 2, 0)</f>
        <v>20</v>
      </c>
      <c r="AA62">
        <f>VLOOKUP('Char 2'!$L$26, 'Artifact Database'!$Y$54:$Z$58, 2, 0)</f>
        <v>20</v>
      </c>
      <c r="AB62">
        <f>VLOOKUP('Char 2'!$L$29, 'Artifact Database'!$Y$54:$Z$58, 2, 0)</f>
        <v>20</v>
      </c>
      <c r="AC62">
        <f>VLOOKUP('Char 2'!$L$32, 'Artifact Database'!$Y$54:$Z$58, 2, 0)</f>
        <v>20</v>
      </c>
      <c r="AD62">
        <f>VLOOKUP('Char 2'!$L$35, 'Artifact Database'!$Y$54:$Z$58, 2, 0)</f>
        <v>20</v>
      </c>
    </row>
    <row r="63" spans="6:30" x14ac:dyDescent="0.25">
      <c r="F63">
        <v>1</v>
      </c>
      <c r="G63">
        <v>178</v>
      </c>
      <c r="H63">
        <v>12</v>
      </c>
      <c r="I63">
        <v>4.3</v>
      </c>
      <c r="J63">
        <v>4.3</v>
      </c>
      <c r="K63">
        <v>5.4</v>
      </c>
      <c r="L63">
        <v>5.4</v>
      </c>
      <c r="M63">
        <v>4.3</v>
      </c>
      <c r="N63">
        <v>4.3</v>
      </c>
      <c r="O63">
        <v>4.3</v>
      </c>
      <c r="P63">
        <v>4.3</v>
      </c>
      <c r="Q63">
        <v>4.3</v>
      </c>
      <c r="R63">
        <v>4.3</v>
      </c>
      <c r="S63">
        <v>17</v>
      </c>
      <c r="T63">
        <v>4.8</v>
      </c>
      <c r="U63">
        <v>2.9</v>
      </c>
      <c r="V63">
        <v>5.8</v>
      </c>
      <c r="W63">
        <v>3.3</v>
      </c>
      <c r="Y63" t="s">
        <v>626</v>
      </c>
      <c r="Z63">
        <f>VLOOKUP('Char 3'!$L$24, 'Artifact Database'!$Y$54:$Z$58, 2, 0)</f>
        <v>20</v>
      </c>
      <c r="AA63">
        <f>VLOOKUP('Char 3'!$L$26, 'Artifact Database'!$Y$54:$Z$58, 2, 0)</f>
        <v>20</v>
      </c>
      <c r="AB63">
        <f>VLOOKUP('Char 3'!$L$29, 'Artifact Database'!$Y$54:$Z$58, 2, 0)</f>
        <v>20</v>
      </c>
      <c r="AC63">
        <f>VLOOKUP('Char 3'!$L$32, 'Artifact Database'!$Y$54:$Z$58, 2, 0)</f>
        <v>20</v>
      </c>
      <c r="AD63">
        <f>VLOOKUP('Char 3'!$L$35, 'Artifact Database'!$Y$54:$Z$58, 2, 0)</f>
        <v>20</v>
      </c>
    </row>
    <row r="64" spans="6:30" x14ac:dyDescent="0.25">
      <c r="F64">
        <v>2</v>
      </c>
      <c r="G64">
        <v>227</v>
      </c>
      <c r="H64">
        <v>15</v>
      </c>
      <c r="I64">
        <v>5.5</v>
      </c>
      <c r="J64">
        <v>5.5</v>
      </c>
      <c r="K64">
        <v>6.9</v>
      </c>
      <c r="L64">
        <v>6.9</v>
      </c>
      <c r="M64">
        <v>5.5</v>
      </c>
      <c r="N64">
        <v>5.5</v>
      </c>
      <c r="O64">
        <v>5.5</v>
      </c>
      <c r="P64">
        <v>5.5</v>
      </c>
      <c r="Q64">
        <v>5.5</v>
      </c>
      <c r="R64">
        <v>5.5</v>
      </c>
      <c r="S64">
        <v>22</v>
      </c>
      <c r="T64">
        <v>6.1</v>
      </c>
      <c r="U64">
        <v>3.7</v>
      </c>
      <c r="V64">
        <v>7.4</v>
      </c>
      <c r="W64">
        <v>4.3</v>
      </c>
      <c r="Y64" t="s">
        <v>627</v>
      </c>
      <c r="Z64">
        <f>VLOOKUP('Char 4'!$L$24, 'Artifact Database'!$Y$54:$Z$58, 2, 0)</f>
        <v>20</v>
      </c>
      <c r="AA64">
        <f>VLOOKUP('Char 4'!$L$26, 'Artifact Database'!$Y$54:$Z$58, 2, 0)</f>
        <v>20</v>
      </c>
      <c r="AB64">
        <f>VLOOKUP('Char 4'!$L$29, 'Artifact Database'!$Y$54:$Z$58, 2, 0)</f>
        <v>20</v>
      </c>
      <c r="AC64">
        <f>VLOOKUP('Char 4'!$L$32, 'Artifact Database'!$Y$54:$Z$58, 2, 0)</f>
        <v>20</v>
      </c>
      <c r="AD64">
        <f>VLOOKUP('Char 4'!$L$35, 'Artifact Database'!$Y$54:$Z$58, 2, 0)</f>
        <v>20</v>
      </c>
    </row>
    <row r="65" spans="6:23" x14ac:dyDescent="0.25">
      <c r="F65">
        <v>3</v>
      </c>
      <c r="G65">
        <v>275</v>
      </c>
      <c r="H65">
        <v>18</v>
      </c>
      <c r="I65">
        <v>6.7</v>
      </c>
      <c r="J65">
        <v>6.7</v>
      </c>
      <c r="K65">
        <v>8.4</v>
      </c>
      <c r="L65">
        <v>8.4</v>
      </c>
      <c r="M65">
        <v>6.7</v>
      </c>
      <c r="N65">
        <v>6.7</v>
      </c>
      <c r="O65">
        <v>6.7</v>
      </c>
      <c r="P65">
        <v>6.7</v>
      </c>
      <c r="Q65">
        <v>6.7</v>
      </c>
      <c r="R65">
        <v>6.7</v>
      </c>
      <c r="S65">
        <v>27</v>
      </c>
      <c r="T65">
        <v>7.5</v>
      </c>
      <c r="U65">
        <v>4.5</v>
      </c>
      <c r="V65">
        <v>9</v>
      </c>
      <c r="W65">
        <v>5.2</v>
      </c>
    </row>
    <row r="66" spans="6:23" x14ac:dyDescent="0.25">
      <c r="F66">
        <v>4</v>
      </c>
      <c r="G66">
        <v>324</v>
      </c>
      <c r="H66">
        <v>21</v>
      </c>
      <c r="I66">
        <v>7.9</v>
      </c>
      <c r="J66">
        <v>7.9</v>
      </c>
      <c r="K66">
        <v>9.9</v>
      </c>
      <c r="L66">
        <v>9.9</v>
      </c>
      <c r="M66">
        <v>7.9</v>
      </c>
      <c r="N66">
        <v>7.9</v>
      </c>
      <c r="O66">
        <v>7.9</v>
      </c>
      <c r="P66">
        <v>7.9</v>
      </c>
      <c r="Q66">
        <v>7.9</v>
      </c>
      <c r="R66">
        <v>7.9</v>
      </c>
      <c r="S66">
        <v>32</v>
      </c>
      <c r="T66">
        <v>8.8000000000000007</v>
      </c>
      <c r="U66">
        <v>5.3</v>
      </c>
      <c r="V66">
        <v>10.5</v>
      </c>
      <c r="W66">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369</vt:i4>
      </vt:variant>
    </vt:vector>
  </HeadingPairs>
  <TitlesOfParts>
    <vt:vector size="385" baseType="lpstr">
      <vt:lpstr>Front Page</vt:lpstr>
      <vt:lpstr>Char 1</vt:lpstr>
      <vt:lpstr>Char 2</vt:lpstr>
      <vt:lpstr>Char 3</vt:lpstr>
      <vt:lpstr>Char 4</vt:lpstr>
      <vt:lpstr>Data Val</vt:lpstr>
      <vt:lpstr>Rotation Assembler</vt:lpstr>
      <vt:lpstr>Calcs</vt:lpstr>
      <vt:lpstr>Results (Team)</vt:lpstr>
      <vt:lpstr>Results (Personal)</vt:lpstr>
      <vt:lpstr>MVs</vt:lpstr>
      <vt:lpstr>Char Stats</vt:lpstr>
      <vt:lpstr>weapons</vt:lpstr>
      <vt:lpstr>Sheet1</vt:lpstr>
      <vt:lpstr>artisDB</vt:lpstr>
      <vt:lpstr>Artifact Database</vt:lpstr>
      <vt:lpstr>albedoBaseStats</vt:lpstr>
      <vt:lpstr>albedoTalentScalings</vt:lpstr>
      <vt:lpstr>aloyBaseStats</vt:lpstr>
      <vt:lpstr>amberBaseStats</vt:lpstr>
      <vt:lpstr>amberTalentScalings</vt:lpstr>
      <vt:lpstr>amcBaseStats</vt:lpstr>
      <vt:lpstr>amcTalentScalings</vt:lpstr>
      <vt:lpstr>artifactSubstatValues</vt:lpstr>
      <vt:lpstr>ayakaBaseStats</vt:lpstr>
      <vt:lpstr>ayakaTalentScalings</vt:lpstr>
      <vt:lpstr>barbaraBaseStats</vt:lpstr>
      <vt:lpstr>beidouBaseStats</vt:lpstr>
      <vt:lpstr>beidouTalentScalings</vt:lpstr>
      <vt:lpstr>bennettBaseStats</vt:lpstr>
      <vt:lpstr>bennettTalentScalings</vt:lpstr>
      <vt:lpstr>char1ArtiSetStats</vt:lpstr>
      <vt:lpstr>char1ArtiStacks</vt:lpstr>
      <vt:lpstr>char1ArtiToggle</vt:lpstr>
      <vt:lpstr>char1BaseATK</vt:lpstr>
      <vt:lpstr>char1BaseDEF</vt:lpstr>
      <vt:lpstr>char1BaseHP</vt:lpstr>
      <vt:lpstr>char1BurstEchoDMGType</vt:lpstr>
      <vt:lpstr>char1BurstEchoElement</vt:lpstr>
      <vt:lpstr>char1BurstElement</vt:lpstr>
      <vt:lpstr>char1BurstTalentLevel</vt:lpstr>
      <vt:lpstr>char1CAElement</vt:lpstr>
      <vt:lpstr>char1FinalAnemoDMG</vt:lpstr>
      <vt:lpstr>char1FinalAnemoRes</vt:lpstr>
      <vt:lpstr>char1FinalATK</vt:lpstr>
      <vt:lpstr>char1FinalATKPercent</vt:lpstr>
      <vt:lpstr>char1FinalBurstCDMG</vt:lpstr>
      <vt:lpstr>char1FinalBurstCR</vt:lpstr>
      <vt:lpstr>char1FinalBurstDMG</vt:lpstr>
      <vt:lpstr>char1FinalCDMG</vt:lpstr>
      <vt:lpstr>char1FinalChargedDMG</vt:lpstr>
      <vt:lpstr>char1FinalCR</vt:lpstr>
      <vt:lpstr>char1FinalCryoDMG</vt:lpstr>
      <vt:lpstr>char1FinalCryoRes</vt:lpstr>
      <vt:lpstr>char1FinalCrystallizeBonus</vt:lpstr>
      <vt:lpstr>char1FinalDEF</vt:lpstr>
      <vt:lpstr>char1FinalDefMult</vt:lpstr>
      <vt:lpstr>char1FinalDEFPercent</vt:lpstr>
      <vt:lpstr>char1FinalDEFShred</vt:lpstr>
      <vt:lpstr>char1FinalDMGPercent</vt:lpstr>
      <vt:lpstr>char1FinalElectrochargedBonus</vt:lpstr>
      <vt:lpstr>char1FinalElectroDMG</vt:lpstr>
      <vt:lpstr>char1FinalElectroRes</vt:lpstr>
      <vt:lpstr>char1FinalEM</vt:lpstr>
      <vt:lpstr>char1FinalER</vt:lpstr>
      <vt:lpstr>char1FinalFlatATK</vt:lpstr>
      <vt:lpstr>char1FinalFlatDEF</vt:lpstr>
      <vt:lpstr>char1FinalFlatHP</vt:lpstr>
      <vt:lpstr>char1FinalGeoDMG</vt:lpstr>
      <vt:lpstr>char1FinalGeoRes</vt:lpstr>
      <vt:lpstr>char1FinalHealingBonus</vt:lpstr>
      <vt:lpstr>char1FinalHealingReceived</vt:lpstr>
      <vt:lpstr>char1FinalHP</vt:lpstr>
      <vt:lpstr>char1FinalHPPercent</vt:lpstr>
      <vt:lpstr>char1FinalHydroDMG</vt:lpstr>
      <vt:lpstr>char1FinalHydroRes</vt:lpstr>
      <vt:lpstr>char1FinalMeltBonus</vt:lpstr>
      <vt:lpstr>char1FinalNormalDMG</vt:lpstr>
      <vt:lpstr>char1FinalOverloadBonus</vt:lpstr>
      <vt:lpstr>char1FinalPhysDMG</vt:lpstr>
      <vt:lpstr>char1FinalPhysRes</vt:lpstr>
      <vt:lpstr>char1FinalPlungingDMG</vt:lpstr>
      <vt:lpstr>char1FinalPyroDMG</vt:lpstr>
      <vt:lpstr>char1FinalPyroRes</vt:lpstr>
      <vt:lpstr>char1FinalShatterBonus</vt:lpstr>
      <vt:lpstr>char1FinalShieldStrength</vt:lpstr>
      <vt:lpstr>char1FinalSkillCDMG</vt:lpstr>
      <vt:lpstr>char1FinalSkillCR</vt:lpstr>
      <vt:lpstr>char1FinalSkillDMG</vt:lpstr>
      <vt:lpstr>char1FinalSuperconductBonus</vt:lpstr>
      <vt:lpstr>char1FinalSwirlBonus</vt:lpstr>
      <vt:lpstr>char1FinalVaporizeBonus</vt:lpstr>
      <vt:lpstr>char1Level</vt:lpstr>
      <vt:lpstr>char1LevelNum</vt:lpstr>
      <vt:lpstr>char1NAElement</vt:lpstr>
      <vt:lpstr>char1Name</vt:lpstr>
      <vt:lpstr>char1NATalentLevel</vt:lpstr>
      <vt:lpstr>char1PlungeElement</vt:lpstr>
      <vt:lpstr>char1Refine</vt:lpstr>
      <vt:lpstr>char1SkillEchoDMGType</vt:lpstr>
      <vt:lpstr>char1SkillEchoElement</vt:lpstr>
      <vt:lpstr>char1SkillElement</vt:lpstr>
      <vt:lpstr>char1SkillTalentLevel</vt:lpstr>
      <vt:lpstr>char1Stats</vt:lpstr>
      <vt:lpstr>char1TransformativeMult</vt:lpstr>
      <vt:lpstr>char1WeaponBaseATK</vt:lpstr>
      <vt:lpstr>char1WeaponName</vt:lpstr>
      <vt:lpstr>char1WeaponProcTable</vt:lpstr>
      <vt:lpstr>char1Weapons</vt:lpstr>
      <vt:lpstr>char1WeapStacks</vt:lpstr>
      <vt:lpstr>char1WeapToggle</vt:lpstr>
      <vt:lpstr>char2ArtiSetStats</vt:lpstr>
      <vt:lpstr>char2ArtiStacks</vt:lpstr>
      <vt:lpstr>char2ArtiToggle</vt:lpstr>
      <vt:lpstr>char2BaseATK</vt:lpstr>
      <vt:lpstr>char2BaseDEF</vt:lpstr>
      <vt:lpstr>char2BaseHP</vt:lpstr>
      <vt:lpstr>char2BurstEchoDamageType</vt:lpstr>
      <vt:lpstr>char2BurstEchoDMGType</vt:lpstr>
      <vt:lpstr>char2BurstEchoElement</vt:lpstr>
      <vt:lpstr>char2BurstElement</vt:lpstr>
      <vt:lpstr>char2BurstTalentLevel</vt:lpstr>
      <vt:lpstr>char2CAElement</vt:lpstr>
      <vt:lpstr>char2FinalAnemoDMG</vt:lpstr>
      <vt:lpstr>char2FinalAnemoRes</vt:lpstr>
      <vt:lpstr>char2FinalATK</vt:lpstr>
      <vt:lpstr>char2FinalATKPercent</vt:lpstr>
      <vt:lpstr>char2FinalBurstCDMG</vt:lpstr>
      <vt:lpstr>char2FinalBurstCR</vt:lpstr>
      <vt:lpstr>char2FinalBurstDMG</vt:lpstr>
      <vt:lpstr>char2FinalCDMG</vt:lpstr>
      <vt:lpstr>char2FinalChargedDMG</vt:lpstr>
      <vt:lpstr>char2FinalCR</vt:lpstr>
      <vt:lpstr>char2FinalCryoDMG</vt:lpstr>
      <vt:lpstr>char2FinalCryoRes</vt:lpstr>
      <vt:lpstr>char2FinalCrystallizeBonus</vt:lpstr>
      <vt:lpstr>char2FinalDEF</vt:lpstr>
      <vt:lpstr>char2FinalDefMult</vt:lpstr>
      <vt:lpstr>char2FinalDEFPercent</vt:lpstr>
      <vt:lpstr>char2FinalDEFShred</vt:lpstr>
      <vt:lpstr>char2FinalDMGPercent</vt:lpstr>
      <vt:lpstr>char2FinalElectrochargedBonus</vt:lpstr>
      <vt:lpstr>char2FinalElectroDMG</vt:lpstr>
      <vt:lpstr>char2FinalElectroRes</vt:lpstr>
      <vt:lpstr>char2FinalEM</vt:lpstr>
      <vt:lpstr>char2FinalER</vt:lpstr>
      <vt:lpstr>char2FinalFlatATK</vt:lpstr>
      <vt:lpstr>char2FinalFlatDEF</vt:lpstr>
      <vt:lpstr>char2FinalFlatHP</vt:lpstr>
      <vt:lpstr>char2FinalGeoDMG</vt:lpstr>
      <vt:lpstr>char2FinalGeoRes</vt:lpstr>
      <vt:lpstr>char2FinalHealingBonus</vt:lpstr>
      <vt:lpstr>char2FinalHealingReceived</vt:lpstr>
      <vt:lpstr>char2FinalHP</vt:lpstr>
      <vt:lpstr>char2FinalHPPercent</vt:lpstr>
      <vt:lpstr>char2FinalHydroDMG</vt:lpstr>
      <vt:lpstr>char2FinalHydroRes</vt:lpstr>
      <vt:lpstr>char2FinalMeltBonus</vt:lpstr>
      <vt:lpstr>char2FinalNormalDMG</vt:lpstr>
      <vt:lpstr>char2FinalOverloadBonus</vt:lpstr>
      <vt:lpstr>char2FinalPhysDMG</vt:lpstr>
      <vt:lpstr>char2FinalPhysRes</vt:lpstr>
      <vt:lpstr>char2FinalPlungingDMG</vt:lpstr>
      <vt:lpstr>char2FinalPyroDMG</vt:lpstr>
      <vt:lpstr>char2FinalPyroRes</vt:lpstr>
      <vt:lpstr>char2FinalShatterBonus</vt:lpstr>
      <vt:lpstr>char2FinalShieldStrength</vt:lpstr>
      <vt:lpstr>char2FinalSkillCDMG</vt:lpstr>
      <vt:lpstr>char2FinalSkillCR</vt:lpstr>
      <vt:lpstr>char2FinalSkillDMG</vt:lpstr>
      <vt:lpstr>char2FinalSuperconductBonus</vt:lpstr>
      <vt:lpstr>char2FinalSwirlBonus</vt:lpstr>
      <vt:lpstr>char2FinalVapeBonus</vt:lpstr>
      <vt:lpstr>char2Level</vt:lpstr>
      <vt:lpstr>char2LevelNum</vt:lpstr>
      <vt:lpstr>char2NAElement</vt:lpstr>
      <vt:lpstr>char2Name</vt:lpstr>
      <vt:lpstr>char2NATalentLevel</vt:lpstr>
      <vt:lpstr>char2PlungeElement</vt:lpstr>
      <vt:lpstr>char2Refine</vt:lpstr>
      <vt:lpstr>char2SkillEchoDamageType</vt:lpstr>
      <vt:lpstr>char2SkillEchoElement</vt:lpstr>
      <vt:lpstr>char2SkillElement</vt:lpstr>
      <vt:lpstr>char2SkillTalentLevel</vt:lpstr>
      <vt:lpstr>char2Stats</vt:lpstr>
      <vt:lpstr>char2TransformativeMult</vt:lpstr>
      <vt:lpstr>char2WeaponBaseATK</vt:lpstr>
      <vt:lpstr>char2WeaponName</vt:lpstr>
      <vt:lpstr>char2WeaponProcTable</vt:lpstr>
      <vt:lpstr>char2Weapons</vt:lpstr>
      <vt:lpstr>char2WeapStacks</vt:lpstr>
      <vt:lpstr>char2WeapToggle</vt:lpstr>
      <vt:lpstr>char3ArtiSetStats</vt:lpstr>
      <vt:lpstr>char3ArtiStacks</vt:lpstr>
      <vt:lpstr>char3ArtiToggle</vt:lpstr>
      <vt:lpstr>char3BaseATK</vt:lpstr>
      <vt:lpstr>char3BaseDEF</vt:lpstr>
      <vt:lpstr>char3BaseHP</vt:lpstr>
      <vt:lpstr>char3BurstEchoDamageType</vt:lpstr>
      <vt:lpstr>char3BurstEchoDMGType</vt:lpstr>
      <vt:lpstr>char3BurstEchoElement</vt:lpstr>
      <vt:lpstr>char3BurstElement</vt:lpstr>
      <vt:lpstr>char3BurstTalentLevel</vt:lpstr>
      <vt:lpstr>char3CAElement</vt:lpstr>
      <vt:lpstr>char3FinalATK</vt:lpstr>
      <vt:lpstr>char3FinalATKPercent</vt:lpstr>
      <vt:lpstr>char3FinalDEF</vt:lpstr>
      <vt:lpstr>char3FinalDefMult</vt:lpstr>
      <vt:lpstr>char3FinalDEFPercent</vt:lpstr>
      <vt:lpstr>char3FinalEM</vt:lpstr>
      <vt:lpstr>char3FinalER</vt:lpstr>
      <vt:lpstr>char3FinalFlatATK</vt:lpstr>
      <vt:lpstr>char3FinalFlatDEF</vt:lpstr>
      <vt:lpstr>char3FinalFlatHP</vt:lpstr>
      <vt:lpstr>char3FinalHealingBonus</vt:lpstr>
      <vt:lpstr>char3FinalHealingReceived</vt:lpstr>
      <vt:lpstr>char3FinalHP</vt:lpstr>
      <vt:lpstr>char3FinalHPPercent</vt:lpstr>
      <vt:lpstr>char3Level</vt:lpstr>
      <vt:lpstr>char3LevelNum</vt:lpstr>
      <vt:lpstr>char3NAElement</vt:lpstr>
      <vt:lpstr>char3Name</vt:lpstr>
      <vt:lpstr>char3NATalentLevel</vt:lpstr>
      <vt:lpstr>char3PlungeElement</vt:lpstr>
      <vt:lpstr>char3Refine</vt:lpstr>
      <vt:lpstr>char3SkillEchoDamageType</vt:lpstr>
      <vt:lpstr>char3SkillEchoElement</vt:lpstr>
      <vt:lpstr>char3SkillElement</vt:lpstr>
      <vt:lpstr>char3SkillTalentLevel</vt:lpstr>
      <vt:lpstr>char3Stats</vt:lpstr>
      <vt:lpstr>char3TransformativeMult</vt:lpstr>
      <vt:lpstr>char3WeaponBaseATK</vt:lpstr>
      <vt:lpstr>char3WeaponName</vt:lpstr>
      <vt:lpstr>char3WeaponProcTable</vt:lpstr>
      <vt:lpstr>char3Weapons</vt:lpstr>
      <vt:lpstr>char3WeapStacks</vt:lpstr>
      <vt:lpstr>char3WeapToggle</vt:lpstr>
      <vt:lpstr>char4ArtiSetStats</vt:lpstr>
      <vt:lpstr>char4ArtiStacks</vt:lpstr>
      <vt:lpstr>char4ArtiToggle</vt:lpstr>
      <vt:lpstr>char4BaseATK</vt:lpstr>
      <vt:lpstr>char4BaseDEF</vt:lpstr>
      <vt:lpstr>char4BaseHP</vt:lpstr>
      <vt:lpstr>char4BurstEchoDamageType</vt:lpstr>
      <vt:lpstr>char4BurstEchoDMGType</vt:lpstr>
      <vt:lpstr>char4BurstEchoElement</vt:lpstr>
      <vt:lpstr>char4BurstElement</vt:lpstr>
      <vt:lpstr>char4BurstTalentLevel</vt:lpstr>
      <vt:lpstr>char4CAElement</vt:lpstr>
      <vt:lpstr>char4FinalATK</vt:lpstr>
      <vt:lpstr>char4FinalATKPercent</vt:lpstr>
      <vt:lpstr>char4FinalDEF</vt:lpstr>
      <vt:lpstr>char4FinalDefMult</vt:lpstr>
      <vt:lpstr>char4FinalDEFPercent</vt:lpstr>
      <vt:lpstr>char4FinalEM</vt:lpstr>
      <vt:lpstr>char4FinalER</vt:lpstr>
      <vt:lpstr>char4FinalFlatATK</vt:lpstr>
      <vt:lpstr>char4FinalFlatDEF</vt:lpstr>
      <vt:lpstr>char4FinalFlatHP</vt:lpstr>
      <vt:lpstr>char4FinalHealingBonus</vt:lpstr>
      <vt:lpstr>char4FinalHealingReceived</vt:lpstr>
      <vt:lpstr>char4FinalHP</vt:lpstr>
      <vt:lpstr>char4FinalHPPercent</vt:lpstr>
      <vt:lpstr>char4Level</vt:lpstr>
      <vt:lpstr>char4LevelNum</vt:lpstr>
      <vt:lpstr>char4NAElement</vt:lpstr>
      <vt:lpstr>char4Name</vt:lpstr>
      <vt:lpstr>char4NATalentLevel</vt:lpstr>
      <vt:lpstr>char4PlungeElement</vt:lpstr>
      <vt:lpstr>char4Refine</vt:lpstr>
      <vt:lpstr>char4SkillEchoDamageType</vt:lpstr>
      <vt:lpstr>char4SkillEchoElement</vt:lpstr>
      <vt:lpstr>char4SkillElement</vt:lpstr>
      <vt:lpstr>char4SkillTalentLevel</vt:lpstr>
      <vt:lpstr>char4Stats</vt:lpstr>
      <vt:lpstr>char4TransformativeMult</vt:lpstr>
      <vt:lpstr>char4WeaponBaseATK</vt:lpstr>
      <vt:lpstr>char4WeaponName</vt:lpstr>
      <vt:lpstr>char4WeaponProcTable</vt:lpstr>
      <vt:lpstr>char4Weapons</vt:lpstr>
      <vt:lpstr>char4WeapStacks</vt:lpstr>
      <vt:lpstr>char4WeapToggle</vt:lpstr>
      <vt:lpstr>childeBaseStats</vt:lpstr>
      <vt:lpstr>childeTalentScalings</vt:lpstr>
      <vt:lpstr>chongyunBaseStats</vt:lpstr>
      <vt:lpstr>chongyunTalentScalings</vt:lpstr>
      <vt:lpstr>dilucBaseStats</vt:lpstr>
      <vt:lpstr>dilucTalentScalings</vt:lpstr>
      <vt:lpstr>dionaBaseStats</vt:lpstr>
      <vt:lpstr>dionaTalentScalings</vt:lpstr>
      <vt:lpstr>emcBaseStats</vt:lpstr>
      <vt:lpstr>emcTalentScalings</vt:lpstr>
      <vt:lpstr>enemyAnemoRes</vt:lpstr>
      <vt:lpstr>enemyCryoRes</vt:lpstr>
      <vt:lpstr>enemyDendroRes</vt:lpstr>
      <vt:lpstr>enemyElectroRes</vt:lpstr>
      <vt:lpstr>enemyGeoRes</vt:lpstr>
      <vt:lpstr>enemyHydroRes</vt:lpstr>
      <vt:lpstr>enemyLevel</vt:lpstr>
      <vt:lpstr>enemyPhysRes</vt:lpstr>
      <vt:lpstr>enemyPyroRes</vt:lpstr>
      <vt:lpstr>eulaBaseStats</vt:lpstr>
      <vt:lpstr>eulaTalentScalings</vt:lpstr>
      <vt:lpstr>fischlBaseStats</vt:lpstr>
      <vt:lpstr>fischlTalentScalings</vt:lpstr>
      <vt:lpstr>fiveStarArtiLevels</vt:lpstr>
      <vt:lpstr>fiveStarArtiStats</vt:lpstr>
      <vt:lpstr>fourStarArtiLevels</vt:lpstr>
      <vt:lpstr>fourStarArtiStats</vt:lpstr>
      <vt:lpstr>ganyuBaseStats</vt:lpstr>
      <vt:lpstr>ganyuTalentScalings</vt:lpstr>
      <vt:lpstr>gmcBaseStats</vt:lpstr>
      <vt:lpstr>gmcTalentScalings</vt:lpstr>
      <vt:lpstr>gorouBaseStats</vt:lpstr>
      <vt:lpstr>gorouTalentscalings</vt:lpstr>
      <vt:lpstr>hutaoBaseStats</vt:lpstr>
      <vt:lpstr>hutaoTalentScalings</vt:lpstr>
      <vt:lpstr>ittoBaseStats</vt:lpstr>
      <vt:lpstr>ittoTalentScalings</vt:lpstr>
      <vt:lpstr>jeanBaseStats</vt:lpstr>
      <vt:lpstr>jeanTalentScalings</vt:lpstr>
      <vt:lpstr>kaeyaBaseStats</vt:lpstr>
      <vt:lpstr>kaeyaTalentScalings</vt:lpstr>
      <vt:lpstr>kazuhaBaseStats</vt:lpstr>
      <vt:lpstr>kazuhaTalentScalings</vt:lpstr>
      <vt:lpstr>keqingBaseStats</vt:lpstr>
      <vt:lpstr>keqingTalentScalings</vt:lpstr>
      <vt:lpstr>kleeBaseStats</vt:lpstr>
      <vt:lpstr>kleeTalentScalings</vt:lpstr>
      <vt:lpstr>kokomiBaseStats</vt:lpstr>
      <vt:lpstr>kokomiTalentScalings</vt:lpstr>
      <vt:lpstr>lisaBaseStats</vt:lpstr>
      <vt:lpstr>lisaTalentScalings</vt:lpstr>
      <vt:lpstr>monaBaseStats</vt:lpstr>
      <vt:lpstr>monaTalentScalings</vt:lpstr>
      <vt:lpstr>mvLookupTable</vt:lpstr>
      <vt:lpstr>ningguangBaseStats</vt:lpstr>
      <vt:lpstr>ningguangTalentScalings</vt:lpstr>
      <vt:lpstr>noelleBaseStats</vt:lpstr>
      <vt:lpstr>noelleTalentScalings</vt:lpstr>
      <vt:lpstr>oneStarArtiLevels</vt:lpstr>
      <vt:lpstr>oneStarArtiStats</vt:lpstr>
      <vt:lpstr>qiqiBaseStats</vt:lpstr>
      <vt:lpstr>qiqiTalentScalings</vt:lpstr>
      <vt:lpstr>raidenBaseStats</vt:lpstr>
      <vt:lpstr>raidenTalentScalings</vt:lpstr>
      <vt:lpstr>razorBaseStats</vt:lpstr>
      <vt:lpstr>razorTalentScalings</vt:lpstr>
      <vt:lpstr>rosariaBaseStats</vt:lpstr>
      <vt:lpstr>rosariaTalentScalings</vt:lpstr>
      <vt:lpstr>saraBaseStats</vt:lpstr>
      <vt:lpstr>saraTalentScalings</vt:lpstr>
      <vt:lpstr>sayuBaseStats</vt:lpstr>
      <vt:lpstr>sayuTalentScalings</vt:lpstr>
      <vt:lpstr>shenheBaseStats</vt:lpstr>
      <vt:lpstr>shenheTalentScalings</vt:lpstr>
      <vt:lpstr>sucroseBaseStats</vt:lpstr>
      <vt:lpstr>sucroseTalentScalings</vt:lpstr>
      <vt:lpstr>thomaBaseStats</vt:lpstr>
      <vt:lpstr>thomaTalentScalings</vt:lpstr>
      <vt:lpstr>threeStarArtiLevels</vt:lpstr>
      <vt:lpstr>threeStarArtiStats</vt:lpstr>
      <vt:lpstr>twoStarArtiLevels</vt:lpstr>
      <vt:lpstr>twoStarArtiStats</vt:lpstr>
      <vt:lpstr>ventiBaseStats</vt:lpstr>
      <vt:lpstr>ventiTalentScalings</vt:lpstr>
      <vt:lpstr>weapProcTable</vt:lpstr>
      <vt:lpstr>xianglingBaseStats</vt:lpstr>
      <vt:lpstr>xianglingTalentScalings</vt:lpstr>
      <vt:lpstr>xiaoBaseStats</vt:lpstr>
      <vt:lpstr>xiaoTalentScalings</vt:lpstr>
      <vt:lpstr>xingqiuBaseStats</vt:lpstr>
      <vt:lpstr>xingqiuTalentScalings</vt:lpstr>
      <vt:lpstr>xinyanBaseStats</vt:lpstr>
      <vt:lpstr>xinyanTalentScalings</vt:lpstr>
      <vt:lpstr>yaeBaseStats</vt:lpstr>
      <vt:lpstr>yaeTalentScalings</vt:lpstr>
      <vt:lpstr>yanfeiBaseStats</vt:lpstr>
      <vt:lpstr>yanfeiTalentScalings</vt:lpstr>
      <vt:lpstr>yoimiyaBaseStats</vt:lpstr>
      <vt:lpstr>yoimiyaTalentScalings</vt:lpstr>
      <vt:lpstr>yunjinBaseStats</vt:lpstr>
      <vt:lpstr>yunjinTalentScalings</vt:lpstr>
      <vt:lpstr>zhongliBaseStats</vt:lpstr>
      <vt:lpstr>zhongliTalentScalings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Lee</dc:creator>
  <cp:lastModifiedBy>John McJones</cp:lastModifiedBy>
  <cp:lastPrinted>2021-12-01T01:40:51Z</cp:lastPrinted>
  <dcterms:created xsi:type="dcterms:W3CDTF">2021-10-31T05:52:45Z</dcterms:created>
  <dcterms:modified xsi:type="dcterms:W3CDTF">2022-04-10T21:32:38Z</dcterms:modified>
</cp:coreProperties>
</file>